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M:\Antikorrupciós intézkedési terv\HONLAP\III. Szervezeti adatok\III-7_cégek anyagai\JGK\2023\"/>
    </mc:Choice>
  </mc:AlternateContent>
  <xr:revisionPtr revIDLastSave="0" documentId="8_{0C211FC4-D0EB-4C5B-AD54-ED0EF1AF2FE9}" xr6:coauthVersionLast="47" xr6:coauthVersionMax="47" xr10:uidLastSave="{00000000-0000-0000-0000-000000000000}"/>
  <bookViews>
    <workbookView xWindow="-110" yWindow="-110" windowWidth="19420" windowHeight="10420" firstSheet="4" activeTab="8" xr2:uid="{00000000-000D-0000-FFFF-FFFF00000000}"/>
  </bookViews>
  <sheets>
    <sheet name="Várható bér különbözet" sheetId="15" state="hidden" r:id="rId1"/>
    <sheet name="kompenzáció elsz" sheetId="17" state="hidden" r:id="rId2"/>
    <sheet name="számlázás" sheetId="16" state="hidden" r:id="rId3"/>
    <sheet name="Összesítés" sheetId="6" state="hidden" r:id="rId4"/>
    <sheet name="Terv_tény vagyongazd" sheetId="7" r:id="rId5"/>
    <sheet name="Terv_tény parkolás" sheetId="11" r:id="rId6"/>
    <sheet name="Terv_tény piac" sheetId="8" r:id="rId7"/>
    <sheet name="Terv_tény településüz" sheetId="9" r:id="rId8"/>
    <sheet name="Terv_tény intézmény" sheetId="10" r:id="rId9"/>
    <sheet name="támogatás elsz 478 fők" sheetId="12" state="hidden" r:id="rId10"/>
    <sheet name="Felosztás eredménykim" sheetId="2" state="hidden" r:id="rId11"/>
    <sheet name="Eredeti fejléccel" sheetId="4" state="hidden" r:id="rId12"/>
    <sheet name="Eredeti" sheetId="13" state="hidden" r:id="rId13"/>
    <sheet name="Létszám" sheetId="5" state="hidden" r:id="rId14"/>
    <sheet name="Létszám költségvetés" sheetId="14" state="hidden" r:id="rId15"/>
    <sheet name="Költséghely" sheetId="3" state="hidden" r:id="rId16"/>
    <sheet name="Paraméterek" sheetId="1" state="hidden" r:id="rId17"/>
  </sheets>
  <definedNames>
    <definedName name="APPNAME">Paraméterek!$B$5</definedName>
    <definedName name="APPPWD">Paraméterek!$B$6</definedName>
    <definedName name="BizonylatOsszesen">Paraméterek!#REF!</definedName>
    <definedName name="Cegfuggo">Paraméterek!$B$43</definedName>
    <definedName name="DatumIg">Paraméterek!$B$16</definedName>
    <definedName name="Datumtol">Paraméterek!$B$15</definedName>
    <definedName name="DBS">Paraméterek!$B$4</definedName>
    <definedName name="Deviza_ID">Paraméterek!$B$44</definedName>
    <definedName name="FeladatlanBizonylat">Paraméterek!$B$39</definedName>
    <definedName name="FeliratNyelv_ID">Paraméterek!$B$45</definedName>
    <definedName name="FSzam">Paraméterek!$B$32</definedName>
    <definedName name="FSzamCsop">Paraméterek!$B$22</definedName>
    <definedName name="FSzamKeplet">Paraméterek!$B$21</definedName>
    <definedName name="HasznKHely">Paraméterek!$B$40</definedName>
    <definedName name="HasznPSzam">Paraméterek!$B$42</definedName>
    <definedName name="HasznTema">Paraméterek!$B$41</definedName>
    <definedName name="HasznTSzam">Paraméterek!$B$41</definedName>
    <definedName name="KHely">Paraméterek!$B$34</definedName>
    <definedName name="KHelyCsop">Paraméterek!$B$26</definedName>
    <definedName name="KHelyKeplet">Paraméterek!$B$25</definedName>
    <definedName name="Listasor">Paraméterek!$B$31</definedName>
    <definedName name="Naplojelig">Paraméterek!$B$18</definedName>
    <definedName name="Naplojeltol">Paraméterek!$B$17</definedName>
    <definedName name="Nyelv_ID">Paraméterek!$B$38</definedName>
    <definedName name="_xlnm.Print_Titles" localSheetId="10">'Felosztás eredménykim'!$1:$5</definedName>
    <definedName name="_xlnm.Print_Titles" localSheetId="3">Összesítés!$1:$1</definedName>
    <definedName name="_xlnm.Print_Area" localSheetId="10">'Felosztás eredménykim'!$B$1:$HD$281</definedName>
    <definedName name="_xlnm.Print_Area" localSheetId="3">Összesítés!$A$1:$AH$108</definedName>
    <definedName name="_xlnm.Print_Area" localSheetId="7">'Terv_tény településüz'!$A$1:$P$141</definedName>
    <definedName name="Oszlopok">Paraméterek!$B$8</definedName>
    <definedName name="Parameterek">Paraméterek!$B$46</definedName>
    <definedName name="ProjektTSzamBesorolasKapcsolat">Paraméterek!$B$48</definedName>
    <definedName name="ProjektTSzamBesorolasXML">Paraméterek!$B$47</definedName>
    <definedName name="PSzam">Paraméterek!$B$36</definedName>
    <definedName name="PSzamKeplet">Paraméterek!$B$29</definedName>
    <definedName name="PWD">Paraméterek!$B$3</definedName>
    <definedName name="Rend1">Paraméterek!$B$9</definedName>
    <definedName name="Rend2">Paraméterek!$B$10</definedName>
    <definedName name="Rend3">Paraméterek!$B$11</definedName>
    <definedName name="Rend4">Paraméterek!$B$12</definedName>
    <definedName name="Rend5">Paraméterek!$B$13</definedName>
    <definedName name="Reszletezes">Paraméterek!$B$14</definedName>
    <definedName name="RFSzam">Paraméterek!$B$33</definedName>
    <definedName name="RFSzamCsop">Paraméterek!$B$24</definedName>
    <definedName name="RFSzamKeplet">Paraméterek!$B$23</definedName>
    <definedName name="SERVER">Paraméterek!$B$1</definedName>
    <definedName name="TeljDatumig">Paraméterek!$B$20</definedName>
    <definedName name="TeljDatumtol">Paraméterek!$B$19</definedName>
    <definedName name="TSzam">Paraméterek!$B$35</definedName>
    <definedName name="TSzamCsop">Paraméterek!$B$28</definedName>
    <definedName name="TSzamKeplet">Paraméterek!$B$27</definedName>
    <definedName name="Ugyfel">Paraméterek!$B$37</definedName>
    <definedName name="UgyfelKeplet">Paraméterek!$B$30</definedName>
    <definedName name="UID">Paraméterek!$B$2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6" l="1"/>
  <c r="Q31" i="6"/>
  <c r="E31" i="8" l="1"/>
  <c r="B31" i="8"/>
  <c r="T31" i="6" l="1"/>
  <c r="D31" i="6"/>
  <c r="G16" i="17" s="1"/>
  <c r="H16" i="17" s="1"/>
  <c r="M97" i="6"/>
  <c r="N97" i="6" s="1"/>
  <c r="N31" i="6" s="1"/>
  <c r="J16" i="17"/>
  <c r="F16" i="17"/>
  <c r="X31" i="6" l="1"/>
  <c r="Z31" i="6" s="1"/>
  <c r="AB31" i="6" s="1"/>
  <c r="D16" i="17"/>
  <c r="K16" i="17" s="1"/>
  <c r="O16" i="17" s="1"/>
  <c r="V31" i="6"/>
  <c r="E9" i="17" l="1"/>
  <c r="X14" i="6"/>
  <c r="Z14" i="6"/>
  <c r="AA14" i="6" s="1"/>
  <c r="AB14" i="6" s="1"/>
  <c r="U9" i="6"/>
  <c r="N9" i="6"/>
  <c r="X9" i="6" s="1"/>
  <c r="Z9" i="6" s="1"/>
  <c r="AA9" i="6" s="1"/>
  <c r="AB9" i="6" s="1"/>
  <c r="J15" i="17" l="1"/>
  <c r="A84" i="7" l="1"/>
  <c r="A83" i="7"/>
  <c r="A82" i="7"/>
  <c r="T41" i="7"/>
  <c r="V41" i="7" s="1"/>
  <c r="T84" i="7"/>
  <c r="V84" i="7" s="1"/>
  <c r="T83" i="7"/>
  <c r="V83" i="7" s="1"/>
  <c r="T42" i="7"/>
  <c r="V42" i="7" s="1"/>
  <c r="B82" i="7" l="1"/>
  <c r="T82" i="7" s="1"/>
  <c r="V82" i="7" s="1"/>
  <c r="B40" i="7"/>
  <c r="T40" i="7" s="1"/>
  <c r="V40" i="7" s="1"/>
  <c r="M96" i="6"/>
  <c r="N96" i="6" s="1"/>
  <c r="N30" i="6" s="1"/>
  <c r="D30" i="6"/>
  <c r="G15" i="17" s="1"/>
  <c r="H15" i="17" s="1"/>
  <c r="T81" i="7"/>
  <c r="T80" i="7"/>
  <c r="T39" i="7"/>
  <c r="T38" i="7"/>
  <c r="D8" i="6" l="1"/>
  <c r="G10" i="17" s="1"/>
  <c r="W216" i="2"/>
  <c r="E216" i="2"/>
  <c r="HJ140" i="2"/>
  <c r="DE269" i="2" l="1"/>
  <c r="DI88" i="2"/>
  <c r="DI113" i="2"/>
  <c r="DI119" i="2"/>
  <c r="DI125" i="2"/>
  <c r="DI130" i="2"/>
  <c r="M20" i="17" l="1"/>
  <c r="F10" i="17"/>
  <c r="E20" i="17"/>
  <c r="FD270" i="2"/>
  <c r="S34" i="6"/>
  <c r="P63" i="9"/>
  <c r="P50" i="9"/>
  <c r="P37" i="9"/>
  <c r="P27" i="9"/>
  <c r="P28" i="9" s="1"/>
  <c r="P19" i="9"/>
  <c r="P10" i="9"/>
  <c r="P6" i="9"/>
  <c r="E215" i="2"/>
  <c r="E218" i="2"/>
  <c r="Z239" i="2"/>
  <c r="Z238" i="2"/>
  <c r="Z237" i="2"/>
  <c r="Z236" i="2"/>
  <c r="Z235" i="2"/>
  <c r="Z233" i="2"/>
  <c r="CS242" i="2"/>
  <c r="GX246" i="2"/>
  <c r="BX222" i="13"/>
  <c r="BW222" i="13"/>
  <c r="BV222" i="13"/>
  <c r="BU222" i="13"/>
  <c r="BT222" i="13"/>
  <c r="BS222" i="13"/>
  <c r="BR222" i="13"/>
  <c r="BQ222" i="13"/>
  <c r="BP222" i="13"/>
  <c r="BO222" i="13"/>
  <c r="BN222" i="13"/>
  <c r="BM222" i="13"/>
  <c r="BL222" i="13"/>
  <c r="BK222" i="13"/>
  <c r="BJ222" i="13"/>
  <c r="BI222" i="13"/>
  <c r="BH222" i="13"/>
  <c r="BG222" i="13"/>
  <c r="BF222" i="13"/>
  <c r="BE222" i="13"/>
  <c r="BD222" i="13"/>
  <c r="BC222" i="13"/>
  <c r="BB222" i="13"/>
  <c r="BA222" i="13"/>
  <c r="AZ222" i="13"/>
  <c r="AY222" i="13"/>
  <c r="AX222" i="13"/>
  <c r="AW222" i="13"/>
  <c r="AV222" i="13"/>
  <c r="AU222" i="13"/>
  <c r="AT222" i="13"/>
  <c r="AS222" i="13"/>
  <c r="AR222" i="13"/>
  <c r="AQ222" i="13"/>
  <c r="AP222" i="13"/>
  <c r="AO222" i="13"/>
  <c r="AN222" i="13"/>
  <c r="AM222" i="13"/>
  <c r="AL222" i="13"/>
  <c r="AK222" i="13"/>
  <c r="AJ222" i="13"/>
  <c r="AI222" i="13"/>
  <c r="AH222" i="13"/>
  <c r="AG222" i="13"/>
  <c r="AF222" i="13"/>
  <c r="AE222" i="13"/>
  <c r="AD222" i="13"/>
  <c r="AC222" i="13"/>
  <c r="AB222" i="13"/>
  <c r="AA222" i="13"/>
  <c r="Z222" i="13"/>
  <c r="Y222" i="13"/>
  <c r="X222" i="13"/>
  <c r="W222" i="13"/>
  <c r="V222" i="13"/>
  <c r="U222" i="13"/>
  <c r="T222" i="13"/>
  <c r="S222" i="13"/>
  <c r="R222" i="13"/>
  <c r="Q222" i="13"/>
  <c r="P222" i="13"/>
  <c r="O222" i="13"/>
  <c r="N222" i="13"/>
  <c r="M222" i="13"/>
  <c r="L222" i="13"/>
  <c r="K222" i="13"/>
  <c r="J222" i="13"/>
  <c r="I222" i="13"/>
  <c r="H222" i="13"/>
  <c r="G222" i="13"/>
  <c r="F222" i="13"/>
  <c r="E222" i="13"/>
  <c r="D222" i="13"/>
  <c r="C222" i="13"/>
  <c r="DH106" i="4"/>
  <c r="DH118" i="4"/>
  <c r="DH130" i="4"/>
  <c r="DH209" i="4"/>
  <c r="DH215" i="4"/>
  <c r="DF280" i="4"/>
  <c r="DH280" i="4" s="1"/>
  <c r="DF279" i="4"/>
  <c r="DH279" i="4" s="1"/>
  <c r="DF278" i="4"/>
  <c r="DH278" i="4" s="1"/>
  <c r="DF277" i="4"/>
  <c r="DH277" i="4" s="1"/>
  <c r="DF276" i="4"/>
  <c r="DH276" i="4" s="1"/>
  <c r="DF275" i="4"/>
  <c r="DH275" i="4" s="1"/>
  <c r="DF274" i="4"/>
  <c r="DH274" i="4" s="1"/>
  <c r="DF273" i="4"/>
  <c r="DH273" i="4" s="1"/>
  <c r="DF272" i="4"/>
  <c r="DH272" i="4" s="1"/>
  <c r="DF271" i="4"/>
  <c r="DH271" i="4" s="1"/>
  <c r="DF270" i="4"/>
  <c r="DH270" i="4" s="1"/>
  <c r="DF269" i="4"/>
  <c r="DH269" i="4" s="1"/>
  <c r="DF268" i="4"/>
  <c r="DH268" i="4" s="1"/>
  <c r="DF267" i="4"/>
  <c r="DH267" i="4" s="1"/>
  <c r="DF266" i="4"/>
  <c r="DH266" i="4" s="1"/>
  <c r="DF265" i="4"/>
  <c r="DH265" i="4" s="1"/>
  <c r="DF264" i="4"/>
  <c r="DH264" i="4" s="1"/>
  <c r="DF263" i="4"/>
  <c r="DH263" i="4" s="1"/>
  <c r="DF262" i="4"/>
  <c r="DH262" i="4" s="1"/>
  <c r="DF261" i="4"/>
  <c r="DH261" i="4" s="1"/>
  <c r="DF260" i="4"/>
  <c r="DH260" i="4" s="1"/>
  <c r="DF259" i="4"/>
  <c r="DH259" i="4" s="1"/>
  <c r="DF258" i="4"/>
  <c r="DH258" i="4" s="1"/>
  <c r="DF257" i="4"/>
  <c r="DH257" i="4" s="1"/>
  <c r="DF256" i="4"/>
  <c r="DH256" i="4" s="1"/>
  <c r="DF255" i="4"/>
  <c r="DH255" i="4" s="1"/>
  <c r="DF254" i="4"/>
  <c r="DH254" i="4" s="1"/>
  <c r="DF253" i="4"/>
  <c r="DH253" i="4" s="1"/>
  <c r="DF252" i="4"/>
  <c r="DH252" i="4" s="1"/>
  <c r="DF251" i="4"/>
  <c r="DH251" i="4" s="1"/>
  <c r="DF250" i="4"/>
  <c r="DH250" i="4" s="1"/>
  <c r="DF249" i="4"/>
  <c r="DH249" i="4" s="1"/>
  <c r="DF248" i="4"/>
  <c r="DH248" i="4" s="1"/>
  <c r="DF247" i="4"/>
  <c r="DH247" i="4" s="1"/>
  <c r="DF246" i="4"/>
  <c r="DH246" i="4" s="1"/>
  <c r="DF245" i="4"/>
  <c r="DH245" i="4" s="1"/>
  <c r="DF244" i="4"/>
  <c r="DH244" i="4" s="1"/>
  <c r="DF243" i="4"/>
  <c r="DH243" i="4" s="1"/>
  <c r="DF242" i="4"/>
  <c r="DH242" i="4" s="1"/>
  <c r="DF241" i="4"/>
  <c r="DH241" i="4" s="1"/>
  <c r="DF240" i="4"/>
  <c r="DH240" i="4" s="1"/>
  <c r="DF239" i="4"/>
  <c r="DH239" i="4" s="1"/>
  <c r="DF238" i="4"/>
  <c r="DH238" i="4" s="1"/>
  <c r="DF237" i="4"/>
  <c r="DH237" i="4" s="1"/>
  <c r="DF236" i="4"/>
  <c r="DH236" i="4" s="1"/>
  <c r="DF235" i="4"/>
  <c r="DH235" i="4" s="1"/>
  <c r="DF234" i="4"/>
  <c r="DH234" i="4" s="1"/>
  <c r="DF233" i="4"/>
  <c r="DH233" i="4" s="1"/>
  <c r="DF232" i="4"/>
  <c r="DH232" i="4" s="1"/>
  <c r="DF231" i="4"/>
  <c r="DH231" i="4" s="1"/>
  <c r="DF230" i="4"/>
  <c r="DH230" i="4" s="1"/>
  <c r="DF229" i="4"/>
  <c r="DH229" i="4" s="1"/>
  <c r="DF228" i="4"/>
  <c r="DH228" i="4" s="1"/>
  <c r="DF227" i="4"/>
  <c r="DH227" i="4" s="1"/>
  <c r="DF226" i="4"/>
  <c r="DH226" i="4" s="1"/>
  <c r="DF225" i="4"/>
  <c r="DH225" i="4" s="1"/>
  <c r="DF224" i="4"/>
  <c r="DH224" i="4" s="1"/>
  <c r="DF223" i="4"/>
  <c r="DH223" i="4" s="1"/>
  <c r="DF222" i="4"/>
  <c r="DH222" i="4" s="1"/>
  <c r="DF221" i="4"/>
  <c r="DH221" i="4" s="1"/>
  <c r="DF220" i="4"/>
  <c r="DH220" i="4" s="1"/>
  <c r="DF219" i="4"/>
  <c r="DH219" i="4" s="1"/>
  <c r="DF218" i="4"/>
  <c r="DH218" i="4" s="1"/>
  <c r="DF217" i="4"/>
  <c r="DH217" i="4" s="1"/>
  <c r="DF216" i="4"/>
  <c r="DH216" i="4" s="1"/>
  <c r="DF215" i="4"/>
  <c r="DF214" i="4"/>
  <c r="DH214" i="4" s="1"/>
  <c r="DF213" i="4"/>
  <c r="DH213" i="4" s="1"/>
  <c r="DF212" i="4"/>
  <c r="DH212" i="4" s="1"/>
  <c r="DF211" i="4"/>
  <c r="DH211" i="4" s="1"/>
  <c r="DF210" i="4"/>
  <c r="DH210" i="4" s="1"/>
  <c r="DF209" i="4"/>
  <c r="DF208" i="4"/>
  <c r="DH208" i="4" s="1"/>
  <c r="DF207" i="4"/>
  <c r="DH207" i="4" s="1"/>
  <c r="DF206" i="4"/>
  <c r="DH206" i="4" s="1"/>
  <c r="DF205" i="4"/>
  <c r="DH205" i="4" s="1"/>
  <c r="DF204" i="4"/>
  <c r="DH204" i="4" s="1"/>
  <c r="DF203" i="4"/>
  <c r="DH203" i="4" s="1"/>
  <c r="DF202" i="4"/>
  <c r="DH202" i="4" s="1"/>
  <c r="DF201" i="4"/>
  <c r="DH201" i="4" s="1"/>
  <c r="DF200" i="4"/>
  <c r="DH200" i="4" s="1"/>
  <c r="DF199" i="4"/>
  <c r="DH199" i="4" s="1"/>
  <c r="DF198" i="4"/>
  <c r="DH198" i="4" s="1"/>
  <c r="DF197" i="4"/>
  <c r="DH197" i="4" s="1"/>
  <c r="DF196" i="4"/>
  <c r="DH196" i="4" s="1"/>
  <c r="DF195" i="4"/>
  <c r="DH195" i="4" s="1"/>
  <c r="DF194" i="4"/>
  <c r="DH194" i="4" s="1"/>
  <c r="DF193" i="4"/>
  <c r="DH193" i="4" s="1"/>
  <c r="DF192" i="4"/>
  <c r="DH192" i="4" s="1"/>
  <c r="DF191" i="4"/>
  <c r="DH191" i="4" s="1"/>
  <c r="DF190" i="4"/>
  <c r="DH190" i="4" s="1"/>
  <c r="DF189" i="4"/>
  <c r="DH189" i="4" s="1"/>
  <c r="DF188" i="4"/>
  <c r="DH188" i="4" s="1"/>
  <c r="DF187" i="4"/>
  <c r="DH187" i="4" s="1"/>
  <c r="DF186" i="4"/>
  <c r="DH186" i="4" s="1"/>
  <c r="DF185" i="4"/>
  <c r="DH185" i="4" s="1"/>
  <c r="DF184" i="4"/>
  <c r="DH184" i="4" s="1"/>
  <c r="DF183" i="4"/>
  <c r="DH183" i="4" s="1"/>
  <c r="DF182" i="4"/>
  <c r="DH182" i="4" s="1"/>
  <c r="DF181" i="4"/>
  <c r="DH181" i="4" s="1"/>
  <c r="DF180" i="4"/>
  <c r="DH180" i="4" s="1"/>
  <c r="DF179" i="4"/>
  <c r="DH179" i="4" s="1"/>
  <c r="DF178" i="4"/>
  <c r="DH178" i="4" s="1"/>
  <c r="DF177" i="4"/>
  <c r="DH177" i="4" s="1"/>
  <c r="DF176" i="4"/>
  <c r="DH176" i="4" s="1"/>
  <c r="DF175" i="4"/>
  <c r="DH175" i="4" s="1"/>
  <c r="DF174" i="4"/>
  <c r="DH174" i="4" s="1"/>
  <c r="DF173" i="4"/>
  <c r="DH173" i="4" s="1"/>
  <c r="DF172" i="4"/>
  <c r="DH172" i="4" s="1"/>
  <c r="DF171" i="4"/>
  <c r="DH171" i="4" s="1"/>
  <c r="DF170" i="4"/>
  <c r="DH170" i="4" s="1"/>
  <c r="DF169" i="4"/>
  <c r="DH169" i="4" s="1"/>
  <c r="DF168" i="4"/>
  <c r="DH168" i="4" s="1"/>
  <c r="DF167" i="4"/>
  <c r="DH167" i="4" s="1"/>
  <c r="DF166" i="4"/>
  <c r="DH166" i="4" s="1"/>
  <c r="DF165" i="4"/>
  <c r="DH165" i="4" s="1"/>
  <c r="DF164" i="4"/>
  <c r="DH164" i="4" s="1"/>
  <c r="DF163" i="4"/>
  <c r="DH163" i="4" s="1"/>
  <c r="DF162" i="4"/>
  <c r="DH162" i="4" s="1"/>
  <c r="DF161" i="4"/>
  <c r="DH161" i="4" s="1"/>
  <c r="DF160" i="4"/>
  <c r="DH160" i="4" s="1"/>
  <c r="DF159" i="4"/>
  <c r="DH159" i="4" s="1"/>
  <c r="DF158" i="4"/>
  <c r="DH158" i="4" s="1"/>
  <c r="DF157" i="4"/>
  <c r="DH157" i="4" s="1"/>
  <c r="DF156" i="4"/>
  <c r="DH156" i="4" s="1"/>
  <c r="DF155" i="4"/>
  <c r="DH155" i="4" s="1"/>
  <c r="DF154" i="4"/>
  <c r="DH154" i="4" s="1"/>
  <c r="DF153" i="4"/>
  <c r="DH153" i="4" s="1"/>
  <c r="DF152" i="4"/>
  <c r="DH152" i="4" s="1"/>
  <c r="DF151" i="4"/>
  <c r="DH151" i="4" s="1"/>
  <c r="DF150" i="4"/>
  <c r="DH150" i="4" s="1"/>
  <c r="DF149" i="4"/>
  <c r="DH149" i="4" s="1"/>
  <c r="DF148" i="4"/>
  <c r="DH148" i="4" s="1"/>
  <c r="DF147" i="4"/>
  <c r="DH147" i="4" s="1"/>
  <c r="DF146" i="4"/>
  <c r="DH146" i="4" s="1"/>
  <c r="DF145" i="4"/>
  <c r="DH145" i="4" s="1"/>
  <c r="DF144" i="4"/>
  <c r="DH144" i="4" s="1"/>
  <c r="DF143" i="4"/>
  <c r="DH143" i="4" s="1"/>
  <c r="DF142" i="4"/>
  <c r="DH142" i="4" s="1"/>
  <c r="DF141" i="4"/>
  <c r="DH141" i="4" s="1"/>
  <c r="DF140" i="4"/>
  <c r="DH140" i="4" s="1"/>
  <c r="DF139" i="4"/>
  <c r="DH139" i="4" s="1"/>
  <c r="DF138" i="4"/>
  <c r="DH138" i="4" s="1"/>
  <c r="DF137" i="4"/>
  <c r="DH137" i="4" s="1"/>
  <c r="DF136" i="4"/>
  <c r="DH136" i="4" s="1"/>
  <c r="DF135" i="4"/>
  <c r="DH135" i="4" s="1"/>
  <c r="DF134" i="4"/>
  <c r="DH134" i="4" s="1"/>
  <c r="DF133" i="4"/>
  <c r="DH133" i="4" s="1"/>
  <c r="DF132" i="4"/>
  <c r="DH132" i="4" s="1"/>
  <c r="DF131" i="4"/>
  <c r="DH131" i="4" s="1"/>
  <c r="DF130" i="4"/>
  <c r="DF129" i="4"/>
  <c r="DH129" i="4" s="1"/>
  <c r="DF128" i="4"/>
  <c r="DH128" i="4" s="1"/>
  <c r="DF127" i="4"/>
  <c r="DH127" i="4" s="1"/>
  <c r="DF126" i="4"/>
  <c r="DH126" i="4" s="1"/>
  <c r="DF125" i="4"/>
  <c r="DH125" i="4" s="1"/>
  <c r="DF124" i="4"/>
  <c r="DH124" i="4" s="1"/>
  <c r="DF123" i="4"/>
  <c r="DH123" i="4" s="1"/>
  <c r="DF122" i="4"/>
  <c r="DH122" i="4" s="1"/>
  <c r="DF121" i="4"/>
  <c r="DH121" i="4" s="1"/>
  <c r="DF120" i="4"/>
  <c r="DH120" i="4" s="1"/>
  <c r="DF119" i="4"/>
  <c r="DH119" i="4" s="1"/>
  <c r="DF118" i="4"/>
  <c r="DF117" i="4"/>
  <c r="DH117" i="4" s="1"/>
  <c r="DF116" i="4"/>
  <c r="DH116" i="4" s="1"/>
  <c r="DF115" i="4"/>
  <c r="DH115" i="4" s="1"/>
  <c r="DF114" i="4"/>
  <c r="DH114" i="4" s="1"/>
  <c r="DF113" i="4"/>
  <c r="DH113" i="4" s="1"/>
  <c r="DF112" i="4"/>
  <c r="DH112" i="4" s="1"/>
  <c r="DF111" i="4"/>
  <c r="DH111" i="4" s="1"/>
  <c r="DF110" i="4"/>
  <c r="DH110" i="4" s="1"/>
  <c r="DF109" i="4"/>
  <c r="DH109" i="4" s="1"/>
  <c r="DF108" i="4"/>
  <c r="DH108" i="4" s="1"/>
  <c r="DF107" i="4"/>
  <c r="DH107" i="4" s="1"/>
  <c r="DF106" i="4"/>
  <c r="DF105" i="4"/>
  <c r="DH105" i="4" s="1"/>
  <c r="DF104" i="4"/>
  <c r="DH104" i="4" s="1"/>
  <c r="DF103" i="4"/>
  <c r="DH103" i="4" s="1"/>
  <c r="DF102" i="4"/>
  <c r="DH102" i="4" s="1"/>
  <c r="DF101" i="4"/>
  <c r="DH101" i="4" s="1"/>
  <c r="DF100" i="4"/>
  <c r="DH100" i="4" s="1"/>
  <c r="DF99" i="4"/>
  <c r="DH99" i="4" s="1"/>
  <c r="DF98" i="4"/>
  <c r="DH98" i="4" s="1"/>
  <c r="DF97" i="4"/>
  <c r="DH97" i="4" s="1"/>
  <c r="DF96" i="4"/>
  <c r="DH96" i="4" s="1"/>
  <c r="DF95" i="4"/>
  <c r="DH95" i="4" s="1"/>
  <c r="DF94" i="4"/>
  <c r="DH94" i="4" s="1"/>
  <c r="DF93" i="4"/>
  <c r="DH93" i="4" s="1"/>
  <c r="DF92" i="4"/>
  <c r="DH92" i="4" s="1"/>
  <c r="DF91" i="4"/>
  <c r="DH91" i="4" s="1"/>
  <c r="DF90" i="4"/>
  <c r="DH90" i="4" s="1"/>
  <c r="DF89" i="4"/>
  <c r="DH89" i="4" s="1"/>
  <c r="DF88" i="4"/>
  <c r="DH88" i="4" s="1"/>
  <c r="DF87" i="4"/>
  <c r="DH87" i="4" s="1"/>
  <c r="DF86" i="4"/>
  <c r="DH86" i="4" s="1"/>
  <c r="DF85" i="4"/>
  <c r="DH85" i="4" s="1"/>
  <c r="DF84" i="4"/>
  <c r="DH84" i="4" s="1"/>
  <c r="DF83" i="4"/>
  <c r="DH83" i="4" s="1"/>
  <c r="DF82" i="4"/>
  <c r="DH82" i="4" s="1"/>
  <c r="DF81" i="4"/>
  <c r="DH81" i="4" s="1"/>
  <c r="DF80" i="4"/>
  <c r="DH80" i="4" s="1"/>
  <c r="DF79" i="4"/>
  <c r="DH79" i="4" s="1"/>
  <c r="DF78" i="4"/>
  <c r="DH78" i="4" s="1"/>
  <c r="DF77" i="4"/>
  <c r="DH77" i="4" s="1"/>
  <c r="DF76" i="4"/>
  <c r="DH76" i="4" s="1"/>
  <c r="DF75" i="4"/>
  <c r="DH75" i="4" s="1"/>
  <c r="DF74" i="4"/>
  <c r="DH74" i="4" s="1"/>
  <c r="DF73" i="4"/>
  <c r="DH73" i="4" s="1"/>
  <c r="DF72" i="4"/>
  <c r="DH72" i="4" s="1"/>
  <c r="DF71" i="4"/>
  <c r="DH71" i="4" s="1"/>
  <c r="DF70" i="4"/>
  <c r="DH70" i="4" s="1"/>
  <c r="DF69" i="4"/>
  <c r="DH69" i="4" s="1"/>
  <c r="DF68" i="4"/>
  <c r="DH68" i="4" s="1"/>
  <c r="DF67" i="4"/>
  <c r="DH67" i="4" s="1"/>
  <c r="DF66" i="4"/>
  <c r="DH66" i="4" s="1"/>
  <c r="DF65" i="4"/>
  <c r="DH65" i="4" s="1"/>
  <c r="DF64" i="4"/>
  <c r="DH64" i="4" s="1"/>
  <c r="DF63" i="4"/>
  <c r="DH63" i="4" s="1"/>
  <c r="DF62" i="4"/>
  <c r="DH62" i="4" s="1"/>
  <c r="DF61" i="4"/>
  <c r="DH61" i="4" s="1"/>
  <c r="DF60" i="4"/>
  <c r="DH60" i="4" s="1"/>
  <c r="DF59" i="4"/>
  <c r="DH59" i="4" s="1"/>
  <c r="DF58" i="4"/>
  <c r="DH58" i="4" s="1"/>
  <c r="DF57" i="4"/>
  <c r="DH57" i="4" s="1"/>
  <c r="DF56" i="4"/>
  <c r="DH56" i="4" s="1"/>
  <c r="DF55" i="4"/>
  <c r="DH55" i="4" s="1"/>
  <c r="DF54" i="4"/>
  <c r="DH54" i="4" s="1"/>
  <c r="DF53" i="4"/>
  <c r="DH53" i="4" s="1"/>
  <c r="DF52" i="4"/>
  <c r="DH52" i="4" s="1"/>
  <c r="DF51" i="4"/>
  <c r="DH51" i="4" s="1"/>
  <c r="DF50" i="4"/>
  <c r="DH50" i="4" s="1"/>
  <c r="DF49" i="4"/>
  <c r="DH49" i="4" s="1"/>
  <c r="DF48" i="4"/>
  <c r="DH48" i="4" s="1"/>
  <c r="DF47" i="4"/>
  <c r="DH47" i="4" s="1"/>
  <c r="DF46" i="4"/>
  <c r="DH46" i="4" s="1"/>
  <c r="DF45" i="4"/>
  <c r="DH45" i="4" s="1"/>
  <c r="DF44" i="4"/>
  <c r="DH44" i="4" s="1"/>
  <c r="DF43" i="4"/>
  <c r="DH43" i="4" s="1"/>
  <c r="DF42" i="4"/>
  <c r="DH42" i="4" s="1"/>
  <c r="DF41" i="4"/>
  <c r="DH41" i="4" s="1"/>
  <c r="DF40" i="4"/>
  <c r="DH40" i="4" s="1"/>
  <c r="DF39" i="4"/>
  <c r="DH39" i="4" s="1"/>
  <c r="DF38" i="4"/>
  <c r="DH38" i="4" s="1"/>
  <c r="DF37" i="4"/>
  <c r="DH37" i="4" s="1"/>
  <c r="DF36" i="4"/>
  <c r="DH36" i="4" s="1"/>
  <c r="DF35" i="4"/>
  <c r="DH35" i="4" s="1"/>
  <c r="DF34" i="4"/>
  <c r="DH34" i="4" s="1"/>
  <c r="DF33" i="4"/>
  <c r="DH33" i="4" s="1"/>
  <c r="DF32" i="4"/>
  <c r="DH32" i="4" s="1"/>
  <c r="DF31" i="4"/>
  <c r="DH31" i="4" s="1"/>
  <c r="DF30" i="4"/>
  <c r="DH30" i="4" s="1"/>
  <c r="DF29" i="4"/>
  <c r="DH29" i="4" s="1"/>
  <c r="DF28" i="4"/>
  <c r="DH28" i="4" s="1"/>
  <c r="DF27" i="4"/>
  <c r="DH27" i="4" s="1"/>
  <c r="DF26" i="4"/>
  <c r="DH26" i="4" s="1"/>
  <c r="DF25" i="4"/>
  <c r="DH25" i="4" s="1"/>
  <c r="DF24" i="4"/>
  <c r="DH24" i="4" s="1"/>
  <c r="DF23" i="4"/>
  <c r="DH23" i="4" s="1"/>
  <c r="DF22" i="4"/>
  <c r="DH22" i="4" s="1"/>
  <c r="DF21" i="4"/>
  <c r="DH21" i="4" s="1"/>
  <c r="DF20" i="4"/>
  <c r="DH20" i="4" s="1"/>
  <c r="DF19" i="4"/>
  <c r="DH19" i="4" s="1"/>
  <c r="DF18" i="4"/>
  <c r="DH18" i="4" s="1"/>
  <c r="DF17" i="4"/>
  <c r="DH17" i="4" s="1"/>
  <c r="DF16" i="4"/>
  <c r="DH16" i="4" s="1"/>
  <c r="DF15" i="4"/>
  <c r="DH15" i="4" s="1"/>
  <c r="DF14" i="4"/>
  <c r="DH14" i="4" s="1"/>
  <c r="DF7" i="4"/>
  <c r="DH7" i="4" s="1"/>
  <c r="DF8" i="4"/>
  <c r="DH8" i="4" s="1"/>
  <c r="DF9" i="4"/>
  <c r="DH9" i="4" s="1"/>
  <c r="DF10" i="4"/>
  <c r="DH10" i="4" s="1"/>
  <c r="DF11" i="4"/>
  <c r="DH11" i="4" s="1"/>
  <c r="DF12" i="4"/>
  <c r="DH12" i="4" s="1"/>
  <c r="DF13" i="4"/>
  <c r="DH13" i="4" s="1"/>
  <c r="DF6" i="4"/>
  <c r="DH6" i="4" s="1"/>
  <c r="DG282" i="4"/>
  <c r="DG284" i="4" s="1"/>
  <c r="DG288" i="4" s="1"/>
  <c r="HA214" i="2"/>
  <c r="GZ214" i="2"/>
  <c r="GY214" i="2"/>
  <c r="GX214" i="2"/>
  <c r="GQ214" i="2"/>
  <c r="GP214" i="2"/>
  <c r="GO214" i="2"/>
  <c r="GN214" i="2"/>
  <c r="GM214" i="2"/>
  <c r="GE214" i="2"/>
  <c r="GD214" i="2"/>
  <c r="FZ214" i="2"/>
  <c r="FY214" i="2"/>
  <c r="FX214" i="2"/>
  <c r="FW214" i="2"/>
  <c r="FR214" i="2"/>
  <c r="FQ214" i="2"/>
  <c r="FP214" i="2"/>
  <c r="FL214" i="2"/>
  <c r="FK214" i="2"/>
  <c r="FH214" i="2"/>
  <c r="FE214" i="2"/>
  <c r="FD214" i="2"/>
  <c r="FC214" i="2"/>
  <c r="ET214" i="2"/>
  <c r="ES214" i="2"/>
  <c r="EP214" i="2"/>
  <c r="EN214" i="2"/>
  <c r="EK214" i="2"/>
  <c r="EH214" i="2"/>
  <c r="EG214" i="2"/>
  <c r="EF214" i="2"/>
  <c r="EE214" i="2"/>
  <c r="DY214" i="2"/>
  <c r="DX214" i="2"/>
  <c r="DW214" i="2"/>
  <c r="DV214" i="2"/>
  <c r="DU214" i="2"/>
  <c r="DQ214" i="2"/>
  <c r="DP214" i="2"/>
  <c r="DO214" i="2"/>
  <c r="DN214" i="2"/>
  <c r="DM214" i="2"/>
  <c r="DK214" i="2"/>
  <c r="DJ214" i="2"/>
  <c r="DG214" i="2"/>
  <c r="DF214" i="2"/>
  <c r="DE214" i="2"/>
  <c r="DD214" i="2"/>
  <c r="CZ214" i="2"/>
  <c r="CY214" i="2"/>
  <c r="CW214" i="2"/>
  <c r="CV214" i="2"/>
  <c r="CU214" i="2"/>
  <c r="CT214" i="2"/>
  <c r="CS214" i="2"/>
  <c r="CM214" i="2"/>
  <c r="CH214" i="2"/>
  <c r="CG214" i="2"/>
  <c r="CE214" i="2"/>
  <c r="CL214" i="2" s="1"/>
  <c r="CA214" i="2"/>
  <c r="BZ214" i="2"/>
  <c r="BY214" i="2"/>
  <c r="BX214" i="2"/>
  <c r="BW214" i="2"/>
  <c r="BV214" i="2"/>
  <c r="BU214" i="2"/>
  <c r="BT214" i="2"/>
  <c r="BR214" i="2"/>
  <c r="BQ214" i="2"/>
  <c r="BP214" i="2"/>
  <c r="BK214" i="2"/>
  <c r="BJ214" i="2"/>
  <c r="BI214" i="2"/>
  <c r="BD214" i="2"/>
  <c r="BB214" i="2"/>
  <c r="BA214" i="2"/>
  <c r="AZ214" i="2"/>
  <c r="AY214" i="2"/>
  <c r="AX214" i="2"/>
  <c r="AW214" i="2"/>
  <c r="AV214" i="2"/>
  <c r="AR214" i="2"/>
  <c r="AQ214" i="2"/>
  <c r="AP214" i="2"/>
  <c r="AO214" i="2"/>
  <c r="AN214" i="2" s="1"/>
  <c r="AJ214" i="2"/>
  <c r="AI214" i="2"/>
  <c r="AC214" i="2"/>
  <c r="AB214" i="2"/>
  <c r="Z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G214" i="2"/>
  <c r="F214" i="2"/>
  <c r="E214" i="2"/>
  <c r="D214" i="2"/>
  <c r="HA141" i="2"/>
  <c r="GZ141" i="2"/>
  <c r="GY141" i="2"/>
  <c r="GX141" i="2"/>
  <c r="GQ141" i="2"/>
  <c r="GP141" i="2"/>
  <c r="GO141" i="2"/>
  <c r="GN141" i="2"/>
  <c r="GM141" i="2"/>
  <c r="GE141" i="2"/>
  <c r="GD141" i="2"/>
  <c r="FZ141" i="2"/>
  <c r="FY141" i="2"/>
  <c r="FX141" i="2"/>
  <c r="FW141" i="2"/>
  <c r="FR141" i="2"/>
  <c r="FQ141" i="2"/>
  <c r="FP141" i="2"/>
  <c r="FL141" i="2"/>
  <c r="FK141" i="2"/>
  <c r="FH141" i="2"/>
  <c r="FE141" i="2"/>
  <c r="FD141" i="2"/>
  <c r="FC141" i="2"/>
  <c r="ET141" i="2"/>
  <c r="ES141" i="2"/>
  <c r="EP141" i="2"/>
  <c r="EN141" i="2"/>
  <c r="EK141" i="2"/>
  <c r="EH141" i="2"/>
  <c r="EG141" i="2"/>
  <c r="EF141" i="2"/>
  <c r="EE141" i="2"/>
  <c r="DY141" i="2"/>
  <c r="DX141" i="2"/>
  <c r="DW141" i="2"/>
  <c r="DV141" i="2"/>
  <c r="DU141" i="2"/>
  <c r="DQ141" i="2"/>
  <c r="DP141" i="2"/>
  <c r="DO141" i="2"/>
  <c r="DN141" i="2"/>
  <c r="DM141" i="2"/>
  <c r="DK141" i="2"/>
  <c r="DJ141" i="2"/>
  <c r="DG141" i="2"/>
  <c r="DF141" i="2"/>
  <c r="DE141" i="2"/>
  <c r="DD141" i="2"/>
  <c r="CZ141" i="2"/>
  <c r="CY141" i="2"/>
  <c r="CW141" i="2"/>
  <c r="CV141" i="2"/>
  <c r="CU141" i="2"/>
  <c r="CT141" i="2"/>
  <c r="CS141" i="2"/>
  <c r="CM141" i="2"/>
  <c r="CH141" i="2"/>
  <c r="CG141" i="2"/>
  <c r="CE141" i="2"/>
  <c r="CL141" i="2" s="1"/>
  <c r="CA141" i="2"/>
  <c r="BZ141" i="2"/>
  <c r="BY141" i="2"/>
  <c r="BX141" i="2"/>
  <c r="BW141" i="2"/>
  <c r="BV141" i="2"/>
  <c r="BU141" i="2"/>
  <c r="BT141" i="2"/>
  <c r="BR141" i="2"/>
  <c r="BQ141" i="2"/>
  <c r="BP141" i="2"/>
  <c r="BK141" i="2"/>
  <c r="BJ141" i="2"/>
  <c r="BI141" i="2"/>
  <c r="BD141" i="2"/>
  <c r="BB141" i="2"/>
  <c r="BA141" i="2"/>
  <c r="AZ141" i="2"/>
  <c r="AY141" i="2"/>
  <c r="AX141" i="2"/>
  <c r="AW141" i="2"/>
  <c r="AV141" i="2"/>
  <c r="AR141" i="2"/>
  <c r="AQ141" i="2"/>
  <c r="AP141" i="2"/>
  <c r="AO141" i="2"/>
  <c r="AN141" i="2" s="1"/>
  <c r="AJ141" i="2"/>
  <c r="AI141" i="2"/>
  <c r="AC141" i="2"/>
  <c r="AB141" i="2"/>
  <c r="Z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G141" i="2"/>
  <c r="F141" i="2"/>
  <c r="E141" i="2"/>
  <c r="D141" i="2"/>
  <c r="BO130" i="2"/>
  <c r="BO125" i="2"/>
  <c r="BO119" i="2"/>
  <c r="BO120" i="2"/>
  <c r="BO106" i="2"/>
  <c r="BO88" i="2"/>
  <c r="DL214" i="2" l="1"/>
  <c r="P15" i="9"/>
  <c r="P20" i="9" s="1"/>
  <c r="P29" i="9" s="1"/>
  <c r="FG141" i="2"/>
  <c r="FG214" i="2"/>
  <c r="DH214" i="2"/>
  <c r="EY214" i="2" s="1"/>
  <c r="EZ214" i="2" s="1"/>
  <c r="FA214" i="2" s="1"/>
  <c r="X214" i="2"/>
  <c r="HB214" i="2"/>
  <c r="HB141" i="2"/>
  <c r="AE214" i="2"/>
  <c r="CF214" i="2"/>
  <c r="EX214" i="2"/>
  <c r="CX214" i="2"/>
  <c r="DA214" i="2" s="1"/>
  <c r="EW214" i="2"/>
  <c r="GR214" i="2"/>
  <c r="BH214" i="2"/>
  <c r="X141" i="2"/>
  <c r="DL141" i="2"/>
  <c r="DH141" i="2"/>
  <c r="EY141" i="2" s="1"/>
  <c r="AE141" i="2"/>
  <c r="CF141" i="2"/>
  <c r="EX141" i="2"/>
  <c r="CX141" i="2"/>
  <c r="DA141" i="2" s="1"/>
  <c r="EW141" i="2"/>
  <c r="GR141" i="2"/>
  <c r="BH141" i="2"/>
  <c r="U30" i="6"/>
  <c r="V30" i="6" l="1"/>
  <c r="F15" i="17"/>
  <c r="K15" i="17" s="1"/>
  <c r="N15" i="17" s="1"/>
  <c r="X30" i="6"/>
  <c r="Z30" i="6" s="1"/>
  <c r="AA30" i="6" s="1"/>
  <c r="AB30" i="6" s="1"/>
  <c r="EZ141" i="2"/>
  <c r="FA141" i="2" s="1"/>
  <c r="T47" i="7" l="1"/>
  <c r="U8" i="6" l="1"/>
  <c r="J10" i="17" l="1"/>
  <c r="H10" i="17"/>
  <c r="C82" i="11"/>
  <c r="D56" i="6" s="1"/>
  <c r="D21" i="6" s="1"/>
  <c r="G23" i="17" s="1"/>
  <c r="H23" i="17" s="1"/>
  <c r="K23" i="17" s="1"/>
  <c r="K10" i="17" l="1"/>
  <c r="N10" i="17" s="1"/>
  <c r="J23" i="17"/>
  <c r="O23" i="17"/>
  <c r="D51" i="6"/>
  <c r="D10" i="6" s="1"/>
  <c r="G9" i="17" s="1"/>
  <c r="D82" i="6"/>
  <c r="D89" i="6"/>
  <c r="D27" i="6" s="1"/>
  <c r="G19" i="17" s="1"/>
  <c r="H19" i="17" s="1"/>
  <c r="B78" i="9"/>
  <c r="N10" i="6" l="1"/>
  <c r="R59" i="7"/>
  <c r="R56" i="7" s="1"/>
  <c r="R65" i="7"/>
  <c r="R52" i="7"/>
  <c r="R28" i="7"/>
  <c r="R29" i="7" s="1"/>
  <c r="R14" i="7"/>
  <c r="R10" i="7"/>
  <c r="AH326" i="2"/>
  <c r="DT326" i="2"/>
  <c r="DS326" i="2"/>
  <c r="R19" i="7" l="1"/>
  <c r="R24" i="7" s="1"/>
  <c r="R30" i="7" s="1"/>
  <c r="R35" i="7" s="1"/>
  <c r="R36" i="7" s="1"/>
  <c r="R43" i="7" s="1"/>
  <c r="R61" i="7"/>
  <c r="R66" i="7" l="1"/>
  <c r="BK282" i="4"/>
  <c r="BK284" i="4" s="1"/>
  <c r="BK288" i="4" s="1"/>
  <c r="DT333" i="2"/>
  <c r="DT332" i="2" s="1"/>
  <c r="DT331" i="2"/>
  <c r="DT330" i="2"/>
  <c r="DS333" i="2"/>
  <c r="DS332" i="2" s="1"/>
  <c r="DS331" i="2"/>
  <c r="DS330" i="2"/>
  <c r="AH333" i="2"/>
  <c r="AH332" i="2" s="1"/>
  <c r="AH331" i="2"/>
  <c r="AH330" i="2"/>
  <c r="C33" i="5" l="1"/>
  <c r="C42" i="5"/>
  <c r="DA329" i="2" l="1"/>
  <c r="C34" i="5" l="1"/>
  <c r="C19" i="5"/>
  <c r="C18" i="5"/>
  <c r="C14" i="5"/>
  <c r="C13" i="5"/>
  <c r="C10" i="5"/>
  <c r="CZ280" i="2" l="1"/>
  <c r="CZ279" i="2"/>
  <c r="CZ278" i="2"/>
  <c r="CZ277" i="2"/>
  <c r="CZ276" i="2"/>
  <c r="CZ275" i="2"/>
  <c r="CZ274" i="2"/>
  <c r="CZ273" i="2"/>
  <c r="CZ272" i="2"/>
  <c r="CZ271" i="2"/>
  <c r="CZ270" i="2"/>
  <c r="CZ269" i="2"/>
  <c r="CZ268" i="2"/>
  <c r="CZ267" i="2"/>
  <c r="CZ266" i="2"/>
  <c r="CZ265" i="2"/>
  <c r="CZ264" i="2"/>
  <c r="CZ263" i="2"/>
  <c r="CZ262" i="2"/>
  <c r="CZ261" i="2"/>
  <c r="CZ260" i="2"/>
  <c r="CZ259" i="2"/>
  <c r="CZ347" i="2" s="1"/>
  <c r="CZ258" i="2"/>
  <c r="CZ257" i="2"/>
  <c r="CZ256" i="2"/>
  <c r="CZ255" i="2"/>
  <c r="CZ254" i="2"/>
  <c r="CZ253" i="2"/>
  <c r="CZ252" i="2"/>
  <c r="CZ251" i="2"/>
  <c r="CZ250" i="2"/>
  <c r="CZ249" i="2"/>
  <c r="CZ248" i="2"/>
  <c r="CZ247" i="2"/>
  <c r="CZ246" i="2"/>
  <c r="CZ245" i="2"/>
  <c r="CZ244" i="2"/>
  <c r="CZ243" i="2"/>
  <c r="CZ242" i="2"/>
  <c r="CZ241" i="2"/>
  <c r="CZ240" i="2"/>
  <c r="CZ239" i="2"/>
  <c r="CZ238" i="2"/>
  <c r="CZ237" i="2"/>
  <c r="CZ236" i="2"/>
  <c r="CZ235" i="2"/>
  <c r="CZ234" i="2"/>
  <c r="CZ233" i="2"/>
  <c r="CZ232" i="2"/>
  <c r="CZ231" i="2"/>
  <c r="CZ230" i="2"/>
  <c r="CZ229" i="2"/>
  <c r="CZ228" i="2"/>
  <c r="CZ227" i="2"/>
  <c r="CZ226" i="2"/>
  <c r="CZ225" i="2"/>
  <c r="CZ224" i="2"/>
  <c r="CZ223" i="2"/>
  <c r="CZ222" i="2"/>
  <c r="CZ221" i="2"/>
  <c r="CZ220" i="2"/>
  <c r="CZ219" i="2"/>
  <c r="CZ218" i="2"/>
  <c r="CZ217" i="2"/>
  <c r="CZ216" i="2"/>
  <c r="CZ215" i="2"/>
  <c r="CZ213" i="2"/>
  <c r="CZ212" i="2"/>
  <c r="CZ211" i="2"/>
  <c r="CZ210" i="2"/>
  <c r="CZ209" i="2"/>
  <c r="CZ208" i="2"/>
  <c r="CZ207" i="2"/>
  <c r="CZ206" i="2"/>
  <c r="CZ205" i="2"/>
  <c r="CZ204" i="2"/>
  <c r="CZ203" i="2"/>
  <c r="CZ202" i="2"/>
  <c r="CZ201" i="2"/>
  <c r="CZ20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CZ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Z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Z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Z148" i="2"/>
  <c r="CZ147" i="2"/>
  <c r="CZ146" i="2"/>
  <c r="CZ145" i="2"/>
  <c r="CZ144" i="2"/>
  <c r="CZ143" i="2"/>
  <c r="CZ142" i="2"/>
  <c r="CZ140" i="2"/>
  <c r="CZ139" i="2"/>
  <c r="CZ138" i="2"/>
  <c r="CZ137" i="2"/>
  <c r="CZ136" i="2"/>
  <c r="CZ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Z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Z109" i="2"/>
  <c r="CZ108" i="2"/>
  <c r="CZ107" i="2"/>
  <c r="CZ106" i="2"/>
  <c r="CZ105" i="2"/>
  <c r="CZ104" i="2"/>
  <c r="CZ103" i="2"/>
  <c r="CZ102" i="2"/>
  <c r="CZ101" i="2"/>
  <c r="CZ100" i="2"/>
  <c r="CZ99" i="2"/>
  <c r="CZ327" i="2" s="1"/>
  <c r="CZ98" i="2"/>
  <c r="CZ97" i="2"/>
  <c r="CZ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Z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Z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Z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Z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Z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Z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DA280" i="2"/>
  <c r="DA279" i="2"/>
  <c r="DA278" i="2"/>
  <c r="DA277" i="2"/>
  <c r="CZ338" i="2"/>
  <c r="CZ282" i="2"/>
  <c r="D7" i="6"/>
  <c r="CZ356" i="2" l="1"/>
  <c r="CZ326" i="2"/>
  <c r="CZ354" i="2"/>
  <c r="CZ333" i="2"/>
  <c r="CZ332" i="2" s="1"/>
  <c r="CZ331" i="2"/>
  <c r="CZ328" i="2"/>
  <c r="CZ330" i="2"/>
  <c r="CZ334" i="2"/>
  <c r="CZ310" i="2"/>
  <c r="CZ325" i="2"/>
  <c r="CZ281" i="2"/>
  <c r="CZ283" i="2" s="1"/>
  <c r="GL281" i="2"/>
  <c r="GK281" i="2"/>
  <c r="GJ281" i="2"/>
  <c r="GI281" i="2"/>
  <c r="GH281" i="2"/>
  <c r="FV281" i="2"/>
  <c r="EV281" i="2"/>
  <c r="EU281" i="2"/>
  <c r="ER281" i="2"/>
  <c r="EQ281" i="2"/>
  <c r="EO281" i="2"/>
  <c r="EM281" i="2"/>
  <c r="EL281" i="2"/>
  <c r="EJ281" i="2"/>
  <c r="EI281" i="2"/>
  <c r="DT281" i="2"/>
  <c r="DS281" i="2"/>
  <c r="DR281" i="2"/>
  <c r="BS281" i="2"/>
  <c r="BC281" i="2"/>
  <c r="AH281" i="2"/>
  <c r="AA281" i="2"/>
  <c r="H281" i="2"/>
  <c r="B135" i="7" l="1"/>
  <c r="B136" i="7"/>
  <c r="B134" i="7"/>
  <c r="D282" i="4" l="1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AA282" i="4"/>
  <c r="AB282" i="4"/>
  <c r="AC282" i="4"/>
  <c r="AD282" i="4"/>
  <c r="AE282" i="4"/>
  <c r="AF282" i="4"/>
  <c r="AG282" i="4"/>
  <c r="AH282" i="4"/>
  <c r="AI282" i="4"/>
  <c r="AJ282" i="4"/>
  <c r="AK282" i="4"/>
  <c r="AL282" i="4"/>
  <c r="AM282" i="4"/>
  <c r="AN282" i="4"/>
  <c r="AO282" i="4"/>
  <c r="AP282" i="4"/>
  <c r="AQ282" i="4"/>
  <c r="AR282" i="4"/>
  <c r="AS282" i="4"/>
  <c r="AT282" i="4"/>
  <c r="AU282" i="4"/>
  <c r="AV282" i="4"/>
  <c r="AW282" i="4"/>
  <c r="AX282" i="4"/>
  <c r="AY282" i="4"/>
  <c r="AZ282" i="4"/>
  <c r="BA282" i="4"/>
  <c r="BB282" i="4"/>
  <c r="BC282" i="4"/>
  <c r="BD282" i="4"/>
  <c r="BE282" i="4"/>
  <c r="BF282" i="4"/>
  <c r="BG282" i="4"/>
  <c r="BH282" i="4"/>
  <c r="BI282" i="4"/>
  <c r="BJ282" i="4"/>
  <c r="BL282" i="4"/>
  <c r="BM282" i="4"/>
  <c r="BN282" i="4"/>
  <c r="BO282" i="4"/>
  <c r="BP282" i="4"/>
  <c r="BQ282" i="4"/>
  <c r="BR282" i="4"/>
  <c r="BS282" i="4"/>
  <c r="BT282" i="4"/>
  <c r="BU282" i="4"/>
  <c r="BV282" i="4"/>
  <c r="BW282" i="4"/>
  <c r="BX282" i="4"/>
  <c r="BY282" i="4"/>
  <c r="BZ282" i="4"/>
  <c r="CA282" i="4"/>
  <c r="CB282" i="4"/>
  <c r="CC282" i="4"/>
  <c r="CD282" i="4"/>
  <c r="CE282" i="4"/>
  <c r="CF282" i="4"/>
  <c r="CG282" i="4"/>
  <c r="CH282" i="4"/>
  <c r="CI282" i="4"/>
  <c r="CJ282" i="4"/>
  <c r="CK282" i="4"/>
  <c r="CL282" i="4"/>
  <c r="CM282" i="4"/>
  <c r="CN282" i="4"/>
  <c r="CO282" i="4"/>
  <c r="CP282" i="4"/>
  <c r="CQ282" i="4"/>
  <c r="CR282" i="4"/>
  <c r="CS282" i="4"/>
  <c r="CT282" i="4"/>
  <c r="CU282" i="4"/>
  <c r="CV282" i="4"/>
  <c r="CW282" i="4"/>
  <c r="CX282" i="4"/>
  <c r="CY282" i="4"/>
  <c r="CZ282" i="4"/>
  <c r="DA282" i="4"/>
  <c r="DB282" i="4"/>
  <c r="DC282" i="4"/>
  <c r="DD282" i="4"/>
  <c r="DE282" i="4"/>
  <c r="DF282" i="4"/>
  <c r="B33" i="10"/>
  <c r="HE282" i="2" l="1"/>
  <c r="B34" i="9" l="1"/>
  <c r="AD26" i="6" l="1"/>
  <c r="C61" i="9"/>
  <c r="D79" i="6"/>
  <c r="M64" i="10" l="1"/>
  <c r="M60" i="10"/>
  <c r="M59" i="10"/>
  <c r="M56" i="10"/>
  <c r="G33" i="7" l="1"/>
  <c r="G32" i="7"/>
  <c r="G31" i="7"/>
  <c r="K33" i="7"/>
  <c r="K32" i="7"/>
  <c r="K31" i="7"/>
  <c r="N33" i="7"/>
  <c r="N32" i="7"/>
  <c r="N31" i="7"/>
  <c r="Q33" i="7"/>
  <c r="Q32" i="7"/>
  <c r="Q31" i="7"/>
  <c r="D33" i="7"/>
  <c r="D32" i="7"/>
  <c r="D31" i="7"/>
  <c r="D30" i="8"/>
  <c r="D29" i="8"/>
  <c r="D28" i="8"/>
  <c r="D27" i="8"/>
  <c r="T2" i="6" l="1"/>
  <c r="T3" i="6"/>
  <c r="T4" i="6"/>
  <c r="T5" i="6"/>
  <c r="T6" i="6"/>
  <c r="T7" i="6"/>
  <c r="HJ128" i="2" l="1"/>
  <c r="HJ20" i="2"/>
  <c r="N21" i="6"/>
  <c r="N8" i="6"/>
  <c r="X8" i="6" s="1"/>
  <c r="AH334" i="2" l="1"/>
  <c r="BO281" i="2"/>
  <c r="I42" i="5"/>
  <c r="I22" i="5"/>
  <c r="I20" i="5"/>
  <c r="I14" i="5"/>
  <c r="I44" i="5" l="1"/>
  <c r="I46" i="5" s="1"/>
  <c r="E213" i="2"/>
  <c r="E268" i="2"/>
  <c r="GZ280" i="2"/>
  <c r="GZ279" i="2"/>
  <c r="GZ278" i="2"/>
  <c r="GZ277" i="2"/>
  <c r="GZ276" i="2"/>
  <c r="GZ275" i="2"/>
  <c r="GZ274" i="2"/>
  <c r="GZ273" i="2"/>
  <c r="GZ272" i="2"/>
  <c r="GZ271" i="2"/>
  <c r="GZ270" i="2"/>
  <c r="GZ269" i="2"/>
  <c r="GZ268" i="2"/>
  <c r="GZ267" i="2"/>
  <c r="GZ266" i="2"/>
  <c r="GZ265" i="2"/>
  <c r="GZ264" i="2"/>
  <c r="GZ263" i="2"/>
  <c r="GZ262" i="2"/>
  <c r="GZ261" i="2"/>
  <c r="GZ260" i="2"/>
  <c r="GZ259" i="2"/>
  <c r="GZ258" i="2"/>
  <c r="GZ257" i="2"/>
  <c r="GZ256" i="2"/>
  <c r="GZ255" i="2"/>
  <c r="GZ254" i="2"/>
  <c r="GZ253" i="2"/>
  <c r="GZ252" i="2"/>
  <c r="GZ251" i="2"/>
  <c r="GZ250" i="2"/>
  <c r="GZ249" i="2"/>
  <c r="GZ248" i="2"/>
  <c r="GZ247" i="2"/>
  <c r="GZ246" i="2"/>
  <c r="GZ245" i="2"/>
  <c r="GZ244" i="2"/>
  <c r="GZ243" i="2"/>
  <c r="GZ242" i="2"/>
  <c r="GZ241" i="2"/>
  <c r="GZ240" i="2"/>
  <c r="GZ239" i="2"/>
  <c r="GZ238" i="2"/>
  <c r="GZ237" i="2"/>
  <c r="GZ236" i="2"/>
  <c r="GZ235" i="2"/>
  <c r="GZ234" i="2"/>
  <c r="GZ233" i="2"/>
  <c r="GZ232" i="2"/>
  <c r="GZ231" i="2"/>
  <c r="GZ230" i="2"/>
  <c r="GZ229" i="2"/>
  <c r="GZ228" i="2"/>
  <c r="GZ227" i="2"/>
  <c r="GZ226" i="2"/>
  <c r="GZ225" i="2"/>
  <c r="GZ224" i="2"/>
  <c r="GZ223" i="2"/>
  <c r="GZ222" i="2"/>
  <c r="GZ221" i="2"/>
  <c r="GZ220" i="2"/>
  <c r="GZ219" i="2"/>
  <c r="GZ218" i="2"/>
  <c r="GZ217" i="2"/>
  <c r="GZ216" i="2"/>
  <c r="GZ215" i="2"/>
  <c r="GZ213" i="2"/>
  <c r="GZ212" i="2"/>
  <c r="GZ211" i="2"/>
  <c r="GZ210" i="2"/>
  <c r="GZ209" i="2"/>
  <c r="GZ208" i="2"/>
  <c r="GZ207" i="2"/>
  <c r="GZ206" i="2"/>
  <c r="GZ205" i="2"/>
  <c r="GZ204" i="2"/>
  <c r="GZ203" i="2"/>
  <c r="GZ202" i="2"/>
  <c r="GZ201" i="2"/>
  <c r="GZ200" i="2"/>
  <c r="GZ199" i="2"/>
  <c r="GZ198" i="2"/>
  <c r="GZ197" i="2"/>
  <c r="GZ196" i="2"/>
  <c r="GZ195" i="2"/>
  <c r="GZ194" i="2"/>
  <c r="GZ193" i="2"/>
  <c r="GZ192" i="2"/>
  <c r="GZ191" i="2"/>
  <c r="GZ190" i="2"/>
  <c r="GZ189" i="2"/>
  <c r="GZ188" i="2"/>
  <c r="GZ187" i="2"/>
  <c r="GZ186" i="2"/>
  <c r="GZ185" i="2"/>
  <c r="GZ184" i="2"/>
  <c r="GZ183" i="2"/>
  <c r="GZ182" i="2"/>
  <c r="GZ181" i="2"/>
  <c r="GZ180" i="2"/>
  <c r="GZ179" i="2"/>
  <c r="GZ178" i="2"/>
  <c r="GZ177" i="2"/>
  <c r="GZ176" i="2"/>
  <c r="GZ175" i="2"/>
  <c r="GZ174" i="2"/>
  <c r="GZ173" i="2"/>
  <c r="GZ172" i="2"/>
  <c r="GZ171" i="2"/>
  <c r="GZ170" i="2"/>
  <c r="GZ169" i="2"/>
  <c r="GZ168" i="2"/>
  <c r="GZ167" i="2"/>
  <c r="GZ166" i="2"/>
  <c r="GZ165" i="2"/>
  <c r="GZ164" i="2"/>
  <c r="GZ163" i="2"/>
  <c r="GZ162" i="2"/>
  <c r="GZ161" i="2"/>
  <c r="GZ160" i="2"/>
  <c r="GZ159" i="2"/>
  <c r="GZ158" i="2"/>
  <c r="GZ157" i="2"/>
  <c r="GZ156" i="2"/>
  <c r="GZ155" i="2"/>
  <c r="GZ154" i="2"/>
  <c r="GZ153" i="2"/>
  <c r="GZ152" i="2"/>
  <c r="GZ151" i="2"/>
  <c r="GZ150" i="2"/>
  <c r="GZ149" i="2"/>
  <c r="GZ148" i="2"/>
  <c r="GZ147" i="2"/>
  <c r="GZ146" i="2"/>
  <c r="GZ145" i="2"/>
  <c r="GZ144" i="2"/>
  <c r="GZ143" i="2"/>
  <c r="GZ142" i="2"/>
  <c r="GZ140" i="2"/>
  <c r="GZ139" i="2"/>
  <c r="GZ138" i="2"/>
  <c r="GZ137" i="2"/>
  <c r="GZ136" i="2"/>
  <c r="GZ135" i="2"/>
  <c r="GZ134" i="2"/>
  <c r="GZ133" i="2"/>
  <c r="GZ132" i="2"/>
  <c r="GZ131" i="2"/>
  <c r="GZ130" i="2"/>
  <c r="GZ129" i="2"/>
  <c r="GZ128" i="2"/>
  <c r="GZ127" i="2"/>
  <c r="GZ126" i="2"/>
  <c r="GZ125" i="2"/>
  <c r="GZ124" i="2"/>
  <c r="GZ123" i="2"/>
  <c r="GZ122" i="2"/>
  <c r="GZ121" i="2"/>
  <c r="GZ120" i="2"/>
  <c r="GZ119" i="2"/>
  <c r="GZ118" i="2"/>
  <c r="GZ117" i="2"/>
  <c r="GZ116" i="2"/>
  <c r="GZ115" i="2"/>
  <c r="GZ114" i="2"/>
  <c r="GZ113" i="2"/>
  <c r="GZ112" i="2"/>
  <c r="GZ111" i="2"/>
  <c r="GZ110" i="2"/>
  <c r="GZ109" i="2"/>
  <c r="GZ108" i="2"/>
  <c r="GZ107" i="2"/>
  <c r="GZ106" i="2"/>
  <c r="GZ105" i="2"/>
  <c r="GZ104" i="2"/>
  <c r="GZ103" i="2"/>
  <c r="GZ102" i="2"/>
  <c r="GZ101" i="2"/>
  <c r="GZ100" i="2"/>
  <c r="GZ99" i="2"/>
  <c r="GZ98" i="2"/>
  <c r="GZ97" i="2"/>
  <c r="GZ96" i="2"/>
  <c r="GZ95" i="2"/>
  <c r="GZ94" i="2"/>
  <c r="GZ93" i="2"/>
  <c r="GZ92" i="2"/>
  <c r="GZ91" i="2"/>
  <c r="GZ90" i="2"/>
  <c r="GZ89" i="2"/>
  <c r="GZ88" i="2"/>
  <c r="GZ87" i="2"/>
  <c r="GZ86" i="2"/>
  <c r="GZ85" i="2"/>
  <c r="GZ84" i="2"/>
  <c r="GZ83" i="2"/>
  <c r="GZ82" i="2"/>
  <c r="GZ81" i="2"/>
  <c r="GZ80" i="2"/>
  <c r="GZ79" i="2"/>
  <c r="GZ78" i="2"/>
  <c r="GZ77" i="2"/>
  <c r="GZ76" i="2"/>
  <c r="GZ75" i="2"/>
  <c r="GZ74" i="2"/>
  <c r="GZ73" i="2"/>
  <c r="GZ72" i="2"/>
  <c r="GZ71" i="2"/>
  <c r="GZ70" i="2"/>
  <c r="GZ69" i="2"/>
  <c r="GZ68" i="2"/>
  <c r="GZ67" i="2"/>
  <c r="GZ66" i="2"/>
  <c r="GZ65" i="2"/>
  <c r="GZ64" i="2"/>
  <c r="GZ63" i="2"/>
  <c r="GZ62" i="2"/>
  <c r="GZ61" i="2"/>
  <c r="GZ60" i="2"/>
  <c r="GZ59" i="2"/>
  <c r="GZ58" i="2"/>
  <c r="GZ57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4" i="2"/>
  <c r="GZ43" i="2"/>
  <c r="GZ42" i="2"/>
  <c r="GZ41" i="2"/>
  <c r="GZ40" i="2"/>
  <c r="GZ39" i="2"/>
  <c r="GZ38" i="2"/>
  <c r="GZ37" i="2"/>
  <c r="GZ36" i="2"/>
  <c r="GZ35" i="2"/>
  <c r="GZ34" i="2"/>
  <c r="GZ33" i="2"/>
  <c r="GZ32" i="2"/>
  <c r="GZ31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BY282" i="2"/>
  <c r="BY280" i="2"/>
  <c r="BY279" i="2"/>
  <c r="BY278" i="2"/>
  <c r="BY277" i="2"/>
  <c r="BY276" i="2"/>
  <c r="BY275" i="2"/>
  <c r="BY274" i="2"/>
  <c r="BY273" i="2"/>
  <c r="BY272" i="2"/>
  <c r="BY271" i="2"/>
  <c r="BY270" i="2"/>
  <c r="BY269" i="2"/>
  <c r="BY268" i="2"/>
  <c r="BY267" i="2"/>
  <c r="BY266" i="2"/>
  <c r="BY265" i="2"/>
  <c r="BY264" i="2"/>
  <c r="BY263" i="2"/>
  <c r="BY262" i="2"/>
  <c r="BY261" i="2"/>
  <c r="BY260" i="2"/>
  <c r="BY259" i="2"/>
  <c r="BY258" i="2"/>
  <c r="BY257" i="2"/>
  <c r="BY256" i="2"/>
  <c r="BY255" i="2"/>
  <c r="BY254" i="2"/>
  <c r="BY253" i="2"/>
  <c r="BY252" i="2"/>
  <c r="BY251" i="2"/>
  <c r="BY250" i="2"/>
  <c r="BY249" i="2"/>
  <c r="BY248" i="2"/>
  <c r="BY247" i="2"/>
  <c r="BY246" i="2"/>
  <c r="BY245" i="2"/>
  <c r="BY244" i="2"/>
  <c r="BY243" i="2"/>
  <c r="BY242" i="2"/>
  <c r="BY241" i="2"/>
  <c r="BY240" i="2"/>
  <c r="BY239" i="2"/>
  <c r="BY238" i="2"/>
  <c r="BY237" i="2"/>
  <c r="BY236" i="2"/>
  <c r="BY235" i="2"/>
  <c r="BY234" i="2"/>
  <c r="BY233" i="2"/>
  <c r="BY232" i="2"/>
  <c r="BY231" i="2"/>
  <c r="BY230" i="2"/>
  <c r="BY229" i="2"/>
  <c r="BY228" i="2"/>
  <c r="BY227" i="2"/>
  <c r="BY226" i="2"/>
  <c r="BY225" i="2"/>
  <c r="BY224" i="2"/>
  <c r="BY223" i="2"/>
  <c r="BY222" i="2"/>
  <c r="BY221" i="2"/>
  <c r="BY220" i="2"/>
  <c r="BY219" i="2"/>
  <c r="BY218" i="2"/>
  <c r="BY217" i="2"/>
  <c r="BY216" i="2"/>
  <c r="BY215" i="2"/>
  <c r="BY213" i="2"/>
  <c r="BY212" i="2"/>
  <c r="BY211" i="2"/>
  <c r="BY210" i="2"/>
  <c r="BY209" i="2"/>
  <c r="BY208" i="2"/>
  <c r="BY207" i="2"/>
  <c r="BY206" i="2"/>
  <c r="BY205" i="2"/>
  <c r="BY204" i="2"/>
  <c r="BY203" i="2"/>
  <c r="BY202" i="2"/>
  <c r="BY201" i="2"/>
  <c r="BY200" i="2"/>
  <c r="BY199" i="2"/>
  <c r="BY198" i="2"/>
  <c r="BY197" i="2"/>
  <c r="BY196" i="2"/>
  <c r="BY195" i="2"/>
  <c r="BY194" i="2"/>
  <c r="BY193" i="2"/>
  <c r="BY192" i="2"/>
  <c r="BY191" i="2"/>
  <c r="BY190" i="2"/>
  <c r="BY189" i="2"/>
  <c r="BY188" i="2"/>
  <c r="BY187" i="2"/>
  <c r="BY186" i="2"/>
  <c r="BY185" i="2"/>
  <c r="BY184" i="2"/>
  <c r="BY183" i="2"/>
  <c r="BY182" i="2"/>
  <c r="BY181" i="2"/>
  <c r="BY180" i="2"/>
  <c r="BY179" i="2"/>
  <c r="BY178" i="2"/>
  <c r="BY177" i="2"/>
  <c r="BY176" i="2"/>
  <c r="BY175" i="2"/>
  <c r="BY174" i="2"/>
  <c r="BY173" i="2"/>
  <c r="BY172" i="2"/>
  <c r="BY171" i="2"/>
  <c r="BY170" i="2"/>
  <c r="BY169" i="2"/>
  <c r="BY168" i="2"/>
  <c r="BY167" i="2"/>
  <c r="BY166" i="2"/>
  <c r="BY165" i="2"/>
  <c r="BY164" i="2"/>
  <c r="BY163" i="2"/>
  <c r="BY162" i="2"/>
  <c r="BY161" i="2"/>
  <c r="BY160" i="2"/>
  <c r="BY159" i="2"/>
  <c r="BY158" i="2"/>
  <c r="BY157" i="2"/>
  <c r="BY156" i="2"/>
  <c r="BY155" i="2"/>
  <c r="BY154" i="2"/>
  <c r="BY153" i="2"/>
  <c r="BY152" i="2"/>
  <c r="BY151" i="2"/>
  <c r="BY150" i="2"/>
  <c r="BY149" i="2"/>
  <c r="BY148" i="2"/>
  <c r="BY147" i="2"/>
  <c r="BY146" i="2"/>
  <c r="BY145" i="2"/>
  <c r="BY144" i="2"/>
  <c r="BY143" i="2"/>
  <c r="BY142" i="2"/>
  <c r="BY140" i="2"/>
  <c r="BY139" i="2"/>
  <c r="BY138" i="2"/>
  <c r="BY137" i="2"/>
  <c r="BY136" i="2"/>
  <c r="BY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Y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Y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Y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Y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Y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Y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Y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Y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Y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H36" i="11"/>
  <c r="H37" i="11" s="1"/>
  <c r="T44" i="7"/>
  <c r="U44" i="7"/>
  <c r="GZ281" i="2" l="1"/>
  <c r="BY281" i="2"/>
  <c r="BY283" i="2" s="1"/>
  <c r="GZ310" i="2"/>
  <c r="GZ311" i="2" s="1"/>
  <c r="GZ282" i="2" l="1"/>
  <c r="GZ283" i="2" s="1"/>
  <c r="CQ284" i="4"/>
  <c r="CQ288" i="4" s="1"/>
  <c r="CP284" i="4"/>
  <c r="CP288" i="4" s="1"/>
  <c r="AY284" i="4"/>
  <c r="AY288" i="4" s="1"/>
  <c r="HA253" i="2"/>
  <c r="GY253" i="2"/>
  <c r="GX253" i="2"/>
  <c r="GQ253" i="2"/>
  <c r="GP253" i="2"/>
  <c r="GO253" i="2"/>
  <c r="GN253" i="2"/>
  <c r="GM253" i="2"/>
  <c r="GE253" i="2"/>
  <c r="GD253" i="2"/>
  <c r="FZ253" i="2"/>
  <c r="FY253" i="2"/>
  <c r="FX253" i="2"/>
  <c r="FW253" i="2"/>
  <c r="FR253" i="2"/>
  <c r="FQ253" i="2"/>
  <c r="FP253" i="2"/>
  <c r="FL253" i="2"/>
  <c r="FK253" i="2"/>
  <c r="FH253" i="2"/>
  <c r="FE253" i="2"/>
  <c r="FD253" i="2"/>
  <c r="FC253" i="2"/>
  <c r="ET253" i="2"/>
  <c r="ES253" i="2"/>
  <c r="EP253" i="2"/>
  <c r="EN253" i="2"/>
  <c r="EK253" i="2"/>
  <c r="EH253" i="2"/>
  <c r="EG253" i="2"/>
  <c r="EF253" i="2"/>
  <c r="EE253" i="2"/>
  <c r="DY253" i="2"/>
  <c r="DX253" i="2"/>
  <c r="DW253" i="2"/>
  <c r="DV253" i="2"/>
  <c r="DU253" i="2"/>
  <c r="DQ253" i="2"/>
  <c r="DP253" i="2"/>
  <c r="DO253" i="2"/>
  <c r="DN253" i="2"/>
  <c r="DM253" i="2"/>
  <c r="DK253" i="2"/>
  <c r="DJ253" i="2"/>
  <c r="DG253" i="2"/>
  <c r="DF253" i="2"/>
  <c r="DE253" i="2"/>
  <c r="DD253" i="2"/>
  <c r="CY253" i="2"/>
  <c r="CW253" i="2"/>
  <c r="CV253" i="2"/>
  <c r="CU253" i="2"/>
  <c r="CT253" i="2"/>
  <c r="CS253" i="2"/>
  <c r="CM253" i="2"/>
  <c r="CH253" i="2"/>
  <c r="CG253" i="2"/>
  <c r="CE253" i="2"/>
  <c r="CF253" i="2" s="1"/>
  <c r="CA253" i="2"/>
  <c r="BZ253" i="2"/>
  <c r="BX253" i="2"/>
  <c r="BW253" i="2"/>
  <c r="BV253" i="2"/>
  <c r="BU253" i="2"/>
  <c r="BT253" i="2"/>
  <c r="BR253" i="2"/>
  <c r="BQ253" i="2"/>
  <c r="BP253" i="2"/>
  <c r="BK253" i="2"/>
  <c r="BJ253" i="2"/>
  <c r="BI253" i="2"/>
  <c r="BD253" i="2"/>
  <c r="BB253" i="2"/>
  <c r="BA253" i="2"/>
  <c r="AZ253" i="2"/>
  <c r="AY253" i="2"/>
  <c r="AX253" i="2"/>
  <c r="AW253" i="2"/>
  <c r="AV253" i="2"/>
  <c r="AR253" i="2"/>
  <c r="AQ253" i="2"/>
  <c r="AP253" i="2"/>
  <c r="AO253" i="2"/>
  <c r="AN253" i="2" s="1"/>
  <c r="AJ253" i="2"/>
  <c r="AI253" i="2"/>
  <c r="AC253" i="2"/>
  <c r="AB253" i="2"/>
  <c r="Z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G253" i="2"/>
  <c r="F253" i="2"/>
  <c r="E253" i="2"/>
  <c r="D253" i="2"/>
  <c r="HA187" i="2"/>
  <c r="GY187" i="2"/>
  <c r="GX187" i="2"/>
  <c r="GQ187" i="2"/>
  <c r="GP187" i="2"/>
  <c r="GO187" i="2"/>
  <c r="GN187" i="2"/>
  <c r="GM187" i="2"/>
  <c r="GE187" i="2"/>
  <c r="GD187" i="2"/>
  <c r="FZ187" i="2"/>
  <c r="FY187" i="2"/>
  <c r="FX187" i="2"/>
  <c r="FW187" i="2"/>
  <c r="FR187" i="2"/>
  <c r="FQ187" i="2"/>
  <c r="FP187" i="2"/>
  <c r="FL187" i="2"/>
  <c r="FK187" i="2"/>
  <c r="FH187" i="2"/>
  <c r="FE187" i="2"/>
  <c r="FD187" i="2"/>
  <c r="FC187" i="2"/>
  <c r="ET187" i="2"/>
  <c r="ES187" i="2"/>
  <c r="EP187" i="2"/>
  <c r="EN187" i="2"/>
  <c r="EK187" i="2"/>
  <c r="EH187" i="2"/>
  <c r="EG187" i="2"/>
  <c r="EF187" i="2"/>
  <c r="EE187" i="2"/>
  <c r="DY187" i="2"/>
  <c r="DX187" i="2"/>
  <c r="DW187" i="2"/>
  <c r="DV187" i="2"/>
  <c r="DU187" i="2"/>
  <c r="DQ187" i="2"/>
  <c r="DP187" i="2"/>
  <c r="DO187" i="2"/>
  <c r="DN187" i="2"/>
  <c r="DM187" i="2"/>
  <c r="DK187" i="2"/>
  <c r="DJ187" i="2"/>
  <c r="DG187" i="2"/>
  <c r="DF187" i="2"/>
  <c r="DE187" i="2"/>
  <c r="DD187" i="2"/>
  <c r="CY187" i="2"/>
  <c r="CW187" i="2"/>
  <c r="CV187" i="2"/>
  <c r="CU187" i="2"/>
  <c r="CT187" i="2"/>
  <c r="CS187" i="2"/>
  <c r="CM187" i="2"/>
  <c r="CH187" i="2"/>
  <c r="CG187" i="2"/>
  <c r="CE187" i="2"/>
  <c r="CF187" i="2" s="1"/>
  <c r="CA187" i="2"/>
  <c r="BZ187" i="2"/>
  <c r="BX187" i="2"/>
  <c r="BW187" i="2"/>
  <c r="BV187" i="2"/>
  <c r="BU187" i="2"/>
  <c r="BT187" i="2"/>
  <c r="BR187" i="2"/>
  <c r="BQ187" i="2"/>
  <c r="BP187" i="2"/>
  <c r="BK187" i="2"/>
  <c r="BJ187" i="2"/>
  <c r="BI187" i="2"/>
  <c r="BD187" i="2"/>
  <c r="BB187" i="2"/>
  <c r="BA187" i="2"/>
  <c r="AZ187" i="2"/>
  <c r="AY187" i="2"/>
  <c r="AX187" i="2"/>
  <c r="AW187" i="2"/>
  <c r="AV187" i="2"/>
  <c r="AR187" i="2"/>
  <c r="AQ187" i="2"/>
  <c r="AP187" i="2"/>
  <c r="AO187" i="2"/>
  <c r="AN187" i="2" s="1"/>
  <c r="AJ187" i="2"/>
  <c r="AI187" i="2"/>
  <c r="AC187" i="2"/>
  <c r="AB187" i="2"/>
  <c r="Z187" i="2"/>
  <c r="V187" i="2"/>
  <c r="W187" i="2" s="1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G187" i="2"/>
  <c r="F187" i="2"/>
  <c r="E187" i="2"/>
  <c r="D187" i="2"/>
  <c r="FQ7" i="2"/>
  <c r="FR7" i="2"/>
  <c r="FQ8" i="2"/>
  <c r="FR8" i="2"/>
  <c r="FQ9" i="2"/>
  <c r="FR9" i="2"/>
  <c r="FQ10" i="2"/>
  <c r="FR10" i="2"/>
  <c r="FQ11" i="2"/>
  <c r="FR11" i="2"/>
  <c r="FQ12" i="2"/>
  <c r="FR12" i="2"/>
  <c r="FQ13" i="2"/>
  <c r="FR13" i="2"/>
  <c r="FQ14" i="2"/>
  <c r="FR14" i="2"/>
  <c r="FQ15" i="2"/>
  <c r="FR15" i="2"/>
  <c r="FQ16" i="2"/>
  <c r="FR16" i="2"/>
  <c r="FQ17" i="2"/>
  <c r="FR17" i="2"/>
  <c r="FQ18" i="2"/>
  <c r="FR18" i="2"/>
  <c r="FQ19" i="2"/>
  <c r="FR19" i="2"/>
  <c r="FQ20" i="2"/>
  <c r="FR20" i="2"/>
  <c r="FQ21" i="2"/>
  <c r="FR21" i="2"/>
  <c r="FQ22" i="2"/>
  <c r="FR22" i="2"/>
  <c r="FQ23" i="2"/>
  <c r="FR23" i="2"/>
  <c r="FQ24" i="2"/>
  <c r="FR24" i="2"/>
  <c r="FQ25" i="2"/>
  <c r="FR25" i="2"/>
  <c r="FQ26" i="2"/>
  <c r="FR26" i="2"/>
  <c r="FQ27" i="2"/>
  <c r="FR27" i="2"/>
  <c r="FQ28" i="2"/>
  <c r="FR28" i="2"/>
  <c r="FQ29" i="2"/>
  <c r="FR29" i="2"/>
  <c r="FQ30" i="2"/>
  <c r="FR30" i="2"/>
  <c r="FQ31" i="2"/>
  <c r="FR31" i="2"/>
  <c r="FQ32" i="2"/>
  <c r="FR32" i="2"/>
  <c r="FQ33" i="2"/>
  <c r="FR33" i="2"/>
  <c r="FQ34" i="2"/>
  <c r="FR34" i="2"/>
  <c r="FQ35" i="2"/>
  <c r="FR35" i="2"/>
  <c r="FQ36" i="2"/>
  <c r="FR36" i="2"/>
  <c r="FQ37" i="2"/>
  <c r="FR37" i="2"/>
  <c r="FQ38" i="2"/>
  <c r="FR38" i="2"/>
  <c r="FQ39" i="2"/>
  <c r="FR39" i="2"/>
  <c r="FQ40" i="2"/>
  <c r="FR40" i="2"/>
  <c r="FQ41" i="2"/>
  <c r="FR41" i="2"/>
  <c r="FQ42" i="2"/>
  <c r="FR42" i="2"/>
  <c r="FQ43" i="2"/>
  <c r="FR43" i="2"/>
  <c r="FQ44" i="2"/>
  <c r="FR44" i="2"/>
  <c r="FQ45" i="2"/>
  <c r="FR45" i="2"/>
  <c r="FQ46" i="2"/>
  <c r="FR46" i="2"/>
  <c r="FQ47" i="2"/>
  <c r="FR47" i="2"/>
  <c r="FQ48" i="2"/>
  <c r="FR48" i="2"/>
  <c r="FQ49" i="2"/>
  <c r="FR49" i="2"/>
  <c r="FQ50" i="2"/>
  <c r="FR50" i="2"/>
  <c r="FQ51" i="2"/>
  <c r="FR51" i="2"/>
  <c r="FQ52" i="2"/>
  <c r="FR52" i="2"/>
  <c r="FQ53" i="2"/>
  <c r="FR53" i="2"/>
  <c r="FQ54" i="2"/>
  <c r="FR54" i="2"/>
  <c r="FQ55" i="2"/>
  <c r="FR55" i="2"/>
  <c r="FQ56" i="2"/>
  <c r="FR56" i="2"/>
  <c r="FQ57" i="2"/>
  <c r="FR57" i="2"/>
  <c r="FQ58" i="2"/>
  <c r="FR58" i="2"/>
  <c r="FQ59" i="2"/>
  <c r="FR59" i="2"/>
  <c r="FQ60" i="2"/>
  <c r="FR60" i="2"/>
  <c r="FQ61" i="2"/>
  <c r="FR61" i="2"/>
  <c r="FQ62" i="2"/>
  <c r="FR62" i="2"/>
  <c r="FQ63" i="2"/>
  <c r="FR63" i="2"/>
  <c r="FQ64" i="2"/>
  <c r="FR64" i="2"/>
  <c r="FQ65" i="2"/>
  <c r="FR65" i="2"/>
  <c r="FQ66" i="2"/>
  <c r="FR66" i="2"/>
  <c r="FQ67" i="2"/>
  <c r="FR67" i="2"/>
  <c r="FQ68" i="2"/>
  <c r="FR68" i="2"/>
  <c r="FQ69" i="2"/>
  <c r="FR69" i="2"/>
  <c r="FQ70" i="2"/>
  <c r="FR70" i="2"/>
  <c r="FQ71" i="2"/>
  <c r="FR71" i="2"/>
  <c r="FQ72" i="2"/>
  <c r="FR72" i="2"/>
  <c r="FQ73" i="2"/>
  <c r="FR73" i="2"/>
  <c r="FQ74" i="2"/>
  <c r="FR74" i="2"/>
  <c r="FQ75" i="2"/>
  <c r="FR75" i="2"/>
  <c r="FQ76" i="2"/>
  <c r="FR76" i="2"/>
  <c r="FQ77" i="2"/>
  <c r="FR77" i="2"/>
  <c r="FQ78" i="2"/>
  <c r="FR78" i="2"/>
  <c r="FQ79" i="2"/>
  <c r="FR79" i="2"/>
  <c r="FQ80" i="2"/>
  <c r="FR80" i="2"/>
  <c r="FQ81" i="2"/>
  <c r="FR81" i="2"/>
  <c r="FQ82" i="2"/>
  <c r="FR82" i="2"/>
  <c r="FQ83" i="2"/>
  <c r="FR83" i="2"/>
  <c r="FQ84" i="2"/>
  <c r="FR84" i="2"/>
  <c r="FQ85" i="2"/>
  <c r="FR85" i="2"/>
  <c r="FQ86" i="2"/>
  <c r="FR86" i="2"/>
  <c r="FQ87" i="2"/>
  <c r="FR87" i="2"/>
  <c r="FQ88" i="2"/>
  <c r="FR88" i="2"/>
  <c r="FQ89" i="2"/>
  <c r="FR89" i="2"/>
  <c r="FQ90" i="2"/>
  <c r="FR90" i="2"/>
  <c r="FQ91" i="2"/>
  <c r="FR91" i="2"/>
  <c r="FQ92" i="2"/>
  <c r="FR92" i="2"/>
  <c r="FQ93" i="2"/>
  <c r="FR93" i="2"/>
  <c r="FQ94" i="2"/>
  <c r="FR94" i="2"/>
  <c r="FQ95" i="2"/>
  <c r="FR95" i="2"/>
  <c r="FQ96" i="2"/>
  <c r="FR96" i="2"/>
  <c r="FQ97" i="2"/>
  <c r="FR97" i="2"/>
  <c r="FQ98" i="2"/>
  <c r="FR98" i="2"/>
  <c r="FQ99" i="2"/>
  <c r="FR99" i="2"/>
  <c r="FQ100" i="2"/>
  <c r="FR100" i="2"/>
  <c r="FQ101" i="2"/>
  <c r="FR101" i="2"/>
  <c r="FQ102" i="2"/>
  <c r="FR102" i="2"/>
  <c r="FQ103" i="2"/>
  <c r="FR103" i="2"/>
  <c r="FQ104" i="2"/>
  <c r="FR104" i="2"/>
  <c r="FQ105" i="2"/>
  <c r="FR105" i="2"/>
  <c r="FQ106" i="2"/>
  <c r="FR106" i="2"/>
  <c r="FQ107" i="2"/>
  <c r="FR107" i="2"/>
  <c r="FQ108" i="2"/>
  <c r="FR108" i="2"/>
  <c r="FQ109" i="2"/>
  <c r="FR109" i="2"/>
  <c r="FQ110" i="2"/>
  <c r="FR110" i="2"/>
  <c r="FQ111" i="2"/>
  <c r="FR111" i="2"/>
  <c r="FQ112" i="2"/>
  <c r="FR112" i="2"/>
  <c r="FQ113" i="2"/>
  <c r="FR113" i="2"/>
  <c r="FQ114" i="2"/>
  <c r="FR114" i="2"/>
  <c r="FQ115" i="2"/>
  <c r="FR115" i="2"/>
  <c r="FQ116" i="2"/>
  <c r="FR116" i="2"/>
  <c r="FQ117" i="2"/>
  <c r="FR117" i="2"/>
  <c r="FQ118" i="2"/>
  <c r="FR118" i="2"/>
  <c r="FQ119" i="2"/>
  <c r="FR119" i="2"/>
  <c r="FQ120" i="2"/>
  <c r="FR120" i="2"/>
  <c r="FQ121" i="2"/>
  <c r="FR121" i="2"/>
  <c r="FQ122" i="2"/>
  <c r="FR122" i="2"/>
  <c r="FQ123" i="2"/>
  <c r="FR123" i="2"/>
  <c r="FQ124" i="2"/>
  <c r="FR124" i="2"/>
  <c r="FQ125" i="2"/>
  <c r="FR125" i="2"/>
  <c r="FQ126" i="2"/>
  <c r="FR126" i="2"/>
  <c r="FQ127" i="2"/>
  <c r="FR127" i="2"/>
  <c r="FQ128" i="2"/>
  <c r="FR128" i="2"/>
  <c r="FQ129" i="2"/>
  <c r="FR129" i="2"/>
  <c r="FQ130" i="2"/>
  <c r="FR130" i="2"/>
  <c r="FQ131" i="2"/>
  <c r="FR131" i="2"/>
  <c r="FQ132" i="2"/>
  <c r="FR132" i="2"/>
  <c r="FQ133" i="2"/>
  <c r="FR133" i="2"/>
  <c r="FQ134" i="2"/>
  <c r="FR134" i="2"/>
  <c r="FQ135" i="2"/>
  <c r="FR135" i="2"/>
  <c r="FQ136" i="2"/>
  <c r="FR136" i="2"/>
  <c r="FQ137" i="2"/>
  <c r="FR137" i="2"/>
  <c r="FQ138" i="2"/>
  <c r="FR138" i="2"/>
  <c r="FQ139" i="2"/>
  <c r="FR139" i="2"/>
  <c r="FQ140" i="2"/>
  <c r="FR140" i="2"/>
  <c r="FQ142" i="2"/>
  <c r="FR142" i="2"/>
  <c r="FQ143" i="2"/>
  <c r="FR143" i="2"/>
  <c r="FQ144" i="2"/>
  <c r="FR144" i="2"/>
  <c r="FQ145" i="2"/>
  <c r="FR145" i="2"/>
  <c r="FQ146" i="2"/>
  <c r="FR146" i="2"/>
  <c r="FQ147" i="2"/>
  <c r="FR147" i="2"/>
  <c r="FQ148" i="2"/>
  <c r="FR148" i="2"/>
  <c r="FR332" i="2" s="1"/>
  <c r="FQ149" i="2"/>
  <c r="FR149" i="2"/>
  <c r="FQ150" i="2"/>
  <c r="FR150" i="2"/>
  <c r="FQ151" i="2"/>
  <c r="FR151" i="2"/>
  <c r="FQ152" i="2"/>
  <c r="FR152" i="2"/>
  <c r="FQ153" i="2"/>
  <c r="FR153" i="2"/>
  <c r="FQ154" i="2"/>
  <c r="FR154" i="2"/>
  <c r="FQ155" i="2"/>
  <c r="FR155" i="2"/>
  <c r="FQ156" i="2"/>
  <c r="FR156" i="2"/>
  <c r="FQ157" i="2"/>
  <c r="FR157" i="2"/>
  <c r="FQ158" i="2"/>
  <c r="FR158" i="2"/>
  <c r="FQ159" i="2"/>
  <c r="FR159" i="2"/>
  <c r="FQ160" i="2"/>
  <c r="FR160" i="2"/>
  <c r="FQ161" i="2"/>
  <c r="FR161" i="2"/>
  <c r="FQ162" i="2"/>
  <c r="FR162" i="2"/>
  <c r="FQ163" i="2"/>
  <c r="FR163" i="2"/>
  <c r="FQ164" i="2"/>
  <c r="FR164" i="2"/>
  <c r="FQ165" i="2"/>
  <c r="FR165" i="2"/>
  <c r="FQ166" i="2"/>
  <c r="FR166" i="2"/>
  <c r="FQ167" i="2"/>
  <c r="FR167" i="2"/>
  <c r="FQ168" i="2"/>
  <c r="FR168" i="2"/>
  <c r="FQ169" i="2"/>
  <c r="FR169" i="2"/>
  <c r="FQ170" i="2"/>
  <c r="FR170" i="2"/>
  <c r="FQ171" i="2"/>
  <c r="FR171" i="2"/>
  <c r="FQ172" i="2"/>
  <c r="FR172" i="2"/>
  <c r="FQ173" i="2"/>
  <c r="FR173" i="2"/>
  <c r="FQ174" i="2"/>
  <c r="FR174" i="2"/>
  <c r="FQ175" i="2"/>
  <c r="FR175" i="2"/>
  <c r="FQ176" i="2"/>
  <c r="FR176" i="2"/>
  <c r="FQ177" i="2"/>
  <c r="FR177" i="2"/>
  <c r="FQ178" i="2"/>
  <c r="FR178" i="2"/>
  <c r="FQ179" i="2"/>
  <c r="FR179" i="2"/>
  <c r="FQ180" i="2"/>
  <c r="FR180" i="2"/>
  <c r="FQ181" i="2"/>
  <c r="FR181" i="2"/>
  <c r="FQ182" i="2"/>
  <c r="FR182" i="2"/>
  <c r="FQ183" i="2"/>
  <c r="FR183" i="2"/>
  <c r="FQ184" i="2"/>
  <c r="FR184" i="2"/>
  <c r="FQ185" i="2"/>
  <c r="FR185" i="2"/>
  <c r="FQ186" i="2"/>
  <c r="FR186" i="2"/>
  <c r="FQ188" i="2"/>
  <c r="FR188" i="2"/>
  <c r="FQ189" i="2"/>
  <c r="FR189" i="2"/>
  <c r="FQ190" i="2"/>
  <c r="FR190" i="2"/>
  <c r="FQ191" i="2"/>
  <c r="FR191" i="2"/>
  <c r="FQ192" i="2"/>
  <c r="FR192" i="2"/>
  <c r="FQ193" i="2"/>
  <c r="FR193" i="2"/>
  <c r="FQ194" i="2"/>
  <c r="FR194" i="2"/>
  <c r="FQ195" i="2"/>
  <c r="FR195" i="2"/>
  <c r="FQ196" i="2"/>
  <c r="FR196" i="2"/>
  <c r="FQ197" i="2"/>
  <c r="FR197" i="2"/>
  <c r="FQ198" i="2"/>
  <c r="FR198" i="2"/>
  <c r="FQ199" i="2"/>
  <c r="FR199" i="2"/>
  <c r="FQ200" i="2"/>
  <c r="FR200" i="2"/>
  <c r="FQ201" i="2"/>
  <c r="FR201" i="2"/>
  <c r="FQ202" i="2"/>
  <c r="FR202" i="2"/>
  <c r="FQ203" i="2"/>
  <c r="FR203" i="2"/>
  <c r="FQ204" i="2"/>
  <c r="FR204" i="2"/>
  <c r="FQ205" i="2"/>
  <c r="FR205" i="2"/>
  <c r="FQ206" i="2"/>
  <c r="FR206" i="2"/>
  <c r="FQ207" i="2"/>
  <c r="FR207" i="2"/>
  <c r="FQ208" i="2"/>
  <c r="FR208" i="2"/>
  <c r="FQ209" i="2"/>
  <c r="FR209" i="2"/>
  <c r="FQ210" i="2"/>
  <c r="FR210" i="2"/>
  <c r="FQ211" i="2"/>
  <c r="FR211" i="2"/>
  <c r="FQ212" i="2"/>
  <c r="FR212" i="2"/>
  <c r="FQ213" i="2"/>
  <c r="FR213" i="2"/>
  <c r="FQ215" i="2"/>
  <c r="FR215" i="2"/>
  <c r="FQ216" i="2"/>
  <c r="FR216" i="2"/>
  <c r="FQ217" i="2"/>
  <c r="FR217" i="2"/>
  <c r="FQ218" i="2"/>
  <c r="FR218" i="2"/>
  <c r="FQ219" i="2"/>
  <c r="FR219" i="2"/>
  <c r="FQ220" i="2"/>
  <c r="FR220" i="2"/>
  <c r="FQ221" i="2"/>
  <c r="FR221" i="2"/>
  <c r="FQ222" i="2"/>
  <c r="FR222" i="2"/>
  <c r="FQ223" i="2"/>
  <c r="FR223" i="2"/>
  <c r="FQ224" i="2"/>
  <c r="FR224" i="2"/>
  <c r="FQ225" i="2"/>
  <c r="FR225" i="2"/>
  <c r="FQ226" i="2"/>
  <c r="FR226" i="2"/>
  <c r="FQ227" i="2"/>
  <c r="FR227" i="2"/>
  <c r="FQ228" i="2"/>
  <c r="FR228" i="2"/>
  <c r="FQ229" i="2"/>
  <c r="FR229" i="2"/>
  <c r="FQ230" i="2"/>
  <c r="FR230" i="2"/>
  <c r="FQ231" i="2"/>
  <c r="FR231" i="2"/>
  <c r="FQ232" i="2"/>
  <c r="FR232" i="2"/>
  <c r="FQ233" i="2"/>
  <c r="FR233" i="2"/>
  <c r="FQ234" i="2"/>
  <c r="FR234" i="2"/>
  <c r="FQ235" i="2"/>
  <c r="FR235" i="2"/>
  <c r="FQ236" i="2"/>
  <c r="FR236" i="2"/>
  <c r="FQ237" i="2"/>
  <c r="FR237" i="2"/>
  <c r="FQ238" i="2"/>
  <c r="FR238" i="2"/>
  <c r="FQ239" i="2"/>
  <c r="FR239" i="2"/>
  <c r="FQ240" i="2"/>
  <c r="FR240" i="2"/>
  <c r="FQ241" i="2"/>
  <c r="FR241" i="2"/>
  <c r="FQ242" i="2"/>
  <c r="FR242" i="2"/>
  <c r="FQ243" i="2"/>
  <c r="FR243" i="2"/>
  <c r="FQ244" i="2"/>
  <c r="FR244" i="2"/>
  <c r="FQ245" i="2"/>
  <c r="FR245" i="2"/>
  <c r="FQ246" i="2"/>
  <c r="FR246" i="2"/>
  <c r="FQ247" i="2"/>
  <c r="FR247" i="2"/>
  <c r="FQ248" i="2"/>
  <c r="FR248" i="2"/>
  <c r="FQ249" i="2"/>
  <c r="FR249" i="2"/>
  <c r="FQ250" i="2"/>
  <c r="FR250" i="2"/>
  <c r="FQ251" i="2"/>
  <c r="FR251" i="2"/>
  <c r="FR344" i="2" s="1"/>
  <c r="FQ252" i="2"/>
  <c r="FR252" i="2"/>
  <c r="FQ254" i="2"/>
  <c r="FR254" i="2"/>
  <c r="FQ255" i="2"/>
  <c r="FR255" i="2"/>
  <c r="FQ256" i="2"/>
  <c r="FR256" i="2"/>
  <c r="FQ257" i="2"/>
  <c r="FR257" i="2"/>
  <c r="FQ258" i="2"/>
  <c r="FR258" i="2"/>
  <c r="FQ259" i="2"/>
  <c r="FR259" i="2"/>
  <c r="FQ260" i="2"/>
  <c r="FR260" i="2"/>
  <c r="FQ261" i="2"/>
  <c r="FR261" i="2"/>
  <c r="FQ262" i="2"/>
  <c r="FR262" i="2"/>
  <c r="FQ263" i="2"/>
  <c r="FR263" i="2"/>
  <c r="FQ264" i="2"/>
  <c r="FR264" i="2"/>
  <c r="FQ265" i="2"/>
  <c r="FR265" i="2"/>
  <c r="FQ266" i="2"/>
  <c r="FR266" i="2"/>
  <c r="FQ267" i="2"/>
  <c r="FR267" i="2"/>
  <c r="FQ268" i="2"/>
  <c r="FR268" i="2"/>
  <c r="FQ269" i="2"/>
  <c r="FR269" i="2"/>
  <c r="FQ270" i="2"/>
  <c r="FR270" i="2"/>
  <c r="FQ271" i="2"/>
  <c r="FR271" i="2"/>
  <c r="FQ272" i="2"/>
  <c r="FR272" i="2"/>
  <c r="FQ273" i="2"/>
  <c r="FR273" i="2"/>
  <c r="FQ274" i="2"/>
  <c r="FR274" i="2"/>
  <c r="FQ275" i="2"/>
  <c r="FR275" i="2"/>
  <c r="FQ276" i="2"/>
  <c r="FR276" i="2"/>
  <c r="FQ277" i="2"/>
  <c r="FR277" i="2"/>
  <c r="FQ278" i="2"/>
  <c r="FR278" i="2"/>
  <c r="FQ279" i="2"/>
  <c r="FR279" i="2"/>
  <c r="FQ280" i="2"/>
  <c r="FR280" i="2"/>
  <c r="FR6" i="2"/>
  <c r="FQ6" i="2"/>
  <c r="FR282" i="2"/>
  <c r="FQ282" i="2"/>
  <c r="FR358" i="2" l="1"/>
  <c r="FR360" i="2" s="1"/>
  <c r="FR281" i="2"/>
  <c r="FR283" i="2" s="1"/>
  <c r="FQ281" i="2"/>
  <c r="FQ283" i="2" s="1"/>
  <c r="DD284" i="4"/>
  <c r="DD288" i="4" s="1"/>
  <c r="HB253" i="2"/>
  <c r="CL187" i="2"/>
  <c r="DH187" i="2"/>
  <c r="EY187" i="2" s="1"/>
  <c r="EW187" i="2"/>
  <c r="EX187" i="2"/>
  <c r="DH253" i="2"/>
  <c r="EY253" i="2" s="1"/>
  <c r="DL253" i="2"/>
  <c r="EX253" i="2"/>
  <c r="HB187" i="2"/>
  <c r="CL253" i="2"/>
  <c r="FG253" i="2"/>
  <c r="GR253" i="2"/>
  <c r="X253" i="2"/>
  <c r="AE253" i="2"/>
  <c r="CX253" i="2"/>
  <c r="DA253" i="2" s="1"/>
  <c r="EW253" i="2"/>
  <c r="BH253" i="2"/>
  <c r="FG187" i="2"/>
  <c r="X187" i="2"/>
  <c r="DL187" i="2"/>
  <c r="GR187" i="2"/>
  <c r="AE187" i="2"/>
  <c r="CX187" i="2"/>
  <c r="DA187" i="2" s="1"/>
  <c r="BH187" i="2"/>
  <c r="FQ310" i="2"/>
  <c r="FQ311" i="2" s="1"/>
  <c r="FR310" i="2"/>
  <c r="FR311" i="2" s="1"/>
  <c r="AA29" i="6"/>
  <c r="FR364" i="2" l="1"/>
  <c r="FR362" i="2"/>
  <c r="EZ253" i="2"/>
  <c r="FA253" i="2" s="1"/>
  <c r="EZ187" i="2"/>
  <c r="FA187" i="2" s="1"/>
  <c r="E275" i="2" l="1"/>
  <c r="HA21" i="2"/>
  <c r="GY21" i="2"/>
  <c r="GX21" i="2"/>
  <c r="GQ21" i="2"/>
  <c r="GP21" i="2"/>
  <c r="GO21" i="2"/>
  <c r="GN21" i="2"/>
  <c r="GM21" i="2"/>
  <c r="GE21" i="2"/>
  <c r="GD21" i="2"/>
  <c r="FZ21" i="2"/>
  <c r="FY21" i="2"/>
  <c r="FX21" i="2"/>
  <c r="FW21" i="2"/>
  <c r="FP21" i="2"/>
  <c r="FL21" i="2"/>
  <c r="FK21" i="2"/>
  <c r="FH21" i="2"/>
  <c r="FE21" i="2"/>
  <c r="FD21" i="2"/>
  <c r="FC21" i="2"/>
  <c r="ET21" i="2"/>
  <c r="ES21" i="2"/>
  <c r="EP21" i="2"/>
  <c r="EN21" i="2"/>
  <c r="EK21" i="2"/>
  <c r="EH21" i="2"/>
  <c r="EG21" i="2"/>
  <c r="EF21" i="2"/>
  <c r="EE21" i="2"/>
  <c r="DY21" i="2"/>
  <c r="DX21" i="2"/>
  <c r="DW21" i="2"/>
  <c r="DV21" i="2"/>
  <c r="DU21" i="2"/>
  <c r="DQ21" i="2"/>
  <c r="DP21" i="2"/>
  <c r="DO21" i="2"/>
  <c r="DN21" i="2"/>
  <c r="DM21" i="2"/>
  <c r="DK21" i="2"/>
  <c r="DJ21" i="2"/>
  <c r="DG21" i="2"/>
  <c r="DF21" i="2"/>
  <c r="DE21" i="2"/>
  <c r="DD21" i="2"/>
  <c r="CY21" i="2"/>
  <c r="CW21" i="2"/>
  <c r="CV21" i="2"/>
  <c r="CU21" i="2"/>
  <c r="CT21" i="2"/>
  <c r="CS21" i="2"/>
  <c r="CM21" i="2"/>
  <c r="CH21" i="2"/>
  <c r="CG21" i="2"/>
  <c r="CE21" i="2"/>
  <c r="CL21" i="2" s="1"/>
  <c r="CA21" i="2"/>
  <c r="BZ21" i="2"/>
  <c r="BX21" i="2"/>
  <c r="BW21" i="2"/>
  <c r="BV21" i="2"/>
  <c r="BU21" i="2"/>
  <c r="BT21" i="2"/>
  <c r="BR21" i="2"/>
  <c r="BQ21" i="2"/>
  <c r="BP21" i="2"/>
  <c r="BK21" i="2"/>
  <c r="BJ21" i="2"/>
  <c r="BI21" i="2"/>
  <c r="BD21" i="2"/>
  <c r="BB21" i="2"/>
  <c r="BA21" i="2"/>
  <c r="AZ21" i="2"/>
  <c r="AY21" i="2"/>
  <c r="AX21" i="2"/>
  <c r="AW21" i="2"/>
  <c r="AV21" i="2"/>
  <c r="AR21" i="2"/>
  <c r="AQ21" i="2"/>
  <c r="AP21" i="2"/>
  <c r="AO21" i="2"/>
  <c r="BH21" i="2" s="1"/>
  <c r="AJ21" i="2"/>
  <c r="AI21" i="2"/>
  <c r="AC21" i="2"/>
  <c r="AB21" i="2"/>
  <c r="Z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G21" i="2"/>
  <c r="F21" i="2"/>
  <c r="E21" i="2"/>
  <c r="D21" i="2"/>
  <c r="HA76" i="2"/>
  <c r="GY76" i="2"/>
  <c r="GX76" i="2"/>
  <c r="GQ76" i="2"/>
  <c r="GP76" i="2"/>
  <c r="GO76" i="2"/>
  <c r="GN76" i="2"/>
  <c r="GM76" i="2"/>
  <c r="GE76" i="2"/>
  <c r="GD76" i="2"/>
  <c r="FZ76" i="2"/>
  <c r="FY76" i="2"/>
  <c r="FX76" i="2"/>
  <c r="FW76" i="2"/>
  <c r="FP76" i="2"/>
  <c r="FL76" i="2"/>
  <c r="FK76" i="2"/>
  <c r="FH76" i="2"/>
  <c r="FE76" i="2"/>
  <c r="FD76" i="2"/>
  <c r="FC76" i="2"/>
  <c r="ET76" i="2"/>
  <c r="ES76" i="2"/>
  <c r="EP76" i="2"/>
  <c r="EN76" i="2"/>
  <c r="EK76" i="2"/>
  <c r="EH76" i="2"/>
  <c r="EG76" i="2"/>
  <c r="EF76" i="2"/>
  <c r="EE76" i="2"/>
  <c r="DY76" i="2"/>
  <c r="DX76" i="2"/>
  <c r="DW76" i="2"/>
  <c r="DV76" i="2"/>
  <c r="DU76" i="2"/>
  <c r="DQ76" i="2"/>
  <c r="DP76" i="2"/>
  <c r="DO76" i="2"/>
  <c r="DN76" i="2"/>
  <c r="DM76" i="2"/>
  <c r="DK76" i="2"/>
  <c r="DJ76" i="2"/>
  <c r="DG76" i="2"/>
  <c r="DF76" i="2"/>
  <c r="DE76" i="2"/>
  <c r="DD76" i="2"/>
  <c r="CY76" i="2"/>
  <c r="CW76" i="2"/>
  <c r="CV76" i="2"/>
  <c r="CU76" i="2"/>
  <c r="CT76" i="2"/>
  <c r="CS76" i="2"/>
  <c r="CM76" i="2"/>
  <c r="CH76" i="2"/>
  <c r="CG76" i="2"/>
  <c r="CE76" i="2"/>
  <c r="CL76" i="2" s="1"/>
  <c r="CA76" i="2"/>
  <c r="BZ76" i="2"/>
  <c r="BX76" i="2"/>
  <c r="BW76" i="2"/>
  <c r="BV76" i="2"/>
  <c r="BU76" i="2"/>
  <c r="BT76" i="2"/>
  <c r="BR76" i="2"/>
  <c r="BQ76" i="2"/>
  <c r="BP76" i="2"/>
  <c r="BK76" i="2"/>
  <c r="BJ76" i="2"/>
  <c r="BI76" i="2"/>
  <c r="BD76" i="2"/>
  <c r="BB76" i="2"/>
  <c r="BA76" i="2"/>
  <c r="AZ76" i="2"/>
  <c r="AY76" i="2"/>
  <c r="AX76" i="2"/>
  <c r="AW76" i="2"/>
  <c r="AV76" i="2"/>
  <c r="AR76" i="2"/>
  <c r="AQ76" i="2"/>
  <c r="AP76" i="2"/>
  <c r="AO76" i="2"/>
  <c r="BH76" i="2" s="1"/>
  <c r="AJ76" i="2"/>
  <c r="AI76" i="2"/>
  <c r="AC76" i="2"/>
  <c r="AB76" i="2"/>
  <c r="Z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G76" i="2"/>
  <c r="F76" i="2"/>
  <c r="E76" i="2"/>
  <c r="D76" i="2"/>
  <c r="HA129" i="2"/>
  <c r="GY129" i="2"/>
  <c r="GX129" i="2"/>
  <c r="GQ129" i="2"/>
  <c r="GP129" i="2"/>
  <c r="GO129" i="2"/>
  <c r="GN129" i="2"/>
  <c r="GM129" i="2"/>
  <c r="GE129" i="2"/>
  <c r="GD129" i="2"/>
  <c r="FZ129" i="2"/>
  <c r="FY129" i="2"/>
  <c r="FX129" i="2"/>
  <c r="FW129" i="2"/>
  <c r="FP129" i="2"/>
  <c r="FL129" i="2"/>
  <c r="FK129" i="2"/>
  <c r="FH129" i="2"/>
  <c r="FE129" i="2"/>
  <c r="FD129" i="2"/>
  <c r="FC129" i="2"/>
  <c r="ET129" i="2"/>
  <c r="ES129" i="2"/>
  <c r="EP129" i="2"/>
  <c r="EN129" i="2"/>
  <c r="EK129" i="2"/>
  <c r="EH129" i="2"/>
  <c r="EG129" i="2"/>
  <c r="EF129" i="2"/>
  <c r="EE129" i="2"/>
  <c r="DY129" i="2"/>
  <c r="DX129" i="2"/>
  <c r="DW129" i="2"/>
  <c r="DV129" i="2"/>
  <c r="DU129" i="2"/>
  <c r="DQ129" i="2"/>
  <c r="DP129" i="2"/>
  <c r="DO129" i="2"/>
  <c r="DN129" i="2"/>
  <c r="DM129" i="2"/>
  <c r="DK129" i="2"/>
  <c r="DJ129" i="2"/>
  <c r="DG129" i="2"/>
  <c r="DF129" i="2"/>
  <c r="DE129" i="2"/>
  <c r="DD129" i="2"/>
  <c r="CY129" i="2"/>
  <c r="CW129" i="2"/>
  <c r="CV129" i="2"/>
  <c r="CU129" i="2"/>
  <c r="CT129" i="2"/>
  <c r="CS129" i="2"/>
  <c r="CM129" i="2"/>
  <c r="CH129" i="2"/>
  <c r="CG129" i="2"/>
  <c r="CE129" i="2"/>
  <c r="CL129" i="2" s="1"/>
  <c r="CA129" i="2"/>
  <c r="BZ129" i="2"/>
  <c r="BX129" i="2"/>
  <c r="BW129" i="2"/>
  <c r="BV129" i="2"/>
  <c r="BU129" i="2"/>
  <c r="BT129" i="2"/>
  <c r="BR129" i="2"/>
  <c r="BQ129" i="2"/>
  <c r="BP129" i="2"/>
  <c r="BK129" i="2"/>
  <c r="BJ129" i="2"/>
  <c r="BI129" i="2"/>
  <c r="BD129" i="2"/>
  <c r="BB129" i="2"/>
  <c r="BA129" i="2"/>
  <c r="AZ129" i="2"/>
  <c r="AY129" i="2"/>
  <c r="AX129" i="2"/>
  <c r="AW129" i="2"/>
  <c r="AV129" i="2"/>
  <c r="AR129" i="2"/>
  <c r="AQ129" i="2"/>
  <c r="AP129" i="2"/>
  <c r="AO129" i="2"/>
  <c r="BH129" i="2" s="1"/>
  <c r="AJ129" i="2"/>
  <c r="AI129" i="2"/>
  <c r="AC129" i="2"/>
  <c r="AB129" i="2"/>
  <c r="Z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G129" i="2"/>
  <c r="F129" i="2"/>
  <c r="E129" i="2"/>
  <c r="D129" i="2"/>
  <c r="HA207" i="2"/>
  <c r="GY207" i="2"/>
  <c r="GX207" i="2"/>
  <c r="GQ207" i="2"/>
  <c r="GP207" i="2"/>
  <c r="GO207" i="2"/>
  <c r="GN207" i="2"/>
  <c r="GM207" i="2"/>
  <c r="GE207" i="2"/>
  <c r="GD207" i="2"/>
  <c r="FZ207" i="2"/>
  <c r="FY207" i="2"/>
  <c r="FX207" i="2"/>
  <c r="FW207" i="2"/>
  <c r="FP207" i="2"/>
  <c r="FL207" i="2"/>
  <c r="FK207" i="2"/>
  <c r="FH207" i="2"/>
  <c r="FE207" i="2"/>
  <c r="FD207" i="2"/>
  <c r="FC207" i="2"/>
  <c r="ET207" i="2"/>
  <c r="ES207" i="2"/>
  <c r="EP207" i="2"/>
  <c r="EN207" i="2"/>
  <c r="EK207" i="2"/>
  <c r="EH207" i="2"/>
  <c r="EG207" i="2"/>
  <c r="EF207" i="2"/>
  <c r="EE207" i="2"/>
  <c r="DY207" i="2"/>
  <c r="DX207" i="2"/>
  <c r="DW207" i="2"/>
  <c r="DV207" i="2"/>
  <c r="DU207" i="2"/>
  <c r="DQ207" i="2"/>
  <c r="DP207" i="2"/>
  <c r="DO207" i="2"/>
  <c r="DN207" i="2"/>
  <c r="DM207" i="2"/>
  <c r="DK207" i="2"/>
  <c r="DJ207" i="2"/>
  <c r="DG207" i="2"/>
  <c r="DF207" i="2"/>
  <c r="DE207" i="2"/>
  <c r="DD207" i="2"/>
  <c r="CY207" i="2"/>
  <c r="CW207" i="2"/>
  <c r="CV207" i="2"/>
  <c r="CU207" i="2"/>
  <c r="CT207" i="2"/>
  <c r="CS207" i="2"/>
  <c r="CM207" i="2"/>
  <c r="CH207" i="2"/>
  <c r="CG207" i="2"/>
  <c r="CE207" i="2"/>
  <c r="CL207" i="2" s="1"/>
  <c r="CA207" i="2"/>
  <c r="BZ207" i="2"/>
  <c r="BX207" i="2"/>
  <c r="BW207" i="2"/>
  <c r="BV207" i="2"/>
  <c r="BU207" i="2"/>
  <c r="BT207" i="2"/>
  <c r="BR207" i="2"/>
  <c r="BQ207" i="2"/>
  <c r="BP207" i="2"/>
  <c r="BK207" i="2"/>
  <c r="BJ207" i="2"/>
  <c r="BI207" i="2"/>
  <c r="BD207" i="2"/>
  <c r="BB207" i="2"/>
  <c r="BA207" i="2"/>
  <c r="AZ207" i="2"/>
  <c r="AY207" i="2"/>
  <c r="AX207" i="2"/>
  <c r="AW207" i="2"/>
  <c r="AV207" i="2"/>
  <c r="AR207" i="2"/>
  <c r="AQ207" i="2"/>
  <c r="AP207" i="2"/>
  <c r="AO207" i="2"/>
  <c r="BH207" i="2" s="1"/>
  <c r="AJ207" i="2"/>
  <c r="AI207" i="2"/>
  <c r="AC207" i="2"/>
  <c r="AB207" i="2"/>
  <c r="Z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G207" i="2"/>
  <c r="F207" i="2"/>
  <c r="E207" i="2"/>
  <c r="D207" i="2"/>
  <c r="HB21" i="2" l="1"/>
  <c r="EX21" i="2"/>
  <c r="DL21" i="2"/>
  <c r="DH21" i="2"/>
  <c r="EY21" i="2" s="1"/>
  <c r="HB76" i="2"/>
  <c r="DH76" i="2"/>
  <c r="EY76" i="2" s="1"/>
  <c r="AE21" i="2"/>
  <c r="CX21" i="2"/>
  <c r="DA21" i="2" s="1"/>
  <c r="AN21" i="2"/>
  <c r="HB129" i="2"/>
  <c r="CF76" i="2"/>
  <c r="EX76" i="2"/>
  <c r="EW21" i="2"/>
  <c r="GR21" i="2"/>
  <c r="X21" i="2"/>
  <c r="CF21" i="2"/>
  <c r="FG21" i="2"/>
  <c r="DH129" i="2"/>
  <c r="EY129" i="2" s="1"/>
  <c r="AE76" i="2"/>
  <c r="HB207" i="2"/>
  <c r="CF129" i="2"/>
  <c r="EX129" i="2"/>
  <c r="DL76" i="2"/>
  <c r="AN76" i="2"/>
  <c r="CX76" i="2"/>
  <c r="DA76" i="2" s="1"/>
  <c r="EW76" i="2"/>
  <c r="GR76" i="2"/>
  <c r="X76" i="2"/>
  <c r="FG76" i="2"/>
  <c r="DH207" i="2"/>
  <c r="EY207" i="2" s="1"/>
  <c r="DL207" i="2"/>
  <c r="AE129" i="2"/>
  <c r="EX207" i="2"/>
  <c r="AN129" i="2"/>
  <c r="CX129" i="2"/>
  <c r="DA129" i="2" s="1"/>
  <c r="EW129" i="2"/>
  <c r="GR129" i="2"/>
  <c r="X129" i="2"/>
  <c r="DL129" i="2"/>
  <c r="FG129" i="2"/>
  <c r="AE207" i="2"/>
  <c r="CX207" i="2"/>
  <c r="DA207" i="2" s="1"/>
  <c r="AN207" i="2"/>
  <c r="EW207" i="2"/>
  <c r="GR207" i="2"/>
  <c r="X207" i="2"/>
  <c r="CF207" i="2"/>
  <c r="FG207" i="2"/>
  <c r="EZ21" i="2" l="1"/>
  <c r="FA21" i="2" s="1"/>
  <c r="EZ207" i="2"/>
  <c r="FA207" i="2" s="1"/>
  <c r="EZ76" i="2"/>
  <c r="FA76" i="2" s="1"/>
  <c r="EZ129" i="2"/>
  <c r="FA129" i="2" s="1"/>
  <c r="C145" i="11" l="1"/>
  <c r="M35" i="10" l="1"/>
  <c r="D39" i="11"/>
  <c r="G39" i="11" s="1"/>
  <c r="DF284" i="4"/>
  <c r="DF288" i="4" s="1"/>
  <c r="DB284" i="4"/>
  <c r="DB288" i="4" s="1"/>
  <c r="DA284" i="4"/>
  <c r="DA288" i="4" s="1"/>
  <c r="CZ284" i="4"/>
  <c r="CZ288" i="4" s="1"/>
  <c r="CY284" i="4"/>
  <c r="CY288" i="4" s="1"/>
  <c r="CX284" i="4"/>
  <c r="CX288" i="4" s="1"/>
  <c r="CL284" i="4"/>
  <c r="CL288" i="4" s="1"/>
  <c r="CI284" i="4"/>
  <c r="CI288" i="4" s="1"/>
  <c r="CH284" i="4"/>
  <c r="CH288" i="4" s="1"/>
  <c r="CG284" i="4"/>
  <c r="CG288" i="4" s="1"/>
  <c r="CF284" i="4"/>
  <c r="CF288" i="4" s="1"/>
  <c r="CE284" i="4"/>
  <c r="CE288" i="4" s="1"/>
  <c r="CD284" i="4"/>
  <c r="CD288" i="4" s="1"/>
  <c r="CC284" i="4"/>
  <c r="CC288" i="4" s="1"/>
  <c r="CB284" i="4"/>
  <c r="CB288" i="4" s="1"/>
  <c r="CA284" i="4"/>
  <c r="CA288" i="4" s="1"/>
  <c r="BZ284" i="4"/>
  <c r="BZ288" i="4" s="1"/>
  <c r="BY284" i="4"/>
  <c r="BY288" i="4" s="1"/>
  <c r="BX284" i="4"/>
  <c r="BX288" i="4" s="1"/>
  <c r="BW284" i="4"/>
  <c r="BW288" i="4" s="1"/>
  <c r="BV284" i="4"/>
  <c r="BV288" i="4" s="1"/>
  <c r="BU284" i="4"/>
  <c r="BU288" i="4" s="1"/>
  <c r="BR284" i="4"/>
  <c r="BR288" i="4" s="1"/>
  <c r="BN284" i="4"/>
  <c r="BN288" i="4" s="1"/>
  <c r="BE284" i="4"/>
  <c r="BE288" i="4" s="1"/>
  <c r="AR284" i="4"/>
  <c r="AR288" i="4" s="1"/>
  <c r="AQ284" i="4"/>
  <c r="AQ288" i="4" s="1"/>
  <c r="AN284" i="4"/>
  <c r="AN288" i="4" s="1"/>
  <c r="AJ284" i="4"/>
  <c r="AJ288" i="4" s="1"/>
  <c r="AF284" i="4"/>
  <c r="AF288" i="4" s="1"/>
  <c r="AE284" i="4"/>
  <c r="AE288" i="4" s="1"/>
  <c r="AD284" i="4"/>
  <c r="AD288" i="4" s="1"/>
  <c r="AA284" i="4"/>
  <c r="AA288" i="4" s="1"/>
  <c r="X284" i="4"/>
  <c r="X288" i="4" s="1"/>
  <c r="W284" i="4"/>
  <c r="W288" i="4" s="1"/>
  <c r="T284" i="4"/>
  <c r="T288" i="4" s="1"/>
  <c r="R284" i="4"/>
  <c r="R288" i="4" s="1"/>
  <c r="P284" i="4"/>
  <c r="P288" i="4" s="1"/>
  <c r="O284" i="4"/>
  <c r="O288" i="4" s="1"/>
  <c r="N284" i="4"/>
  <c r="N288" i="4" s="1"/>
  <c r="H284" i="4"/>
  <c r="H288" i="4" s="1"/>
  <c r="G284" i="4"/>
  <c r="G288" i="4" s="1"/>
  <c r="D284" i="4"/>
  <c r="D288" i="4" s="1"/>
  <c r="L284" i="4"/>
  <c r="L288" i="4" s="1"/>
  <c r="BV282" i="2" l="1"/>
  <c r="AV284" i="4"/>
  <c r="AV288" i="4" s="1"/>
  <c r="N282" i="2"/>
  <c r="U284" i="4"/>
  <c r="U288" i="4" s="1"/>
  <c r="R282" i="2"/>
  <c r="Y284" i="4"/>
  <c r="Y288" i="4" s="1"/>
  <c r="AO282" i="2"/>
  <c r="AC284" i="4"/>
  <c r="AC288" i="4" s="1"/>
  <c r="AX282" i="2"/>
  <c r="AK284" i="4"/>
  <c r="AK288" i="4" s="1"/>
  <c r="BJ282" i="2"/>
  <c r="AO284" i="4"/>
  <c r="AO288" i="4" s="1"/>
  <c r="BD282" i="2"/>
  <c r="AS284" i="4"/>
  <c r="AS288" i="4" s="1"/>
  <c r="BW282" i="2"/>
  <c r="AW284" i="4"/>
  <c r="AW288" i="4" s="1"/>
  <c r="AI282" i="2"/>
  <c r="BB284" i="4"/>
  <c r="BB288" i="4" s="1"/>
  <c r="BK282" i="2"/>
  <c r="BF284" i="4"/>
  <c r="BF288" i="4" s="1"/>
  <c r="CY282" i="2"/>
  <c r="BJ284" i="4"/>
  <c r="BJ288" i="4" s="1"/>
  <c r="DO282" i="2"/>
  <c r="BO284" i="4"/>
  <c r="BO288" i="4" s="1"/>
  <c r="DN282" i="2"/>
  <c r="BS284" i="4"/>
  <c r="BS288" i="4" s="1"/>
  <c r="FX282" i="2"/>
  <c r="CS284" i="4"/>
  <c r="CS288" i="4" s="1"/>
  <c r="AB282" i="2"/>
  <c r="AB284" i="4"/>
  <c r="AB288" i="4" s="1"/>
  <c r="CA282" i="2"/>
  <c r="BA284" i="4"/>
  <c r="BA288" i="4" s="1"/>
  <c r="CV282" i="2"/>
  <c r="BI284" i="4"/>
  <c r="BI288" i="4" s="1"/>
  <c r="GD282" i="2"/>
  <c r="CV284" i="4"/>
  <c r="CV288" i="4" s="1"/>
  <c r="GX282" i="2"/>
  <c r="M284" i="4"/>
  <c r="M288" i="4" s="1"/>
  <c r="CS282" i="2"/>
  <c r="I284" i="4"/>
  <c r="I288" i="4" s="1"/>
  <c r="O282" i="2"/>
  <c r="V284" i="4"/>
  <c r="V288" i="4" s="1"/>
  <c r="S282" i="2"/>
  <c r="Z284" i="4"/>
  <c r="Z288" i="4" s="1"/>
  <c r="BI282" i="2"/>
  <c r="AH284" i="4"/>
  <c r="AH288" i="4" s="1"/>
  <c r="AY282" i="2"/>
  <c r="AL284" i="4"/>
  <c r="AL288" i="4" s="1"/>
  <c r="BB282" i="2"/>
  <c r="AP284" i="4"/>
  <c r="AP288" i="4" s="1"/>
  <c r="V282" i="2"/>
  <c r="AT284" i="4"/>
  <c r="AT288" i="4" s="1"/>
  <c r="BX282" i="2"/>
  <c r="AX284" i="4"/>
  <c r="AX288" i="4" s="1"/>
  <c r="CE282" i="2"/>
  <c r="BC284" i="4"/>
  <c r="BC288" i="4" s="1"/>
  <c r="CT282" i="2"/>
  <c r="BG284" i="4"/>
  <c r="BG288" i="4" s="1"/>
  <c r="CW282" i="2"/>
  <c r="BL284" i="4"/>
  <c r="BL288" i="4" s="1"/>
  <c r="DP282" i="2"/>
  <c r="BP284" i="4"/>
  <c r="BP288" i="4" s="1"/>
  <c r="DU282" i="2"/>
  <c r="BT284" i="4"/>
  <c r="BT288" i="4" s="1"/>
  <c r="FD282" i="2"/>
  <c r="CJ284" i="4"/>
  <c r="CJ288" i="4" s="1"/>
  <c r="FL282" i="2"/>
  <c r="CN284" i="4"/>
  <c r="CN288" i="4" s="1"/>
  <c r="FY282" i="2"/>
  <c r="CT284" i="4"/>
  <c r="CT288" i="4" s="1"/>
  <c r="FW282" i="2"/>
  <c r="CR284" i="4"/>
  <c r="CR288" i="4" s="1"/>
  <c r="HA282" i="2"/>
  <c r="DE284" i="4"/>
  <c r="DE288" i="4" s="1"/>
  <c r="K282" i="2"/>
  <c r="Q284" i="4"/>
  <c r="Q288" i="4" s="1"/>
  <c r="DD282" i="2"/>
  <c r="J284" i="4"/>
  <c r="J288" i="4" s="1"/>
  <c r="BR282" i="2"/>
  <c r="S284" i="4"/>
  <c r="S288" i="4" s="1"/>
  <c r="AV282" i="2"/>
  <c r="AI284" i="4"/>
  <c r="AI288" i="4" s="1"/>
  <c r="AZ282" i="2"/>
  <c r="AM284" i="4"/>
  <c r="AM288" i="4" s="1"/>
  <c r="BU282" i="2"/>
  <c r="AU284" i="4"/>
  <c r="AU288" i="4" s="1"/>
  <c r="BZ282" i="2"/>
  <c r="AZ284" i="4"/>
  <c r="AZ288" i="4" s="1"/>
  <c r="CM282" i="2"/>
  <c r="BD284" i="4"/>
  <c r="BD288" i="4" s="1"/>
  <c r="CU282" i="2"/>
  <c r="BH284" i="4"/>
  <c r="BH288" i="4" s="1"/>
  <c r="DE282" i="2"/>
  <c r="BM284" i="4"/>
  <c r="BM288" i="4" s="1"/>
  <c r="DQ282" i="2"/>
  <c r="BQ284" i="4"/>
  <c r="BQ288" i="4" s="1"/>
  <c r="FH282" i="2"/>
  <c r="CK284" i="4"/>
  <c r="CK288" i="4" s="1"/>
  <c r="FP282" i="2"/>
  <c r="CO284" i="4"/>
  <c r="CO288" i="4" s="1"/>
  <c r="FZ282" i="2"/>
  <c r="CU284" i="4"/>
  <c r="CU288" i="4" s="1"/>
  <c r="GY282" i="2"/>
  <c r="DC284" i="4"/>
  <c r="DC288" i="4" s="1"/>
  <c r="GE282" i="2"/>
  <c r="CW284" i="4"/>
  <c r="CW288" i="4" s="1"/>
  <c r="FK282" i="2"/>
  <c r="CM284" i="4"/>
  <c r="CM288" i="4" s="1"/>
  <c r="AR282" i="2"/>
  <c r="AG284" i="4"/>
  <c r="AG288" i="4" s="1"/>
  <c r="Z282" i="2"/>
  <c r="K284" i="4"/>
  <c r="K288" i="4" s="1"/>
  <c r="F282" i="2"/>
  <c r="F284" i="4"/>
  <c r="F288" i="4" s="1"/>
  <c r="E282" i="2"/>
  <c r="E284" i="4"/>
  <c r="E288" i="4" s="1"/>
  <c r="D282" i="2"/>
  <c r="G282" i="2"/>
  <c r="L282" i="2"/>
  <c r="P282" i="2"/>
  <c r="T282" i="2"/>
  <c r="AC282" i="2"/>
  <c r="AP282" i="2"/>
  <c r="AW282" i="2"/>
  <c r="BA282" i="2"/>
  <c r="DJ282" i="2"/>
  <c r="FC282" i="2"/>
  <c r="I282" i="2"/>
  <c r="M282" i="2"/>
  <c r="Q282" i="2"/>
  <c r="AQ282" i="2"/>
  <c r="CG282" i="2"/>
  <c r="DK282" i="2"/>
  <c r="J282" i="2"/>
  <c r="AJ282" i="2"/>
  <c r="CH282" i="2"/>
  <c r="DM282" i="2"/>
  <c r="FE282" i="2"/>
  <c r="V80" i="7" l="1"/>
  <c r="V81" i="7"/>
  <c r="V79" i="7"/>
  <c r="V39" i="7"/>
  <c r="V38" i="7"/>
  <c r="U37" i="7"/>
  <c r="V37" i="7" l="1"/>
  <c r="G144" i="11"/>
  <c r="I144" i="11" s="1"/>
  <c r="C144" i="11"/>
  <c r="B145" i="11"/>
  <c r="D145" i="11" s="1"/>
  <c r="B144" i="11"/>
  <c r="D82" i="11"/>
  <c r="G82" i="11" s="1"/>
  <c r="I81" i="11"/>
  <c r="F81" i="11" s="1"/>
  <c r="F144" i="11" s="1"/>
  <c r="D81" i="11"/>
  <c r="H40" i="11"/>
  <c r="F39" i="11"/>
  <c r="U21" i="6" s="1"/>
  <c r="X21" i="6" s="1"/>
  <c r="I38" i="11"/>
  <c r="C40" i="11"/>
  <c r="B40" i="11"/>
  <c r="D38" i="11"/>
  <c r="G31" i="8"/>
  <c r="O32" i="8"/>
  <c r="N32" i="8"/>
  <c r="N31" i="8"/>
  <c r="G32" i="8"/>
  <c r="C33" i="8"/>
  <c r="B33" i="8"/>
  <c r="D32" i="8"/>
  <c r="K83" i="9"/>
  <c r="D83" i="9"/>
  <c r="N80" i="9"/>
  <c r="M80" i="9"/>
  <c r="N79" i="9"/>
  <c r="M79" i="9"/>
  <c r="D79" i="9"/>
  <c r="D78" i="9"/>
  <c r="D77" i="9"/>
  <c r="H80" i="9"/>
  <c r="H79" i="9"/>
  <c r="H78" i="9"/>
  <c r="H77" i="9"/>
  <c r="K80" i="9"/>
  <c r="K79" i="9"/>
  <c r="K78" i="9"/>
  <c r="H83" i="9"/>
  <c r="M83" i="9"/>
  <c r="O31" i="8" l="1"/>
  <c r="F82" i="11"/>
  <c r="F145" i="11" s="1"/>
  <c r="G145" i="11"/>
  <c r="P32" i="8"/>
  <c r="I40" i="11"/>
  <c r="D144" i="11"/>
  <c r="D40" i="11"/>
  <c r="D31" i="8"/>
  <c r="D33" i="8" s="1"/>
  <c r="D80" i="9"/>
  <c r="O80" i="9"/>
  <c r="O79" i="9"/>
  <c r="O83" i="9"/>
  <c r="R21" i="6" l="1"/>
  <c r="Z21" i="6"/>
  <c r="AB21" i="6" s="1"/>
  <c r="P31" i="8"/>
  <c r="N83" i="9"/>
  <c r="M18" i="17" l="1"/>
  <c r="M14" i="17"/>
  <c r="M8" i="17"/>
  <c r="M7" i="17"/>
  <c r="P7" i="17" l="1"/>
  <c r="O7" i="17" s="1"/>
  <c r="P8" i="17"/>
  <c r="O8" i="17" s="1"/>
  <c r="P14" i="17"/>
  <c r="O14" i="17" s="1"/>
  <c r="M25" i="17"/>
  <c r="FP317" i="2"/>
  <c r="Z8" i="6" l="1"/>
  <c r="AA8" i="6" s="1"/>
  <c r="AB8" i="6" s="1"/>
  <c r="N27" i="6"/>
  <c r="AA34" i="6" l="1"/>
  <c r="U13" i="6"/>
  <c r="FZ319" i="2" l="1"/>
  <c r="GE317" i="2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O134" i="9"/>
  <c r="N134" i="9"/>
  <c r="M134" i="9"/>
  <c r="L134" i="9"/>
  <c r="K134" i="9"/>
  <c r="J134" i="9"/>
  <c r="H134" i="9"/>
  <c r="G134" i="9"/>
  <c r="F134" i="9"/>
  <c r="E134" i="9"/>
  <c r="D134" i="9"/>
  <c r="C134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C138" i="9"/>
  <c r="E3" i="16" l="1"/>
  <c r="E2" i="16"/>
  <c r="E7" i="16" l="1"/>
  <c r="E6" i="16"/>
  <c r="E5" i="16"/>
  <c r="E4" i="16"/>
  <c r="FZ317" i="2" l="1"/>
  <c r="GA338" i="2" s="1"/>
  <c r="H9" i="17"/>
  <c r="HJ80" i="2" l="1"/>
  <c r="HJ103" i="2"/>
  <c r="HJ87" i="2"/>
  <c r="HJ146" i="2"/>
  <c r="HJ204" i="2"/>
  <c r="HJ225" i="2"/>
  <c r="HJ224" i="2"/>
  <c r="V254" i="2" l="1"/>
  <c r="Q2" i="6" l="1"/>
  <c r="T29" i="6" l="1"/>
  <c r="I134" i="9"/>
  <c r="N41" i="9"/>
  <c r="M41" i="9"/>
  <c r="H37" i="9"/>
  <c r="G37" i="9"/>
  <c r="F37" i="9"/>
  <c r="E37" i="9"/>
  <c r="FK277" i="2" l="1"/>
  <c r="FL280" i="2" l="1"/>
  <c r="FL279" i="2"/>
  <c r="FL278" i="2"/>
  <c r="FL277" i="2"/>
  <c r="FL276" i="2"/>
  <c r="FL275" i="2"/>
  <c r="FL274" i="2"/>
  <c r="FL273" i="2"/>
  <c r="FL272" i="2"/>
  <c r="FL271" i="2"/>
  <c r="FL270" i="2"/>
  <c r="FL269" i="2"/>
  <c r="FL268" i="2"/>
  <c r="FL267" i="2"/>
  <c r="FL266" i="2"/>
  <c r="FL265" i="2"/>
  <c r="FL264" i="2"/>
  <c r="FL263" i="2"/>
  <c r="FL262" i="2"/>
  <c r="FL261" i="2"/>
  <c r="FL260" i="2"/>
  <c r="FL259" i="2"/>
  <c r="FL258" i="2"/>
  <c r="FL257" i="2"/>
  <c r="FL256" i="2"/>
  <c r="FL255" i="2"/>
  <c r="FL254" i="2"/>
  <c r="FL252" i="2"/>
  <c r="FL251" i="2"/>
  <c r="FL250" i="2"/>
  <c r="FL249" i="2"/>
  <c r="FL248" i="2"/>
  <c r="FL247" i="2"/>
  <c r="FL246" i="2"/>
  <c r="FL245" i="2"/>
  <c r="FL244" i="2"/>
  <c r="FL243" i="2"/>
  <c r="FL242" i="2"/>
  <c r="FL241" i="2"/>
  <c r="FL240" i="2"/>
  <c r="FL239" i="2"/>
  <c r="FL238" i="2"/>
  <c r="FL237" i="2"/>
  <c r="FL236" i="2"/>
  <c r="FL235" i="2"/>
  <c r="FL234" i="2"/>
  <c r="FL233" i="2"/>
  <c r="FL232" i="2"/>
  <c r="FL231" i="2"/>
  <c r="FL230" i="2"/>
  <c r="FL229" i="2"/>
  <c r="FL228" i="2"/>
  <c r="FL227" i="2"/>
  <c r="FL226" i="2"/>
  <c r="FL225" i="2"/>
  <c r="FL224" i="2"/>
  <c r="FL223" i="2"/>
  <c r="FL222" i="2"/>
  <c r="FL221" i="2"/>
  <c r="FL220" i="2"/>
  <c r="FL219" i="2"/>
  <c r="FL218" i="2"/>
  <c r="FL217" i="2"/>
  <c r="FL216" i="2"/>
  <c r="FL215" i="2"/>
  <c r="FL213" i="2"/>
  <c r="FL212" i="2"/>
  <c r="FL211" i="2"/>
  <c r="FL210" i="2"/>
  <c r="FL209" i="2"/>
  <c r="FL208" i="2"/>
  <c r="FL206" i="2"/>
  <c r="FL205" i="2"/>
  <c r="FL204" i="2"/>
  <c r="FL203" i="2"/>
  <c r="FL202" i="2"/>
  <c r="FL201" i="2"/>
  <c r="FL200" i="2"/>
  <c r="FL199" i="2"/>
  <c r="FL198" i="2"/>
  <c r="FL197" i="2"/>
  <c r="FL196" i="2"/>
  <c r="FL195" i="2"/>
  <c r="FL194" i="2"/>
  <c r="FL193" i="2"/>
  <c r="FL192" i="2"/>
  <c r="FL191" i="2"/>
  <c r="FL190" i="2"/>
  <c r="FL189" i="2"/>
  <c r="FL188" i="2"/>
  <c r="FL186" i="2"/>
  <c r="FL185" i="2"/>
  <c r="FL184" i="2"/>
  <c r="FL183" i="2"/>
  <c r="FL182" i="2"/>
  <c r="FL181" i="2"/>
  <c r="FL180" i="2"/>
  <c r="FL179" i="2"/>
  <c r="FL178" i="2"/>
  <c r="FL177" i="2"/>
  <c r="FL176" i="2"/>
  <c r="FL175" i="2"/>
  <c r="FL174" i="2"/>
  <c r="FL173" i="2"/>
  <c r="FL172" i="2"/>
  <c r="FL171" i="2"/>
  <c r="FL170" i="2"/>
  <c r="FL169" i="2"/>
  <c r="FL168" i="2"/>
  <c r="FL167" i="2"/>
  <c r="FL166" i="2"/>
  <c r="FL165" i="2"/>
  <c r="FL164" i="2"/>
  <c r="FL163" i="2"/>
  <c r="FL162" i="2"/>
  <c r="FL161" i="2"/>
  <c r="FL160" i="2"/>
  <c r="FL159" i="2"/>
  <c r="FL158" i="2"/>
  <c r="FL157" i="2"/>
  <c r="FL156" i="2"/>
  <c r="FL155" i="2"/>
  <c r="FL154" i="2"/>
  <c r="FL153" i="2"/>
  <c r="FL152" i="2"/>
  <c r="FL151" i="2"/>
  <c r="FL150" i="2"/>
  <c r="FL149" i="2"/>
  <c r="FL148" i="2"/>
  <c r="FL147" i="2"/>
  <c r="FL146" i="2"/>
  <c r="FL145" i="2"/>
  <c r="FL144" i="2"/>
  <c r="FL143" i="2"/>
  <c r="FL142" i="2"/>
  <c r="FL140" i="2"/>
  <c r="FL139" i="2"/>
  <c r="FL138" i="2"/>
  <c r="FL137" i="2"/>
  <c r="FL136" i="2"/>
  <c r="FL135" i="2"/>
  <c r="FL134" i="2"/>
  <c r="FL133" i="2"/>
  <c r="FL132" i="2"/>
  <c r="FL131" i="2"/>
  <c r="FL130" i="2"/>
  <c r="FL128" i="2"/>
  <c r="FL127" i="2"/>
  <c r="FL126" i="2"/>
  <c r="FL125" i="2"/>
  <c r="FL124" i="2"/>
  <c r="FL123" i="2"/>
  <c r="FL122" i="2"/>
  <c r="FL121" i="2"/>
  <c r="FL120" i="2"/>
  <c r="FL119" i="2"/>
  <c r="FL118" i="2"/>
  <c r="FL117" i="2"/>
  <c r="FL116" i="2"/>
  <c r="FL115" i="2"/>
  <c r="FL114" i="2"/>
  <c r="FL113" i="2"/>
  <c r="FL112" i="2"/>
  <c r="FL111" i="2"/>
  <c r="FL110" i="2"/>
  <c r="FL109" i="2"/>
  <c r="FL108" i="2"/>
  <c r="FL107" i="2"/>
  <c r="FL106" i="2"/>
  <c r="FL105" i="2"/>
  <c r="FL104" i="2"/>
  <c r="FL103" i="2"/>
  <c r="FL102" i="2"/>
  <c r="FL101" i="2"/>
  <c r="FL100" i="2"/>
  <c r="FL99" i="2"/>
  <c r="FL98" i="2"/>
  <c r="FL97" i="2"/>
  <c r="FL96" i="2"/>
  <c r="FL95" i="2"/>
  <c r="FL94" i="2"/>
  <c r="FL93" i="2"/>
  <c r="FL92" i="2"/>
  <c r="FL91" i="2"/>
  <c r="FL90" i="2"/>
  <c r="FL89" i="2"/>
  <c r="FL88" i="2"/>
  <c r="FL87" i="2"/>
  <c r="FL86" i="2"/>
  <c r="FL85" i="2"/>
  <c r="FL84" i="2"/>
  <c r="FL83" i="2"/>
  <c r="FL82" i="2"/>
  <c r="FL81" i="2"/>
  <c r="FL80" i="2"/>
  <c r="FL79" i="2"/>
  <c r="FL78" i="2"/>
  <c r="FL77" i="2"/>
  <c r="FL75" i="2"/>
  <c r="FL74" i="2"/>
  <c r="FL73" i="2"/>
  <c r="FL72" i="2"/>
  <c r="FL71" i="2"/>
  <c r="FL70" i="2"/>
  <c r="FL69" i="2"/>
  <c r="FL68" i="2"/>
  <c r="FL67" i="2"/>
  <c r="FL66" i="2"/>
  <c r="FL65" i="2"/>
  <c r="FL64" i="2"/>
  <c r="FL63" i="2"/>
  <c r="FL62" i="2"/>
  <c r="FL61" i="2"/>
  <c r="FL60" i="2"/>
  <c r="FL59" i="2"/>
  <c r="FL58" i="2"/>
  <c r="FL57" i="2"/>
  <c r="FL56" i="2"/>
  <c r="FL55" i="2"/>
  <c r="FL54" i="2"/>
  <c r="FL53" i="2"/>
  <c r="FL52" i="2"/>
  <c r="FL51" i="2"/>
  <c r="FL50" i="2"/>
  <c r="FL49" i="2"/>
  <c r="FL48" i="2"/>
  <c r="FL47" i="2"/>
  <c r="FL46" i="2"/>
  <c r="FL45" i="2"/>
  <c r="FL44" i="2"/>
  <c r="FL43" i="2"/>
  <c r="FL42" i="2"/>
  <c r="FL41" i="2"/>
  <c r="FL40" i="2"/>
  <c r="FL39" i="2"/>
  <c r="FL38" i="2"/>
  <c r="FL37" i="2"/>
  <c r="FL36" i="2"/>
  <c r="FL35" i="2"/>
  <c r="FL34" i="2"/>
  <c r="FL33" i="2"/>
  <c r="FL32" i="2"/>
  <c r="FL31" i="2"/>
  <c r="FL30" i="2"/>
  <c r="FL29" i="2"/>
  <c r="FL28" i="2"/>
  <c r="FL27" i="2"/>
  <c r="FL26" i="2"/>
  <c r="FL25" i="2"/>
  <c r="FL24" i="2"/>
  <c r="FL23" i="2"/>
  <c r="FL22" i="2"/>
  <c r="FL20" i="2"/>
  <c r="FL19" i="2"/>
  <c r="FL18" i="2"/>
  <c r="FL17" i="2"/>
  <c r="FL16" i="2"/>
  <c r="FL15" i="2"/>
  <c r="FL14" i="2"/>
  <c r="FL13" i="2"/>
  <c r="FL12" i="2"/>
  <c r="FL11" i="2"/>
  <c r="FL10" i="2"/>
  <c r="FL9" i="2"/>
  <c r="FL8" i="2"/>
  <c r="FL7" i="2"/>
  <c r="FL6" i="2"/>
  <c r="FK279" i="2"/>
  <c r="FK278" i="2"/>
  <c r="FK276" i="2"/>
  <c r="FK275" i="2"/>
  <c r="FK274" i="2"/>
  <c r="FK273" i="2"/>
  <c r="FK272" i="2"/>
  <c r="FK271" i="2"/>
  <c r="FK270" i="2"/>
  <c r="FK269" i="2"/>
  <c r="FK268" i="2"/>
  <c r="FK267" i="2"/>
  <c r="FK266" i="2"/>
  <c r="FK265" i="2"/>
  <c r="FK264" i="2"/>
  <c r="FK263" i="2"/>
  <c r="FK262" i="2"/>
  <c r="FK261" i="2"/>
  <c r="FK260" i="2"/>
  <c r="FK259" i="2"/>
  <c r="FK258" i="2"/>
  <c r="FK257" i="2"/>
  <c r="FK256" i="2"/>
  <c r="FK255" i="2"/>
  <c r="FK254" i="2"/>
  <c r="FK252" i="2"/>
  <c r="FK251" i="2"/>
  <c r="FK250" i="2"/>
  <c r="FK249" i="2"/>
  <c r="FK248" i="2"/>
  <c r="FK247" i="2"/>
  <c r="FK246" i="2"/>
  <c r="FK245" i="2"/>
  <c r="FK244" i="2"/>
  <c r="FK243" i="2"/>
  <c r="FK242" i="2"/>
  <c r="FK241" i="2"/>
  <c r="FK240" i="2"/>
  <c r="FK239" i="2"/>
  <c r="FK238" i="2"/>
  <c r="FK237" i="2"/>
  <c r="FK236" i="2"/>
  <c r="FK235" i="2"/>
  <c r="FK234" i="2"/>
  <c r="FK233" i="2"/>
  <c r="FK232" i="2"/>
  <c r="FK231" i="2"/>
  <c r="FK230" i="2"/>
  <c r="FK229" i="2"/>
  <c r="FK228" i="2"/>
  <c r="FK227" i="2"/>
  <c r="FK226" i="2"/>
  <c r="FK225" i="2"/>
  <c r="FK224" i="2"/>
  <c r="FK223" i="2"/>
  <c r="FK222" i="2"/>
  <c r="FK221" i="2"/>
  <c r="FK220" i="2"/>
  <c r="FK219" i="2"/>
  <c r="FK218" i="2"/>
  <c r="FK217" i="2"/>
  <c r="FK216" i="2"/>
  <c r="FK215" i="2"/>
  <c r="FK213" i="2"/>
  <c r="FK212" i="2"/>
  <c r="FK211" i="2"/>
  <c r="FK210" i="2"/>
  <c r="FK209" i="2"/>
  <c r="FK208" i="2"/>
  <c r="FK206" i="2"/>
  <c r="FK205" i="2"/>
  <c r="FK204" i="2"/>
  <c r="FK203" i="2"/>
  <c r="FK202" i="2"/>
  <c r="FK201" i="2"/>
  <c r="FK200" i="2"/>
  <c r="FK199" i="2"/>
  <c r="FK198" i="2"/>
  <c r="FK197" i="2"/>
  <c r="FK196" i="2"/>
  <c r="FK195" i="2"/>
  <c r="FK194" i="2"/>
  <c r="FK193" i="2"/>
  <c r="FK192" i="2"/>
  <c r="FK191" i="2"/>
  <c r="FK190" i="2"/>
  <c r="FK189" i="2"/>
  <c r="FK188" i="2"/>
  <c r="FK186" i="2"/>
  <c r="FK185" i="2"/>
  <c r="FK184" i="2"/>
  <c r="FK183" i="2"/>
  <c r="FK182" i="2"/>
  <c r="FK181" i="2"/>
  <c r="FK180" i="2"/>
  <c r="FK179" i="2"/>
  <c r="FK178" i="2"/>
  <c r="FK177" i="2"/>
  <c r="FK176" i="2"/>
  <c r="FK175" i="2"/>
  <c r="FK174" i="2"/>
  <c r="FK173" i="2"/>
  <c r="FK172" i="2"/>
  <c r="FK171" i="2"/>
  <c r="FK170" i="2"/>
  <c r="FK169" i="2"/>
  <c r="FK168" i="2"/>
  <c r="FK167" i="2"/>
  <c r="FK166" i="2"/>
  <c r="FK165" i="2"/>
  <c r="FK164" i="2"/>
  <c r="FK163" i="2"/>
  <c r="FK162" i="2"/>
  <c r="FK161" i="2"/>
  <c r="FK160" i="2"/>
  <c r="FK159" i="2"/>
  <c r="FK158" i="2"/>
  <c r="FK157" i="2"/>
  <c r="FK156" i="2"/>
  <c r="FK155" i="2"/>
  <c r="FK154" i="2"/>
  <c r="FK153" i="2"/>
  <c r="FK152" i="2"/>
  <c r="FK151" i="2"/>
  <c r="FK150" i="2"/>
  <c r="FK149" i="2"/>
  <c r="FK148" i="2"/>
  <c r="FK147" i="2"/>
  <c r="FK146" i="2"/>
  <c r="FK145" i="2"/>
  <c r="FK144" i="2"/>
  <c r="FK143" i="2"/>
  <c r="FK142" i="2"/>
  <c r="FK140" i="2"/>
  <c r="FK139" i="2"/>
  <c r="FK138" i="2"/>
  <c r="FK137" i="2"/>
  <c r="FK136" i="2"/>
  <c r="FK135" i="2"/>
  <c r="FK134" i="2"/>
  <c r="FK133" i="2"/>
  <c r="FK132" i="2"/>
  <c r="FK131" i="2"/>
  <c r="FK130" i="2"/>
  <c r="FK128" i="2"/>
  <c r="FK127" i="2"/>
  <c r="FK126" i="2"/>
  <c r="FK125" i="2"/>
  <c r="FK124" i="2"/>
  <c r="FK123" i="2"/>
  <c r="FK122" i="2"/>
  <c r="FK121" i="2"/>
  <c r="FK120" i="2"/>
  <c r="FK119" i="2"/>
  <c r="FK118" i="2"/>
  <c r="FK117" i="2"/>
  <c r="FK116" i="2"/>
  <c r="FK115" i="2"/>
  <c r="FK114" i="2"/>
  <c r="FK113" i="2"/>
  <c r="FK112" i="2"/>
  <c r="FK111" i="2"/>
  <c r="FK110" i="2"/>
  <c r="FK109" i="2"/>
  <c r="FK108" i="2"/>
  <c r="FK107" i="2"/>
  <c r="FK106" i="2"/>
  <c r="FK105" i="2"/>
  <c r="FK104" i="2"/>
  <c r="FK103" i="2"/>
  <c r="FK102" i="2"/>
  <c r="FK101" i="2"/>
  <c r="FK100" i="2"/>
  <c r="FK99" i="2"/>
  <c r="FK98" i="2"/>
  <c r="FK97" i="2"/>
  <c r="FK96" i="2"/>
  <c r="FK95" i="2"/>
  <c r="FK94" i="2"/>
  <c r="FK93" i="2"/>
  <c r="FK92" i="2"/>
  <c r="FK91" i="2"/>
  <c r="FK90" i="2"/>
  <c r="FK89" i="2"/>
  <c r="FK88" i="2"/>
  <c r="FK87" i="2"/>
  <c r="FK86" i="2"/>
  <c r="FK85" i="2"/>
  <c r="FK84" i="2"/>
  <c r="FK83" i="2"/>
  <c r="FK82" i="2"/>
  <c r="FK81" i="2"/>
  <c r="FK80" i="2"/>
  <c r="FK79" i="2"/>
  <c r="FK78" i="2"/>
  <c r="FK77" i="2"/>
  <c r="FK75" i="2"/>
  <c r="FK74" i="2"/>
  <c r="FK73" i="2"/>
  <c r="FK72" i="2"/>
  <c r="FK71" i="2"/>
  <c r="FK70" i="2"/>
  <c r="FK69" i="2"/>
  <c r="FK68" i="2"/>
  <c r="FK67" i="2"/>
  <c r="FK66" i="2"/>
  <c r="FK65" i="2"/>
  <c r="FK64" i="2"/>
  <c r="FK63" i="2"/>
  <c r="FK62" i="2"/>
  <c r="FK61" i="2"/>
  <c r="FK60" i="2"/>
  <c r="FK59" i="2"/>
  <c r="FK58" i="2"/>
  <c r="FK57" i="2"/>
  <c r="FK56" i="2"/>
  <c r="FK55" i="2"/>
  <c r="FK54" i="2"/>
  <c r="FK53" i="2"/>
  <c r="FK52" i="2"/>
  <c r="FK51" i="2"/>
  <c r="FK50" i="2"/>
  <c r="FK49" i="2"/>
  <c r="FK48" i="2"/>
  <c r="FK47" i="2"/>
  <c r="FK46" i="2"/>
  <c r="FK45" i="2"/>
  <c r="FK44" i="2"/>
  <c r="FK43" i="2"/>
  <c r="FK42" i="2"/>
  <c r="FK41" i="2"/>
  <c r="FK40" i="2"/>
  <c r="FK39" i="2"/>
  <c r="FK38" i="2"/>
  <c r="FK37" i="2"/>
  <c r="FK36" i="2"/>
  <c r="FK35" i="2"/>
  <c r="FK34" i="2"/>
  <c r="FK33" i="2"/>
  <c r="FK32" i="2"/>
  <c r="FK31" i="2"/>
  <c r="FK30" i="2"/>
  <c r="FK29" i="2"/>
  <c r="FK28" i="2"/>
  <c r="FK27" i="2"/>
  <c r="FK26" i="2"/>
  <c r="FK25" i="2"/>
  <c r="FK24" i="2"/>
  <c r="FK23" i="2"/>
  <c r="FK22" i="2"/>
  <c r="FK20" i="2"/>
  <c r="FK19" i="2"/>
  <c r="FK18" i="2"/>
  <c r="FK17" i="2"/>
  <c r="FK16" i="2"/>
  <c r="FK15" i="2"/>
  <c r="FK14" i="2"/>
  <c r="FK13" i="2"/>
  <c r="FK12" i="2"/>
  <c r="FK11" i="2"/>
  <c r="FK10" i="2"/>
  <c r="FK9" i="2"/>
  <c r="FK8" i="2"/>
  <c r="FK7" i="2"/>
  <c r="FK6" i="2"/>
  <c r="HA170" i="2"/>
  <c r="GY170" i="2"/>
  <c r="GX170" i="2"/>
  <c r="GQ170" i="2"/>
  <c r="GP170" i="2"/>
  <c r="GO170" i="2"/>
  <c r="GN170" i="2"/>
  <c r="GM170" i="2"/>
  <c r="GE170" i="2"/>
  <c r="GD170" i="2"/>
  <c r="FZ170" i="2"/>
  <c r="FY170" i="2"/>
  <c r="FX170" i="2"/>
  <c r="FW170" i="2"/>
  <c r="FP170" i="2"/>
  <c r="FH170" i="2"/>
  <c r="FE170" i="2"/>
  <c r="FD170" i="2"/>
  <c r="FC170" i="2"/>
  <c r="ET170" i="2"/>
  <c r="ES170" i="2"/>
  <c r="EP170" i="2"/>
  <c r="EN170" i="2"/>
  <c r="EK170" i="2"/>
  <c r="EH170" i="2"/>
  <c r="EG170" i="2"/>
  <c r="EF170" i="2"/>
  <c r="EE170" i="2"/>
  <c r="DY170" i="2"/>
  <c r="DX170" i="2"/>
  <c r="DW170" i="2"/>
  <c r="DV170" i="2"/>
  <c r="DU170" i="2"/>
  <c r="DQ170" i="2"/>
  <c r="DP170" i="2"/>
  <c r="DO170" i="2"/>
  <c r="DN170" i="2"/>
  <c r="DM170" i="2"/>
  <c r="DK170" i="2"/>
  <c r="DJ170" i="2"/>
  <c r="DG170" i="2"/>
  <c r="DF170" i="2"/>
  <c r="DE170" i="2"/>
  <c r="DD170" i="2"/>
  <c r="CY170" i="2"/>
  <c r="CW170" i="2"/>
  <c r="CV170" i="2"/>
  <c r="CU170" i="2"/>
  <c r="CT170" i="2"/>
  <c r="CS170" i="2"/>
  <c r="CM170" i="2"/>
  <c r="CH170" i="2"/>
  <c r="CG170" i="2"/>
  <c r="CE170" i="2"/>
  <c r="CL170" i="2" s="1"/>
  <c r="CA170" i="2"/>
  <c r="BZ170" i="2"/>
  <c r="BX170" i="2"/>
  <c r="BW170" i="2"/>
  <c r="BV170" i="2"/>
  <c r="BU170" i="2"/>
  <c r="BT170" i="2"/>
  <c r="BR170" i="2"/>
  <c r="BQ170" i="2"/>
  <c r="BP170" i="2"/>
  <c r="BK170" i="2"/>
  <c r="BJ170" i="2"/>
  <c r="BI170" i="2"/>
  <c r="BD170" i="2"/>
  <c r="BB170" i="2"/>
  <c r="BA170" i="2"/>
  <c r="AZ170" i="2"/>
  <c r="AY170" i="2"/>
  <c r="AX170" i="2"/>
  <c r="AW170" i="2"/>
  <c r="AV170" i="2"/>
  <c r="AR170" i="2"/>
  <c r="AQ170" i="2"/>
  <c r="AP170" i="2"/>
  <c r="AO170" i="2"/>
  <c r="AN170" i="2" s="1"/>
  <c r="AJ170" i="2"/>
  <c r="AI170" i="2"/>
  <c r="AC170" i="2"/>
  <c r="AB170" i="2"/>
  <c r="Z170" i="2"/>
  <c r="V170" i="2"/>
  <c r="W170" i="2" s="1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G170" i="2"/>
  <c r="F170" i="2"/>
  <c r="E170" i="2"/>
  <c r="D170" i="2"/>
  <c r="FL281" i="2" l="1"/>
  <c r="FK280" i="2"/>
  <c r="FK281" i="2" s="1"/>
  <c r="FG170" i="2"/>
  <c r="HB170" i="2"/>
  <c r="AE170" i="2"/>
  <c r="DH170" i="2"/>
  <c r="EY170" i="2" s="1"/>
  <c r="DL170" i="2"/>
  <c r="X170" i="2"/>
  <c r="BH170" i="2"/>
  <c r="GR170" i="2"/>
  <c r="EX170" i="2"/>
  <c r="CX170" i="2"/>
  <c r="DA170" i="2" s="1"/>
  <c r="EW170" i="2"/>
  <c r="CF170" i="2"/>
  <c r="N78" i="9"/>
  <c r="M78" i="9"/>
  <c r="N77" i="9"/>
  <c r="M77" i="9"/>
  <c r="K77" i="9"/>
  <c r="L37" i="9"/>
  <c r="J37" i="9"/>
  <c r="I37" i="9"/>
  <c r="C37" i="9"/>
  <c r="C40" i="9" s="1"/>
  <c r="B37" i="9"/>
  <c r="B40" i="9" s="1"/>
  <c r="N34" i="9"/>
  <c r="M34" i="9"/>
  <c r="N33" i="9"/>
  <c r="M33" i="9"/>
  <c r="K33" i="9"/>
  <c r="K37" i="9" s="1"/>
  <c r="D33" i="9"/>
  <c r="D37" i="9" s="1"/>
  <c r="V76" i="7"/>
  <c r="M46" i="6"/>
  <c r="J46" i="6"/>
  <c r="G46" i="6"/>
  <c r="D47" i="6"/>
  <c r="R13" i="6"/>
  <c r="AD13" i="6" s="1"/>
  <c r="K13" i="6"/>
  <c r="J13" i="6"/>
  <c r="I13" i="6"/>
  <c r="H13" i="6"/>
  <c r="G13" i="6"/>
  <c r="F13" i="6"/>
  <c r="E13" i="6"/>
  <c r="L13" i="6" l="1"/>
  <c r="O77" i="9"/>
  <c r="O78" i="9"/>
  <c r="O33" i="9"/>
  <c r="O34" i="9"/>
  <c r="V13" i="6"/>
  <c r="N13" i="6"/>
  <c r="X13" i="6" s="1"/>
  <c r="Z13" i="6" s="1"/>
  <c r="AB13" i="6" s="1"/>
  <c r="FK283" i="2"/>
  <c r="EZ170" i="2"/>
  <c r="FA170" i="2" s="1"/>
  <c r="AF13" i="6"/>
  <c r="M13" i="6"/>
  <c r="U27" i="6" l="1"/>
  <c r="V27" i="6" l="1"/>
  <c r="F19" i="17"/>
  <c r="AE27" i="6"/>
  <c r="Q22" i="15"/>
  <c r="Q21" i="15"/>
  <c r="J19" i="15"/>
  <c r="P113" i="7"/>
  <c r="M113" i="7"/>
  <c r="J113" i="7"/>
  <c r="F113" i="7"/>
  <c r="C113" i="7"/>
  <c r="P108" i="7"/>
  <c r="M108" i="7"/>
  <c r="J108" i="7"/>
  <c r="F108" i="7"/>
  <c r="S107" i="7"/>
  <c r="P107" i="7"/>
  <c r="O107" i="7"/>
  <c r="M107" i="7"/>
  <c r="L107" i="7"/>
  <c r="J107" i="7"/>
  <c r="I107" i="7"/>
  <c r="H107" i="7"/>
  <c r="F107" i="7"/>
  <c r="E107" i="7"/>
  <c r="S106" i="7"/>
  <c r="P106" i="7"/>
  <c r="O106" i="7"/>
  <c r="M106" i="7"/>
  <c r="L106" i="7"/>
  <c r="J106" i="7"/>
  <c r="I106" i="7"/>
  <c r="H106" i="7"/>
  <c r="F106" i="7"/>
  <c r="E106" i="7"/>
  <c r="S103" i="7"/>
  <c r="P103" i="7"/>
  <c r="O103" i="7"/>
  <c r="M103" i="7"/>
  <c r="L103" i="7"/>
  <c r="J103" i="7"/>
  <c r="I103" i="7"/>
  <c r="H103" i="7"/>
  <c r="F103" i="7"/>
  <c r="E103" i="7"/>
  <c r="P102" i="7"/>
  <c r="M102" i="7"/>
  <c r="J102" i="7"/>
  <c r="F102" i="7"/>
  <c r="S101" i="7"/>
  <c r="P101" i="7"/>
  <c r="O101" i="7"/>
  <c r="M101" i="7"/>
  <c r="L101" i="7"/>
  <c r="J101" i="7"/>
  <c r="I101" i="7"/>
  <c r="H101" i="7"/>
  <c r="F101" i="7"/>
  <c r="E101" i="7"/>
  <c r="P99" i="7"/>
  <c r="M99" i="7"/>
  <c r="J99" i="7"/>
  <c r="F99" i="7"/>
  <c r="P98" i="7"/>
  <c r="M98" i="7"/>
  <c r="J98" i="7"/>
  <c r="F98" i="7"/>
  <c r="P97" i="7"/>
  <c r="M97" i="7"/>
  <c r="J97" i="7"/>
  <c r="F97" i="7"/>
  <c r="P96" i="7"/>
  <c r="M96" i="7"/>
  <c r="J96" i="7"/>
  <c r="F96" i="7"/>
  <c r="M93" i="7"/>
  <c r="J93" i="7"/>
  <c r="C108" i="7"/>
  <c r="C107" i="7"/>
  <c r="C106" i="7"/>
  <c r="C103" i="7"/>
  <c r="C102" i="7"/>
  <c r="C101" i="7"/>
  <c r="C99" i="7"/>
  <c r="C98" i="7"/>
  <c r="C97" i="7"/>
  <c r="C96" i="7"/>
  <c r="C93" i="7"/>
  <c r="B107" i="7"/>
  <c r="B106" i="7"/>
  <c r="B103" i="7"/>
  <c r="B101" i="7"/>
  <c r="M110" i="10"/>
  <c r="L115" i="10"/>
  <c r="L114" i="10"/>
  <c r="L113" i="10"/>
  <c r="L110" i="10"/>
  <c r="L106" i="10"/>
  <c r="L107" i="10" s="1"/>
  <c r="L100" i="10"/>
  <c r="L102" i="10" s="1"/>
  <c r="L97" i="10"/>
  <c r="L96" i="10"/>
  <c r="L95" i="10"/>
  <c r="L94" i="10"/>
  <c r="L92" i="10"/>
  <c r="L91" i="10"/>
  <c r="L90" i="10"/>
  <c r="K114" i="10"/>
  <c r="K110" i="10"/>
  <c r="K106" i="10"/>
  <c r="K107" i="10" s="1"/>
  <c r="K100" i="10"/>
  <c r="K102" i="10" s="1"/>
  <c r="K97" i="10"/>
  <c r="K96" i="10"/>
  <c r="K95" i="10"/>
  <c r="K94" i="10"/>
  <c r="K91" i="10"/>
  <c r="K90" i="10"/>
  <c r="J114" i="10"/>
  <c r="J110" i="10"/>
  <c r="J100" i="10"/>
  <c r="J102" i="10" s="1"/>
  <c r="J95" i="10"/>
  <c r="I114" i="10"/>
  <c r="I110" i="10"/>
  <c r="I100" i="10"/>
  <c r="I102" i="10" s="1"/>
  <c r="I97" i="10"/>
  <c r="I95" i="10"/>
  <c r="I94" i="10"/>
  <c r="I92" i="10"/>
  <c r="I91" i="10"/>
  <c r="I90" i="10"/>
  <c r="H114" i="10"/>
  <c r="H110" i="10"/>
  <c r="H106" i="10"/>
  <c r="H107" i="10" s="1"/>
  <c r="H100" i="10"/>
  <c r="H102" i="10" s="1"/>
  <c r="H97" i="10"/>
  <c r="H95" i="10"/>
  <c r="H94" i="10"/>
  <c r="H92" i="10"/>
  <c r="H91" i="10"/>
  <c r="H90" i="10"/>
  <c r="G114" i="10"/>
  <c r="G110" i="10"/>
  <c r="G106" i="10"/>
  <c r="G107" i="10" s="1"/>
  <c r="G100" i="10"/>
  <c r="G97" i="10"/>
  <c r="G95" i="10"/>
  <c r="G94" i="10"/>
  <c r="G92" i="10"/>
  <c r="G91" i="10"/>
  <c r="G90" i="10"/>
  <c r="F114" i="10"/>
  <c r="F110" i="10"/>
  <c r="F100" i="10"/>
  <c r="F102" i="10" s="1"/>
  <c r="F97" i="10"/>
  <c r="F95" i="10"/>
  <c r="F92" i="10"/>
  <c r="F91" i="10"/>
  <c r="F90" i="10"/>
  <c r="E114" i="10"/>
  <c r="E110" i="10"/>
  <c r="E106" i="10"/>
  <c r="E107" i="10" s="1"/>
  <c r="E100" i="10"/>
  <c r="E102" i="10" s="1"/>
  <c r="E97" i="10"/>
  <c r="E95" i="10"/>
  <c r="E94" i="10"/>
  <c r="E92" i="10"/>
  <c r="E91" i="10"/>
  <c r="E90" i="10"/>
  <c r="J117" i="10"/>
  <c r="D117" i="10"/>
  <c r="A117" i="10"/>
  <c r="D110" i="10"/>
  <c r="C89" i="10"/>
  <c r="B89" i="10"/>
  <c r="K87" i="10"/>
  <c r="J87" i="10"/>
  <c r="D19" i="15"/>
  <c r="H89" i="10" l="1"/>
  <c r="I89" i="10"/>
  <c r="K93" i="10"/>
  <c r="AF27" i="6"/>
  <c r="L93" i="10"/>
  <c r="F89" i="10"/>
  <c r="G89" i="10"/>
  <c r="L89" i="10"/>
  <c r="L111" i="10"/>
  <c r="E89" i="10"/>
  <c r="H111" i="10"/>
  <c r="K111" i="10"/>
  <c r="G111" i="10"/>
  <c r="M117" i="10"/>
  <c r="G102" i="10"/>
  <c r="E111" i="10"/>
  <c r="D33" i="10"/>
  <c r="D31" i="10"/>
  <c r="L98" i="10" l="1"/>
  <c r="L103" i="10" s="1"/>
  <c r="L112" i="10" s="1"/>
  <c r="P54" i="7" l="1"/>
  <c r="P93" i="7" s="1"/>
  <c r="F54" i="7"/>
  <c r="F93" i="7" s="1"/>
  <c r="U27" i="7"/>
  <c r="I56" i="6" l="1"/>
  <c r="I82" i="6"/>
  <c r="I81" i="6"/>
  <c r="I79" i="6"/>
  <c r="I41" i="6"/>
  <c r="I40" i="6"/>
  <c r="I39" i="6"/>
  <c r="I38" i="6"/>
  <c r="Q29" i="6"/>
  <c r="Q7" i="6"/>
  <c r="Q6" i="6"/>
  <c r="Q5" i="6"/>
  <c r="Q4" i="6"/>
  <c r="Q3" i="6"/>
  <c r="DE263" i="2" l="1"/>
  <c r="F7" i="16"/>
  <c r="F6" i="16"/>
  <c r="F5" i="16"/>
  <c r="F4" i="16"/>
  <c r="F3" i="16"/>
  <c r="E10" i="16"/>
  <c r="P56" i="7"/>
  <c r="J56" i="7"/>
  <c r="F56" i="7"/>
  <c r="M56" i="7"/>
  <c r="C56" i="7"/>
  <c r="S14" i="7"/>
  <c r="P14" i="7"/>
  <c r="O14" i="7"/>
  <c r="J14" i="7"/>
  <c r="I14" i="7"/>
  <c r="H14" i="7"/>
  <c r="F14" i="7"/>
  <c r="E14" i="7"/>
  <c r="M14" i="7"/>
  <c r="L14" i="7"/>
  <c r="C14" i="7"/>
  <c r="B14" i="7"/>
  <c r="D141" i="11"/>
  <c r="D140" i="11"/>
  <c r="F10" i="8"/>
  <c r="C10" i="8"/>
  <c r="B10" i="8"/>
  <c r="M69" i="9"/>
  <c r="M67" i="9"/>
  <c r="M66" i="9"/>
  <c r="M65" i="9"/>
  <c r="M62" i="9"/>
  <c r="M60" i="9"/>
  <c r="O31" i="9"/>
  <c r="O30" i="9"/>
  <c r="M31" i="9"/>
  <c r="M30" i="9"/>
  <c r="M26" i="9"/>
  <c r="M25" i="9"/>
  <c r="M22" i="9"/>
  <c r="M21" i="9"/>
  <c r="N16" i="9"/>
  <c r="M16" i="9"/>
  <c r="N23" i="9"/>
  <c r="N17" i="9"/>
  <c r="N14" i="9"/>
  <c r="N13" i="9"/>
  <c r="N12" i="9"/>
  <c r="N11" i="9"/>
  <c r="N9" i="9"/>
  <c r="N8" i="9"/>
  <c r="N7" i="9"/>
  <c r="M23" i="9"/>
  <c r="M18" i="9"/>
  <c r="M17" i="9"/>
  <c r="M14" i="9"/>
  <c r="M13" i="9"/>
  <c r="M12" i="9"/>
  <c r="M11" i="9"/>
  <c r="M9" i="9"/>
  <c r="M8" i="9"/>
  <c r="M7" i="9"/>
  <c r="D71" i="10"/>
  <c r="M33" i="10"/>
  <c r="D12" i="17" s="1"/>
  <c r="M31" i="10"/>
  <c r="D32" i="10"/>
  <c r="M32" i="10" s="1"/>
  <c r="D27" i="10"/>
  <c r="M27" i="10" s="1"/>
  <c r="D24" i="10"/>
  <c r="M24" i="10" s="1"/>
  <c r="D19" i="10"/>
  <c r="M19" i="10" s="1"/>
  <c r="D18" i="10"/>
  <c r="M18" i="10" s="1"/>
  <c r="D15" i="10"/>
  <c r="M15" i="10" s="1"/>
  <c r="D14" i="10"/>
  <c r="M14" i="10" s="1"/>
  <c r="D13" i="10"/>
  <c r="M13" i="10" s="1"/>
  <c r="D12" i="10"/>
  <c r="M12" i="10" s="1"/>
  <c r="D10" i="10"/>
  <c r="D9" i="10"/>
  <c r="M9" i="10" s="1"/>
  <c r="D8" i="10"/>
  <c r="M8" i="10" s="1"/>
  <c r="C7" i="10"/>
  <c r="B7" i="10"/>
  <c r="C65" i="10"/>
  <c r="B65" i="10"/>
  <c r="C62" i="10"/>
  <c r="C57" i="10"/>
  <c r="C28" i="10"/>
  <c r="B28" i="10"/>
  <c r="C25" i="10"/>
  <c r="B25" i="10"/>
  <c r="C20" i="10"/>
  <c r="B20" i="10"/>
  <c r="C11" i="10"/>
  <c r="B11" i="10"/>
  <c r="L44" i="10"/>
  <c r="I44" i="10"/>
  <c r="H44" i="10"/>
  <c r="G44" i="10"/>
  <c r="F44" i="10"/>
  <c r="E44" i="10"/>
  <c r="L7" i="10"/>
  <c r="K7" i="10"/>
  <c r="J7" i="10"/>
  <c r="I7" i="10"/>
  <c r="H7" i="10"/>
  <c r="G7" i="10"/>
  <c r="F7" i="10"/>
  <c r="E7" i="10"/>
  <c r="F95" i="7" l="1"/>
  <c r="C95" i="7"/>
  <c r="M95" i="7"/>
  <c r="J95" i="7"/>
  <c r="D7" i="10"/>
  <c r="M10" i="10"/>
  <c r="P95" i="7"/>
  <c r="T23" i="6"/>
  <c r="Q23" i="6"/>
  <c r="C16" i="10"/>
  <c r="C21" i="10" s="1"/>
  <c r="C29" i="10"/>
  <c r="B16" i="10"/>
  <c r="B21" i="10" s="1"/>
  <c r="C66" i="10"/>
  <c r="B29" i="10"/>
  <c r="C30" i="10" l="1"/>
  <c r="B30" i="10"/>
  <c r="H390" i="2" l="1"/>
  <c r="H391" i="2" s="1"/>
  <c r="H392" i="2" s="1"/>
  <c r="H393" i="2" s="1"/>
  <c r="H394" i="2" s="1"/>
  <c r="H395" i="2" s="1"/>
  <c r="H396" i="2" s="1"/>
  <c r="H397" i="2" s="1"/>
  <c r="H398" i="2" s="1"/>
  <c r="H399" i="2" s="1"/>
  <c r="H400" i="2" s="1"/>
  <c r="H401" i="2" s="1"/>
  <c r="H402" i="2" s="1"/>
  <c r="FP273" i="2" l="1"/>
  <c r="FD264" i="2"/>
  <c r="FD263" i="2"/>
  <c r="E225" i="2"/>
  <c r="E210" i="2"/>
  <c r="E136" i="2"/>
  <c r="E125" i="2"/>
  <c r="E87" i="2"/>
  <c r="E85" i="2"/>
  <c r="E84" i="2"/>
  <c r="P12" i="2"/>
  <c r="E270" i="2"/>
  <c r="E269" i="2"/>
  <c r="HA270" i="2"/>
  <c r="GY270" i="2"/>
  <c r="GX270" i="2"/>
  <c r="GQ270" i="2"/>
  <c r="GP270" i="2"/>
  <c r="GO270" i="2"/>
  <c r="GN270" i="2"/>
  <c r="GM270" i="2"/>
  <c r="GE270" i="2"/>
  <c r="GD270" i="2"/>
  <c r="FZ270" i="2"/>
  <c r="FY270" i="2"/>
  <c r="FX270" i="2"/>
  <c r="FW270" i="2"/>
  <c r="FP270" i="2"/>
  <c r="FH270" i="2"/>
  <c r="FE270" i="2"/>
  <c r="FC270" i="2"/>
  <c r="FF270" i="2" s="1"/>
  <c r="ET270" i="2"/>
  <c r="ES270" i="2"/>
  <c r="EP270" i="2"/>
  <c r="EN270" i="2"/>
  <c r="EK270" i="2"/>
  <c r="EH270" i="2"/>
  <c r="EG270" i="2"/>
  <c r="EF270" i="2"/>
  <c r="EE270" i="2"/>
  <c r="DY270" i="2"/>
  <c r="DX270" i="2"/>
  <c r="DW270" i="2"/>
  <c r="DV270" i="2"/>
  <c r="DU270" i="2"/>
  <c r="DQ270" i="2"/>
  <c r="DP270" i="2"/>
  <c r="DO270" i="2"/>
  <c r="DN270" i="2"/>
  <c r="DM270" i="2"/>
  <c r="DK270" i="2"/>
  <c r="DJ270" i="2"/>
  <c r="DG270" i="2"/>
  <c r="DF270" i="2"/>
  <c r="DE270" i="2"/>
  <c r="DD270" i="2"/>
  <c r="CY270" i="2"/>
  <c r="CW270" i="2"/>
  <c r="CV270" i="2"/>
  <c r="CU270" i="2"/>
  <c r="CT270" i="2"/>
  <c r="CS270" i="2"/>
  <c r="CM270" i="2"/>
  <c r="CH270" i="2"/>
  <c r="CG270" i="2"/>
  <c r="CE270" i="2"/>
  <c r="CF270" i="2" s="1"/>
  <c r="CA270" i="2"/>
  <c r="BZ270" i="2"/>
  <c r="BX270" i="2"/>
  <c r="BW270" i="2"/>
  <c r="BV270" i="2"/>
  <c r="BU270" i="2"/>
  <c r="BT270" i="2"/>
  <c r="BR270" i="2"/>
  <c r="BQ270" i="2"/>
  <c r="BP270" i="2"/>
  <c r="BK270" i="2"/>
  <c r="BJ270" i="2"/>
  <c r="BI270" i="2"/>
  <c r="BD270" i="2"/>
  <c r="BB270" i="2"/>
  <c r="BA270" i="2"/>
  <c r="AZ270" i="2"/>
  <c r="AY270" i="2"/>
  <c r="AX270" i="2"/>
  <c r="AW270" i="2"/>
  <c r="AV270" i="2"/>
  <c r="AR270" i="2"/>
  <c r="AQ270" i="2"/>
  <c r="AP270" i="2"/>
  <c r="AO270" i="2"/>
  <c r="AN270" i="2" s="1"/>
  <c r="AJ270" i="2"/>
  <c r="AI270" i="2"/>
  <c r="AC270" i="2"/>
  <c r="AB270" i="2"/>
  <c r="Z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G270" i="2"/>
  <c r="F270" i="2"/>
  <c r="D270" i="2"/>
  <c r="HA269" i="2"/>
  <c r="GY269" i="2"/>
  <c r="GX269" i="2"/>
  <c r="GQ269" i="2"/>
  <c r="GP269" i="2"/>
  <c r="GO269" i="2"/>
  <c r="GN269" i="2"/>
  <c r="GM269" i="2"/>
  <c r="GE269" i="2"/>
  <c r="GD269" i="2"/>
  <c r="FZ269" i="2"/>
  <c r="FY269" i="2"/>
  <c r="FX269" i="2"/>
  <c r="FW269" i="2"/>
  <c r="FP269" i="2"/>
  <c r="FH269" i="2"/>
  <c r="FE269" i="2"/>
  <c r="FD269" i="2"/>
  <c r="FC269" i="2"/>
  <c r="ET269" i="2"/>
  <c r="ES269" i="2"/>
  <c r="EP269" i="2"/>
  <c r="EN269" i="2"/>
  <c r="EK269" i="2"/>
  <c r="EH269" i="2"/>
  <c r="EG269" i="2"/>
  <c r="EF269" i="2"/>
  <c r="EE269" i="2"/>
  <c r="DY269" i="2"/>
  <c r="DX269" i="2"/>
  <c r="DW269" i="2"/>
  <c r="DV269" i="2"/>
  <c r="DU269" i="2"/>
  <c r="DQ269" i="2"/>
  <c r="DP269" i="2"/>
  <c r="DO269" i="2"/>
  <c r="DN269" i="2"/>
  <c r="DM269" i="2"/>
  <c r="DK269" i="2"/>
  <c r="DJ269" i="2"/>
  <c r="DF269" i="2"/>
  <c r="DD269" i="2"/>
  <c r="DG269" i="2" s="1"/>
  <c r="CY269" i="2"/>
  <c r="CW269" i="2"/>
  <c r="CV269" i="2"/>
  <c r="CU269" i="2"/>
  <c r="CT269" i="2"/>
  <c r="CS269" i="2"/>
  <c r="CM269" i="2"/>
  <c r="CH269" i="2"/>
  <c r="CG269" i="2"/>
  <c r="CE269" i="2"/>
  <c r="CF269" i="2" s="1"/>
  <c r="CA269" i="2"/>
  <c r="BZ269" i="2"/>
  <c r="BX269" i="2"/>
  <c r="BW269" i="2"/>
  <c r="BV269" i="2"/>
  <c r="BU269" i="2"/>
  <c r="BT269" i="2"/>
  <c r="BR269" i="2"/>
  <c r="BQ269" i="2"/>
  <c r="BP269" i="2"/>
  <c r="BK269" i="2"/>
  <c r="BJ269" i="2"/>
  <c r="BI269" i="2"/>
  <c r="BD269" i="2"/>
  <c r="BB269" i="2"/>
  <c r="BA269" i="2"/>
  <c r="AZ269" i="2"/>
  <c r="AY269" i="2"/>
  <c r="AX269" i="2"/>
  <c r="AW269" i="2"/>
  <c r="AV269" i="2"/>
  <c r="AR269" i="2"/>
  <c r="AQ269" i="2"/>
  <c r="AP269" i="2"/>
  <c r="AO269" i="2"/>
  <c r="AN269" i="2" s="1"/>
  <c r="AJ269" i="2"/>
  <c r="AI269" i="2"/>
  <c r="AC269" i="2"/>
  <c r="AB269" i="2"/>
  <c r="Z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G269" i="2"/>
  <c r="F269" i="2"/>
  <c r="D269" i="2"/>
  <c r="HA206" i="2"/>
  <c r="GY206" i="2"/>
  <c r="GX206" i="2"/>
  <c r="GQ206" i="2"/>
  <c r="GP206" i="2"/>
  <c r="GO206" i="2"/>
  <c r="GN206" i="2"/>
  <c r="GM206" i="2"/>
  <c r="GE206" i="2"/>
  <c r="GD206" i="2"/>
  <c r="FZ206" i="2"/>
  <c r="FY206" i="2"/>
  <c r="FX206" i="2"/>
  <c r="FW206" i="2"/>
  <c r="FP206" i="2"/>
  <c r="FH206" i="2"/>
  <c r="FE206" i="2"/>
  <c r="FD206" i="2"/>
  <c r="FC206" i="2"/>
  <c r="ET206" i="2"/>
  <c r="ES206" i="2"/>
  <c r="EP206" i="2"/>
  <c r="EN206" i="2"/>
  <c r="EK206" i="2"/>
  <c r="EH206" i="2"/>
  <c r="EG206" i="2"/>
  <c r="EF206" i="2"/>
  <c r="EE206" i="2"/>
  <c r="DY206" i="2"/>
  <c r="DX206" i="2"/>
  <c r="DW206" i="2"/>
  <c r="DV206" i="2"/>
  <c r="DU206" i="2"/>
  <c r="DQ206" i="2"/>
  <c r="DP206" i="2"/>
  <c r="DO206" i="2"/>
  <c r="DN206" i="2"/>
  <c r="DM206" i="2"/>
  <c r="DK206" i="2"/>
  <c r="DJ206" i="2"/>
  <c r="DG206" i="2"/>
  <c r="DF206" i="2"/>
  <c r="DE206" i="2"/>
  <c r="DD206" i="2"/>
  <c r="CY206" i="2"/>
  <c r="CW206" i="2"/>
  <c r="CV206" i="2"/>
  <c r="CU206" i="2"/>
  <c r="CT206" i="2"/>
  <c r="CS206" i="2"/>
  <c r="CM206" i="2"/>
  <c r="CH206" i="2"/>
  <c r="CG206" i="2"/>
  <c r="CE206" i="2"/>
  <c r="CF206" i="2" s="1"/>
  <c r="CA206" i="2"/>
  <c r="BZ206" i="2"/>
  <c r="BX206" i="2"/>
  <c r="BW206" i="2"/>
  <c r="BV206" i="2"/>
  <c r="BU206" i="2"/>
  <c r="BT206" i="2"/>
  <c r="BR206" i="2"/>
  <c r="BQ206" i="2"/>
  <c r="BP206" i="2"/>
  <c r="BK206" i="2"/>
  <c r="BJ206" i="2"/>
  <c r="BI206" i="2"/>
  <c r="BD206" i="2"/>
  <c r="BB206" i="2"/>
  <c r="BA206" i="2"/>
  <c r="AZ206" i="2"/>
  <c r="AY206" i="2"/>
  <c r="AX206" i="2"/>
  <c r="AW206" i="2"/>
  <c r="AV206" i="2"/>
  <c r="AR206" i="2"/>
  <c r="AQ206" i="2"/>
  <c r="AP206" i="2"/>
  <c r="AO206" i="2"/>
  <c r="AN206" i="2" s="1"/>
  <c r="AJ206" i="2"/>
  <c r="AI206" i="2"/>
  <c r="AC206" i="2"/>
  <c r="AB206" i="2"/>
  <c r="Z206" i="2"/>
  <c r="V206" i="2"/>
  <c r="W206" i="2" s="1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G206" i="2"/>
  <c r="F206" i="2"/>
  <c r="E206" i="2"/>
  <c r="D206" i="2"/>
  <c r="HA205" i="2"/>
  <c r="GY205" i="2"/>
  <c r="GX205" i="2"/>
  <c r="GQ205" i="2"/>
  <c r="GP205" i="2"/>
  <c r="GO205" i="2"/>
  <c r="GN205" i="2"/>
  <c r="GM205" i="2"/>
  <c r="GE205" i="2"/>
  <c r="GD205" i="2"/>
  <c r="FZ205" i="2"/>
  <c r="FY205" i="2"/>
  <c r="FX205" i="2"/>
  <c r="FW205" i="2"/>
  <c r="FP205" i="2"/>
  <c r="FH205" i="2"/>
  <c r="FE205" i="2"/>
  <c r="FD205" i="2"/>
  <c r="FC205" i="2"/>
  <c r="ET205" i="2"/>
  <c r="ES205" i="2"/>
  <c r="EP205" i="2"/>
  <c r="EN205" i="2"/>
  <c r="EK205" i="2"/>
  <c r="EH205" i="2"/>
  <c r="EG205" i="2"/>
  <c r="EF205" i="2"/>
  <c r="EE205" i="2"/>
  <c r="DY205" i="2"/>
  <c r="DX205" i="2"/>
  <c r="DW205" i="2"/>
  <c r="DV205" i="2"/>
  <c r="DU205" i="2"/>
  <c r="DQ205" i="2"/>
  <c r="DP205" i="2"/>
  <c r="DO205" i="2"/>
  <c r="DN205" i="2"/>
  <c r="DM205" i="2"/>
  <c r="DK205" i="2"/>
  <c r="DJ205" i="2"/>
  <c r="DG205" i="2"/>
  <c r="DF205" i="2"/>
  <c r="DE205" i="2"/>
  <c r="DD205" i="2"/>
  <c r="CY205" i="2"/>
  <c r="CW205" i="2"/>
  <c r="CV205" i="2"/>
  <c r="CU205" i="2"/>
  <c r="CT205" i="2"/>
  <c r="CS205" i="2"/>
  <c r="CM205" i="2"/>
  <c r="CH205" i="2"/>
  <c r="CG205" i="2"/>
  <c r="CE205" i="2"/>
  <c r="CF205" i="2" s="1"/>
  <c r="CA205" i="2"/>
  <c r="BZ205" i="2"/>
  <c r="BX205" i="2"/>
  <c r="BW205" i="2"/>
  <c r="BV205" i="2"/>
  <c r="BU205" i="2"/>
  <c r="BT205" i="2"/>
  <c r="BR205" i="2"/>
  <c r="BQ205" i="2"/>
  <c r="BP205" i="2"/>
  <c r="BK205" i="2"/>
  <c r="BJ205" i="2"/>
  <c r="BI205" i="2"/>
  <c r="BD205" i="2"/>
  <c r="BB205" i="2"/>
  <c r="BA205" i="2"/>
  <c r="AZ205" i="2"/>
  <c r="AY205" i="2"/>
  <c r="AX205" i="2"/>
  <c r="AW205" i="2"/>
  <c r="AV205" i="2"/>
  <c r="AR205" i="2"/>
  <c r="AQ205" i="2"/>
  <c r="AP205" i="2"/>
  <c r="AO205" i="2"/>
  <c r="AN205" i="2" s="1"/>
  <c r="AJ205" i="2"/>
  <c r="AI205" i="2"/>
  <c r="AC205" i="2"/>
  <c r="AB205" i="2"/>
  <c r="Z205" i="2"/>
  <c r="V205" i="2"/>
  <c r="W205" i="2" s="1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G205" i="2"/>
  <c r="F205" i="2"/>
  <c r="E205" i="2"/>
  <c r="D205" i="2"/>
  <c r="DH269" i="2" l="1"/>
  <c r="EY269" i="2" s="1"/>
  <c r="FG270" i="2"/>
  <c r="CX269" i="2"/>
  <c r="DA269" i="2" s="1"/>
  <c r="HB269" i="2"/>
  <c r="AE270" i="2"/>
  <c r="DH270" i="2"/>
  <c r="EY270" i="2" s="1"/>
  <c r="EW270" i="2"/>
  <c r="AE269" i="2"/>
  <c r="EW269" i="2"/>
  <c r="FG269" i="2"/>
  <c r="CL270" i="2"/>
  <c r="DL270" i="2"/>
  <c r="EX270" i="2"/>
  <c r="CL269" i="2"/>
  <c r="EX269" i="2"/>
  <c r="GR270" i="2"/>
  <c r="DL269" i="2"/>
  <c r="GR269" i="2"/>
  <c r="CX270" i="2"/>
  <c r="DA270" i="2" s="1"/>
  <c r="HB270" i="2"/>
  <c r="X270" i="2"/>
  <c r="X269" i="2"/>
  <c r="BH269" i="2"/>
  <c r="BH270" i="2"/>
  <c r="FG206" i="2"/>
  <c r="CL205" i="2"/>
  <c r="DH205" i="2"/>
  <c r="EY205" i="2" s="1"/>
  <c r="DL205" i="2"/>
  <c r="EX205" i="2"/>
  <c r="CL206" i="2"/>
  <c r="DH206" i="2"/>
  <c r="EY206" i="2" s="1"/>
  <c r="DL206" i="2"/>
  <c r="EX206" i="2"/>
  <c r="GR205" i="2"/>
  <c r="GR206" i="2"/>
  <c r="CX205" i="2"/>
  <c r="DA205" i="2" s="1"/>
  <c r="FG205" i="2"/>
  <c r="HB205" i="2"/>
  <c r="CX206" i="2"/>
  <c r="DA206" i="2" s="1"/>
  <c r="HB206" i="2"/>
  <c r="AE205" i="2"/>
  <c r="EW205" i="2"/>
  <c r="AE206" i="2"/>
  <c r="EW206" i="2"/>
  <c r="X205" i="2"/>
  <c r="X206" i="2"/>
  <c r="BH205" i="2"/>
  <c r="BH206" i="2"/>
  <c r="M71" i="10"/>
  <c r="EZ206" i="2" l="1"/>
  <c r="FA206" i="2" s="1"/>
  <c r="EZ205" i="2"/>
  <c r="FA205" i="2" s="1"/>
  <c r="EZ269" i="2"/>
  <c r="FA269" i="2" s="1"/>
  <c r="EZ270" i="2"/>
  <c r="FA270" i="2" s="1"/>
  <c r="C2" i="17" l="1"/>
  <c r="K19" i="17" l="1"/>
  <c r="J19" i="17" s="1"/>
  <c r="F25" i="17"/>
  <c r="D2" i="17"/>
  <c r="A7" i="17"/>
  <c r="A6" i="17"/>
  <c r="A5" i="17"/>
  <c r="A4" i="17"/>
  <c r="A3" i="17"/>
  <c r="A2" i="17"/>
  <c r="E25" i="17"/>
  <c r="J9" i="16"/>
  <c r="O19" i="17" l="1"/>
  <c r="U64" i="7"/>
  <c r="U62" i="7"/>
  <c r="I74" i="11"/>
  <c r="AH338" i="2"/>
  <c r="C7" i="17" l="1"/>
  <c r="C6" i="17"/>
  <c r="C5" i="17"/>
  <c r="C4" i="17"/>
  <c r="C3" i="17"/>
  <c r="C14" i="17"/>
  <c r="D4" i="17" l="1"/>
  <c r="D5" i="17"/>
  <c r="D14" i="17"/>
  <c r="D6" i="17"/>
  <c r="D3" i="17"/>
  <c r="C8" i="17"/>
  <c r="D7" i="17"/>
  <c r="D8" i="17" l="1"/>
  <c r="K98" i="12" l="1"/>
  <c r="A83" i="10" l="1"/>
  <c r="U68" i="7"/>
  <c r="T68" i="7"/>
  <c r="U67" i="7"/>
  <c r="T67" i="7"/>
  <c r="T64" i="7"/>
  <c r="V64" i="7" s="1"/>
  <c r="T62" i="7"/>
  <c r="V62" i="7" s="1"/>
  <c r="U33" i="7"/>
  <c r="U35" i="7" s="1"/>
  <c r="U36" i="7" s="1"/>
  <c r="U43" i="7" s="1"/>
  <c r="U32" i="7"/>
  <c r="U31" i="7"/>
  <c r="U26" i="7"/>
  <c r="U25" i="7"/>
  <c r="U22" i="7"/>
  <c r="U103" i="7" s="1"/>
  <c r="U21" i="7"/>
  <c r="U20" i="7"/>
  <c r="U101" i="7" s="1"/>
  <c r="U15" i="7"/>
  <c r="U17" i="7"/>
  <c r="U16" i="7"/>
  <c r="U18" i="7"/>
  <c r="U13" i="7"/>
  <c r="U12" i="7"/>
  <c r="U11" i="7"/>
  <c r="T33" i="7"/>
  <c r="T35" i="7" s="1"/>
  <c r="T32" i="7"/>
  <c r="T31" i="7"/>
  <c r="T27" i="7"/>
  <c r="T26" i="7"/>
  <c r="T107" i="7" s="1"/>
  <c r="T25" i="7"/>
  <c r="T22" i="7"/>
  <c r="T21" i="7"/>
  <c r="T20" i="7"/>
  <c r="T101" i="7" s="1"/>
  <c r="T15" i="7"/>
  <c r="T17" i="7"/>
  <c r="T16" i="7"/>
  <c r="T18" i="7"/>
  <c r="T13" i="7"/>
  <c r="T12" i="7"/>
  <c r="T11" i="7"/>
  <c r="A95" i="11"/>
  <c r="I45" i="6"/>
  <c r="D68" i="7"/>
  <c r="D67" i="7"/>
  <c r="C70" i="7"/>
  <c r="C71" i="7" s="1"/>
  <c r="C65" i="7"/>
  <c r="D64" i="7"/>
  <c r="D62" i="7"/>
  <c r="U106" i="7" l="1"/>
  <c r="T103" i="7"/>
  <c r="U107" i="7"/>
  <c r="T106" i="7"/>
  <c r="V35" i="7"/>
  <c r="T14" i="7"/>
  <c r="V68" i="7"/>
  <c r="V67" i="7"/>
  <c r="W143" i="2" l="1"/>
  <c r="HA274" i="2" l="1"/>
  <c r="GY274" i="2"/>
  <c r="GX274" i="2"/>
  <c r="GQ274" i="2"/>
  <c r="GP274" i="2"/>
  <c r="GO274" i="2"/>
  <c r="GN274" i="2"/>
  <c r="GM274" i="2"/>
  <c r="GE274" i="2"/>
  <c r="GD274" i="2"/>
  <c r="FZ274" i="2"/>
  <c r="FY274" i="2"/>
  <c r="FX274" i="2"/>
  <c r="FW274" i="2"/>
  <c r="FP274" i="2"/>
  <c r="FH274" i="2"/>
  <c r="FE274" i="2"/>
  <c r="FD274" i="2"/>
  <c r="FC274" i="2"/>
  <c r="ET274" i="2"/>
  <c r="ES274" i="2"/>
  <c r="EP274" i="2"/>
  <c r="EN274" i="2"/>
  <c r="EK274" i="2"/>
  <c r="EH274" i="2"/>
  <c r="EG274" i="2"/>
  <c r="EF274" i="2"/>
  <c r="EE274" i="2"/>
  <c r="DY274" i="2"/>
  <c r="DX274" i="2"/>
  <c r="DW274" i="2"/>
  <c r="DV274" i="2"/>
  <c r="DU274" i="2"/>
  <c r="DQ274" i="2"/>
  <c r="DP274" i="2"/>
  <c r="DO274" i="2"/>
  <c r="DN274" i="2"/>
  <c r="DM274" i="2"/>
  <c r="DK274" i="2"/>
  <c r="DJ274" i="2"/>
  <c r="DG274" i="2"/>
  <c r="DF274" i="2"/>
  <c r="DE274" i="2"/>
  <c r="DD274" i="2"/>
  <c r="CY274" i="2"/>
  <c r="CW274" i="2"/>
  <c r="CV274" i="2"/>
  <c r="CU274" i="2"/>
  <c r="CT274" i="2"/>
  <c r="CS274" i="2"/>
  <c r="CM274" i="2"/>
  <c r="CH274" i="2"/>
  <c r="CG274" i="2"/>
  <c r="CE274" i="2"/>
  <c r="CL274" i="2" s="1"/>
  <c r="CA274" i="2"/>
  <c r="BZ274" i="2"/>
  <c r="BX274" i="2"/>
  <c r="BW274" i="2"/>
  <c r="BV274" i="2"/>
  <c r="BU274" i="2"/>
  <c r="BT274" i="2"/>
  <c r="BR274" i="2"/>
  <c r="BQ274" i="2"/>
  <c r="BP274" i="2"/>
  <c r="BK274" i="2"/>
  <c r="BJ274" i="2"/>
  <c r="BI274" i="2"/>
  <c r="BD274" i="2"/>
  <c r="BB274" i="2"/>
  <c r="BA274" i="2"/>
  <c r="AZ274" i="2"/>
  <c r="AY274" i="2"/>
  <c r="AX274" i="2"/>
  <c r="AW274" i="2"/>
  <c r="AV274" i="2"/>
  <c r="AR274" i="2"/>
  <c r="AQ274" i="2"/>
  <c r="AP274" i="2"/>
  <c r="AO274" i="2"/>
  <c r="AN274" i="2" s="1"/>
  <c r="AJ274" i="2"/>
  <c r="AI274" i="2"/>
  <c r="AC274" i="2"/>
  <c r="AB274" i="2"/>
  <c r="Z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G274" i="2"/>
  <c r="F274" i="2"/>
  <c r="E274" i="2"/>
  <c r="D274" i="2"/>
  <c r="E217" i="2"/>
  <c r="HA217" i="2"/>
  <c r="GY217" i="2"/>
  <c r="GX217" i="2"/>
  <c r="GQ217" i="2"/>
  <c r="GP217" i="2"/>
  <c r="GO217" i="2"/>
  <c r="GN217" i="2"/>
  <c r="GM217" i="2"/>
  <c r="GE217" i="2"/>
  <c r="GD217" i="2"/>
  <c r="FZ217" i="2"/>
  <c r="FY217" i="2"/>
  <c r="FX217" i="2"/>
  <c r="FW217" i="2"/>
  <c r="FP217" i="2"/>
  <c r="FH217" i="2"/>
  <c r="FE217" i="2"/>
  <c r="FD217" i="2"/>
  <c r="FC217" i="2"/>
  <c r="ET217" i="2"/>
  <c r="ES217" i="2"/>
  <c r="EP217" i="2"/>
  <c r="EN217" i="2"/>
  <c r="EK217" i="2"/>
  <c r="EH217" i="2"/>
  <c r="EG217" i="2"/>
  <c r="EF217" i="2"/>
  <c r="EE217" i="2"/>
  <c r="DY217" i="2"/>
  <c r="DX217" i="2"/>
  <c r="DW217" i="2"/>
  <c r="DV217" i="2"/>
  <c r="DU217" i="2"/>
  <c r="DQ217" i="2"/>
  <c r="DP217" i="2"/>
  <c r="DO217" i="2"/>
  <c r="DN217" i="2"/>
  <c r="DM217" i="2"/>
  <c r="DK217" i="2"/>
  <c r="DJ217" i="2"/>
  <c r="DG217" i="2"/>
  <c r="DF217" i="2"/>
  <c r="DE217" i="2"/>
  <c r="DD217" i="2"/>
  <c r="CY217" i="2"/>
  <c r="CW217" i="2"/>
  <c r="CV217" i="2"/>
  <c r="CU217" i="2"/>
  <c r="CT217" i="2"/>
  <c r="CS217" i="2"/>
  <c r="CM217" i="2"/>
  <c r="CH217" i="2"/>
  <c r="CG217" i="2"/>
  <c r="CE217" i="2"/>
  <c r="CL217" i="2" s="1"/>
  <c r="CA217" i="2"/>
  <c r="BZ217" i="2"/>
  <c r="BX217" i="2"/>
  <c r="BW217" i="2"/>
  <c r="BV217" i="2"/>
  <c r="BU217" i="2"/>
  <c r="BT217" i="2"/>
  <c r="BR217" i="2"/>
  <c r="BQ217" i="2"/>
  <c r="BP217" i="2"/>
  <c r="BK217" i="2"/>
  <c r="BJ217" i="2"/>
  <c r="BI217" i="2"/>
  <c r="BD217" i="2"/>
  <c r="BB217" i="2"/>
  <c r="BA217" i="2"/>
  <c r="AZ217" i="2"/>
  <c r="AY217" i="2"/>
  <c r="AX217" i="2"/>
  <c r="AW217" i="2"/>
  <c r="AV217" i="2"/>
  <c r="AR217" i="2"/>
  <c r="AQ217" i="2"/>
  <c r="AP217" i="2"/>
  <c r="AO217" i="2"/>
  <c r="AN217" i="2" s="1"/>
  <c r="AJ217" i="2"/>
  <c r="AI217" i="2"/>
  <c r="AC217" i="2"/>
  <c r="AB217" i="2"/>
  <c r="Z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G217" i="2"/>
  <c r="F217" i="2"/>
  <c r="D217" i="2"/>
  <c r="HA195" i="2"/>
  <c r="GY195" i="2"/>
  <c r="GX195" i="2"/>
  <c r="GQ195" i="2"/>
  <c r="GP195" i="2"/>
  <c r="GO195" i="2"/>
  <c r="GN195" i="2"/>
  <c r="GM195" i="2"/>
  <c r="GE195" i="2"/>
  <c r="GD195" i="2"/>
  <c r="FZ195" i="2"/>
  <c r="FY195" i="2"/>
  <c r="FX195" i="2"/>
  <c r="FW195" i="2"/>
  <c r="FP195" i="2"/>
  <c r="FH195" i="2"/>
  <c r="FE195" i="2"/>
  <c r="FD195" i="2"/>
  <c r="FC195" i="2"/>
  <c r="ET195" i="2"/>
  <c r="ES195" i="2"/>
  <c r="EP195" i="2"/>
  <c r="EN195" i="2"/>
  <c r="EK195" i="2"/>
  <c r="EH195" i="2"/>
  <c r="EG195" i="2"/>
  <c r="EF195" i="2"/>
  <c r="EE195" i="2"/>
  <c r="DY195" i="2"/>
  <c r="DX195" i="2"/>
  <c r="DW195" i="2"/>
  <c r="DV195" i="2"/>
  <c r="DU195" i="2"/>
  <c r="DQ195" i="2"/>
  <c r="DP195" i="2"/>
  <c r="DO195" i="2"/>
  <c r="DN195" i="2"/>
  <c r="DM195" i="2"/>
  <c r="DK195" i="2"/>
  <c r="DJ195" i="2"/>
  <c r="DG195" i="2"/>
  <c r="DF195" i="2"/>
  <c r="DE195" i="2"/>
  <c r="DD195" i="2"/>
  <c r="CY195" i="2"/>
  <c r="CW195" i="2"/>
  <c r="CV195" i="2"/>
  <c r="CU195" i="2"/>
  <c r="CT195" i="2"/>
  <c r="CS195" i="2"/>
  <c r="CM195" i="2"/>
  <c r="CH195" i="2"/>
  <c r="CG195" i="2"/>
  <c r="CE195" i="2"/>
  <c r="CL195" i="2" s="1"/>
  <c r="CA195" i="2"/>
  <c r="BZ195" i="2"/>
  <c r="BX195" i="2"/>
  <c r="BW195" i="2"/>
  <c r="BV195" i="2"/>
  <c r="BU195" i="2"/>
  <c r="BT195" i="2"/>
  <c r="BR195" i="2"/>
  <c r="BQ195" i="2"/>
  <c r="BP195" i="2"/>
  <c r="BK195" i="2"/>
  <c r="BJ195" i="2"/>
  <c r="BI195" i="2"/>
  <c r="BD195" i="2"/>
  <c r="BB195" i="2"/>
  <c r="BA195" i="2"/>
  <c r="AZ195" i="2"/>
  <c r="AY195" i="2"/>
  <c r="AX195" i="2"/>
  <c r="AW195" i="2"/>
  <c r="AV195" i="2"/>
  <c r="AR195" i="2"/>
  <c r="AQ195" i="2"/>
  <c r="AP195" i="2"/>
  <c r="AO195" i="2"/>
  <c r="AN195" i="2" s="1"/>
  <c r="AJ195" i="2"/>
  <c r="AI195" i="2"/>
  <c r="AC195" i="2"/>
  <c r="AB195" i="2"/>
  <c r="Z195" i="2"/>
  <c r="V195" i="2"/>
  <c r="W195" i="2" s="1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G195" i="2"/>
  <c r="F195" i="2"/>
  <c r="E195" i="2"/>
  <c r="D195" i="2"/>
  <c r="HB274" i="2" l="1"/>
  <c r="FG274" i="2"/>
  <c r="AE274" i="2"/>
  <c r="DH274" i="2"/>
  <c r="EY274" i="2" s="1"/>
  <c r="DL274" i="2"/>
  <c r="BH274" i="2"/>
  <c r="GR274" i="2"/>
  <c r="X274" i="2"/>
  <c r="EX274" i="2"/>
  <c r="CX274" i="2"/>
  <c r="DA274" i="2" s="1"/>
  <c r="EW274" i="2"/>
  <c r="CF274" i="2"/>
  <c r="HB217" i="2"/>
  <c r="FG217" i="2"/>
  <c r="FG195" i="2"/>
  <c r="HB195" i="2"/>
  <c r="AE217" i="2"/>
  <c r="DH217" i="2"/>
  <c r="EY217" i="2" s="1"/>
  <c r="DL217" i="2"/>
  <c r="BH217" i="2"/>
  <c r="GR217" i="2"/>
  <c r="X217" i="2"/>
  <c r="EX217" i="2"/>
  <c r="CX217" i="2"/>
  <c r="DA217" i="2" s="1"/>
  <c r="EW217" i="2"/>
  <c r="CF217" i="2"/>
  <c r="AE195" i="2"/>
  <c r="DH195" i="2"/>
  <c r="EY195" i="2" s="1"/>
  <c r="DL195" i="2"/>
  <c r="X195" i="2"/>
  <c r="BH195" i="2"/>
  <c r="GR195" i="2"/>
  <c r="EX195" i="2"/>
  <c r="CX195" i="2"/>
  <c r="DA195" i="2" s="1"/>
  <c r="EW195" i="2"/>
  <c r="CF195" i="2"/>
  <c r="AH328" i="2"/>
  <c r="DS328" i="2"/>
  <c r="DT328" i="2"/>
  <c r="EZ274" i="2" l="1"/>
  <c r="FA274" i="2" s="1"/>
  <c r="EZ217" i="2"/>
  <c r="FA217" i="2" s="1"/>
  <c r="EZ195" i="2"/>
  <c r="FA195" i="2" s="1"/>
  <c r="HA132" i="2" l="1"/>
  <c r="GY132" i="2"/>
  <c r="GX132" i="2"/>
  <c r="GQ132" i="2"/>
  <c r="GP132" i="2"/>
  <c r="GO132" i="2"/>
  <c r="GN132" i="2"/>
  <c r="GM132" i="2"/>
  <c r="GE132" i="2"/>
  <c r="GD132" i="2"/>
  <c r="FZ132" i="2"/>
  <c r="FY132" i="2"/>
  <c r="FX132" i="2"/>
  <c r="FW132" i="2"/>
  <c r="FP132" i="2"/>
  <c r="FH132" i="2"/>
  <c r="FE132" i="2"/>
  <c r="FD132" i="2"/>
  <c r="FC132" i="2"/>
  <c r="ET132" i="2"/>
  <c r="ES132" i="2"/>
  <c r="EP132" i="2"/>
  <c r="EN132" i="2"/>
  <c r="EK132" i="2"/>
  <c r="EH132" i="2"/>
  <c r="EG132" i="2"/>
  <c r="EF132" i="2"/>
  <c r="EE132" i="2"/>
  <c r="DY132" i="2"/>
  <c r="DX132" i="2"/>
  <c r="DW132" i="2"/>
  <c r="DV132" i="2"/>
  <c r="DU132" i="2"/>
  <c r="DQ132" i="2"/>
  <c r="DP132" i="2"/>
  <c r="DO132" i="2"/>
  <c r="DN132" i="2"/>
  <c r="DM132" i="2"/>
  <c r="DK132" i="2"/>
  <c r="DJ132" i="2"/>
  <c r="DG132" i="2"/>
  <c r="DF132" i="2"/>
  <c r="DE132" i="2"/>
  <c r="DD132" i="2"/>
  <c r="CY132" i="2"/>
  <c r="CW132" i="2"/>
  <c r="CV132" i="2"/>
  <c r="CU132" i="2"/>
  <c r="CT132" i="2"/>
  <c r="CS132" i="2"/>
  <c r="CM132" i="2"/>
  <c r="CH132" i="2"/>
  <c r="CG132" i="2"/>
  <c r="CE132" i="2"/>
  <c r="CL132" i="2" s="1"/>
  <c r="CA132" i="2"/>
  <c r="BZ132" i="2"/>
  <c r="BX132" i="2"/>
  <c r="BW132" i="2"/>
  <c r="BV132" i="2"/>
  <c r="BU132" i="2"/>
  <c r="BT132" i="2"/>
  <c r="BR132" i="2"/>
  <c r="BQ132" i="2"/>
  <c r="BP132" i="2"/>
  <c r="BK132" i="2"/>
  <c r="BJ132" i="2"/>
  <c r="BI132" i="2"/>
  <c r="BD132" i="2"/>
  <c r="BB132" i="2"/>
  <c r="BA132" i="2"/>
  <c r="AZ132" i="2"/>
  <c r="AY132" i="2"/>
  <c r="AX132" i="2"/>
  <c r="AW132" i="2"/>
  <c r="AV132" i="2"/>
  <c r="AR132" i="2"/>
  <c r="AQ132" i="2"/>
  <c r="AP132" i="2"/>
  <c r="AO132" i="2"/>
  <c r="AN132" i="2" s="1"/>
  <c r="AJ132" i="2"/>
  <c r="AI132" i="2"/>
  <c r="AC132" i="2"/>
  <c r="AB132" i="2"/>
  <c r="Z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G132" i="2"/>
  <c r="F132" i="2"/>
  <c r="E132" i="2"/>
  <c r="D132" i="2"/>
  <c r="HA133" i="2"/>
  <c r="GY133" i="2"/>
  <c r="GX133" i="2"/>
  <c r="GQ133" i="2"/>
  <c r="GP133" i="2"/>
  <c r="GO133" i="2"/>
  <c r="GN133" i="2"/>
  <c r="GM133" i="2"/>
  <c r="GE133" i="2"/>
  <c r="GD133" i="2"/>
  <c r="FZ133" i="2"/>
  <c r="FY133" i="2"/>
  <c r="FX133" i="2"/>
  <c r="FW133" i="2"/>
  <c r="FP133" i="2"/>
  <c r="FH133" i="2"/>
  <c r="FE133" i="2"/>
  <c r="FD133" i="2"/>
  <c r="FC133" i="2"/>
  <c r="ET133" i="2"/>
  <c r="ES133" i="2"/>
  <c r="EP133" i="2"/>
  <c r="EN133" i="2"/>
  <c r="EK133" i="2"/>
  <c r="EH133" i="2"/>
  <c r="EG133" i="2"/>
  <c r="EF133" i="2"/>
  <c r="EE133" i="2"/>
  <c r="DY133" i="2"/>
  <c r="DX133" i="2"/>
  <c r="DW133" i="2"/>
  <c r="DV133" i="2"/>
  <c r="DU133" i="2"/>
  <c r="DQ133" i="2"/>
  <c r="DP133" i="2"/>
  <c r="DO133" i="2"/>
  <c r="DN133" i="2"/>
  <c r="DM133" i="2"/>
  <c r="DK133" i="2"/>
  <c r="DJ133" i="2"/>
  <c r="DG133" i="2"/>
  <c r="DF133" i="2"/>
  <c r="DE133" i="2"/>
  <c r="DD133" i="2"/>
  <c r="CY133" i="2"/>
  <c r="CW133" i="2"/>
  <c r="CV133" i="2"/>
  <c r="CU133" i="2"/>
  <c r="CT133" i="2"/>
  <c r="CS133" i="2"/>
  <c r="CM133" i="2"/>
  <c r="CH133" i="2"/>
  <c r="CG133" i="2"/>
  <c r="CE133" i="2"/>
  <c r="CL133" i="2" s="1"/>
  <c r="CA133" i="2"/>
  <c r="BZ133" i="2"/>
  <c r="BX133" i="2"/>
  <c r="BW133" i="2"/>
  <c r="BV133" i="2"/>
  <c r="BU133" i="2"/>
  <c r="BT133" i="2"/>
  <c r="BR133" i="2"/>
  <c r="BQ133" i="2"/>
  <c r="BP133" i="2"/>
  <c r="BK133" i="2"/>
  <c r="BJ133" i="2"/>
  <c r="BI133" i="2"/>
  <c r="BD133" i="2"/>
  <c r="BB133" i="2"/>
  <c r="BA133" i="2"/>
  <c r="AZ133" i="2"/>
  <c r="AY133" i="2"/>
  <c r="AX133" i="2"/>
  <c r="AW133" i="2"/>
  <c r="AV133" i="2"/>
  <c r="AR133" i="2"/>
  <c r="AQ133" i="2"/>
  <c r="AP133" i="2"/>
  <c r="AO133" i="2"/>
  <c r="AN133" i="2" s="1"/>
  <c r="AJ133" i="2"/>
  <c r="AI133" i="2"/>
  <c r="AC133" i="2"/>
  <c r="AB133" i="2"/>
  <c r="Z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G133" i="2"/>
  <c r="F133" i="2"/>
  <c r="E133" i="2"/>
  <c r="D133" i="2"/>
  <c r="FG132" i="2" l="1"/>
  <c r="HB132" i="2"/>
  <c r="DL133" i="2"/>
  <c r="FG133" i="2"/>
  <c r="X133" i="2"/>
  <c r="EX133" i="2"/>
  <c r="AE132" i="2"/>
  <c r="DH132" i="2"/>
  <c r="EY132" i="2" s="1"/>
  <c r="DL132" i="2"/>
  <c r="CX133" i="2"/>
  <c r="DA133" i="2" s="1"/>
  <c r="EW133" i="2"/>
  <c r="BH132" i="2"/>
  <c r="GR132" i="2"/>
  <c r="AE133" i="2"/>
  <c r="X132" i="2"/>
  <c r="EX132" i="2"/>
  <c r="BH133" i="2"/>
  <c r="DH133" i="2"/>
  <c r="EY133" i="2" s="1"/>
  <c r="GR133" i="2"/>
  <c r="HB133" i="2"/>
  <c r="CX132" i="2"/>
  <c r="DA132" i="2" s="1"/>
  <c r="EW132" i="2"/>
  <c r="CF132" i="2"/>
  <c r="CF133" i="2"/>
  <c r="EZ132" i="2" l="1"/>
  <c r="FA132" i="2" s="1"/>
  <c r="EZ133" i="2"/>
  <c r="FA133" i="2" s="1"/>
  <c r="D18" i="7" l="1"/>
  <c r="C10" i="7"/>
  <c r="D12" i="7"/>
  <c r="D11" i="7"/>
  <c r="C28" i="7"/>
  <c r="B28" i="7"/>
  <c r="D27" i="7"/>
  <c r="D26" i="7"/>
  <c r="D107" i="7" s="1"/>
  <c r="D25" i="7"/>
  <c r="D106" i="7" s="1"/>
  <c r="C23" i="7"/>
  <c r="C104" i="7" s="1"/>
  <c r="B23" i="7"/>
  <c r="D22" i="7"/>
  <c r="D103" i="7" s="1"/>
  <c r="D21" i="7"/>
  <c r="D20" i="7"/>
  <c r="D101" i="7" s="1"/>
  <c r="D17" i="7"/>
  <c r="D16" i="7"/>
  <c r="D13" i="7"/>
  <c r="B10" i="7"/>
  <c r="C29" i="7" l="1"/>
  <c r="C109" i="7"/>
  <c r="B29" i="7"/>
  <c r="D28" i="7"/>
  <c r="D15" i="7"/>
  <c r="D14" i="7" s="1"/>
  <c r="C19" i="7"/>
  <c r="C24" i="7" s="1"/>
  <c r="B19" i="7"/>
  <c r="B24" i="7" s="1"/>
  <c r="D10" i="7"/>
  <c r="D23" i="7"/>
  <c r="C30" i="7" l="1"/>
  <c r="C35" i="7" s="1"/>
  <c r="C36" i="7" s="1"/>
  <c r="C43" i="7" s="1"/>
  <c r="C110" i="7"/>
  <c r="D29" i="7"/>
  <c r="D19" i="7"/>
  <c r="D24" i="7"/>
  <c r="B30" i="7"/>
  <c r="D30" i="7" l="1"/>
  <c r="D35" i="7" s="1"/>
  <c r="D36" i="7" s="1"/>
  <c r="D43" i="7" s="1"/>
  <c r="B35" i="7"/>
  <c r="B36" i="7" s="1"/>
  <c r="B43" i="7" s="1"/>
  <c r="FH264" i="2"/>
  <c r="HA178" i="2"/>
  <c r="GY178" i="2"/>
  <c r="GX178" i="2"/>
  <c r="GQ178" i="2"/>
  <c r="GP178" i="2"/>
  <c r="GO178" i="2"/>
  <c r="GN178" i="2"/>
  <c r="GM178" i="2"/>
  <c r="GE178" i="2"/>
  <c r="GD178" i="2"/>
  <c r="FZ178" i="2"/>
  <c r="FY178" i="2"/>
  <c r="FX178" i="2"/>
  <c r="FW178" i="2"/>
  <c r="FP178" i="2"/>
  <c r="FH178" i="2"/>
  <c r="FE178" i="2"/>
  <c r="FD178" i="2"/>
  <c r="FC178" i="2"/>
  <c r="ET178" i="2"/>
  <c r="ES178" i="2"/>
  <c r="EP178" i="2"/>
  <c r="EN178" i="2"/>
  <c r="EK178" i="2"/>
  <c r="EH178" i="2"/>
  <c r="EG178" i="2"/>
  <c r="EF178" i="2"/>
  <c r="EE178" i="2"/>
  <c r="DY178" i="2"/>
  <c r="DX178" i="2"/>
  <c r="DW178" i="2"/>
  <c r="DV178" i="2"/>
  <c r="DU178" i="2"/>
  <c r="DQ178" i="2"/>
  <c r="DP178" i="2"/>
  <c r="DO178" i="2"/>
  <c r="DN178" i="2"/>
  <c r="DM178" i="2"/>
  <c r="DK178" i="2"/>
  <c r="DJ178" i="2"/>
  <c r="DG178" i="2"/>
  <c r="DF178" i="2"/>
  <c r="DE178" i="2"/>
  <c r="DD178" i="2"/>
  <c r="CY178" i="2"/>
  <c r="CW178" i="2"/>
  <c r="CV178" i="2"/>
  <c r="CU178" i="2"/>
  <c r="CT178" i="2"/>
  <c r="CS178" i="2"/>
  <c r="CM178" i="2"/>
  <c r="CH178" i="2"/>
  <c r="CG178" i="2"/>
  <c r="CE178" i="2"/>
  <c r="CL178" i="2" s="1"/>
  <c r="CA178" i="2"/>
  <c r="BZ178" i="2"/>
  <c r="BX178" i="2"/>
  <c r="BW178" i="2"/>
  <c r="BV178" i="2"/>
  <c r="BU178" i="2"/>
  <c r="BT178" i="2"/>
  <c r="BR178" i="2"/>
  <c r="BQ178" i="2"/>
  <c r="BP178" i="2"/>
  <c r="BK178" i="2"/>
  <c r="BJ178" i="2"/>
  <c r="BI178" i="2"/>
  <c r="BD178" i="2"/>
  <c r="BB178" i="2"/>
  <c r="BA178" i="2"/>
  <c r="AZ178" i="2"/>
  <c r="AY178" i="2"/>
  <c r="AX178" i="2"/>
  <c r="AW178" i="2"/>
  <c r="AV178" i="2"/>
  <c r="AR178" i="2"/>
  <c r="AQ178" i="2"/>
  <c r="AP178" i="2"/>
  <c r="AO178" i="2"/>
  <c r="AN178" i="2" s="1"/>
  <c r="AJ178" i="2"/>
  <c r="AI178" i="2"/>
  <c r="AC178" i="2"/>
  <c r="AB178" i="2"/>
  <c r="Z178" i="2"/>
  <c r="V178" i="2"/>
  <c r="W178" i="2" s="1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G178" i="2"/>
  <c r="F178" i="2"/>
  <c r="E178" i="2"/>
  <c r="D178" i="2"/>
  <c r="E139" i="2"/>
  <c r="HA255" i="2"/>
  <c r="GY255" i="2"/>
  <c r="GX255" i="2"/>
  <c r="GQ255" i="2"/>
  <c r="GP255" i="2"/>
  <c r="GO255" i="2"/>
  <c r="GN255" i="2"/>
  <c r="GM255" i="2"/>
  <c r="GE255" i="2"/>
  <c r="GD255" i="2"/>
  <c r="FZ255" i="2"/>
  <c r="FY255" i="2"/>
  <c r="FX255" i="2"/>
  <c r="FW255" i="2"/>
  <c r="FP255" i="2"/>
  <c r="FH255" i="2"/>
  <c r="FE255" i="2"/>
  <c r="FD255" i="2"/>
  <c r="FC255" i="2"/>
  <c r="ET255" i="2"/>
  <c r="ES255" i="2"/>
  <c r="EP255" i="2"/>
  <c r="EN255" i="2"/>
  <c r="EK255" i="2"/>
  <c r="EH255" i="2"/>
  <c r="EG255" i="2"/>
  <c r="EF255" i="2"/>
  <c r="EE255" i="2"/>
  <c r="DY255" i="2"/>
  <c r="DX255" i="2"/>
  <c r="DW255" i="2"/>
  <c r="DV255" i="2"/>
  <c r="DU255" i="2"/>
  <c r="DQ255" i="2"/>
  <c r="DP255" i="2"/>
  <c r="DO255" i="2"/>
  <c r="DN255" i="2"/>
  <c r="DM255" i="2"/>
  <c r="DK255" i="2"/>
  <c r="DJ255" i="2"/>
  <c r="DG255" i="2"/>
  <c r="DF255" i="2"/>
  <c r="DE255" i="2"/>
  <c r="DD255" i="2"/>
  <c r="CY255" i="2"/>
  <c r="CW255" i="2"/>
  <c r="CV255" i="2"/>
  <c r="CU255" i="2"/>
  <c r="CT255" i="2"/>
  <c r="CS255" i="2"/>
  <c r="CM255" i="2"/>
  <c r="CH255" i="2"/>
  <c r="CG255" i="2"/>
  <c r="CE255" i="2"/>
  <c r="CL255" i="2" s="1"/>
  <c r="CA255" i="2"/>
  <c r="BZ255" i="2"/>
  <c r="BX255" i="2"/>
  <c r="BW255" i="2"/>
  <c r="BV255" i="2"/>
  <c r="BU255" i="2"/>
  <c r="BT255" i="2"/>
  <c r="BR255" i="2"/>
  <c r="BQ255" i="2"/>
  <c r="BP255" i="2"/>
  <c r="BK255" i="2"/>
  <c r="BJ255" i="2"/>
  <c r="BI255" i="2"/>
  <c r="BD255" i="2"/>
  <c r="BB255" i="2"/>
  <c r="BA255" i="2"/>
  <c r="AZ255" i="2"/>
  <c r="AY255" i="2"/>
  <c r="AX255" i="2"/>
  <c r="AW255" i="2"/>
  <c r="AV255" i="2"/>
  <c r="AR255" i="2"/>
  <c r="AQ255" i="2"/>
  <c r="AP255" i="2"/>
  <c r="AO255" i="2"/>
  <c r="AN255" i="2" s="1"/>
  <c r="AJ255" i="2"/>
  <c r="AI255" i="2"/>
  <c r="AC255" i="2"/>
  <c r="AB255" i="2"/>
  <c r="Z255" i="2"/>
  <c r="V255" i="2"/>
  <c r="W255" i="2" s="1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G255" i="2"/>
  <c r="F255" i="2"/>
  <c r="E255" i="2"/>
  <c r="D255" i="2"/>
  <c r="AH325" i="2"/>
  <c r="DS325" i="2"/>
  <c r="DT325" i="2"/>
  <c r="GL310" i="2"/>
  <c r="GK310" i="2"/>
  <c r="GJ310" i="2"/>
  <c r="GI310" i="2"/>
  <c r="GH310" i="2"/>
  <c r="EV310" i="2"/>
  <c r="EU310" i="2"/>
  <c r="ER310" i="2"/>
  <c r="EQ310" i="2"/>
  <c r="EO310" i="2"/>
  <c r="EM310" i="2"/>
  <c r="EL310" i="2"/>
  <c r="EJ310" i="2"/>
  <c r="EI310" i="2"/>
  <c r="DT310" i="2"/>
  <c r="DS310" i="2"/>
  <c r="DR310" i="2"/>
  <c r="BS310" i="2"/>
  <c r="BC310" i="2"/>
  <c r="AA310" i="2"/>
  <c r="H310" i="2"/>
  <c r="HA103" i="2"/>
  <c r="GY103" i="2"/>
  <c r="GX103" i="2"/>
  <c r="GQ103" i="2"/>
  <c r="GP103" i="2"/>
  <c r="GO103" i="2"/>
  <c r="GN103" i="2"/>
  <c r="GM103" i="2"/>
  <c r="GE103" i="2"/>
  <c r="GD103" i="2"/>
  <c r="FZ103" i="2"/>
  <c r="FY103" i="2"/>
  <c r="FX103" i="2"/>
  <c r="FW103" i="2"/>
  <c r="FP103" i="2"/>
  <c r="FH103" i="2"/>
  <c r="FE103" i="2"/>
  <c r="FD103" i="2"/>
  <c r="FC103" i="2"/>
  <c r="ET103" i="2"/>
  <c r="ES103" i="2"/>
  <c r="EP103" i="2"/>
  <c r="EN103" i="2"/>
  <c r="EK103" i="2"/>
  <c r="EH103" i="2"/>
  <c r="EG103" i="2"/>
  <c r="EF103" i="2"/>
  <c r="EE103" i="2"/>
  <c r="DY103" i="2"/>
  <c r="DX103" i="2"/>
  <c r="DW103" i="2"/>
  <c r="DV103" i="2"/>
  <c r="DU103" i="2"/>
  <c r="DQ103" i="2"/>
  <c r="DP103" i="2"/>
  <c r="DO103" i="2"/>
  <c r="DN103" i="2"/>
  <c r="DM103" i="2"/>
  <c r="DK103" i="2"/>
  <c r="DJ103" i="2"/>
  <c r="DG103" i="2"/>
  <c r="DF103" i="2"/>
  <c r="DE103" i="2"/>
  <c r="DD103" i="2"/>
  <c r="CY103" i="2"/>
  <c r="CW103" i="2"/>
  <c r="CV103" i="2"/>
  <c r="CU103" i="2"/>
  <c r="CT103" i="2"/>
  <c r="CS103" i="2"/>
  <c r="CM103" i="2"/>
  <c r="CH103" i="2"/>
  <c r="CG103" i="2"/>
  <c r="CE103" i="2"/>
  <c r="CL103" i="2" s="1"/>
  <c r="CA103" i="2"/>
  <c r="BZ103" i="2"/>
  <c r="BX103" i="2"/>
  <c r="BW103" i="2"/>
  <c r="BV103" i="2"/>
  <c r="BU103" i="2"/>
  <c r="BT103" i="2"/>
  <c r="BR103" i="2"/>
  <c r="BQ103" i="2"/>
  <c r="BP103" i="2"/>
  <c r="BK103" i="2"/>
  <c r="BJ103" i="2"/>
  <c r="BI103" i="2"/>
  <c r="BD103" i="2"/>
  <c r="BB103" i="2"/>
  <c r="BA103" i="2"/>
  <c r="AZ103" i="2"/>
  <c r="AY103" i="2"/>
  <c r="AX103" i="2"/>
  <c r="AW103" i="2"/>
  <c r="AV103" i="2"/>
  <c r="AR103" i="2"/>
  <c r="AQ103" i="2"/>
  <c r="AP103" i="2"/>
  <c r="AO103" i="2"/>
  <c r="BH103" i="2" s="1"/>
  <c r="AJ103" i="2"/>
  <c r="AI103" i="2"/>
  <c r="AC103" i="2"/>
  <c r="AB103" i="2"/>
  <c r="Z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G103" i="2"/>
  <c r="F103" i="2"/>
  <c r="E103" i="2"/>
  <c r="D103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30" i="2"/>
  <c r="AI131" i="2"/>
  <c r="AI134" i="2"/>
  <c r="AI135" i="2"/>
  <c r="AI136" i="2"/>
  <c r="AI137" i="2"/>
  <c r="AI138" i="2"/>
  <c r="AI139" i="2"/>
  <c r="AI140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1" i="2"/>
  <c r="AI172" i="2"/>
  <c r="AI173" i="2"/>
  <c r="AI174" i="2"/>
  <c r="AI175" i="2"/>
  <c r="AI176" i="2"/>
  <c r="AI177" i="2"/>
  <c r="AI179" i="2"/>
  <c r="AI180" i="2"/>
  <c r="AI181" i="2"/>
  <c r="AI182" i="2"/>
  <c r="AI183" i="2"/>
  <c r="AI184" i="2"/>
  <c r="AI185" i="2"/>
  <c r="AI186" i="2"/>
  <c r="AI188" i="2"/>
  <c r="AI189" i="2"/>
  <c r="AI190" i="2"/>
  <c r="AI191" i="2"/>
  <c r="AI192" i="2"/>
  <c r="AI193" i="2"/>
  <c r="AI194" i="2"/>
  <c r="AI196" i="2"/>
  <c r="AI197" i="2"/>
  <c r="AI198" i="2"/>
  <c r="AI199" i="2"/>
  <c r="AI200" i="2"/>
  <c r="AI201" i="2"/>
  <c r="AI202" i="2"/>
  <c r="AI203" i="2"/>
  <c r="AI204" i="2"/>
  <c r="AI208" i="2"/>
  <c r="AI209" i="2"/>
  <c r="AI210" i="2"/>
  <c r="AI211" i="2"/>
  <c r="AI212" i="2"/>
  <c r="AI213" i="2"/>
  <c r="AI215" i="2"/>
  <c r="AI216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4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71" i="2"/>
  <c r="AI272" i="2"/>
  <c r="AI273" i="2"/>
  <c r="AI275" i="2"/>
  <c r="AI276" i="2"/>
  <c r="AI277" i="2"/>
  <c r="AI278" i="2"/>
  <c r="AI279" i="2"/>
  <c r="AI280" i="2"/>
  <c r="AI6" i="2"/>
  <c r="H384" i="2"/>
  <c r="F384" i="2"/>
  <c r="AI281" i="2" l="1"/>
  <c r="AI283" i="2" s="1"/>
  <c r="HB178" i="2"/>
  <c r="FG178" i="2"/>
  <c r="HB255" i="2"/>
  <c r="AE178" i="2"/>
  <c r="DH178" i="2"/>
  <c r="EY178" i="2" s="1"/>
  <c r="DL178" i="2"/>
  <c r="X178" i="2"/>
  <c r="BH178" i="2"/>
  <c r="GR178" i="2"/>
  <c r="EX178" i="2"/>
  <c r="CX178" i="2"/>
  <c r="DA178" i="2" s="1"/>
  <c r="EW178" i="2"/>
  <c r="CF178" i="2"/>
  <c r="FG255" i="2"/>
  <c r="AE255" i="2"/>
  <c r="DH255" i="2"/>
  <c r="EY255" i="2" s="1"/>
  <c r="DL255" i="2"/>
  <c r="X255" i="2"/>
  <c r="BH255" i="2"/>
  <c r="GR255" i="2"/>
  <c r="HB103" i="2"/>
  <c r="EX255" i="2"/>
  <c r="CX255" i="2"/>
  <c r="DA255" i="2" s="1"/>
  <c r="EW255" i="2"/>
  <c r="CF255" i="2"/>
  <c r="AE103" i="2"/>
  <c r="CF103" i="2"/>
  <c r="EX103" i="2"/>
  <c r="AN103" i="2"/>
  <c r="DH103" i="2"/>
  <c r="EY103" i="2" s="1"/>
  <c r="DL103" i="2"/>
  <c r="CX103" i="2"/>
  <c r="DA103" i="2" s="1"/>
  <c r="EW103" i="2"/>
  <c r="X103" i="2"/>
  <c r="FG103" i="2"/>
  <c r="GR103" i="2"/>
  <c r="EZ178" i="2" l="1"/>
  <c r="FA178" i="2" s="1"/>
  <c r="EZ255" i="2"/>
  <c r="FA255" i="2" s="1"/>
  <c r="EZ103" i="2"/>
  <c r="FA103" i="2" s="1"/>
  <c r="H8" i="16" l="1"/>
  <c r="H9" i="16"/>
  <c r="H12" i="16"/>
  <c r="G8" i="16"/>
  <c r="G9" i="16"/>
  <c r="G12" i="16"/>
  <c r="E15" i="16"/>
  <c r="H141" i="11" l="1"/>
  <c r="HA222" i="2" l="1"/>
  <c r="GY222" i="2"/>
  <c r="GX222" i="2"/>
  <c r="GQ222" i="2"/>
  <c r="GP222" i="2"/>
  <c r="GO222" i="2"/>
  <c r="GN222" i="2"/>
  <c r="GM222" i="2"/>
  <c r="GE222" i="2"/>
  <c r="GD222" i="2"/>
  <c r="FZ222" i="2"/>
  <c r="FY222" i="2"/>
  <c r="FX222" i="2"/>
  <c r="FW222" i="2"/>
  <c r="FP222" i="2"/>
  <c r="FH222" i="2"/>
  <c r="FE222" i="2"/>
  <c r="FD222" i="2"/>
  <c r="FC222" i="2"/>
  <c r="ET222" i="2"/>
  <c r="ES222" i="2"/>
  <c r="EP222" i="2"/>
  <c r="EN222" i="2"/>
  <c r="EK222" i="2"/>
  <c r="EH222" i="2"/>
  <c r="EG222" i="2"/>
  <c r="EF222" i="2"/>
  <c r="EE222" i="2"/>
  <c r="DY222" i="2"/>
  <c r="DX222" i="2"/>
  <c r="DW222" i="2"/>
  <c r="DV222" i="2"/>
  <c r="DU222" i="2"/>
  <c r="DQ222" i="2"/>
  <c r="DP222" i="2"/>
  <c r="DO222" i="2"/>
  <c r="DN222" i="2"/>
  <c r="DM222" i="2"/>
  <c r="DK222" i="2"/>
  <c r="DJ222" i="2"/>
  <c r="DG222" i="2"/>
  <c r="DF222" i="2"/>
  <c r="DE222" i="2"/>
  <c r="DD222" i="2"/>
  <c r="CY222" i="2"/>
  <c r="CW222" i="2"/>
  <c r="CV222" i="2"/>
  <c r="CU222" i="2"/>
  <c r="CT222" i="2"/>
  <c r="CS222" i="2"/>
  <c r="CM222" i="2"/>
  <c r="CH222" i="2"/>
  <c r="CG222" i="2"/>
  <c r="CE222" i="2"/>
  <c r="CF222" i="2" s="1"/>
  <c r="CA222" i="2"/>
  <c r="BZ222" i="2"/>
  <c r="BX222" i="2"/>
  <c r="BW222" i="2"/>
  <c r="BV222" i="2"/>
  <c r="BU222" i="2"/>
  <c r="BT222" i="2"/>
  <c r="BR222" i="2"/>
  <c r="BQ222" i="2"/>
  <c r="BP222" i="2"/>
  <c r="BK222" i="2"/>
  <c r="BJ222" i="2"/>
  <c r="BI222" i="2"/>
  <c r="BD222" i="2"/>
  <c r="BB222" i="2"/>
  <c r="BA222" i="2"/>
  <c r="AZ222" i="2"/>
  <c r="AY222" i="2"/>
  <c r="AX222" i="2"/>
  <c r="AW222" i="2"/>
  <c r="AV222" i="2"/>
  <c r="AR222" i="2"/>
  <c r="AQ222" i="2"/>
  <c r="AP222" i="2"/>
  <c r="AO222" i="2"/>
  <c r="BH222" i="2" s="1"/>
  <c r="AJ222" i="2"/>
  <c r="AC222" i="2"/>
  <c r="AB222" i="2"/>
  <c r="Z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G222" i="2"/>
  <c r="F222" i="2"/>
  <c r="E222" i="2"/>
  <c r="D222" i="2"/>
  <c r="AE222" i="2" l="1"/>
  <c r="DH222" i="2"/>
  <c r="EY222" i="2" s="1"/>
  <c r="AN222" i="2"/>
  <c r="EX222" i="2"/>
  <c r="HB222" i="2"/>
  <c r="CX222" i="2"/>
  <c r="DA222" i="2" s="1"/>
  <c r="EW222" i="2"/>
  <c r="X222" i="2"/>
  <c r="CL222" i="2"/>
  <c r="DL222" i="2"/>
  <c r="FG222" i="2"/>
  <c r="GR222" i="2"/>
  <c r="EZ222" i="2" l="1"/>
  <c r="FA222" i="2" s="1"/>
  <c r="C141" i="11"/>
  <c r="C125" i="11"/>
  <c r="C121" i="11"/>
  <c r="C119" i="11"/>
  <c r="C117" i="11"/>
  <c r="C115" i="11"/>
  <c r="C110" i="11"/>
  <c r="B131" i="11"/>
  <c r="O28" i="8" l="1"/>
  <c r="O23" i="8"/>
  <c r="O22" i="8"/>
  <c r="O21" i="8"/>
  <c r="O18" i="8"/>
  <c r="O17" i="8"/>
  <c r="O16" i="8"/>
  <c r="O11" i="8"/>
  <c r="O13" i="8"/>
  <c r="O12" i="8"/>
  <c r="O14" i="8"/>
  <c r="O8" i="8"/>
  <c r="N23" i="8"/>
  <c r="N22" i="8"/>
  <c r="N21" i="8"/>
  <c r="N18" i="8"/>
  <c r="N16" i="8"/>
  <c r="DE264" i="2" l="1"/>
  <c r="E383" i="2" l="1"/>
  <c r="F383" i="2"/>
  <c r="F386" i="2" s="1"/>
  <c r="DO280" i="2"/>
  <c r="DO279" i="2"/>
  <c r="DO278" i="2"/>
  <c r="DO277" i="2"/>
  <c r="DO276" i="2"/>
  <c r="DO275" i="2"/>
  <c r="DO273" i="2"/>
  <c r="DO272" i="2"/>
  <c r="DO271" i="2"/>
  <c r="DO268" i="2"/>
  <c r="DO267" i="2"/>
  <c r="DO266" i="2"/>
  <c r="DO265" i="2"/>
  <c r="DO264" i="2"/>
  <c r="DO263" i="2"/>
  <c r="DO262" i="2"/>
  <c r="DO261" i="2"/>
  <c r="DO260" i="2"/>
  <c r="DO259" i="2"/>
  <c r="DO258" i="2"/>
  <c r="DO257" i="2"/>
  <c r="DO256" i="2"/>
  <c r="DO254" i="2"/>
  <c r="DO252" i="2"/>
  <c r="DO251" i="2"/>
  <c r="DO250" i="2"/>
  <c r="DO249" i="2"/>
  <c r="DO248" i="2"/>
  <c r="DO247" i="2"/>
  <c r="DO246" i="2"/>
  <c r="DO245" i="2"/>
  <c r="DO244" i="2"/>
  <c r="DO243" i="2"/>
  <c r="DO242" i="2"/>
  <c r="DO241" i="2"/>
  <c r="DO240" i="2"/>
  <c r="DO239" i="2"/>
  <c r="DO238" i="2"/>
  <c r="DO237" i="2"/>
  <c r="DO236" i="2"/>
  <c r="DO235" i="2"/>
  <c r="DO234" i="2"/>
  <c r="DO233" i="2"/>
  <c r="DO232" i="2"/>
  <c r="DO231" i="2"/>
  <c r="DO230" i="2"/>
  <c r="DO229" i="2"/>
  <c r="DO228" i="2"/>
  <c r="DO227" i="2"/>
  <c r="DO226" i="2"/>
  <c r="DO225" i="2"/>
  <c r="DO224" i="2"/>
  <c r="DO223" i="2"/>
  <c r="DO221" i="2"/>
  <c r="DO220" i="2"/>
  <c r="DO219" i="2"/>
  <c r="DO218" i="2"/>
  <c r="DO216" i="2"/>
  <c r="DO215" i="2"/>
  <c r="DO213" i="2"/>
  <c r="DO212" i="2"/>
  <c r="DO211" i="2"/>
  <c r="DO210" i="2"/>
  <c r="DO209" i="2"/>
  <c r="DO208" i="2"/>
  <c r="DO204" i="2"/>
  <c r="DO203" i="2"/>
  <c r="DO202" i="2"/>
  <c r="DO201" i="2"/>
  <c r="DO200" i="2"/>
  <c r="DO199" i="2"/>
  <c r="DO198" i="2"/>
  <c r="DO197" i="2"/>
  <c r="DO196" i="2"/>
  <c r="DO194" i="2"/>
  <c r="DO193" i="2"/>
  <c r="DO192" i="2"/>
  <c r="DO191" i="2"/>
  <c r="DO190" i="2"/>
  <c r="DO189" i="2"/>
  <c r="DO188" i="2"/>
  <c r="DO186" i="2"/>
  <c r="DO185" i="2"/>
  <c r="DO184" i="2"/>
  <c r="DO183" i="2"/>
  <c r="DO182" i="2"/>
  <c r="DO181" i="2"/>
  <c r="DO180" i="2"/>
  <c r="DO179" i="2"/>
  <c r="DO177" i="2"/>
  <c r="DO176" i="2"/>
  <c r="DO175" i="2"/>
  <c r="DO174" i="2"/>
  <c r="DO173" i="2"/>
  <c r="DO172" i="2"/>
  <c r="DO171" i="2"/>
  <c r="DO169" i="2"/>
  <c r="DO168" i="2"/>
  <c r="DO167" i="2"/>
  <c r="DO166" i="2"/>
  <c r="DO165" i="2"/>
  <c r="DO164" i="2"/>
  <c r="DO163" i="2"/>
  <c r="DO162" i="2"/>
  <c r="DO161" i="2"/>
  <c r="DO160" i="2"/>
  <c r="DO159" i="2"/>
  <c r="DO158" i="2"/>
  <c r="DO157" i="2"/>
  <c r="DO156" i="2"/>
  <c r="DO155" i="2"/>
  <c r="DO154" i="2"/>
  <c r="DO153" i="2"/>
  <c r="DO152" i="2"/>
  <c r="DO151" i="2"/>
  <c r="DO150" i="2"/>
  <c r="DO149" i="2"/>
  <c r="DO148" i="2"/>
  <c r="DO147" i="2"/>
  <c r="DO146" i="2"/>
  <c r="DO145" i="2"/>
  <c r="DO144" i="2"/>
  <c r="DO143" i="2"/>
  <c r="DO142" i="2"/>
  <c r="DO140" i="2"/>
  <c r="DO139" i="2"/>
  <c r="DO138" i="2"/>
  <c r="DO137" i="2"/>
  <c r="DO136" i="2"/>
  <c r="DO135" i="2"/>
  <c r="DO134" i="2"/>
  <c r="DO131" i="2"/>
  <c r="DO130" i="2"/>
  <c r="DO128" i="2"/>
  <c r="DO127" i="2"/>
  <c r="DO126" i="2"/>
  <c r="DO125" i="2"/>
  <c r="DO124" i="2"/>
  <c r="DO123" i="2"/>
  <c r="DO122" i="2"/>
  <c r="DO121" i="2"/>
  <c r="DO120" i="2"/>
  <c r="DO119" i="2"/>
  <c r="DO118" i="2"/>
  <c r="DO117" i="2"/>
  <c r="DO116" i="2"/>
  <c r="DO115" i="2"/>
  <c r="DO114" i="2"/>
  <c r="DO113" i="2"/>
  <c r="DO112" i="2"/>
  <c r="DO111" i="2"/>
  <c r="DO110" i="2"/>
  <c r="DO109" i="2"/>
  <c r="DO108" i="2"/>
  <c r="DO107" i="2"/>
  <c r="DO106" i="2"/>
  <c r="DO105" i="2"/>
  <c r="DO104" i="2"/>
  <c r="DO102" i="2"/>
  <c r="DO101" i="2"/>
  <c r="DO100" i="2"/>
  <c r="DO99" i="2"/>
  <c r="DO98" i="2"/>
  <c r="DO97" i="2"/>
  <c r="DO96" i="2"/>
  <c r="DO95" i="2"/>
  <c r="DO94" i="2"/>
  <c r="DO93" i="2"/>
  <c r="DO92" i="2"/>
  <c r="DO91" i="2"/>
  <c r="DO90" i="2"/>
  <c r="DO89" i="2"/>
  <c r="DO88" i="2"/>
  <c r="DO87" i="2"/>
  <c r="DO86" i="2"/>
  <c r="DO85" i="2"/>
  <c r="DO84" i="2"/>
  <c r="DO83" i="2"/>
  <c r="DO82" i="2"/>
  <c r="DO81" i="2"/>
  <c r="DO80" i="2"/>
  <c r="DO79" i="2"/>
  <c r="DO78" i="2"/>
  <c r="DO77" i="2"/>
  <c r="DO75" i="2"/>
  <c r="DO74" i="2"/>
  <c r="DO73" i="2"/>
  <c r="DO72" i="2"/>
  <c r="DO71" i="2"/>
  <c r="DO70" i="2"/>
  <c r="DO69" i="2"/>
  <c r="DO68" i="2"/>
  <c r="DO67" i="2"/>
  <c r="DO66" i="2"/>
  <c r="DO65" i="2"/>
  <c r="DO64" i="2"/>
  <c r="DO63" i="2"/>
  <c r="DO62" i="2"/>
  <c r="DO61" i="2"/>
  <c r="DO60" i="2"/>
  <c r="DO59" i="2"/>
  <c r="DO58" i="2"/>
  <c r="DO57" i="2"/>
  <c r="DO56" i="2"/>
  <c r="DO55" i="2"/>
  <c r="DO54" i="2"/>
  <c r="DO53" i="2"/>
  <c r="DO52" i="2"/>
  <c r="DO51" i="2"/>
  <c r="DO50" i="2"/>
  <c r="DO49" i="2"/>
  <c r="DO48" i="2"/>
  <c r="DO47" i="2"/>
  <c r="DO46" i="2"/>
  <c r="DO45" i="2"/>
  <c r="DO44" i="2"/>
  <c r="DO43" i="2"/>
  <c r="DO42" i="2"/>
  <c r="DO41" i="2"/>
  <c r="DO40" i="2"/>
  <c r="DO39" i="2"/>
  <c r="DO38" i="2"/>
  <c r="DO37" i="2"/>
  <c r="DO36" i="2"/>
  <c r="DO35" i="2"/>
  <c r="DO34" i="2"/>
  <c r="DO33" i="2"/>
  <c r="DO32" i="2"/>
  <c r="DO31" i="2"/>
  <c r="DO30" i="2"/>
  <c r="DO29" i="2"/>
  <c r="DO28" i="2"/>
  <c r="DO27" i="2"/>
  <c r="DO26" i="2"/>
  <c r="DO25" i="2"/>
  <c r="DO24" i="2"/>
  <c r="DO23" i="2"/>
  <c r="DO22" i="2"/>
  <c r="DO20" i="2"/>
  <c r="DO19" i="2"/>
  <c r="DO18" i="2"/>
  <c r="DO17" i="2"/>
  <c r="DO16" i="2"/>
  <c r="DO15" i="2"/>
  <c r="DO14" i="2"/>
  <c r="DO13" i="2"/>
  <c r="DO12" i="2"/>
  <c r="DO11" i="2"/>
  <c r="DO10" i="2"/>
  <c r="DO9" i="2"/>
  <c r="DO8" i="2"/>
  <c r="DO7" i="2"/>
  <c r="DO6" i="2"/>
  <c r="CA280" i="2"/>
  <c r="CA279" i="2"/>
  <c r="CA278" i="2"/>
  <c r="CA277" i="2"/>
  <c r="CA276" i="2"/>
  <c r="CA275" i="2"/>
  <c r="CA273" i="2"/>
  <c r="CA272" i="2"/>
  <c r="CA271" i="2"/>
  <c r="CA268" i="2"/>
  <c r="CA267" i="2"/>
  <c r="CA266" i="2"/>
  <c r="CA265" i="2"/>
  <c r="CA264" i="2"/>
  <c r="CA263" i="2"/>
  <c r="CA262" i="2"/>
  <c r="CA261" i="2"/>
  <c r="CA260" i="2"/>
  <c r="CA259" i="2"/>
  <c r="CA258" i="2"/>
  <c r="CA257" i="2"/>
  <c r="CA256" i="2"/>
  <c r="CA254" i="2"/>
  <c r="CA252" i="2"/>
  <c r="CA251" i="2"/>
  <c r="CA250" i="2"/>
  <c r="CA249" i="2"/>
  <c r="CA248" i="2"/>
  <c r="CA247" i="2"/>
  <c r="CA246" i="2"/>
  <c r="CA245" i="2"/>
  <c r="CA244" i="2"/>
  <c r="CA243" i="2"/>
  <c r="CA242" i="2"/>
  <c r="CA241" i="2"/>
  <c r="CA240" i="2"/>
  <c r="CA239" i="2"/>
  <c r="CA238" i="2"/>
  <c r="CA237" i="2"/>
  <c r="CA236" i="2"/>
  <c r="CA235" i="2"/>
  <c r="CA234" i="2"/>
  <c r="CA233" i="2"/>
  <c r="CA232" i="2"/>
  <c r="CA231" i="2"/>
  <c r="CA230" i="2"/>
  <c r="CA229" i="2"/>
  <c r="CA228" i="2"/>
  <c r="CA227" i="2"/>
  <c r="CA226" i="2"/>
  <c r="CA225" i="2"/>
  <c r="CA224" i="2"/>
  <c r="CA223" i="2"/>
  <c r="CA221" i="2"/>
  <c r="CA220" i="2"/>
  <c r="CA219" i="2"/>
  <c r="CA218" i="2"/>
  <c r="CA216" i="2"/>
  <c r="CA215" i="2"/>
  <c r="CA213" i="2"/>
  <c r="CA212" i="2"/>
  <c r="CA211" i="2"/>
  <c r="CA210" i="2"/>
  <c r="CA209" i="2"/>
  <c r="CA208" i="2"/>
  <c r="CA204" i="2"/>
  <c r="CA203" i="2"/>
  <c r="CA202" i="2"/>
  <c r="CA201" i="2"/>
  <c r="CA200" i="2"/>
  <c r="CA199" i="2"/>
  <c r="CA198" i="2"/>
  <c r="CA197" i="2"/>
  <c r="CA196" i="2"/>
  <c r="CA194" i="2"/>
  <c r="CA193" i="2"/>
  <c r="CA192" i="2"/>
  <c r="CA191" i="2"/>
  <c r="CA190" i="2"/>
  <c r="CA189" i="2"/>
  <c r="CA188" i="2"/>
  <c r="CA186" i="2"/>
  <c r="CA185" i="2"/>
  <c r="CA184" i="2"/>
  <c r="CA183" i="2"/>
  <c r="CA182" i="2"/>
  <c r="CA181" i="2"/>
  <c r="CA180" i="2"/>
  <c r="CA179" i="2"/>
  <c r="CA177" i="2"/>
  <c r="CA176" i="2"/>
  <c r="CA175" i="2"/>
  <c r="CA174" i="2"/>
  <c r="CA173" i="2"/>
  <c r="CA172" i="2"/>
  <c r="CA171" i="2"/>
  <c r="CA169" i="2"/>
  <c r="CA168" i="2"/>
  <c r="CA167" i="2"/>
  <c r="CA166" i="2"/>
  <c r="CA165" i="2"/>
  <c r="CA164" i="2"/>
  <c r="CA163" i="2"/>
  <c r="CA162" i="2"/>
  <c r="CA161" i="2"/>
  <c r="CA160" i="2"/>
  <c r="CA159" i="2"/>
  <c r="CA158" i="2"/>
  <c r="CA157" i="2"/>
  <c r="CA156" i="2"/>
  <c r="CA155" i="2"/>
  <c r="CA154" i="2"/>
  <c r="CA153" i="2"/>
  <c r="CA152" i="2"/>
  <c r="CA151" i="2"/>
  <c r="CA150" i="2"/>
  <c r="CA149" i="2"/>
  <c r="CA148" i="2"/>
  <c r="CA147" i="2"/>
  <c r="CA146" i="2"/>
  <c r="CA145" i="2"/>
  <c r="CA144" i="2"/>
  <c r="CA143" i="2"/>
  <c r="CA142" i="2"/>
  <c r="CA140" i="2"/>
  <c r="CA139" i="2"/>
  <c r="CA138" i="2"/>
  <c r="CA137" i="2"/>
  <c r="CA136" i="2"/>
  <c r="CA135" i="2"/>
  <c r="CA134" i="2"/>
  <c r="CA131" i="2"/>
  <c r="CA130" i="2"/>
  <c r="CA128" i="2"/>
  <c r="CA127" i="2"/>
  <c r="CA126" i="2"/>
  <c r="CA125" i="2"/>
  <c r="CA124" i="2"/>
  <c r="CA123" i="2"/>
  <c r="CA122" i="2"/>
  <c r="CA121" i="2"/>
  <c r="CA120" i="2"/>
  <c r="CA119" i="2"/>
  <c r="CA118" i="2"/>
  <c r="CA117" i="2"/>
  <c r="CA116" i="2"/>
  <c r="CA115" i="2"/>
  <c r="CA114" i="2"/>
  <c r="CA113" i="2"/>
  <c r="CA112" i="2"/>
  <c r="CA111" i="2"/>
  <c r="CA110" i="2"/>
  <c r="CA109" i="2"/>
  <c r="CA108" i="2"/>
  <c r="CA107" i="2"/>
  <c r="CA106" i="2"/>
  <c r="CA105" i="2"/>
  <c r="CA104" i="2"/>
  <c r="CA102" i="2"/>
  <c r="CA101" i="2"/>
  <c r="CA100" i="2"/>
  <c r="CA99" i="2"/>
  <c r="CA98" i="2"/>
  <c r="CA97" i="2"/>
  <c r="CA96" i="2"/>
  <c r="CA95" i="2"/>
  <c r="CA94" i="2"/>
  <c r="CA93" i="2"/>
  <c r="CA92" i="2"/>
  <c r="CA91" i="2"/>
  <c r="CA90" i="2"/>
  <c r="CA89" i="2"/>
  <c r="CA88" i="2"/>
  <c r="CA87" i="2"/>
  <c r="CA86" i="2"/>
  <c r="CA85" i="2"/>
  <c r="CA84" i="2"/>
  <c r="CA83" i="2"/>
  <c r="CA82" i="2"/>
  <c r="CA81" i="2"/>
  <c r="CA80" i="2"/>
  <c r="CA79" i="2"/>
  <c r="CA78" i="2"/>
  <c r="CA77" i="2"/>
  <c r="CA75" i="2"/>
  <c r="CA74" i="2"/>
  <c r="CA73" i="2"/>
  <c r="CA72" i="2"/>
  <c r="CA71" i="2"/>
  <c r="CA70" i="2"/>
  <c r="CA69" i="2"/>
  <c r="CA68" i="2"/>
  <c r="CA67" i="2"/>
  <c r="CA66" i="2"/>
  <c r="CA65" i="2"/>
  <c r="CA64" i="2"/>
  <c r="CA63" i="2"/>
  <c r="CA62" i="2"/>
  <c r="CA61" i="2"/>
  <c r="CA60" i="2"/>
  <c r="CA59" i="2"/>
  <c r="CA58" i="2"/>
  <c r="CA57" i="2"/>
  <c r="CA56" i="2"/>
  <c r="CA55" i="2"/>
  <c r="CA54" i="2"/>
  <c r="CA53" i="2"/>
  <c r="CA52" i="2"/>
  <c r="CA51" i="2"/>
  <c r="CA50" i="2"/>
  <c r="CA49" i="2"/>
  <c r="CA48" i="2"/>
  <c r="CA47" i="2"/>
  <c r="CA46" i="2"/>
  <c r="CA45" i="2"/>
  <c r="CA44" i="2"/>
  <c r="CA43" i="2"/>
  <c r="CA42" i="2"/>
  <c r="CA41" i="2"/>
  <c r="CA40" i="2"/>
  <c r="CA39" i="2"/>
  <c r="CA38" i="2"/>
  <c r="CA37" i="2"/>
  <c r="CA36" i="2"/>
  <c r="CA35" i="2"/>
  <c r="CA34" i="2"/>
  <c r="CA33" i="2"/>
  <c r="CA32" i="2"/>
  <c r="CA31" i="2"/>
  <c r="CA30" i="2"/>
  <c r="CA29" i="2"/>
  <c r="CA28" i="2"/>
  <c r="CA27" i="2"/>
  <c r="CA26" i="2"/>
  <c r="CA25" i="2"/>
  <c r="CA24" i="2"/>
  <c r="CA23" i="2"/>
  <c r="CA22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BZ280" i="2"/>
  <c r="BZ279" i="2"/>
  <c r="BZ278" i="2"/>
  <c r="BZ277" i="2"/>
  <c r="BZ276" i="2"/>
  <c r="BZ275" i="2"/>
  <c r="BZ273" i="2"/>
  <c r="BZ272" i="2"/>
  <c r="BZ271" i="2"/>
  <c r="BZ268" i="2"/>
  <c r="BZ267" i="2"/>
  <c r="BZ266" i="2"/>
  <c r="BZ265" i="2"/>
  <c r="BZ264" i="2"/>
  <c r="BZ263" i="2"/>
  <c r="BZ262" i="2"/>
  <c r="BZ261" i="2"/>
  <c r="BZ260" i="2"/>
  <c r="BZ259" i="2"/>
  <c r="BZ258" i="2"/>
  <c r="BZ257" i="2"/>
  <c r="BZ256" i="2"/>
  <c r="BZ254" i="2"/>
  <c r="BZ252" i="2"/>
  <c r="BZ251" i="2"/>
  <c r="BZ250" i="2"/>
  <c r="BZ249" i="2"/>
  <c r="BZ248" i="2"/>
  <c r="BZ247" i="2"/>
  <c r="BZ246" i="2"/>
  <c r="BZ245" i="2"/>
  <c r="BZ244" i="2"/>
  <c r="BZ243" i="2"/>
  <c r="BZ242" i="2"/>
  <c r="BZ241" i="2"/>
  <c r="BZ240" i="2"/>
  <c r="BZ239" i="2"/>
  <c r="BZ238" i="2"/>
  <c r="BZ237" i="2"/>
  <c r="BZ236" i="2"/>
  <c r="BZ235" i="2"/>
  <c r="BZ234" i="2"/>
  <c r="BZ233" i="2"/>
  <c r="BZ232" i="2"/>
  <c r="BZ231" i="2"/>
  <c r="BZ230" i="2"/>
  <c r="BZ229" i="2"/>
  <c r="BZ228" i="2"/>
  <c r="BZ227" i="2"/>
  <c r="BZ226" i="2"/>
  <c r="BZ225" i="2"/>
  <c r="BZ224" i="2"/>
  <c r="BZ223" i="2"/>
  <c r="BZ221" i="2"/>
  <c r="BZ220" i="2"/>
  <c r="BZ219" i="2"/>
  <c r="BZ218" i="2"/>
  <c r="BZ216" i="2"/>
  <c r="BZ215" i="2"/>
  <c r="BZ213" i="2"/>
  <c r="BZ212" i="2"/>
  <c r="BZ211" i="2"/>
  <c r="BZ210" i="2"/>
  <c r="BZ209" i="2"/>
  <c r="BZ208" i="2"/>
  <c r="BZ204" i="2"/>
  <c r="BZ203" i="2"/>
  <c r="BZ202" i="2"/>
  <c r="BZ201" i="2"/>
  <c r="BZ200" i="2"/>
  <c r="BZ199" i="2"/>
  <c r="BZ198" i="2"/>
  <c r="BZ197" i="2"/>
  <c r="BZ196" i="2"/>
  <c r="BZ194" i="2"/>
  <c r="BZ193" i="2"/>
  <c r="BZ192" i="2"/>
  <c r="BZ191" i="2"/>
  <c r="BZ190" i="2"/>
  <c r="BZ189" i="2"/>
  <c r="BZ188" i="2"/>
  <c r="BZ186" i="2"/>
  <c r="BZ185" i="2"/>
  <c r="BZ184" i="2"/>
  <c r="BZ183" i="2"/>
  <c r="BZ182" i="2"/>
  <c r="BZ181" i="2"/>
  <c r="BZ180" i="2"/>
  <c r="BZ179" i="2"/>
  <c r="BZ177" i="2"/>
  <c r="BZ176" i="2"/>
  <c r="BZ175" i="2"/>
  <c r="BZ174" i="2"/>
  <c r="BZ173" i="2"/>
  <c r="BZ172" i="2"/>
  <c r="BZ171" i="2"/>
  <c r="BZ169" i="2"/>
  <c r="BZ168" i="2"/>
  <c r="BZ167" i="2"/>
  <c r="BZ166" i="2"/>
  <c r="BZ165" i="2"/>
  <c r="BZ164" i="2"/>
  <c r="BZ163" i="2"/>
  <c r="BZ162" i="2"/>
  <c r="BZ161" i="2"/>
  <c r="BZ160" i="2"/>
  <c r="BZ159" i="2"/>
  <c r="BZ158" i="2"/>
  <c r="BZ157" i="2"/>
  <c r="BZ156" i="2"/>
  <c r="BZ155" i="2"/>
  <c r="BZ154" i="2"/>
  <c r="BZ153" i="2"/>
  <c r="BZ152" i="2"/>
  <c r="BZ151" i="2"/>
  <c r="BZ150" i="2"/>
  <c r="BZ149" i="2"/>
  <c r="BZ148" i="2"/>
  <c r="BZ147" i="2"/>
  <c r="BZ146" i="2"/>
  <c r="BZ145" i="2"/>
  <c r="BZ144" i="2"/>
  <c r="BZ143" i="2"/>
  <c r="BZ142" i="2"/>
  <c r="BZ140" i="2"/>
  <c r="BZ139" i="2"/>
  <c r="BZ138" i="2"/>
  <c r="BZ137" i="2"/>
  <c r="BZ136" i="2"/>
  <c r="BZ135" i="2"/>
  <c r="BZ134" i="2"/>
  <c r="BZ131" i="2"/>
  <c r="BZ130" i="2"/>
  <c r="BZ128" i="2"/>
  <c r="BZ127" i="2"/>
  <c r="BZ126" i="2"/>
  <c r="BZ125" i="2"/>
  <c r="BZ124" i="2"/>
  <c r="BZ123" i="2"/>
  <c r="BZ122" i="2"/>
  <c r="BZ121" i="2"/>
  <c r="BZ120" i="2"/>
  <c r="BZ119" i="2"/>
  <c r="BZ118" i="2"/>
  <c r="BZ117" i="2"/>
  <c r="BZ116" i="2"/>
  <c r="BZ115" i="2"/>
  <c r="BZ114" i="2"/>
  <c r="BZ113" i="2"/>
  <c r="BZ112" i="2"/>
  <c r="BZ111" i="2"/>
  <c r="BZ110" i="2"/>
  <c r="BZ109" i="2"/>
  <c r="BZ108" i="2"/>
  <c r="BZ107" i="2"/>
  <c r="BZ106" i="2"/>
  <c r="BZ105" i="2"/>
  <c r="BZ104" i="2"/>
  <c r="BZ102" i="2"/>
  <c r="BZ101" i="2"/>
  <c r="BZ100" i="2"/>
  <c r="BZ99" i="2"/>
  <c r="BZ98" i="2"/>
  <c r="BZ97" i="2"/>
  <c r="BZ96" i="2"/>
  <c r="BZ95" i="2"/>
  <c r="BZ94" i="2"/>
  <c r="BZ93" i="2"/>
  <c r="BZ92" i="2"/>
  <c r="BZ91" i="2"/>
  <c r="BZ90" i="2"/>
  <c r="BZ89" i="2"/>
  <c r="BZ88" i="2"/>
  <c r="BZ87" i="2"/>
  <c r="BZ86" i="2"/>
  <c r="BZ85" i="2"/>
  <c r="BZ84" i="2"/>
  <c r="BZ83" i="2"/>
  <c r="BZ82" i="2"/>
  <c r="BZ81" i="2"/>
  <c r="BZ80" i="2"/>
  <c r="BZ79" i="2"/>
  <c r="BZ78" i="2"/>
  <c r="BZ77" i="2"/>
  <c r="BZ75" i="2"/>
  <c r="BZ74" i="2"/>
  <c r="BZ73" i="2"/>
  <c r="BZ72" i="2"/>
  <c r="BZ71" i="2"/>
  <c r="BZ70" i="2"/>
  <c r="BZ69" i="2"/>
  <c r="BZ68" i="2"/>
  <c r="BZ67" i="2"/>
  <c r="BZ66" i="2"/>
  <c r="BZ65" i="2"/>
  <c r="BZ64" i="2"/>
  <c r="BZ63" i="2"/>
  <c r="BZ62" i="2"/>
  <c r="BZ61" i="2"/>
  <c r="BZ60" i="2"/>
  <c r="BZ59" i="2"/>
  <c r="BZ58" i="2"/>
  <c r="BZ57" i="2"/>
  <c r="BZ56" i="2"/>
  <c r="BZ55" i="2"/>
  <c r="BZ54" i="2"/>
  <c r="BZ53" i="2"/>
  <c r="BZ52" i="2"/>
  <c r="BZ51" i="2"/>
  <c r="BZ50" i="2"/>
  <c r="BZ49" i="2"/>
  <c r="BZ48" i="2"/>
  <c r="BZ47" i="2"/>
  <c r="BZ46" i="2"/>
  <c r="BZ45" i="2"/>
  <c r="BZ44" i="2"/>
  <c r="BZ43" i="2"/>
  <c r="BZ42" i="2"/>
  <c r="BZ41" i="2"/>
  <c r="BZ40" i="2"/>
  <c r="BZ39" i="2"/>
  <c r="BZ38" i="2"/>
  <c r="BZ37" i="2"/>
  <c r="BZ36" i="2"/>
  <c r="BZ35" i="2"/>
  <c r="BZ34" i="2"/>
  <c r="BZ33" i="2"/>
  <c r="BZ32" i="2"/>
  <c r="BZ31" i="2"/>
  <c r="BZ30" i="2"/>
  <c r="BZ29" i="2"/>
  <c r="BZ28" i="2"/>
  <c r="BZ27" i="2"/>
  <c r="BZ26" i="2"/>
  <c r="BZ25" i="2"/>
  <c r="BZ24" i="2"/>
  <c r="BZ23" i="2"/>
  <c r="BZ22" i="2"/>
  <c r="BZ20" i="2"/>
  <c r="BZ19" i="2"/>
  <c r="BZ18" i="2"/>
  <c r="BZ17" i="2"/>
  <c r="BZ16" i="2"/>
  <c r="BZ15" i="2"/>
  <c r="BZ14" i="2"/>
  <c r="BZ13" i="2"/>
  <c r="BZ12" i="2"/>
  <c r="BZ11" i="2"/>
  <c r="BZ10" i="2"/>
  <c r="BZ9" i="2"/>
  <c r="BZ8" i="2"/>
  <c r="BZ7" i="2"/>
  <c r="BZ6" i="2"/>
  <c r="ET280" i="2"/>
  <c r="ES280" i="2"/>
  <c r="ET279" i="2"/>
  <c r="ES279" i="2"/>
  <c r="ET278" i="2"/>
  <c r="ES278" i="2"/>
  <c r="ET277" i="2"/>
  <c r="ES277" i="2"/>
  <c r="ET276" i="2"/>
  <c r="ES276" i="2"/>
  <c r="ET275" i="2"/>
  <c r="ES275" i="2"/>
  <c r="ET273" i="2"/>
  <c r="ES273" i="2"/>
  <c r="ET272" i="2"/>
  <c r="ES272" i="2"/>
  <c r="ET271" i="2"/>
  <c r="ES271" i="2"/>
  <c r="ET268" i="2"/>
  <c r="ES268" i="2"/>
  <c r="ET267" i="2"/>
  <c r="ES267" i="2"/>
  <c r="ET266" i="2"/>
  <c r="ES266" i="2"/>
  <c r="ET265" i="2"/>
  <c r="ES265" i="2"/>
  <c r="ET264" i="2"/>
  <c r="ES264" i="2"/>
  <c r="ET263" i="2"/>
  <c r="ES263" i="2"/>
  <c r="ET262" i="2"/>
  <c r="ES262" i="2"/>
  <c r="ET261" i="2"/>
  <c r="ES261" i="2"/>
  <c r="ET260" i="2"/>
  <c r="ES260" i="2"/>
  <c r="ET259" i="2"/>
  <c r="ES259" i="2"/>
  <c r="ET258" i="2"/>
  <c r="ES258" i="2"/>
  <c r="ET257" i="2"/>
  <c r="ES257" i="2"/>
  <c r="ET256" i="2"/>
  <c r="ES256" i="2"/>
  <c r="ET254" i="2"/>
  <c r="ES254" i="2"/>
  <c r="ET252" i="2"/>
  <c r="ES252" i="2"/>
  <c r="ET251" i="2"/>
  <c r="ES251" i="2"/>
  <c r="ET250" i="2"/>
  <c r="ES250" i="2"/>
  <c r="ET249" i="2"/>
  <c r="ES249" i="2"/>
  <c r="ET248" i="2"/>
  <c r="ES248" i="2"/>
  <c r="ET247" i="2"/>
  <c r="ES247" i="2"/>
  <c r="ET246" i="2"/>
  <c r="ES246" i="2"/>
  <c r="ET245" i="2"/>
  <c r="ES245" i="2"/>
  <c r="ET244" i="2"/>
  <c r="ES244" i="2"/>
  <c r="ET243" i="2"/>
  <c r="ES243" i="2"/>
  <c r="ET242" i="2"/>
  <c r="ES242" i="2"/>
  <c r="ET241" i="2"/>
  <c r="ES241" i="2"/>
  <c r="ET240" i="2"/>
  <c r="ES240" i="2"/>
  <c r="ET239" i="2"/>
  <c r="ES239" i="2"/>
  <c r="ET238" i="2"/>
  <c r="ES238" i="2"/>
  <c r="ET237" i="2"/>
  <c r="ES237" i="2"/>
  <c r="ET236" i="2"/>
  <c r="ES236" i="2"/>
  <c r="ET235" i="2"/>
  <c r="ES235" i="2"/>
  <c r="ET234" i="2"/>
  <c r="ES234" i="2"/>
  <c r="ET233" i="2"/>
  <c r="ES233" i="2"/>
  <c r="ET232" i="2"/>
  <c r="ES232" i="2"/>
  <c r="ET231" i="2"/>
  <c r="ES231" i="2"/>
  <c r="ET230" i="2"/>
  <c r="ES230" i="2"/>
  <c r="ET229" i="2"/>
  <c r="ES229" i="2"/>
  <c r="ET228" i="2"/>
  <c r="ES228" i="2"/>
  <c r="ET227" i="2"/>
  <c r="ES227" i="2"/>
  <c r="ET226" i="2"/>
  <c r="ES226" i="2"/>
  <c r="ET225" i="2"/>
  <c r="ES225" i="2"/>
  <c r="ET224" i="2"/>
  <c r="ES224" i="2"/>
  <c r="ET223" i="2"/>
  <c r="ES223" i="2"/>
  <c r="ET221" i="2"/>
  <c r="ES221" i="2"/>
  <c r="ET220" i="2"/>
  <c r="ES220" i="2"/>
  <c r="ET219" i="2"/>
  <c r="ES219" i="2"/>
  <c r="ET218" i="2"/>
  <c r="ES218" i="2"/>
  <c r="ET216" i="2"/>
  <c r="ES216" i="2"/>
  <c r="ET215" i="2"/>
  <c r="ES215" i="2"/>
  <c r="ET213" i="2"/>
  <c r="ES213" i="2"/>
  <c r="ET212" i="2"/>
  <c r="ES212" i="2"/>
  <c r="ET211" i="2"/>
  <c r="ES211" i="2"/>
  <c r="ET210" i="2"/>
  <c r="ES210" i="2"/>
  <c r="ET209" i="2"/>
  <c r="ES209" i="2"/>
  <c r="ET208" i="2"/>
  <c r="ES208" i="2"/>
  <c r="ET204" i="2"/>
  <c r="ES204" i="2"/>
  <c r="ET203" i="2"/>
  <c r="ES203" i="2"/>
  <c r="ET202" i="2"/>
  <c r="ES202" i="2"/>
  <c r="ET201" i="2"/>
  <c r="ES201" i="2"/>
  <c r="ET200" i="2"/>
  <c r="ES200" i="2"/>
  <c r="ET199" i="2"/>
  <c r="ES199" i="2"/>
  <c r="ET198" i="2"/>
  <c r="ES198" i="2"/>
  <c r="ET197" i="2"/>
  <c r="ES197" i="2"/>
  <c r="ET196" i="2"/>
  <c r="ES196" i="2"/>
  <c r="ET194" i="2"/>
  <c r="ES194" i="2"/>
  <c r="ET193" i="2"/>
  <c r="ES193" i="2"/>
  <c r="ET192" i="2"/>
  <c r="ES192" i="2"/>
  <c r="ET191" i="2"/>
  <c r="ES191" i="2"/>
  <c r="ET190" i="2"/>
  <c r="ES190" i="2"/>
  <c r="ET189" i="2"/>
  <c r="ES189" i="2"/>
  <c r="ET188" i="2"/>
  <c r="ES188" i="2"/>
  <c r="ET186" i="2"/>
  <c r="ES186" i="2"/>
  <c r="ET185" i="2"/>
  <c r="ES185" i="2"/>
  <c r="ET184" i="2"/>
  <c r="ES184" i="2"/>
  <c r="ET183" i="2"/>
  <c r="ES183" i="2"/>
  <c r="ET182" i="2"/>
  <c r="ES182" i="2"/>
  <c r="ET181" i="2"/>
  <c r="ES181" i="2"/>
  <c r="ET180" i="2"/>
  <c r="ES180" i="2"/>
  <c r="ET179" i="2"/>
  <c r="ES179" i="2"/>
  <c r="ET177" i="2"/>
  <c r="ES177" i="2"/>
  <c r="ET176" i="2"/>
  <c r="ES176" i="2"/>
  <c r="ET175" i="2"/>
  <c r="ES175" i="2"/>
  <c r="ET174" i="2"/>
  <c r="ES174" i="2"/>
  <c r="ET173" i="2"/>
  <c r="ES173" i="2"/>
  <c r="ET172" i="2"/>
  <c r="ES172" i="2"/>
  <c r="ET171" i="2"/>
  <c r="ES171" i="2"/>
  <c r="ET169" i="2"/>
  <c r="ES169" i="2"/>
  <c r="ET168" i="2"/>
  <c r="ES168" i="2"/>
  <c r="ET167" i="2"/>
  <c r="ES167" i="2"/>
  <c r="ET166" i="2"/>
  <c r="ES166" i="2"/>
  <c r="ET165" i="2"/>
  <c r="ES165" i="2"/>
  <c r="ET164" i="2"/>
  <c r="ES164" i="2"/>
  <c r="ET163" i="2"/>
  <c r="ES163" i="2"/>
  <c r="ET162" i="2"/>
  <c r="ES162" i="2"/>
  <c r="ET161" i="2"/>
  <c r="ES161" i="2"/>
  <c r="ET160" i="2"/>
  <c r="ES160" i="2"/>
  <c r="ET159" i="2"/>
  <c r="ES159" i="2"/>
  <c r="ET158" i="2"/>
  <c r="ES158" i="2"/>
  <c r="ET157" i="2"/>
  <c r="ES157" i="2"/>
  <c r="ET156" i="2"/>
  <c r="ES156" i="2"/>
  <c r="ET155" i="2"/>
  <c r="ES155" i="2"/>
  <c r="ET154" i="2"/>
  <c r="ES154" i="2"/>
  <c r="ET153" i="2"/>
  <c r="ES153" i="2"/>
  <c r="ET152" i="2"/>
  <c r="ES152" i="2"/>
  <c r="ET151" i="2"/>
  <c r="ES151" i="2"/>
  <c r="ET150" i="2"/>
  <c r="ES150" i="2"/>
  <c r="ET149" i="2"/>
  <c r="ES149" i="2"/>
  <c r="ET148" i="2"/>
  <c r="ES148" i="2"/>
  <c r="ET147" i="2"/>
  <c r="ES147" i="2"/>
  <c r="ET146" i="2"/>
  <c r="ES146" i="2"/>
  <c r="ET145" i="2"/>
  <c r="ES145" i="2"/>
  <c r="ET144" i="2"/>
  <c r="ES144" i="2"/>
  <c r="ET143" i="2"/>
  <c r="ES143" i="2"/>
  <c r="ET142" i="2"/>
  <c r="ES142" i="2"/>
  <c r="ET140" i="2"/>
  <c r="ES140" i="2"/>
  <c r="ET139" i="2"/>
  <c r="ES139" i="2"/>
  <c r="ET138" i="2"/>
  <c r="ES138" i="2"/>
  <c r="ET137" i="2"/>
  <c r="ES137" i="2"/>
  <c r="ET136" i="2"/>
  <c r="ES136" i="2"/>
  <c r="ET135" i="2"/>
  <c r="ES135" i="2"/>
  <c r="ET134" i="2"/>
  <c r="ES134" i="2"/>
  <c r="ET131" i="2"/>
  <c r="ES131" i="2"/>
  <c r="ET130" i="2"/>
  <c r="ES130" i="2"/>
  <c r="ET128" i="2"/>
  <c r="ES128" i="2"/>
  <c r="ET127" i="2"/>
  <c r="ES127" i="2"/>
  <c r="ET126" i="2"/>
  <c r="ES126" i="2"/>
  <c r="ET125" i="2"/>
  <c r="ES125" i="2"/>
  <c r="ET124" i="2"/>
  <c r="ES124" i="2"/>
  <c r="ET123" i="2"/>
  <c r="ES123" i="2"/>
  <c r="ET122" i="2"/>
  <c r="ES122" i="2"/>
  <c r="ET121" i="2"/>
  <c r="ES121" i="2"/>
  <c r="ET120" i="2"/>
  <c r="ES120" i="2"/>
  <c r="ET119" i="2"/>
  <c r="ES119" i="2"/>
  <c r="ET118" i="2"/>
  <c r="ES118" i="2"/>
  <c r="ET117" i="2"/>
  <c r="ES117" i="2"/>
  <c r="ET116" i="2"/>
  <c r="ES116" i="2"/>
  <c r="ET115" i="2"/>
  <c r="ES115" i="2"/>
  <c r="ET114" i="2"/>
  <c r="ES114" i="2"/>
  <c r="ET113" i="2"/>
  <c r="ES113" i="2"/>
  <c r="ET112" i="2"/>
  <c r="ES112" i="2"/>
  <c r="ET111" i="2"/>
  <c r="ES111" i="2"/>
  <c r="ET110" i="2"/>
  <c r="ES110" i="2"/>
  <c r="ET109" i="2"/>
  <c r="ES109" i="2"/>
  <c r="ET108" i="2"/>
  <c r="ES108" i="2"/>
  <c r="ET107" i="2"/>
  <c r="ES107" i="2"/>
  <c r="ET106" i="2"/>
  <c r="ES106" i="2"/>
  <c r="ET105" i="2"/>
  <c r="ES105" i="2"/>
  <c r="ET104" i="2"/>
  <c r="ES104" i="2"/>
  <c r="ET102" i="2"/>
  <c r="ES102" i="2"/>
  <c r="ET101" i="2"/>
  <c r="ES101" i="2"/>
  <c r="ET100" i="2"/>
  <c r="ES100" i="2"/>
  <c r="ET99" i="2"/>
  <c r="ES99" i="2"/>
  <c r="ET98" i="2"/>
  <c r="ES98" i="2"/>
  <c r="ET97" i="2"/>
  <c r="ES97" i="2"/>
  <c r="ET96" i="2"/>
  <c r="ES96" i="2"/>
  <c r="ET95" i="2"/>
  <c r="ES95" i="2"/>
  <c r="ET94" i="2"/>
  <c r="ES94" i="2"/>
  <c r="ET93" i="2"/>
  <c r="ES93" i="2"/>
  <c r="ET92" i="2"/>
  <c r="ES92" i="2"/>
  <c r="ET91" i="2"/>
  <c r="ES91" i="2"/>
  <c r="ET90" i="2"/>
  <c r="ES90" i="2"/>
  <c r="ET89" i="2"/>
  <c r="ES89" i="2"/>
  <c r="ET88" i="2"/>
  <c r="ES88" i="2"/>
  <c r="ET87" i="2"/>
  <c r="ES87" i="2"/>
  <c r="ET86" i="2"/>
  <c r="ES86" i="2"/>
  <c r="ET85" i="2"/>
  <c r="ES85" i="2"/>
  <c r="ET84" i="2"/>
  <c r="ES84" i="2"/>
  <c r="ET83" i="2"/>
  <c r="ES83" i="2"/>
  <c r="ET82" i="2"/>
  <c r="ES82" i="2"/>
  <c r="ET81" i="2"/>
  <c r="ES81" i="2"/>
  <c r="ET80" i="2"/>
  <c r="ES80" i="2"/>
  <c r="ET79" i="2"/>
  <c r="ES79" i="2"/>
  <c r="ET78" i="2"/>
  <c r="ES78" i="2"/>
  <c r="ET77" i="2"/>
  <c r="ES77" i="2"/>
  <c r="ET75" i="2"/>
  <c r="ES75" i="2"/>
  <c r="ET74" i="2"/>
  <c r="ES74" i="2"/>
  <c r="ET73" i="2"/>
  <c r="ES73" i="2"/>
  <c r="ET72" i="2"/>
  <c r="ES72" i="2"/>
  <c r="ET71" i="2"/>
  <c r="ES71" i="2"/>
  <c r="ET70" i="2"/>
  <c r="ES70" i="2"/>
  <c r="ET69" i="2"/>
  <c r="ES69" i="2"/>
  <c r="ET68" i="2"/>
  <c r="ES68" i="2"/>
  <c r="ET67" i="2"/>
  <c r="ES67" i="2"/>
  <c r="ET66" i="2"/>
  <c r="ES66" i="2"/>
  <c r="ET65" i="2"/>
  <c r="ES65" i="2"/>
  <c r="ET64" i="2"/>
  <c r="ES64" i="2"/>
  <c r="ET63" i="2"/>
  <c r="ES63" i="2"/>
  <c r="ET62" i="2"/>
  <c r="ES62" i="2"/>
  <c r="ET61" i="2"/>
  <c r="ES61" i="2"/>
  <c r="ET60" i="2"/>
  <c r="ES60" i="2"/>
  <c r="ET59" i="2"/>
  <c r="ES59" i="2"/>
  <c r="ET58" i="2"/>
  <c r="ES58" i="2"/>
  <c r="ET57" i="2"/>
  <c r="ES57" i="2"/>
  <c r="ET56" i="2"/>
  <c r="ES56" i="2"/>
  <c r="ET55" i="2"/>
  <c r="ES55" i="2"/>
  <c r="ET54" i="2"/>
  <c r="ES54" i="2"/>
  <c r="ET53" i="2"/>
  <c r="ES53" i="2"/>
  <c r="ET52" i="2"/>
  <c r="ES52" i="2"/>
  <c r="ET51" i="2"/>
  <c r="ES51" i="2"/>
  <c r="ET50" i="2"/>
  <c r="ES50" i="2"/>
  <c r="ET49" i="2"/>
  <c r="ES49" i="2"/>
  <c r="ET48" i="2"/>
  <c r="ES48" i="2"/>
  <c r="ET47" i="2"/>
  <c r="ES47" i="2"/>
  <c r="ET46" i="2"/>
  <c r="ES46" i="2"/>
  <c r="ET45" i="2"/>
  <c r="ES45" i="2"/>
  <c r="ET44" i="2"/>
  <c r="ES44" i="2"/>
  <c r="ET43" i="2"/>
  <c r="ES43" i="2"/>
  <c r="ET42" i="2"/>
  <c r="ES42" i="2"/>
  <c r="ET41" i="2"/>
  <c r="ES41" i="2"/>
  <c r="ET40" i="2"/>
  <c r="ES40" i="2"/>
  <c r="ET39" i="2"/>
  <c r="ES39" i="2"/>
  <c r="ET38" i="2"/>
  <c r="ES38" i="2"/>
  <c r="ET37" i="2"/>
  <c r="ES37" i="2"/>
  <c r="ET36" i="2"/>
  <c r="ES36" i="2"/>
  <c r="ET35" i="2"/>
  <c r="ES35" i="2"/>
  <c r="ET34" i="2"/>
  <c r="ES34" i="2"/>
  <c r="ET33" i="2"/>
  <c r="ES33" i="2"/>
  <c r="ET32" i="2"/>
  <c r="ES32" i="2"/>
  <c r="ET31" i="2"/>
  <c r="ES31" i="2"/>
  <c r="ET30" i="2"/>
  <c r="ES30" i="2"/>
  <c r="ET29" i="2"/>
  <c r="ES29" i="2"/>
  <c r="ET28" i="2"/>
  <c r="ES28" i="2"/>
  <c r="ET27" i="2"/>
  <c r="ES27" i="2"/>
  <c r="ET26" i="2"/>
  <c r="ES26" i="2"/>
  <c r="ET25" i="2"/>
  <c r="ES25" i="2"/>
  <c r="ET24" i="2"/>
  <c r="ES24" i="2"/>
  <c r="ET23" i="2"/>
  <c r="ES23" i="2"/>
  <c r="ET22" i="2"/>
  <c r="ES22" i="2"/>
  <c r="ET20" i="2"/>
  <c r="ES20" i="2"/>
  <c r="ET19" i="2"/>
  <c r="ES19" i="2"/>
  <c r="ET18" i="2"/>
  <c r="ES18" i="2"/>
  <c r="ET17" i="2"/>
  <c r="ES17" i="2"/>
  <c r="ET16" i="2"/>
  <c r="ES16" i="2"/>
  <c r="ET15" i="2"/>
  <c r="ES15" i="2"/>
  <c r="ET14" i="2"/>
  <c r="ES14" i="2"/>
  <c r="ET13" i="2"/>
  <c r="ES13" i="2"/>
  <c r="ET12" i="2"/>
  <c r="ES12" i="2"/>
  <c r="ET11" i="2"/>
  <c r="ES11" i="2"/>
  <c r="ET10" i="2"/>
  <c r="ES10" i="2"/>
  <c r="ET9" i="2"/>
  <c r="ES9" i="2"/>
  <c r="ET8" i="2"/>
  <c r="ES8" i="2"/>
  <c r="ET7" i="2"/>
  <c r="ES7" i="2"/>
  <c r="ET6" i="2"/>
  <c r="ES6" i="2"/>
  <c r="EP280" i="2"/>
  <c r="EP279" i="2"/>
  <c r="EP278" i="2"/>
  <c r="EP277" i="2"/>
  <c r="EP276" i="2"/>
  <c r="EP275" i="2"/>
  <c r="EP273" i="2"/>
  <c r="EP272" i="2"/>
  <c r="EP271" i="2"/>
  <c r="EP268" i="2"/>
  <c r="EP267" i="2"/>
  <c r="EP266" i="2"/>
  <c r="EP265" i="2"/>
  <c r="EP264" i="2"/>
  <c r="EP263" i="2"/>
  <c r="EP262" i="2"/>
  <c r="EP261" i="2"/>
  <c r="EP260" i="2"/>
  <c r="EP259" i="2"/>
  <c r="EP258" i="2"/>
  <c r="EP257" i="2"/>
  <c r="EP256" i="2"/>
  <c r="EP254" i="2"/>
  <c r="EP252" i="2"/>
  <c r="EP251" i="2"/>
  <c r="EP250" i="2"/>
  <c r="EP249" i="2"/>
  <c r="EP248" i="2"/>
  <c r="EP247" i="2"/>
  <c r="EP246" i="2"/>
  <c r="EP245" i="2"/>
  <c r="EP244" i="2"/>
  <c r="EP243" i="2"/>
  <c r="EP242" i="2"/>
  <c r="EP241" i="2"/>
  <c r="EP240" i="2"/>
  <c r="EP239" i="2"/>
  <c r="EP238" i="2"/>
  <c r="EP237" i="2"/>
  <c r="EP236" i="2"/>
  <c r="EP235" i="2"/>
  <c r="EP234" i="2"/>
  <c r="EP233" i="2"/>
  <c r="EP232" i="2"/>
  <c r="EP231" i="2"/>
  <c r="EP230" i="2"/>
  <c r="EP229" i="2"/>
  <c r="EP228" i="2"/>
  <c r="EP227" i="2"/>
  <c r="EP226" i="2"/>
  <c r="EP225" i="2"/>
  <c r="EP224" i="2"/>
  <c r="EP223" i="2"/>
  <c r="EP221" i="2"/>
  <c r="EP220" i="2"/>
  <c r="EP219" i="2"/>
  <c r="EP218" i="2"/>
  <c r="EP216" i="2"/>
  <c r="EP215" i="2"/>
  <c r="EP213" i="2"/>
  <c r="EP212" i="2"/>
  <c r="EP211" i="2"/>
  <c r="EP210" i="2"/>
  <c r="EP209" i="2"/>
  <c r="EP208" i="2"/>
  <c r="EP204" i="2"/>
  <c r="EP203" i="2"/>
  <c r="EP202" i="2"/>
  <c r="EP201" i="2"/>
  <c r="EP200" i="2"/>
  <c r="EP199" i="2"/>
  <c r="EP198" i="2"/>
  <c r="EP197" i="2"/>
  <c r="EP196" i="2"/>
  <c r="EP194" i="2"/>
  <c r="EP193" i="2"/>
  <c r="EP192" i="2"/>
  <c r="EP191" i="2"/>
  <c r="EP190" i="2"/>
  <c r="EP189" i="2"/>
  <c r="EP188" i="2"/>
  <c r="EP186" i="2"/>
  <c r="EP185" i="2"/>
  <c r="EP184" i="2"/>
  <c r="EP183" i="2"/>
  <c r="EP182" i="2"/>
  <c r="EP181" i="2"/>
  <c r="EP180" i="2"/>
  <c r="EP179" i="2"/>
  <c r="EP177" i="2"/>
  <c r="EP176" i="2"/>
  <c r="EP175" i="2"/>
  <c r="EP174" i="2"/>
  <c r="EP173" i="2"/>
  <c r="EP172" i="2"/>
  <c r="EP171" i="2"/>
  <c r="EP169" i="2"/>
  <c r="EP168" i="2"/>
  <c r="EP167" i="2"/>
  <c r="EP166" i="2"/>
  <c r="EP165" i="2"/>
  <c r="EP164" i="2"/>
  <c r="EP163" i="2"/>
  <c r="EP162" i="2"/>
  <c r="EP161" i="2"/>
  <c r="EP160" i="2"/>
  <c r="EP159" i="2"/>
  <c r="EP158" i="2"/>
  <c r="EP157" i="2"/>
  <c r="EP156" i="2"/>
  <c r="EP155" i="2"/>
  <c r="EP154" i="2"/>
  <c r="EP153" i="2"/>
  <c r="EP152" i="2"/>
  <c r="EP151" i="2"/>
  <c r="EP150" i="2"/>
  <c r="EP149" i="2"/>
  <c r="EP148" i="2"/>
  <c r="EP147" i="2"/>
  <c r="EP146" i="2"/>
  <c r="EP145" i="2"/>
  <c r="EP144" i="2"/>
  <c r="EP143" i="2"/>
  <c r="EP142" i="2"/>
  <c r="EP140" i="2"/>
  <c r="EP139" i="2"/>
  <c r="EP138" i="2"/>
  <c r="EP137" i="2"/>
  <c r="EP136" i="2"/>
  <c r="EP135" i="2"/>
  <c r="EP134" i="2"/>
  <c r="EP131" i="2"/>
  <c r="EP130" i="2"/>
  <c r="EP128" i="2"/>
  <c r="EP127" i="2"/>
  <c r="EP126" i="2"/>
  <c r="EP125" i="2"/>
  <c r="EP124" i="2"/>
  <c r="EP123" i="2"/>
  <c r="EP122" i="2"/>
  <c r="EP121" i="2"/>
  <c r="EP120" i="2"/>
  <c r="EP119" i="2"/>
  <c r="EP118" i="2"/>
  <c r="EP117" i="2"/>
  <c r="EP116" i="2"/>
  <c r="EP115" i="2"/>
  <c r="EP114" i="2"/>
  <c r="EP113" i="2"/>
  <c r="EP112" i="2"/>
  <c r="EP111" i="2"/>
  <c r="EP110" i="2"/>
  <c r="EP109" i="2"/>
  <c r="EP108" i="2"/>
  <c r="EP107" i="2"/>
  <c r="EP106" i="2"/>
  <c r="EP105" i="2"/>
  <c r="EP104" i="2"/>
  <c r="EP102" i="2"/>
  <c r="EP101" i="2"/>
  <c r="EP100" i="2"/>
  <c r="EP99" i="2"/>
  <c r="EP98" i="2"/>
  <c r="EP97" i="2"/>
  <c r="EP96" i="2"/>
  <c r="EP95" i="2"/>
  <c r="EP94" i="2"/>
  <c r="EP93" i="2"/>
  <c r="EP92" i="2"/>
  <c r="EP91" i="2"/>
  <c r="EP90" i="2"/>
  <c r="EP89" i="2"/>
  <c r="EP88" i="2"/>
  <c r="EP87" i="2"/>
  <c r="EP86" i="2"/>
  <c r="EP85" i="2"/>
  <c r="EP84" i="2"/>
  <c r="EP83" i="2"/>
  <c r="EP82" i="2"/>
  <c r="EP81" i="2"/>
  <c r="EP80" i="2"/>
  <c r="EP79" i="2"/>
  <c r="EP78" i="2"/>
  <c r="EP77" i="2"/>
  <c r="EP75" i="2"/>
  <c r="EP74" i="2"/>
  <c r="EP73" i="2"/>
  <c r="EP72" i="2"/>
  <c r="EP71" i="2"/>
  <c r="EP70" i="2"/>
  <c r="EP69" i="2"/>
  <c r="EP68" i="2"/>
  <c r="EP67" i="2"/>
  <c r="EP66" i="2"/>
  <c r="EP65" i="2"/>
  <c r="EP64" i="2"/>
  <c r="EP63" i="2"/>
  <c r="EP62" i="2"/>
  <c r="EP61" i="2"/>
  <c r="EP60" i="2"/>
  <c r="EP59" i="2"/>
  <c r="EP58" i="2"/>
  <c r="EP57" i="2"/>
  <c r="EP56" i="2"/>
  <c r="EP55" i="2"/>
  <c r="EP54" i="2"/>
  <c r="EP53" i="2"/>
  <c r="EP52" i="2"/>
  <c r="EP51" i="2"/>
  <c r="EP50" i="2"/>
  <c r="EP49" i="2"/>
  <c r="EP48" i="2"/>
  <c r="EP47" i="2"/>
  <c r="EP46" i="2"/>
  <c r="EP45" i="2"/>
  <c r="EP44" i="2"/>
  <c r="EP43" i="2"/>
  <c r="EP42" i="2"/>
  <c r="EP41" i="2"/>
  <c r="EP40" i="2"/>
  <c r="EP39" i="2"/>
  <c r="EP38" i="2"/>
  <c r="EP37" i="2"/>
  <c r="EP36" i="2"/>
  <c r="EP35" i="2"/>
  <c r="EP34" i="2"/>
  <c r="EP33" i="2"/>
  <c r="EP32" i="2"/>
  <c r="EP31" i="2"/>
  <c r="EP30" i="2"/>
  <c r="EP29" i="2"/>
  <c r="EP28" i="2"/>
  <c r="EP27" i="2"/>
  <c r="EP26" i="2"/>
  <c r="EP25" i="2"/>
  <c r="EP24" i="2"/>
  <c r="EP23" i="2"/>
  <c r="EP22" i="2"/>
  <c r="EP20" i="2"/>
  <c r="EP19" i="2"/>
  <c r="EP18" i="2"/>
  <c r="EP17" i="2"/>
  <c r="EP16" i="2"/>
  <c r="EP15" i="2"/>
  <c r="EP14" i="2"/>
  <c r="EP13" i="2"/>
  <c r="EP12" i="2"/>
  <c r="EP11" i="2"/>
  <c r="EP10" i="2"/>
  <c r="EP9" i="2"/>
  <c r="EP8" i="2"/>
  <c r="EP7" i="2"/>
  <c r="EP6" i="2"/>
  <c r="EN280" i="2"/>
  <c r="EN279" i="2"/>
  <c r="EN278" i="2"/>
  <c r="EN277" i="2"/>
  <c r="EN276" i="2"/>
  <c r="EN275" i="2"/>
  <c r="EN273" i="2"/>
  <c r="EN272" i="2"/>
  <c r="EN271" i="2"/>
  <c r="EN268" i="2"/>
  <c r="EN267" i="2"/>
  <c r="EN266" i="2"/>
  <c r="EN265" i="2"/>
  <c r="EN264" i="2"/>
  <c r="EN263" i="2"/>
  <c r="EN262" i="2"/>
  <c r="EN261" i="2"/>
  <c r="EN260" i="2"/>
  <c r="EN259" i="2"/>
  <c r="EN258" i="2"/>
  <c r="EN257" i="2"/>
  <c r="EN256" i="2"/>
  <c r="EN254" i="2"/>
  <c r="EN252" i="2"/>
  <c r="EN251" i="2"/>
  <c r="EN250" i="2"/>
  <c r="EN249" i="2"/>
  <c r="EN248" i="2"/>
  <c r="EN247" i="2"/>
  <c r="EN246" i="2"/>
  <c r="EN245" i="2"/>
  <c r="EN244" i="2"/>
  <c r="EN243" i="2"/>
  <c r="EN242" i="2"/>
  <c r="EN241" i="2"/>
  <c r="EN240" i="2"/>
  <c r="EN239" i="2"/>
  <c r="EN238" i="2"/>
  <c r="EN237" i="2"/>
  <c r="EN236" i="2"/>
  <c r="EN235" i="2"/>
  <c r="EN234" i="2"/>
  <c r="EN233" i="2"/>
  <c r="EN232" i="2"/>
  <c r="EN231" i="2"/>
  <c r="EN230" i="2"/>
  <c r="EN229" i="2"/>
  <c r="EN228" i="2"/>
  <c r="EN227" i="2"/>
  <c r="EN226" i="2"/>
  <c r="EN225" i="2"/>
  <c r="EN224" i="2"/>
  <c r="EN223" i="2"/>
  <c r="EN221" i="2"/>
  <c r="EN220" i="2"/>
  <c r="EN219" i="2"/>
  <c r="EN218" i="2"/>
  <c r="EN216" i="2"/>
  <c r="EN215" i="2"/>
  <c r="EN213" i="2"/>
  <c r="EN212" i="2"/>
  <c r="EN211" i="2"/>
  <c r="EN210" i="2"/>
  <c r="EN209" i="2"/>
  <c r="EN208" i="2"/>
  <c r="EN204" i="2"/>
  <c r="EN203" i="2"/>
  <c r="EN202" i="2"/>
  <c r="EN201" i="2"/>
  <c r="EN200" i="2"/>
  <c r="EN199" i="2"/>
  <c r="EN198" i="2"/>
  <c r="EN197" i="2"/>
  <c r="EN196" i="2"/>
  <c r="EN194" i="2"/>
  <c r="EN193" i="2"/>
  <c r="EN192" i="2"/>
  <c r="EN191" i="2"/>
  <c r="EN190" i="2"/>
  <c r="EN189" i="2"/>
  <c r="EN188" i="2"/>
  <c r="EN186" i="2"/>
  <c r="EN185" i="2"/>
  <c r="EN184" i="2"/>
  <c r="EN183" i="2"/>
  <c r="EN182" i="2"/>
  <c r="EN181" i="2"/>
  <c r="EN180" i="2"/>
  <c r="EN179" i="2"/>
  <c r="EN177" i="2"/>
  <c r="EN176" i="2"/>
  <c r="EN175" i="2"/>
  <c r="EN174" i="2"/>
  <c r="EN173" i="2"/>
  <c r="EN172" i="2"/>
  <c r="EN171" i="2"/>
  <c r="EN169" i="2"/>
  <c r="EN168" i="2"/>
  <c r="EN167" i="2"/>
  <c r="EN166" i="2"/>
  <c r="EN165" i="2"/>
  <c r="EN164" i="2"/>
  <c r="EN163" i="2"/>
  <c r="EN162" i="2"/>
  <c r="EN161" i="2"/>
  <c r="EN160" i="2"/>
  <c r="EN159" i="2"/>
  <c r="EN158" i="2"/>
  <c r="EN157" i="2"/>
  <c r="EN156" i="2"/>
  <c r="EN155" i="2"/>
  <c r="EN154" i="2"/>
  <c r="EN153" i="2"/>
  <c r="EN152" i="2"/>
  <c r="EN151" i="2"/>
  <c r="EN150" i="2"/>
  <c r="EN149" i="2"/>
  <c r="EN148" i="2"/>
  <c r="EN147" i="2"/>
  <c r="EN146" i="2"/>
  <c r="EN145" i="2"/>
  <c r="EN144" i="2"/>
  <c r="EN143" i="2"/>
  <c r="EN142" i="2"/>
  <c r="EN140" i="2"/>
  <c r="EN139" i="2"/>
  <c r="EN138" i="2"/>
  <c r="EN137" i="2"/>
  <c r="EN136" i="2"/>
  <c r="EN135" i="2"/>
  <c r="EN134" i="2"/>
  <c r="EN131" i="2"/>
  <c r="EN130" i="2"/>
  <c r="EN128" i="2"/>
  <c r="EN127" i="2"/>
  <c r="EN126" i="2"/>
  <c r="EN125" i="2"/>
  <c r="EN124" i="2"/>
  <c r="EN123" i="2"/>
  <c r="EN122" i="2"/>
  <c r="EN121" i="2"/>
  <c r="EN120" i="2"/>
  <c r="EN119" i="2"/>
  <c r="EN118" i="2"/>
  <c r="EN117" i="2"/>
  <c r="EN116" i="2"/>
  <c r="EN115" i="2"/>
  <c r="EN114" i="2"/>
  <c r="EN113" i="2"/>
  <c r="EN112" i="2"/>
  <c r="EN111" i="2"/>
  <c r="EN110" i="2"/>
  <c r="EN109" i="2"/>
  <c r="EN108" i="2"/>
  <c r="EN107" i="2"/>
  <c r="EN106" i="2"/>
  <c r="EN105" i="2"/>
  <c r="EN104" i="2"/>
  <c r="EN102" i="2"/>
  <c r="EN101" i="2"/>
  <c r="EN100" i="2"/>
  <c r="EN99" i="2"/>
  <c r="EN98" i="2"/>
  <c r="EN97" i="2"/>
  <c r="EN96" i="2"/>
  <c r="EN95" i="2"/>
  <c r="EN94" i="2"/>
  <c r="EN93" i="2"/>
  <c r="EN92" i="2"/>
  <c r="EN91" i="2"/>
  <c r="EN90" i="2"/>
  <c r="EN89" i="2"/>
  <c r="EN88" i="2"/>
  <c r="EN87" i="2"/>
  <c r="EN86" i="2"/>
  <c r="EN85" i="2"/>
  <c r="EN84" i="2"/>
  <c r="EN83" i="2"/>
  <c r="EN82" i="2"/>
  <c r="EN81" i="2"/>
  <c r="EN80" i="2"/>
  <c r="EN79" i="2"/>
  <c r="EN78" i="2"/>
  <c r="EN77" i="2"/>
  <c r="EN75" i="2"/>
  <c r="EN74" i="2"/>
  <c r="EN73" i="2"/>
  <c r="EN72" i="2"/>
  <c r="EN71" i="2"/>
  <c r="EN70" i="2"/>
  <c r="EN69" i="2"/>
  <c r="EN68" i="2"/>
  <c r="EN67" i="2"/>
  <c r="EN66" i="2"/>
  <c r="EN65" i="2"/>
  <c r="EN64" i="2"/>
  <c r="EN63" i="2"/>
  <c r="EN62" i="2"/>
  <c r="EN61" i="2"/>
  <c r="EN60" i="2"/>
  <c r="EN59" i="2"/>
  <c r="EN58" i="2"/>
  <c r="EN57" i="2"/>
  <c r="EN56" i="2"/>
  <c r="EN55" i="2"/>
  <c r="EN54" i="2"/>
  <c r="EN53" i="2"/>
  <c r="EN52" i="2"/>
  <c r="EN51" i="2"/>
  <c r="EN50" i="2"/>
  <c r="EN49" i="2"/>
  <c r="EN48" i="2"/>
  <c r="EN47" i="2"/>
  <c r="EN46" i="2"/>
  <c r="EN45" i="2"/>
  <c r="EN44" i="2"/>
  <c r="EN43" i="2"/>
  <c r="EN42" i="2"/>
  <c r="EN41" i="2"/>
  <c r="EN40" i="2"/>
  <c r="EN39" i="2"/>
  <c r="EN38" i="2"/>
  <c r="EN37" i="2"/>
  <c r="EN36" i="2"/>
  <c r="EN35" i="2"/>
  <c r="EN34" i="2"/>
  <c r="EN33" i="2"/>
  <c r="EN32" i="2"/>
  <c r="EN31" i="2"/>
  <c r="EN30" i="2"/>
  <c r="EN29" i="2"/>
  <c r="EN28" i="2"/>
  <c r="EN27" i="2"/>
  <c r="EN26" i="2"/>
  <c r="EN25" i="2"/>
  <c r="EN24" i="2"/>
  <c r="EN23" i="2"/>
  <c r="EN22" i="2"/>
  <c r="EN20" i="2"/>
  <c r="EN19" i="2"/>
  <c r="EN18" i="2"/>
  <c r="EN17" i="2"/>
  <c r="EN16" i="2"/>
  <c r="EN15" i="2"/>
  <c r="EN14" i="2"/>
  <c r="EN13" i="2"/>
  <c r="EN12" i="2"/>
  <c r="EN11" i="2"/>
  <c r="EN10" i="2"/>
  <c r="EN9" i="2"/>
  <c r="EN8" i="2"/>
  <c r="EN7" i="2"/>
  <c r="EN6" i="2"/>
  <c r="EK280" i="2"/>
  <c r="EK279" i="2"/>
  <c r="EK278" i="2"/>
  <c r="EK277" i="2"/>
  <c r="EK276" i="2"/>
  <c r="EK275" i="2"/>
  <c r="EK273" i="2"/>
  <c r="EK272" i="2"/>
  <c r="EK271" i="2"/>
  <c r="EK268" i="2"/>
  <c r="EK267" i="2"/>
  <c r="EK266" i="2"/>
  <c r="EK265" i="2"/>
  <c r="EK264" i="2"/>
  <c r="EK263" i="2"/>
  <c r="EK262" i="2"/>
  <c r="EK261" i="2"/>
  <c r="EK260" i="2"/>
  <c r="EK259" i="2"/>
  <c r="EK258" i="2"/>
  <c r="EK257" i="2"/>
  <c r="EK256" i="2"/>
  <c r="EK254" i="2"/>
  <c r="EK252" i="2"/>
  <c r="EK251" i="2"/>
  <c r="EK250" i="2"/>
  <c r="EK249" i="2"/>
  <c r="EK248" i="2"/>
  <c r="EK247" i="2"/>
  <c r="EK246" i="2"/>
  <c r="EK245" i="2"/>
  <c r="EK244" i="2"/>
  <c r="EK243" i="2"/>
  <c r="EK242" i="2"/>
  <c r="EK241" i="2"/>
  <c r="EK240" i="2"/>
  <c r="EK239" i="2"/>
  <c r="EK238" i="2"/>
  <c r="EK237" i="2"/>
  <c r="EK236" i="2"/>
  <c r="EK235" i="2"/>
  <c r="EK234" i="2"/>
  <c r="EK233" i="2"/>
  <c r="EK232" i="2"/>
  <c r="EK231" i="2"/>
  <c r="EK230" i="2"/>
  <c r="EK229" i="2"/>
  <c r="EK228" i="2"/>
  <c r="EK227" i="2"/>
  <c r="EK226" i="2"/>
  <c r="EK225" i="2"/>
  <c r="EK224" i="2"/>
  <c r="EK223" i="2"/>
  <c r="EK221" i="2"/>
  <c r="EK220" i="2"/>
  <c r="EK219" i="2"/>
  <c r="EK218" i="2"/>
  <c r="EK216" i="2"/>
  <c r="EK215" i="2"/>
  <c r="EK213" i="2"/>
  <c r="EK212" i="2"/>
  <c r="EK211" i="2"/>
  <c r="EK210" i="2"/>
  <c r="EK209" i="2"/>
  <c r="EK208" i="2"/>
  <c r="EK204" i="2"/>
  <c r="EK203" i="2"/>
  <c r="EK202" i="2"/>
  <c r="EK201" i="2"/>
  <c r="EK200" i="2"/>
  <c r="EK199" i="2"/>
  <c r="EK198" i="2"/>
  <c r="EK197" i="2"/>
  <c r="EK196" i="2"/>
  <c r="EK194" i="2"/>
  <c r="EK193" i="2"/>
  <c r="EK192" i="2"/>
  <c r="EK191" i="2"/>
  <c r="EK190" i="2"/>
  <c r="EK189" i="2"/>
  <c r="EK188" i="2"/>
  <c r="EK186" i="2"/>
  <c r="EK185" i="2"/>
  <c r="EK184" i="2"/>
  <c r="EK183" i="2"/>
  <c r="EK182" i="2"/>
  <c r="EK181" i="2"/>
  <c r="EK180" i="2"/>
  <c r="EK179" i="2"/>
  <c r="EK177" i="2"/>
  <c r="EK176" i="2"/>
  <c r="EK175" i="2"/>
  <c r="EK174" i="2"/>
  <c r="EK173" i="2"/>
  <c r="EK172" i="2"/>
  <c r="EK171" i="2"/>
  <c r="EK169" i="2"/>
  <c r="EK168" i="2"/>
  <c r="EK167" i="2"/>
  <c r="EK166" i="2"/>
  <c r="EK165" i="2"/>
  <c r="EK164" i="2"/>
  <c r="EK163" i="2"/>
  <c r="EK162" i="2"/>
  <c r="EK161" i="2"/>
  <c r="EK160" i="2"/>
  <c r="EK159" i="2"/>
  <c r="EK158" i="2"/>
  <c r="EK157" i="2"/>
  <c r="EK156" i="2"/>
  <c r="EK155" i="2"/>
  <c r="EK154" i="2"/>
  <c r="EK153" i="2"/>
  <c r="EK152" i="2"/>
  <c r="EK151" i="2"/>
  <c r="EK150" i="2"/>
  <c r="EK149" i="2"/>
  <c r="EK148" i="2"/>
  <c r="EK147" i="2"/>
  <c r="EK146" i="2"/>
  <c r="EK145" i="2"/>
  <c r="EK144" i="2"/>
  <c r="EK143" i="2"/>
  <c r="EK142" i="2"/>
  <c r="EK140" i="2"/>
  <c r="EK139" i="2"/>
  <c r="EK138" i="2"/>
  <c r="EK137" i="2"/>
  <c r="EK136" i="2"/>
  <c r="EK135" i="2"/>
  <c r="EK134" i="2"/>
  <c r="EK131" i="2"/>
  <c r="EK130" i="2"/>
  <c r="EK128" i="2"/>
  <c r="EK127" i="2"/>
  <c r="EK126" i="2"/>
  <c r="EK125" i="2"/>
  <c r="EK124" i="2"/>
  <c r="EK123" i="2"/>
  <c r="EK122" i="2"/>
  <c r="EK121" i="2"/>
  <c r="EK120" i="2"/>
  <c r="EK119" i="2"/>
  <c r="EK118" i="2"/>
  <c r="EK117" i="2"/>
  <c r="EK116" i="2"/>
  <c r="EK115" i="2"/>
  <c r="EK114" i="2"/>
  <c r="EK113" i="2"/>
  <c r="EK112" i="2"/>
  <c r="EK111" i="2"/>
  <c r="EK110" i="2"/>
  <c r="EK109" i="2"/>
  <c r="EK108" i="2"/>
  <c r="EK107" i="2"/>
  <c r="EK106" i="2"/>
  <c r="EK105" i="2"/>
  <c r="EK104" i="2"/>
  <c r="EK102" i="2"/>
  <c r="EK101" i="2"/>
  <c r="EK100" i="2"/>
  <c r="EK99" i="2"/>
  <c r="EK98" i="2"/>
  <c r="EK97" i="2"/>
  <c r="EK96" i="2"/>
  <c r="EK95" i="2"/>
  <c r="EK94" i="2"/>
  <c r="EK93" i="2"/>
  <c r="EK92" i="2"/>
  <c r="EK91" i="2"/>
  <c r="EK90" i="2"/>
  <c r="EK89" i="2"/>
  <c r="EK88" i="2"/>
  <c r="EK87" i="2"/>
  <c r="EK86" i="2"/>
  <c r="EK85" i="2"/>
  <c r="EK84" i="2"/>
  <c r="EK83" i="2"/>
  <c r="EK82" i="2"/>
  <c r="EK81" i="2"/>
  <c r="EK80" i="2"/>
  <c r="EK79" i="2"/>
  <c r="EK78" i="2"/>
  <c r="EK77" i="2"/>
  <c r="EK75" i="2"/>
  <c r="EK74" i="2"/>
  <c r="EK73" i="2"/>
  <c r="EK72" i="2"/>
  <c r="EK71" i="2"/>
  <c r="EK70" i="2"/>
  <c r="EK69" i="2"/>
  <c r="EK68" i="2"/>
  <c r="EK67" i="2"/>
  <c r="EK66" i="2"/>
  <c r="EK65" i="2"/>
  <c r="EK64" i="2"/>
  <c r="EK63" i="2"/>
  <c r="EK62" i="2"/>
  <c r="EK61" i="2"/>
  <c r="EK60" i="2"/>
  <c r="EK59" i="2"/>
  <c r="EK58" i="2"/>
  <c r="EK57" i="2"/>
  <c r="EK56" i="2"/>
  <c r="EK55" i="2"/>
  <c r="EK54" i="2"/>
  <c r="EK53" i="2"/>
  <c r="EK52" i="2"/>
  <c r="EK51" i="2"/>
  <c r="EK50" i="2"/>
  <c r="EK49" i="2"/>
  <c r="EK48" i="2"/>
  <c r="EK47" i="2"/>
  <c r="EK46" i="2"/>
  <c r="EK45" i="2"/>
  <c r="EK44" i="2"/>
  <c r="EK43" i="2"/>
  <c r="EK42" i="2"/>
  <c r="EK41" i="2"/>
  <c r="EK40" i="2"/>
  <c r="EK39" i="2"/>
  <c r="EK38" i="2"/>
  <c r="EK37" i="2"/>
  <c r="EK36" i="2"/>
  <c r="EK35" i="2"/>
  <c r="EK34" i="2"/>
  <c r="EK33" i="2"/>
  <c r="EK32" i="2"/>
  <c r="EK31" i="2"/>
  <c r="EK30" i="2"/>
  <c r="EK29" i="2"/>
  <c r="EK28" i="2"/>
  <c r="EK27" i="2"/>
  <c r="EK26" i="2"/>
  <c r="EK25" i="2"/>
  <c r="EK24" i="2"/>
  <c r="EK23" i="2"/>
  <c r="EK22" i="2"/>
  <c r="EK20" i="2"/>
  <c r="EK19" i="2"/>
  <c r="EK18" i="2"/>
  <c r="EK17" i="2"/>
  <c r="EK16" i="2"/>
  <c r="EK15" i="2"/>
  <c r="EK14" i="2"/>
  <c r="EK13" i="2"/>
  <c r="EK12" i="2"/>
  <c r="EK11" i="2"/>
  <c r="EK10" i="2"/>
  <c r="EK9" i="2"/>
  <c r="EK8" i="2"/>
  <c r="EK7" i="2"/>
  <c r="EK6" i="2"/>
  <c r="EH280" i="2"/>
  <c r="EH279" i="2"/>
  <c r="EH278" i="2"/>
  <c r="EH277" i="2"/>
  <c r="EH276" i="2"/>
  <c r="EH275" i="2"/>
  <c r="EH273" i="2"/>
  <c r="EH272" i="2"/>
  <c r="EH271" i="2"/>
  <c r="EH268" i="2"/>
  <c r="EH267" i="2"/>
  <c r="EH266" i="2"/>
  <c r="EH265" i="2"/>
  <c r="EH264" i="2"/>
  <c r="EH263" i="2"/>
  <c r="EH262" i="2"/>
  <c r="EH261" i="2"/>
  <c r="EH260" i="2"/>
  <c r="EH259" i="2"/>
  <c r="EH258" i="2"/>
  <c r="EH257" i="2"/>
  <c r="EH256" i="2"/>
  <c r="EH254" i="2"/>
  <c r="EH252" i="2"/>
  <c r="EH251" i="2"/>
  <c r="EH250" i="2"/>
  <c r="EH249" i="2"/>
  <c r="EH248" i="2"/>
  <c r="EH247" i="2"/>
  <c r="EH246" i="2"/>
  <c r="EH245" i="2"/>
  <c r="EH244" i="2"/>
  <c r="EH243" i="2"/>
  <c r="EH242" i="2"/>
  <c r="EH241" i="2"/>
  <c r="EH240" i="2"/>
  <c r="EH239" i="2"/>
  <c r="EH238" i="2"/>
  <c r="EH237" i="2"/>
  <c r="EH236" i="2"/>
  <c r="EH235" i="2"/>
  <c r="EH234" i="2"/>
  <c r="EH233" i="2"/>
  <c r="EH232" i="2"/>
  <c r="EH231" i="2"/>
  <c r="EH230" i="2"/>
  <c r="EH229" i="2"/>
  <c r="EH228" i="2"/>
  <c r="EH227" i="2"/>
  <c r="EH226" i="2"/>
  <c r="EH225" i="2"/>
  <c r="EH224" i="2"/>
  <c r="EH223" i="2"/>
  <c r="EH221" i="2"/>
  <c r="EH220" i="2"/>
  <c r="EH219" i="2"/>
  <c r="EH218" i="2"/>
  <c r="EH216" i="2"/>
  <c r="EH215" i="2"/>
  <c r="EH213" i="2"/>
  <c r="EH212" i="2"/>
  <c r="EH211" i="2"/>
  <c r="EH210" i="2"/>
  <c r="EH209" i="2"/>
  <c r="EH208" i="2"/>
  <c r="EH204" i="2"/>
  <c r="EH203" i="2"/>
  <c r="EH202" i="2"/>
  <c r="EH201" i="2"/>
  <c r="EH200" i="2"/>
  <c r="EH199" i="2"/>
  <c r="EH198" i="2"/>
  <c r="EH197" i="2"/>
  <c r="EH196" i="2"/>
  <c r="EH194" i="2"/>
  <c r="EH193" i="2"/>
  <c r="EH192" i="2"/>
  <c r="EH191" i="2"/>
  <c r="EH190" i="2"/>
  <c r="EH189" i="2"/>
  <c r="EH188" i="2"/>
  <c r="EH186" i="2"/>
  <c r="EH185" i="2"/>
  <c r="EH184" i="2"/>
  <c r="EH183" i="2"/>
  <c r="EH182" i="2"/>
  <c r="EH181" i="2"/>
  <c r="EH180" i="2"/>
  <c r="EH179" i="2"/>
  <c r="EH177" i="2"/>
  <c r="EH176" i="2"/>
  <c r="EH175" i="2"/>
  <c r="EH174" i="2"/>
  <c r="EH173" i="2"/>
  <c r="EH172" i="2"/>
  <c r="EH171" i="2"/>
  <c r="EH169" i="2"/>
  <c r="EH168" i="2"/>
  <c r="EH167" i="2"/>
  <c r="EH166" i="2"/>
  <c r="EH165" i="2"/>
  <c r="EH164" i="2"/>
  <c r="EH163" i="2"/>
  <c r="EH162" i="2"/>
  <c r="EH161" i="2"/>
  <c r="EH160" i="2"/>
  <c r="EH159" i="2"/>
  <c r="EH158" i="2"/>
  <c r="EH157" i="2"/>
  <c r="EH156" i="2"/>
  <c r="EH155" i="2"/>
  <c r="EH154" i="2"/>
  <c r="EH153" i="2"/>
  <c r="EH152" i="2"/>
  <c r="EH151" i="2"/>
  <c r="EH150" i="2"/>
  <c r="EH149" i="2"/>
  <c r="EH148" i="2"/>
  <c r="EH147" i="2"/>
  <c r="EH146" i="2"/>
  <c r="EH145" i="2"/>
  <c r="EH144" i="2"/>
  <c r="EH143" i="2"/>
  <c r="EH142" i="2"/>
  <c r="EH140" i="2"/>
  <c r="EH139" i="2"/>
  <c r="EH138" i="2"/>
  <c r="EH137" i="2"/>
  <c r="EH136" i="2"/>
  <c r="EH135" i="2"/>
  <c r="EH134" i="2"/>
  <c r="EH131" i="2"/>
  <c r="EH130" i="2"/>
  <c r="EH128" i="2"/>
  <c r="EH127" i="2"/>
  <c r="EH126" i="2"/>
  <c r="EH125" i="2"/>
  <c r="EH124" i="2"/>
  <c r="EH123" i="2"/>
  <c r="EH122" i="2"/>
  <c r="EH121" i="2"/>
  <c r="EH120" i="2"/>
  <c r="EH119" i="2"/>
  <c r="EH118" i="2"/>
  <c r="EH117" i="2"/>
  <c r="EH116" i="2"/>
  <c r="EH115" i="2"/>
  <c r="EH114" i="2"/>
  <c r="EH113" i="2"/>
  <c r="EH112" i="2"/>
  <c r="EH111" i="2"/>
  <c r="EH110" i="2"/>
  <c r="EH109" i="2"/>
  <c r="EH108" i="2"/>
  <c r="EH107" i="2"/>
  <c r="EH106" i="2"/>
  <c r="EH105" i="2"/>
  <c r="EH104" i="2"/>
  <c r="EH102" i="2"/>
  <c r="EH101" i="2"/>
  <c r="EH100" i="2"/>
  <c r="EH99" i="2"/>
  <c r="EH98" i="2"/>
  <c r="EH97" i="2"/>
  <c r="EH96" i="2"/>
  <c r="EH95" i="2"/>
  <c r="EH94" i="2"/>
  <c r="EH93" i="2"/>
  <c r="EH92" i="2"/>
  <c r="EH91" i="2"/>
  <c r="EH90" i="2"/>
  <c r="EH89" i="2"/>
  <c r="EH88" i="2"/>
  <c r="EH87" i="2"/>
  <c r="EH86" i="2"/>
  <c r="EH85" i="2"/>
  <c r="EH84" i="2"/>
  <c r="EH83" i="2"/>
  <c r="EH82" i="2"/>
  <c r="EH81" i="2"/>
  <c r="EH80" i="2"/>
  <c r="EH79" i="2"/>
  <c r="EH78" i="2"/>
  <c r="EH77" i="2"/>
  <c r="EH75" i="2"/>
  <c r="EH74" i="2"/>
  <c r="EH73" i="2"/>
  <c r="EH72" i="2"/>
  <c r="EH71" i="2"/>
  <c r="EH70" i="2"/>
  <c r="EH69" i="2"/>
  <c r="EH68" i="2"/>
  <c r="EH67" i="2"/>
  <c r="EH66" i="2"/>
  <c r="EH65" i="2"/>
  <c r="EH64" i="2"/>
  <c r="EH63" i="2"/>
  <c r="EH62" i="2"/>
  <c r="EH61" i="2"/>
  <c r="EH60" i="2"/>
  <c r="EH59" i="2"/>
  <c r="EH58" i="2"/>
  <c r="EH57" i="2"/>
  <c r="EH56" i="2"/>
  <c r="EH55" i="2"/>
  <c r="EH54" i="2"/>
  <c r="EH53" i="2"/>
  <c r="EH52" i="2"/>
  <c r="EH51" i="2"/>
  <c r="EH50" i="2"/>
  <c r="EH49" i="2"/>
  <c r="EH48" i="2"/>
  <c r="EH47" i="2"/>
  <c r="EH46" i="2"/>
  <c r="EH45" i="2"/>
  <c r="EH44" i="2"/>
  <c r="EH43" i="2"/>
  <c r="EH42" i="2"/>
  <c r="EH41" i="2"/>
  <c r="EH40" i="2"/>
  <c r="EH39" i="2"/>
  <c r="EH38" i="2"/>
  <c r="EH37" i="2"/>
  <c r="EH36" i="2"/>
  <c r="EH35" i="2"/>
  <c r="EH34" i="2"/>
  <c r="EH33" i="2"/>
  <c r="EH32" i="2"/>
  <c r="EH31" i="2"/>
  <c r="EH30" i="2"/>
  <c r="EH29" i="2"/>
  <c r="EH28" i="2"/>
  <c r="EH27" i="2"/>
  <c r="EH26" i="2"/>
  <c r="EH25" i="2"/>
  <c r="EH24" i="2"/>
  <c r="EH23" i="2"/>
  <c r="EH22" i="2"/>
  <c r="EH20" i="2"/>
  <c r="EH19" i="2"/>
  <c r="EH18" i="2"/>
  <c r="EH17" i="2"/>
  <c r="EH16" i="2"/>
  <c r="EH15" i="2"/>
  <c r="EH14" i="2"/>
  <c r="EH13" i="2"/>
  <c r="EH12" i="2"/>
  <c r="EH11" i="2"/>
  <c r="EH10" i="2"/>
  <c r="EH9" i="2"/>
  <c r="EH8" i="2"/>
  <c r="EH7" i="2"/>
  <c r="EH6" i="2"/>
  <c r="EG280" i="2"/>
  <c r="EG279" i="2"/>
  <c r="EG278" i="2"/>
  <c r="EG277" i="2"/>
  <c r="EG276" i="2"/>
  <c r="EG275" i="2"/>
  <c r="EG273" i="2"/>
  <c r="EG272" i="2"/>
  <c r="EG271" i="2"/>
  <c r="EG268" i="2"/>
  <c r="EG267" i="2"/>
  <c r="EG266" i="2"/>
  <c r="EG265" i="2"/>
  <c r="EG264" i="2"/>
  <c r="EG263" i="2"/>
  <c r="EG262" i="2"/>
  <c r="EG261" i="2"/>
  <c r="EG260" i="2"/>
  <c r="EG259" i="2"/>
  <c r="EG258" i="2"/>
  <c r="EG257" i="2"/>
  <c r="EG256" i="2"/>
  <c r="EG254" i="2"/>
  <c r="EG252" i="2"/>
  <c r="EG251" i="2"/>
  <c r="EG250" i="2"/>
  <c r="EG249" i="2"/>
  <c r="EG248" i="2"/>
  <c r="EG247" i="2"/>
  <c r="EG246" i="2"/>
  <c r="EG245" i="2"/>
  <c r="EG244" i="2"/>
  <c r="EG243" i="2"/>
  <c r="EG242" i="2"/>
  <c r="EG241" i="2"/>
  <c r="EG240" i="2"/>
  <c r="EG239" i="2"/>
  <c r="EG238" i="2"/>
  <c r="EG237" i="2"/>
  <c r="EG236" i="2"/>
  <c r="EG235" i="2"/>
  <c r="EG234" i="2"/>
  <c r="EG233" i="2"/>
  <c r="EG232" i="2"/>
  <c r="EG231" i="2"/>
  <c r="EG230" i="2"/>
  <c r="EG229" i="2"/>
  <c r="EG228" i="2"/>
  <c r="EG227" i="2"/>
  <c r="EG226" i="2"/>
  <c r="EG225" i="2"/>
  <c r="EG224" i="2"/>
  <c r="EG223" i="2"/>
  <c r="EG221" i="2"/>
  <c r="EG220" i="2"/>
  <c r="EG219" i="2"/>
  <c r="EG218" i="2"/>
  <c r="EG216" i="2"/>
  <c r="EG215" i="2"/>
  <c r="EG213" i="2"/>
  <c r="EG212" i="2"/>
  <c r="EG211" i="2"/>
  <c r="EG210" i="2"/>
  <c r="EG209" i="2"/>
  <c r="EG208" i="2"/>
  <c r="EG204" i="2"/>
  <c r="EG203" i="2"/>
  <c r="EG202" i="2"/>
  <c r="EG201" i="2"/>
  <c r="EG200" i="2"/>
  <c r="EG199" i="2"/>
  <c r="EG198" i="2"/>
  <c r="EG197" i="2"/>
  <c r="EG196" i="2"/>
  <c r="EG194" i="2"/>
  <c r="EG193" i="2"/>
  <c r="EG192" i="2"/>
  <c r="EG191" i="2"/>
  <c r="EG190" i="2"/>
  <c r="EG189" i="2"/>
  <c r="EG188" i="2"/>
  <c r="EG186" i="2"/>
  <c r="EG185" i="2"/>
  <c r="EG184" i="2"/>
  <c r="EG183" i="2"/>
  <c r="EG182" i="2"/>
  <c r="EG181" i="2"/>
  <c r="EG180" i="2"/>
  <c r="EG179" i="2"/>
  <c r="EG177" i="2"/>
  <c r="EG176" i="2"/>
  <c r="EG175" i="2"/>
  <c r="EG174" i="2"/>
  <c r="EG173" i="2"/>
  <c r="EG172" i="2"/>
  <c r="EG171" i="2"/>
  <c r="EG169" i="2"/>
  <c r="EG168" i="2"/>
  <c r="EG167" i="2"/>
  <c r="EG166" i="2"/>
  <c r="EG165" i="2"/>
  <c r="EG164" i="2"/>
  <c r="EG163" i="2"/>
  <c r="EG162" i="2"/>
  <c r="EG161" i="2"/>
  <c r="EG160" i="2"/>
  <c r="EG159" i="2"/>
  <c r="EG158" i="2"/>
  <c r="EG157" i="2"/>
  <c r="EG156" i="2"/>
  <c r="EG155" i="2"/>
  <c r="EG154" i="2"/>
  <c r="EG153" i="2"/>
  <c r="EG152" i="2"/>
  <c r="EG151" i="2"/>
  <c r="EG150" i="2"/>
  <c r="EG149" i="2"/>
  <c r="EG148" i="2"/>
  <c r="EG147" i="2"/>
  <c r="EG146" i="2"/>
  <c r="EG145" i="2"/>
  <c r="EG144" i="2"/>
  <c r="EG143" i="2"/>
  <c r="EG142" i="2"/>
  <c r="EG140" i="2"/>
  <c r="EG139" i="2"/>
  <c r="EG138" i="2"/>
  <c r="EG137" i="2"/>
  <c r="EG136" i="2"/>
  <c r="EG135" i="2"/>
  <c r="EG134" i="2"/>
  <c r="EG131" i="2"/>
  <c r="EG130" i="2"/>
  <c r="EG128" i="2"/>
  <c r="EG127" i="2"/>
  <c r="EG126" i="2"/>
  <c r="EG125" i="2"/>
  <c r="EG124" i="2"/>
  <c r="EG123" i="2"/>
  <c r="EG122" i="2"/>
  <c r="EG121" i="2"/>
  <c r="EG120" i="2"/>
  <c r="EG119" i="2"/>
  <c r="EG118" i="2"/>
  <c r="EG117" i="2"/>
  <c r="EG116" i="2"/>
  <c r="EG115" i="2"/>
  <c r="EG114" i="2"/>
  <c r="EG113" i="2"/>
  <c r="EG112" i="2"/>
  <c r="EG111" i="2"/>
  <c r="EG110" i="2"/>
  <c r="EG109" i="2"/>
  <c r="EG108" i="2"/>
  <c r="EG107" i="2"/>
  <c r="EG106" i="2"/>
  <c r="EG105" i="2"/>
  <c r="EG104" i="2"/>
  <c r="EG102" i="2"/>
  <c r="EG101" i="2"/>
  <c r="EG100" i="2"/>
  <c r="EG99" i="2"/>
  <c r="EG98" i="2"/>
  <c r="EG97" i="2"/>
  <c r="EG96" i="2"/>
  <c r="EG95" i="2"/>
  <c r="EG94" i="2"/>
  <c r="EG93" i="2"/>
  <c r="EG92" i="2"/>
  <c r="EG91" i="2"/>
  <c r="EG90" i="2"/>
  <c r="EG89" i="2"/>
  <c r="EG88" i="2"/>
  <c r="EG87" i="2"/>
  <c r="EG86" i="2"/>
  <c r="EG85" i="2"/>
  <c r="EG84" i="2"/>
  <c r="EG83" i="2"/>
  <c r="EG82" i="2"/>
  <c r="EG81" i="2"/>
  <c r="EG80" i="2"/>
  <c r="EG79" i="2"/>
  <c r="EG78" i="2"/>
  <c r="EG77" i="2"/>
  <c r="EG75" i="2"/>
  <c r="EG74" i="2"/>
  <c r="EG73" i="2"/>
  <c r="EG72" i="2"/>
  <c r="EG71" i="2"/>
  <c r="EG70" i="2"/>
  <c r="EG69" i="2"/>
  <c r="EG68" i="2"/>
  <c r="EG67" i="2"/>
  <c r="EG66" i="2"/>
  <c r="EG65" i="2"/>
  <c r="EG64" i="2"/>
  <c r="EG63" i="2"/>
  <c r="EG62" i="2"/>
  <c r="EG61" i="2"/>
  <c r="EG60" i="2"/>
  <c r="EG59" i="2"/>
  <c r="EG58" i="2"/>
  <c r="EG57" i="2"/>
  <c r="EG56" i="2"/>
  <c r="EG55" i="2"/>
  <c r="EG54" i="2"/>
  <c r="EG53" i="2"/>
  <c r="EG52" i="2"/>
  <c r="EG51" i="2"/>
  <c r="EG50" i="2"/>
  <c r="EG49" i="2"/>
  <c r="EG48" i="2"/>
  <c r="EG47" i="2"/>
  <c r="EG46" i="2"/>
  <c r="EG45" i="2"/>
  <c r="EG44" i="2"/>
  <c r="EG43" i="2"/>
  <c r="EG42" i="2"/>
  <c r="EG41" i="2"/>
  <c r="EG40" i="2"/>
  <c r="EG39" i="2"/>
  <c r="EG38" i="2"/>
  <c r="EG37" i="2"/>
  <c r="EG36" i="2"/>
  <c r="EG35" i="2"/>
  <c r="EG34" i="2"/>
  <c r="EG33" i="2"/>
  <c r="EG32" i="2"/>
  <c r="EG31" i="2"/>
  <c r="EG30" i="2"/>
  <c r="EG29" i="2"/>
  <c r="EG28" i="2"/>
  <c r="EG27" i="2"/>
  <c r="EG26" i="2"/>
  <c r="EG25" i="2"/>
  <c r="EG24" i="2"/>
  <c r="EG23" i="2"/>
  <c r="EG22" i="2"/>
  <c r="EG20" i="2"/>
  <c r="EG19" i="2"/>
  <c r="EG18" i="2"/>
  <c r="EG17" i="2"/>
  <c r="EG16" i="2"/>
  <c r="EG15" i="2"/>
  <c r="EG14" i="2"/>
  <c r="EG13" i="2"/>
  <c r="EG12" i="2"/>
  <c r="EG11" i="2"/>
  <c r="EG10" i="2"/>
  <c r="EG9" i="2"/>
  <c r="EG8" i="2"/>
  <c r="EG7" i="2"/>
  <c r="EG6" i="2"/>
  <c r="DY280" i="2"/>
  <c r="DX280" i="2"/>
  <c r="DY279" i="2"/>
  <c r="DX279" i="2"/>
  <c r="DY278" i="2"/>
  <c r="DX278" i="2"/>
  <c r="DY277" i="2"/>
  <c r="DX277" i="2"/>
  <c r="DY276" i="2"/>
  <c r="DX276" i="2"/>
  <c r="DY275" i="2"/>
  <c r="DX275" i="2"/>
  <c r="DY273" i="2"/>
  <c r="DX273" i="2"/>
  <c r="DY272" i="2"/>
  <c r="DX272" i="2"/>
  <c r="DY271" i="2"/>
  <c r="DX271" i="2"/>
  <c r="DY268" i="2"/>
  <c r="DX268" i="2"/>
  <c r="DY267" i="2"/>
  <c r="DX267" i="2"/>
  <c r="DY266" i="2"/>
  <c r="DX266" i="2"/>
  <c r="DY265" i="2"/>
  <c r="DX265" i="2"/>
  <c r="DY264" i="2"/>
  <c r="DX264" i="2"/>
  <c r="DY263" i="2"/>
  <c r="DX263" i="2"/>
  <c r="DY262" i="2"/>
  <c r="DX262" i="2"/>
  <c r="DY261" i="2"/>
  <c r="DX261" i="2"/>
  <c r="DY260" i="2"/>
  <c r="DX260" i="2"/>
  <c r="DY259" i="2"/>
  <c r="DX259" i="2"/>
  <c r="DY258" i="2"/>
  <c r="DX258" i="2"/>
  <c r="DY257" i="2"/>
  <c r="DX257" i="2"/>
  <c r="DY256" i="2"/>
  <c r="DX256" i="2"/>
  <c r="DY254" i="2"/>
  <c r="DX254" i="2"/>
  <c r="DY252" i="2"/>
  <c r="DX252" i="2"/>
  <c r="DY251" i="2"/>
  <c r="DX251" i="2"/>
  <c r="DY250" i="2"/>
  <c r="DX250" i="2"/>
  <c r="DY249" i="2"/>
  <c r="DX249" i="2"/>
  <c r="DY248" i="2"/>
  <c r="DX248" i="2"/>
  <c r="DY247" i="2"/>
  <c r="DX247" i="2"/>
  <c r="DY246" i="2"/>
  <c r="DX246" i="2"/>
  <c r="DY245" i="2"/>
  <c r="DX245" i="2"/>
  <c r="DY244" i="2"/>
  <c r="DX244" i="2"/>
  <c r="DY243" i="2"/>
  <c r="DX243" i="2"/>
  <c r="DY242" i="2"/>
  <c r="DX242" i="2"/>
  <c r="DY241" i="2"/>
  <c r="DX241" i="2"/>
  <c r="DY240" i="2"/>
  <c r="DX240" i="2"/>
  <c r="DY239" i="2"/>
  <c r="DX239" i="2"/>
  <c r="DY238" i="2"/>
  <c r="DX238" i="2"/>
  <c r="DY237" i="2"/>
  <c r="DX237" i="2"/>
  <c r="DY236" i="2"/>
  <c r="DX236" i="2"/>
  <c r="DY235" i="2"/>
  <c r="DX235" i="2"/>
  <c r="DY234" i="2"/>
  <c r="DX234" i="2"/>
  <c r="DY233" i="2"/>
  <c r="DX233" i="2"/>
  <c r="DY232" i="2"/>
  <c r="DX232" i="2"/>
  <c r="DY231" i="2"/>
  <c r="DX231" i="2"/>
  <c r="DY230" i="2"/>
  <c r="DX230" i="2"/>
  <c r="DY229" i="2"/>
  <c r="DX229" i="2"/>
  <c r="DY228" i="2"/>
  <c r="DX228" i="2"/>
  <c r="DY227" i="2"/>
  <c r="DX227" i="2"/>
  <c r="DY226" i="2"/>
  <c r="DX226" i="2"/>
  <c r="DY225" i="2"/>
  <c r="DX225" i="2"/>
  <c r="DY224" i="2"/>
  <c r="DX224" i="2"/>
  <c r="DY223" i="2"/>
  <c r="DX223" i="2"/>
  <c r="DY221" i="2"/>
  <c r="DX221" i="2"/>
  <c r="DY220" i="2"/>
  <c r="DX220" i="2"/>
  <c r="DY219" i="2"/>
  <c r="DX219" i="2"/>
  <c r="DY218" i="2"/>
  <c r="DX218" i="2"/>
  <c r="DY216" i="2"/>
  <c r="DX216" i="2"/>
  <c r="DY215" i="2"/>
  <c r="DX215" i="2"/>
  <c r="DY213" i="2"/>
  <c r="DX213" i="2"/>
  <c r="DY212" i="2"/>
  <c r="DX212" i="2"/>
  <c r="DY211" i="2"/>
  <c r="DX211" i="2"/>
  <c r="DY210" i="2"/>
  <c r="DX210" i="2"/>
  <c r="DY209" i="2"/>
  <c r="DX209" i="2"/>
  <c r="DY208" i="2"/>
  <c r="DX208" i="2"/>
  <c r="DY204" i="2"/>
  <c r="DX204" i="2"/>
  <c r="DY203" i="2"/>
  <c r="DX203" i="2"/>
  <c r="DY202" i="2"/>
  <c r="DX202" i="2"/>
  <c r="DY201" i="2"/>
  <c r="DX201" i="2"/>
  <c r="DY200" i="2"/>
  <c r="DX200" i="2"/>
  <c r="DY199" i="2"/>
  <c r="DX199" i="2"/>
  <c r="DY198" i="2"/>
  <c r="DX198" i="2"/>
  <c r="DY197" i="2"/>
  <c r="DX197" i="2"/>
  <c r="DY196" i="2"/>
  <c r="DX196" i="2"/>
  <c r="DY194" i="2"/>
  <c r="DX194" i="2"/>
  <c r="DY193" i="2"/>
  <c r="DX193" i="2"/>
  <c r="DY192" i="2"/>
  <c r="DX192" i="2"/>
  <c r="DY191" i="2"/>
  <c r="DX191" i="2"/>
  <c r="DY190" i="2"/>
  <c r="DX190" i="2"/>
  <c r="DY189" i="2"/>
  <c r="DX189" i="2"/>
  <c r="DY188" i="2"/>
  <c r="DX188" i="2"/>
  <c r="DY186" i="2"/>
  <c r="DX186" i="2"/>
  <c r="DY185" i="2"/>
  <c r="DX185" i="2"/>
  <c r="DY184" i="2"/>
  <c r="DX184" i="2"/>
  <c r="DY183" i="2"/>
  <c r="DX183" i="2"/>
  <c r="DY182" i="2"/>
  <c r="DX182" i="2"/>
  <c r="DY181" i="2"/>
  <c r="DX181" i="2"/>
  <c r="DY180" i="2"/>
  <c r="DX180" i="2"/>
  <c r="DY179" i="2"/>
  <c r="DX179" i="2"/>
  <c r="DY177" i="2"/>
  <c r="DX177" i="2"/>
  <c r="DY176" i="2"/>
  <c r="DX176" i="2"/>
  <c r="DY175" i="2"/>
  <c r="DX175" i="2"/>
  <c r="DY174" i="2"/>
  <c r="DX174" i="2"/>
  <c r="DY173" i="2"/>
  <c r="DX173" i="2"/>
  <c r="DY172" i="2"/>
  <c r="DX172" i="2"/>
  <c r="DY171" i="2"/>
  <c r="DX171" i="2"/>
  <c r="DY169" i="2"/>
  <c r="DX169" i="2"/>
  <c r="DY168" i="2"/>
  <c r="DX168" i="2"/>
  <c r="DY167" i="2"/>
  <c r="DX167" i="2"/>
  <c r="DY166" i="2"/>
  <c r="DX166" i="2"/>
  <c r="DY165" i="2"/>
  <c r="DX165" i="2"/>
  <c r="DY164" i="2"/>
  <c r="DX164" i="2"/>
  <c r="DY163" i="2"/>
  <c r="DX163" i="2"/>
  <c r="DY162" i="2"/>
  <c r="DX162" i="2"/>
  <c r="DY161" i="2"/>
  <c r="DX161" i="2"/>
  <c r="DY160" i="2"/>
  <c r="DX160" i="2"/>
  <c r="DY159" i="2"/>
  <c r="DX159" i="2"/>
  <c r="DY158" i="2"/>
  <c r="DX158" i="2"/>
  <c r="DY157" i="2"/>
  <c r="DX157" i="2"/>
  <c r="DY156" i="2"/>
  <c r="DX156" i="2"/>
  <c r="DY155" i="2"/>
  <c r="DX155" i="2"/>
  <c r="DY154" i="2"/>
  <c r="DX154" i="2"/>
  <c r="DY153" i="2"/>
  <c r="DX153" i="2"/>
  <c r="DY152" i="2"/>
  <c r="DX152" i="2"/>
  <c r="DY151" i="2"/>
  <c r="DX151" i="2"/>
  <c r="DY150" i="2"/>
  <c r="DX150" i="2"/>
  <c r="DY149" i="2"/>
  <c r="DX149" i="2"/>
  <c r="DY148" i="2"/>
  <c r="DX148" i="2"/>
  <c r="DY147" i="2"/>
  <c r="DX147" i="2"/>
  <c r="DY146" i="2"/>
  <c r="DX146" i="2"/>
  <c r="DY145" i="2"/>
  <c r="DX145" i="2"/>
  <c r="DY144" i="2"/>
  <c r="DX144" i="2"/>
  <c r="DY143" i="2"/>
  <c r="DX143" i="2"/>
  <c r="DY142" i="2"/>
  <c r="DX142" i="2"/>
  <c r="DY140" i="2"/>
  <c r="DX140" i="2"/>
  <c r="DY139" i="2"/>
  <c r="DX139" i="2"/>
  <c r="DY138" i="2"/>
  <c r="DX138" i="2"/>
  <c r="DY137" i="2"/>
  <c r="DX137" i="2"/>
  <c r="DY136" i="2"/>
  <c r="DX136" i="2"/>
  <c r="DY135" i="2"/>
  <c r="DX135" i="2"/>
  <c r="DY134" i="2"/>
  <c r="DX134" i="2"/>
  <c r="DY131" i="2"/>
  <c r="DX131" i="2"/>
  <c r="DY130" i="2"/>
  <c r="DX130" i="2"/>
  <c r="DY128" i="2"/>
  <c r="DX128" i="2"/>
  <c r="DY127" i="2"/>
  <c r="DX127" i="2"/>
  <c r="DY126" i="2"/>
  <c r="DX126" i="2"/>
  <c r="DY125" i="2"/>
  <c r="DX125" i="2"/>
  <c r="DY124" i="2"/>
  <c r="DX124" i="2"/>
  <c r="DY123" i="2"/>
  <c r="DX123" i="2"/>
  <c r="DY122" i="2"/>
  <c r="DX122" i="2"/>
  <c r="DY121" i="2"/>
  <c r="DX121" i="2"/>
  <c r="DY120" i="2"/>
  <c r="DX120" i="2"/>
  <c r="DY119" i="2"/>
  <c r="DX119" i="2"/>
  <c r="DY118" i="2"/>
  <c r="DX118" i="2"/>
  <c r="DY117" i="2"/>
  <c r="DX117" i="2"/>
  <c r="DY116" i="2"/>
  <c r="DX116" i="2"/>
  <c r="DY115" i="2"/>
  <c r="DX115" i="2"/>
  <c r="DY114" i="2"/>
  <c r="DX114" i="2"/>
  <c r="DY113" i="2"/>
  <c r="DX113" i="2"/>
  <c r="DY112" i="2"/>
  <c r="DX112" i="2"/>
  <c r="DY111" i="2"/>
  <c r="DX111" i="2"/>
  <c r="DY110" i="2"/>
  <c r="DX110" i="2"/>
  <c r="DY109" i="2"/>
  <c r="DX109" i="2"/>
  <c r="DY108" i="2"/>
  <c r="DX108" i="2"/>
  <c r="DY107" i="2"/>
  <c r="DX107" i="2"/>
  <c r="DY106" i="2"/>
  <c r="DX106" i="2"/>
  <c r="DY105" i="2"/>
  <c r="DX105" i="2"/>
  <c r="DY104" i="2"/>
  <c r="DX104" i="2"/>
  <c r="DY102" i="2"/>
  <c r="DX102" i="2"/>
  <c r="DY101" i="2"/>
  <c r="DX101" i="2"/>
  <c r="DY100" i="2"/>
  <c r="DX100" i="2"/>
  <c r="DY99" i="2"/>
  <c r="DX99" i="2"/>
  <c r="DY98" i="2"/>
  <c r="DX98" i="2"/>
  <c r="DY97" i="2"/>
  <c r="DX97" i="2"/>
  <c r="DY96" i="2"/>
  <c r="DX96" i="2"/>
  <c r="DY95" i="2"/>
  <c r="DX95" i="2"/>
  <c r="DY94" i="2"/>
  <c r="DX94" i="2"/>
  <c r="DY93" i="2"/>
  <c r="DX93" i="2"/>
  <c r="DY92" i="2"/>
  <c r="DX92" i="2"/>
  <c r="DY91" i="2"/>
  <c r="DX91" i="2"/>
  <c r="DY90" i="2"/>
  <c r="DX90" i="2"/>
  <c r="DY89" i="2"/>
  <c r="DX89" i="2"/>
  <c r="DY88" i="2"/>
  <c r="DX88" i="2"/>
  <c r="DY87" i="2"/>
  <c r="DX87" i="2"/>
  <c r="DY86" i="2"/>
  <c r="DX86" i="2"/>
  <c r="DY85" i="2"/>
  <c r="DX85" i="2"/>
  <c r="DY84" i="2"/>
  <c r="DX84" i="2"/>
  <c r="DY83" i="2"/>
  <c r="DX83" i="2"/>
  <c r="DY82" i="2"/>
  <c r="DX82" i="2"/>
  <c r="DY81" i="2"/>
  <c r="DX81" i="2"/>
  <c r="DY80" i="2"/>
  <c r="DX80" i="2"/>
  <c r="DY79" i="2"/>
  <c r="DX79" i="2"/>
  <c r="DY78" i="2"/>
  <c r="DX78" i="2"/>
  <c r="DY77" i="2"/>
  <c r="DX77" i="2"/>
  <c r="DY75" i="2"/>
  <c r="DX75" i="2"/>
  <c r="DY74" i="2"/>
  <c r="DX74" i="2"/>
  <c r="DY73" i="2"/>
  <c r="DX73" i="2"/>
  <c r="DY72" i="2"/>
  <c r="DX72" i="2"/>
  <c r="DY71" i="2"/>
  <c r="DX71" i="2"/>
  <c r="DY70" i="2"/>
  <c r="DX70" i="2"/>
  <c r="DY69" i="2"/>
  <c r="DX69" i="2"/>
  <c r="DY68" i="2"/>
  <c r="DX68" i="2"/>
  <c r="DY67" i="2"/>
  <c r="DX67" i="2"/>
  <c r="DY66" i="2"/>
  <c r="DX66" i="2"/>
  <c r="DY65" i="2"/>
  <c r="DX65" i="2"/>
  <c r="DY64" i="2"/>
  <c r="DX64" i="2"/>
  <c r="DY63" i="2"/>
  <c r="DX63" i="2"/>
  <c r="DY62" i="2"/>
  <c r="DX62" i="2"/>
  <c r="DY61" i="2"/>
  <c r="DX61" i="2"/>
  <c r="DY60" i="2"/>
  <c r="DX60" i="2"/>
  <c r="DY59" i="2"/>
  <c r="DX59" i="2"/>
  <c r="DY58" i="2"/>
  <c r="DX58" i="2"/>
  <c r="DY57" i="2"/>
  <c r="DX57" i="2"/>
  <c r="DY56" i="2"/>
  <c r="DX56" i="2"/>
  <c r="DY55" i="2"/>
  <c r="DX55" i="2"/>
  <c r="DY54" i="2"/>
  <c r="DX54" i="2"/>
  <c r="DY53" i="2"/>
  <c r="DX53" i="2"/>
  <c r="DY52" i="2"/>
  <c r="DX52" i="2"/>
  <c r="DY51" i="2"/>
  <c r="DX51" i="2"/>
  <c r="DY50" i="2"/>
  <c r="DX50" i="2"/>
  <c r="DY49" i="2"/>
  <c r="DX49" i="2"/>
  <c r="DY48" i="2"/>
  <c r="DX48" i="2"/>
  <c r="DY47" i="2"/>
  <c r="DX47" i="2"/>
  <c r="DY46" i="2"/>
  <c r="DX46" i="2"/>
  <c r="DY45" i="2"/>
  <c r="DX45" i="2"/>
  <c r="DY44" i="2"/>
  <c r="DX44" i="2"/>
  <c r="DY43" i="2"/>
  <c r="DX43" i="2"/>
  <c r="DY42" i="2"/>
  <c r="DX42" i="2"/>
  <c r="DY41" i="2"/>
  <c r="DX41" i="2"/>
  <c r="DY40" i="2"/>
  <c r="DX40" i="2"/>
  <c r="DY39" i="2"/>
  <c r="DX39" i="2"/>
  <c r="DY38" i="2"/>
  <c r="DX38" i="2"/>
  <c r="DY37" i="2"/>
  <c r="DX37" i="2"/>
  <c r="DY36" i="2"/>
  <c r="DX36" i="2"/>
  <c r="DY35" i="2"/>
  <c r="DX35" i="2"/>
  <c r="DY34" i="2"/>
  <c r="DX34" i="2"/>
  <c r="DY33" i="2"/>
  <c r="DX33" i="2"/>
  <c r="DY32" i="2"/>
  <c r="DX32" i="2"/>
  <c r="DY31" i="2"/>
  <c r="DX31" i="2"/>
  <c r="DY30" i="2"/>
  <c r="DX30" i="2"/>
  <c r="DY29" i="2"/>
  <c r="DX29" i="2"/>
  <c r="DY28" i="2"/>
  <c r="DX28" i="2"/>
  <c r="DY27" i="2"/>
  <c r="DX27" i="2"/>
  <c r="DY26" i="2"/>
  <c r="DX26" i="2"/>
  <c r="DY25" i="2"/>
  <c r="DX25" i="2"/>
  <c r="DY24" i="2"/>
  <c r="DX24" i="2"/>
  <c r="DY23" i="2"/>
  <c r="DX23" i="2"/>
  <c r="DY22" i="2"/>
  <c r="DX22" i="2"/>
  <c r="DY20" i="2"/>
  <c r="DX20" i="2"/>
  <c r="DY19" i="2"/>
  <c r="DX19" i="2"/>
  <c r="DY18" i="2"/>
  <c r="DX18" i="2"/>
  <c r="DY17" i="2"/>
  <c r="DX17" i="2"/>
  <c r="DY16" i="2"/>
  <c r="DX16" i="2"/>
  <c r="DY15" i="2"/>
  <c r="DX15" i="2"/>
  <c r="DY14" i="2"/>
  <c r="DX14" i="2"/>
  <c r="DY13" i="2"/>
  <c r="DX13" i="2"/>
  <c r="DY12" i="2"/>
  <c r="DX12" i="2"/>
  <c r="DY11" i="2"/>
  <c r="DX11" i="2"/>
  <c r="DY10" i="2"/>
  <c r="DX10" i="2"/>
  <c r="DY9" i="2"/>
  <c r="DX9" i="2"/>
  <c r="DY8" i="2"/>
  <c r="DX8" i="2"/>
  <c r="DY7" i="2"/>
  <c r="DX7" i="2"/>
  <c r="DY6" i="2"/>
  <c r="DX6" i="2"/>
  <c r="DW280" i="2"/>
  <c r="DW279" i="2"/>
  <c r="DW278" i="2"/>
  <c r="DW277" i="2"/>
  <c r="DW276" i="2"/>
  <c r="DW275" i="2"/>
  <c r="DW273" i="2"/>
  <c r="DW272" i="2"/>
  <c r="DW271" i="2"/>
  <c r="DW268" i="2"/>
  <c r="DW267" i="2"/>
  <c r="DW266" i="2"/>
  <c r="DW265" i="2"/>
  <c r="DW264" i="2"/>
  <c r="DW263" i="2"/>
  <c r="DW262" i="2"/>
  <c r="DW261" i="2"/>
  <c r="DW260" i="2"/>
  <c r="DW259" i="2"/>
  <c r="DW258" i="2"/>
  <c r="DW257" i="2"/>
  <c r="DW256" i="2"/>
  <c r="DW254" i="2"/>
  <c r="DW252" i="2"/>
  <c r="DW251" i="2"/>
  <c r="DW250" i="2"/>
  <c r="DW249" i="2"/>
  <c r="DW248" i="2"/>
  <c r="DW247" i="2"/>
  <c r="DW246" i="2"/>
  <c r="DW245" i="2"/>
  <c r="DW244" i="2"/>
  <c r="DW243" i="2"/>
  <c r="DW242" i="2"/>
  <c r="DW241" i="2"/>
  <c r="DW240" i="2"/>
  <c r="DW239" i="2"/>
  <c r="DW238" i="2"/>
  <c r="DW237" i="2"/>
  <c r="DW236" i="2"/>
  <c r="DW235" i="2"/>
  <c r="DW234" i="2"/>
  <c r="DW233" i="2"/>
  <c r="DW232" i="2"/>
  <c r="DW231" i="2"/>
  <c r="DW230" i="2"/>
  <c r="DW229" i="2"/>
  <c r="DW228" i="2"/>
  <c r="DW227" i="2"/>
  <c r="DW226" i="2"/>
  <c r="DW225" i="2"/>
  <c r="DW224" i="2"/>
  <c r="DW223" i="2"/>
  <c r="DW221" i="2"/>
  <c r="DW220" i="2"/>
  <c r="DW219" i="2"/>
  <c r="DW218" i="2"/>
  <c r="DW216" i="2"/>
  <c r="DW215" i="2"/>
  <c r="DW213" i="2"/>
  <c r="DW212" i="2"/>
  <c r="DW211" i="2"/>
  <c r="DW210" i="2"/>
  <c r="DW209" i="2"/>
  <c r="DW208" i="2"/>
  <c r="DW204" i="2"/>
  <c r="DW203" i="2"/>
  <c r="DW202" i="2"/>
  <c r="DW201" i="2"/>
  <c r="DW200" i="2"/>
  <c r="DW199" i="2"/>
  <c r="DW198" i="2"/>
  <c r="DW197" i="2"/>
  <c r="DW196" i="2"/>
  <c r="DW194" i="2"/>
  <c r="DW193" i="2"/>
  <c r="DW192" i="2"/>
  <c r="DW191" i="2"/>
  <c r="DW190" i="2"/>
  <c r="DW189" i="2"/>
  <c r="DW188" i="2"/>
  <c r="DW186" i="2"/>
  <c r="DW185" i="2"/>
  <c r="DW184" i="2"/>
  <c r="DW183" i="2"/>
  <c r="DW182" i="2"/>
  <c r="DW181" i="2"/>
  <c r="DW180" i="2"/>
  <c r="DW179" i="2"/>
  <c r="DW177" i="2"/>
  <c r="DW176" i="2"/>
  <c r="DW175" i="2"/>
  <c r="DW174" i="2"/>
  <c r="DW173" i="2"/>
  <c r="DW172" i="2"/>
  <c r="DW171" i="2"/>
  <c r="DW169" i="2"/>
  <c r="DW168" i="2"/>
  <c r="DW167" i="2"/>
  <c r="DW166" i="2"/>
  <c r="DW165" i="2"/>
  <c r="DW164" i="2"/>
  <c r="DW163" i="2"/>
  <c r="DW162" i="2"/>
  <c r="DW161" i="2"/>
  <c r="DW160" i="2"/>
  <c r="DW159" i="2"/>
  <c r="DW158" i="2"/>
  <c r="DW157" i="2"/>
  <c r="DW156" i="2"/>
  <c r="DW155" i="2"/>
  <c r="DW154" i="2"/>
  <c r="DW153" i="2"/>
  <c r="DW152" i="2"/>
  <c r="DW151" i="2"/>
  <c r="DW150" i="2"/>
  <c r="DW149" i="2"/>
  <c r="DW148" i="2"/>
  <c r="DW147" i="2"/>
  <c r="DW146" i="2"/>
  <c r="DW145" i="2"/>
  <c r="DW144" i="2"/>
  <c r="DW143" i="2"/>
  <c r="DW142" i="2"/>
  <c r="DW140" i="2"/>
  <c r="DW139" i="2"/>
  <c r="DW138" i="2"/>
  <c r="DW137" i="2"/>
  <c r="DW136" i="2"/>
  <c r="DW135" i="2"/>
  <c r="DW134" i="2"/>
  <c r="DW131" i="2"/>
  <c r="DW130" i="2"/>
  <c r="DW128" i="2"/>
  <c r="DW127" i="2"/>
  <c r="DW126" i="2"/>
  <c r="DW125" i="2"/>
  <c r="DW124" i="2"/>
  <c r="DW123" i="2"/>
  <c r="DW122" i="2"/>
  <c r="DW121" i="2"/>
  <c r="DW120" i="2"/>
  <c r="DW119" i="2"/>
  <c r="DW118" i="2"/>
  <c r="DW117" i="2"/>
  <c r="DW116" i="2"/>
  <c r="DW115" i="2"/>
  <c r="DW114" i="2"/>
  <c r="DW113" i="2"/>
  <c r="DW112" i="2"/>
  <c r="DW111" i="2"/>
  <c r="DW110" i="2"/>
  <c r="DW109" i="2"/>
  <c r="DW108" i="2"/>
  <c r="DW107" i="2"/>
  <c r="DW106" i="2"/>
  <c r="DW105" i="2"/>
  <c r="DW104" i="2"/>
  <c r="DW102" i="2"/>
  <c r="DW101" i="2"/>
  <c r="DW100" i="2"/>
  <c r="DW99" i="2"/>
  <c r="DW98" i="2"/>
  <c r="DW97" i="2"/>
  <c r="DW96" i="2"/>
  <c r="DW95" i="2"/>
  <c r="DW94" i="2"/>
  <c r="DW93" i="2"/>
  <c r="DW92" i="2"/>
  <c r="DW91" i="2"/>
  <c r="DW90" i="2"/>
  <c r="DW89" i="2"/>
  <c r="DW88" i="2"/>
  <c r="DW87" i="2"/>
  <c r="DW86" i="2"/>
  <c r="DW85" i="2"/>
  <c r="DW84" i="2"/>
  <c r="DW83" i="2"/>
  <c r="DW82" i="2"/>
  <c r="DW81" i="2"/>
  <c r="DW80" i="2"/>
  <c r="DW79" i="2"/>
  <c r="DW78" i="2"/>
  <c r="DW77" i="2"/>
  <c r="DW75" i="2"/>
  <c r="DW74" i="2"/>
  <c r="DW73" i="2"/>
  <c r="DW72" i="2"/>
  <c r="DW71" i="2"/>
  <c r="DW70" i="2"/>
  <c r="DW69" i="2"/>
  <c r="DW68" i="2"/>
  <c r="DW67" i="2"/>
  <c r="DW66" i="2"/>
  <c r="DW65" i="2"/>
  <c r="DW64" i="2"/>
  <c r="DW63" i="2"/>
  <c r="DW62" i="2"/>
  <c r="DW61" i="2"/>
  <c r="DW60" i="2"/>
  <c r="DW59" i="2"/>
  <c r="DW58" i="2"/>
  <c r="DW57" i="2"/>
  <c r="DW56" i="2"/>
  <c r="DW55" i="2"/>
  <c r="DW54" i="2"/>
  <c r="DW53" i="2"/>
  <c r="DW52" i="2"/>
  <c r="DW51" i="2"/>
  <c r="DW50" i="2"/>
  <c r="DW49" i="2"/>
  <c r="DW48" i="2"/>
  <c r="DW47" i="2"/>
  <c r="DW46" i="2"/>
  <c r="DW45" i="2"/>
  <c r="DW44" i="2"/>
  <c r="DW43" i="2"/>
  <c r="DW42" i="2"/>
  <c r="DW41" i="2"/>
  <c r="DW40" i="2"/>
  <c r="DW39" i="2"/>
  <c r="DW38" i="2"/>
  <c r="DW37" i="2"/>
  <c r="DW36" i="2"/>
  <c r="DW35" i="2"/>
  <c r="DW34" i="2"/>
  <c r="DW33" i="2"/>
  <c r="DW32" i="2"/>
  <c r="DW31" i="2"/>
  <c r="DW30" i="2"/>
  <c r="DW29" i="2"/>
  <c r="DW28" i="2"/>
  <c r="DW27" i="2"/>
  <c r="DW26" i="2"/>
  <c r="DW25" i="2"/>
  <c r="DW24" i="2"/>
  <c r="DW23" i="2"/>
  <c r="DW22" i="2"/>
  <c r="DW20" i="2"/>
  <c r="DW19" i="2"/>
  <c r="DW18" i="2"/>
  <c r="DW17" i="2"/>
  <c r="DW16" i="2"/>
  <c r="DW15" i="2"/>
  <c r="DW14" i="2"/>
  <c r="DW13" i="2"/>
  <c r="DW12" i="2"/>
  <c r="DW11" i="2"/>
  <c r="DW10" i="2"/>
  <c r="DW9" i="2"/>
  <c r="DW8" i="2"/>
  <c r="DW7" i="2"/>
  <c r="DW6" i="2"/>
  <c r="HA208" i="2"/>
  <c r="GY208" i="2"/>
  <c r="GX208" i="2"/>
  <c r="GQ208" i="2"/>
  <c r="GP208" i="2"/>
  <c r="GO208" i="2"/>
  <c r="GN208" i="2"/>
  <c r="GM208" i="2"/>
  <c r="GE208" i="2"/>
  <c r="GD208" i="2"/>
  <c r="FZ208" i="2"/>
  <c r="FY208" i="2"/>
  <c r="FX208" i="2"/>
  <c r="FW208" i="2"/>
  <c r="FP208" i="2"/>
  <c r="FH208" i="2"/>
  <c r="FE208" i="2"/>
  <c r="FD208" i="2"/>
  <c r="FC208" i="2"/>
  <c r="EF208" i="2"/>
  <c r="EE208" i="2"/>
  <c r="DV208" i="2"/>
  <c r="DU208" i="2"/>
  <c r="DQ208" i="2"/>
  <c r="DP208" i="2"/>
  <c r="DN208" i="2"/>
  <c r="DM208" i="2"/>
  <c r="DK208" i="2"/>
  <c r="DJ208" i="2"/>
  <c r="DG208" i="2"/>
  <c r="DF208" i="2"/>
  <c r="DE208" i="2"/>
  <c r="DD208" i="2"/>
  <c r="CY208" i="2"/>
  <c r="CW208" i="2"/>
  <c r="CV208" i="2"/>
  <c r="CU208" i="2"/>
  <c r="CT208" i="2"/>
  <c r="CS208" i="2"/>
  <c r="CM208" i="2"/>
  <c r="CH208" i="2"/>
  <c r="CG208" i="2"/>
  <c r="CE208" i="2"/>
  <c r="CL208" i="2" s="1"/>
  <c r="BX208" i="2"/>
  <c r="BW208" i="2"/>
  <c r="BV208" i="2"/>
  <c r="BU208" i="2"/>
  <c r="BT208" i="2"/>
  <c r="BR208" i="2"/>
  <c r="BQ208" i="2"/>
  <c r="BP208" i="2"/>
  <c r="BK208" i="2"/>
  <c r="BJ208" i="2"/>
  <c r="BI208" i="2"/>
  <c r="BD208" i="2"/>
  <c r="BB208" i="2"/>
  <c r="BA208" i="2"/>
  <c r="AZ208" i="2"/>
  <c r="AY208" i="2"/>
  <c r="AX208" i="2"/>
  <c r="AW208" i="2"/>
  <c r="AV208" i="2"/>
  <c r="AR208" i="2"/>
  <c r="AQ208" i="2"/>
  <c r="AP208" i="2"/>
  <c r="AO208" i="2"/>
  <c r="AN208" i="2" s="1"/>
  <c r="AJ208" i="2"/>
  <c r="AC208" i="2"/>
  <c r="AB208" i="2"/>
  <c r="Z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G208" i="2"/>
  <c r="F208" i="2"/>
  <c r="E208" i="2"/>
  <c r="D208" i="2"/>
  <c r="HA148" i="2"/>
  <c r="GY148" i="2"/>
  <c r="GX148" i="2"/>
  <c r="GQ148" i="2"/>
  <c r="GP148" i="2"/>
  <c r="GO148" i="2"/>
  <c r="GN148" i="2"/>
  <c r="GM148" i="2"/>
  <c r="GE148" i="2"/>
  <c r="GD148" i="2"/>
  <c r="GD332" i="2" s="1"/>
  <c r="FZ148" i="2"/>
  <c r="FY148" i="2"/>
  <c r="FX148" i="2"/>
  <c r="FW148" i="2"/>
  <c r="FP148" i="2"/>
  <c r="FP332" i="2" s="1"/>
  <c r="FH148" i="2"/>
  <c r="FE148" i="2"/>
  <c r="FD148" i="2"/>
  <c r="FC148" i="2"/>
  <c r="EF148" i="2"/>
  <c r="EE148" i="2"/>
  <c r="DV148" i="2"/>
  <c r="DU148" i="2"/>
  <c r="DQ148" i="2"/>
  <c r="DP148" i="2"/>
  <c r="DN148" i="2"/>
  <c r="DM148" i="2"/>
  <c r="DK148" i="2"/>
  <c r="DJ148" i="2"/>
  <c r="DG148" i="2"/>
  <c r="DF148" i="2"/>
  <c r="DE148" i="2"/>
  <c r="DD148" i="2"/>
  <c r="CY148" i="2"/>
  <c r="CW148" i="2"/>
  <c r="CV148" i="2"/>
  <c r="CU148" i="2"/>
  <c r="CT148" i="2"/>
  <c r="CS148" i="2"/>
  <c r="CM148" i="2"/>
  <c r="CH148" i="2"/>
  <c r="CG148" i="2"/>
  <c r="CE148" i="2"/>
  <c r="CL148" i="2" s="1"/>
  <c r="BX148" i="2"/>
  <c r="BW148" i="2"/>
  <c r="BV148" i="2"/>
  <c r="BU148" i="2"/>
  <c r="BT148" i="2"/>
  <c r="BR148" i="2"/>
  <c r="BQ148" i="2"/>
  <c r="BP148" i="2"/>
  <c r="BK148" i="2"/>
  <c r="BJ148" i="2"/>
  <c r="BI148" i="2"/>
  <c r="BD148" i="2"/>
  <c r="BB148" i="2"/>
  <c r="BA148" i="2"/>
  <c r="AZ148" i="2"/>
  <c r="AY148" i="2"/>
  <c r="AX148" i="2"/>
  <c r="AW148" i="2"/>
  <c r="AV148" i="2"/>
  <c r="AR148" i="2"/>
  <c r="AQ148" i="2"/>
  <c r="AP148" i="2"/>
  <c r="AO148" i="2"/>
  <c r="AN148" i="2" s="1"/>
  <c r="AJ148" i="2"/>
  <c r="AC148" i="2"/>
  <c r="AB148" i="2"/>
  <c r="Z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G148" i="2"/>
  <c r="F148" i="2"/>
  <c r="E148" i="2"/>
  <c r="D148" i="2"/>
  <c r="HA134" i="2"/>
  <c r="GY134" i="2"/>
  <c r="GX134" i="2"/>
  <c r="GQ134" i="2"/>
  <c r="GP134" i="2"/>
  <c r="GO134" i="2"/>
  <c r="GN134" i="2"/>
  <c r="GM134" i="2"/>
  <c r="GE134" i="2"/>
  <c r="GD134" i="2"/>
  <c r="FZ134" i="2"/>
  <c r="FY134" i="2"/>
  <c r="FX134" i="2"/>
  <c r="FW134" i="2"/>
  <c r="FP134" i="2"/>
  <c r="FH134" i="2"/>
  <c r="FE134" i="2"/>
  <c r="FD134" i="2"/>
  <c r="FC134" i="2"/>
  <c r="EF134" i="2"/>
  <c r="EE134" i="2"/>
  <c r="DV134" i="2"/>
  <c r="DU134" i="2"/>
  <c r="DQ134" i="2"/>
  <c r="DP134" i="2"/>
  <c r="DN134" i="2"/>
  <c r="DM134" i="2"/>
  <c r="DK134" i="2"/>
  <c r="DJ134" i="2"/>
  <c r="DG134" i="2"/>
  <c r="DF134" i="2"/>
  <c r="DE134" i="2"/>
  <c r="DD134" i="2"/>
  <c r="CY134" i="2"/>
  <c r="CW134" i="2"/>
  <c r="CV134" i="2"/>
  <c r="CU134" i="2"/>
  <c r="CT134" i="2"/>
  <c r="CS134" i="2"/>
  <c r="CM134" i="2"/>
  <c r="CH134" i="2"/>
  <c r="CG134" i="2"/>
  <c r="CE134" i="2"/>
  <c r="CL134" i="2" s="1"/>
  <c r="BX134" i="2"/>
  <c r="BW134" i="2"/>
  <c r="BV134" i="2"/>
  <c r="BU134" i="2"/>
  <c r="BT134" i="2"/>
  <c r="BR134" i="2"/>
  <c r="BQ134" i="2"/>
  <c r="BP134" i="2"/>
  <c r="BK134" i="2"/>
  <c r="BJ134" i="2"/>
  <c r="BI134" i="2"/>
  <c r="BD134" i="2"/>
  <c r="BB134" i="2"/>
  <c r="BA134" i="2"/>
  <c r="AZ134" i="2"/>
  <c r="AY134" i="2"/>
  <c r="AX134" i="2"/>
  <c r="AW134" i="2"/>
  <c r="AV134" i="2"/>
  <c r="AR134" i="2"/>
  <c r="AQ134" i="2"/>
  <c r="AP134" i="2"/>
  <c r="AO134" i="2"/>
  <c r="AN134" i="2" s="1"/>
  <c r="AJ134" i="2"/>
  <c r="AC134" i="2"/>
  <c r="AB134" i="2"/>
  <c r="Z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G134" i="2"/>
  <c r="F134" i="2"/>
  <c r="E134" i="2"/>
  <c r="D134" i="2"/>
  <c r="DO326" i="2" l="1"/>
  <c r="CA344" i="2"/>
  <c r="CA358" i="2" s="1"/>
  <c r="CA360" i="2" s="1"/>
  <c r="DO331" i="2"/>
  <c r="DO333" i="2"/>
  <c r="DO332" i="2" s="1"/>
  <c r="DO330" i="2"/>
  <c r="ES281" i="2"/>
  <c r="EH281" i="2"/>
  <c r="EG281" i="2"/>
  <c r="EP281" i="2"/>
  <c r="CA281" i="2"/>
  <c r="DO281" i="2"/>
  <c r="EK281" i="2"/>
  <c r="ET281" i="2"/>
  <c r="EN281" i="2"/>
  <c r="BZ281" i="2"/>
  <c r="BZ283" i="2" s="1"/>
  <c r="DO328" i="2"/>
  <c r="CA310" i="2"/>
  <c r="ES310" i="2"/>
  <c r="EH310" i="2"/>
  <c r="EG310" i="2"/>
  <c r="EP310" i="2"/>
  <c r="DO310" i="2"/>
  <c r="DO325" i="2"/>
  <c r="EK310" i="2"/>
  <c r="ET310" i="2"/>
  <c r="EN310" i="2"/>
  <c r="BZ310" i="2"/>
  <c r="FG208" i="2"/>
  <c r="HB208" i="2"/>
  <c r="DH208" i="2"/>
  <c r="EY208" i="2" s="1"/>
  <c r="DL208" i="2"/>
  <c r="EX208" i="2"/>
  <c r="BH208" i="2"/>
  <c r="X208" i="2"/>
  <c r="GR208" i="2"/>
  <c r="CF208" i="2"/>
  <c r="AE208" i="2"/>
  <c r="CX208" i="2"/>
  <c r="DA208" i="2" s="1"/>
  <c r="EW208" i="2"/>
  <c r="HB134" i="2"/>
  <c r="FG148" i="2"/>
  <c r="HB148" i="2"/>
  <c r="FG134" i="2"/>
  <c r="DH148" i="2"/>
  <c r="EY148" i="2" s="1"/>
  <c r="DL148" i="2"/>
  <c r="EX148" i="2"/>
  <c r="BH148" i="2"/>
  <c r="GR148" i="2"/>
  <c r="X148" i="2"/>
  <c r="CF148" i="2"/>
  <c r="AE148" i="2"/>
  <c r="CX148" i="2"/>
  <c r="DA148" i="2" s="1"/>
  <c r="EW148" i="2"/>
  <c r="DH134" i="2"/>
  <c r="EY134" i="2" s="1"/>
  <c r="DL134" i="2"/>
  <c r="EX134" i="2"/>
  <c r="X134" i="2"/>
  <c r="GR134" i="2"/>
  <c r="CF134" i="2"/>
  <c r="BH134" i="2"/>
  <c r="AE134" i="2"/>
  <c r="CX134" i="2"/>
  <c r="DA134" i="2" s="1"/>
  <c r="EW134" i="2"/>
  <c r="L280" i="2"/>
  <c r="L279" i="2"/>
  <c r="L278" i="2"/>
  <c r="L277" i="2"/>
  <c r="L276" i="2"/>
  <c r="L275" i="2"/>
  <c r="L273" i="2"/>
  <c r="L272" i="2"/>
  <c r="L271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4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1" i="2"/>
  <c r="L220" i="2"/>
  <c r="L219" i="2"/>
  <c r="L218" i="2"/>
  <c r="L216" i="2"/>
  <c r="L215" i="2"/>
  <c r="L213" i="2"/>
  <c r="L212" i="2"/>
  <c r="L211" i="2"/>
  <c r="L210" i="2"/>
  <c r="L209" i="2"/>
  <c r="L204" i="2"/>
  <c r="L203" i="2"/>
  <c r="L202" i="2"/>
  <c r="L201" i="2"/>
  <c r="L200" i="2"/>
  <c r="L199" i="2"/>
  <c r="L198" i="2"/>
  <c r="L197" i="2"/>
  <c r="L196" i="2"/>
  <c r="L194" i="2"/>
  <c r="L193" i="2"/>
  <c r="L192" i="2"/>
  <c r="L191" i="2"/>
  <c r="L190" i="2"/>
  <c r="L189" i="2"/>
  <c r="L188" i="2"/>
  <c r="L186" i="2"/>
  <c r="L185" i="2"/>
  <c r="L184" i="2"/>
  <c r="L183" i="2"/>
  <c r="L182" i="2"/>
  <c r="L181" i="2"/>
  <c r="L180" i="2"/>
  <c r="L179" i="2"/>
  <c r="L177" i="2"/>
  <c r="L176" i="2"/>
  <c r="L175" i="2"/>
  <c r="L174" i="2"/>
  <c r="L173" i="2"/>
  <c r="L172" i="2"/>
  <c r="L171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7" i="2"/>
  <c r="L146" i="2"/>
  <c r="L145" i="2"/>
  <c r="L144" i="2"/>
  <c r="L143" i="2"/>
  <c r="L142" i="2"/>
  <c r="L140" i="2"/>
  <c r="L139" i="2"/>
  <c r="L138" i="2"/>
  <c r="L137" i="2"/>
  <c r="L136" i="2"/>
  <c r="L135" i="2"/>
  <c r="L131" i="2"/>
  <c r="L130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CA364" i="2" l="1"/>
  <c r="CA362" i="2"/>
  <c r="L281" i="2"/>
  <c r="L310" i="2"/>
  <c r="EZ208" i="2"/>
  <c r="FA208" i="2" s="1"/>
  <c r="EZ148" i="2"/>
  <c r="FA148" i="2" s="1"/>
  <c r="EZ134" i="2"/>
  <c r="FA134" i="2" s="1"/>
  <c r="J28" i="5"/>
  <c r="K12" i="5"/>
  <c r="J6" i="5"/>
  <c r="J42" i="5"/>
  <c r="K39" i="5"/>
  <c r="J40" i="5"/>
  <c r="J22" i="5"/>
  <c r="J20" i="5" l="1"/>
  <c r="L20" i="5" s="1"/>
  <c r="K37" i="5"/>
  <c r="Q8" i="15"/>
  <c r="J44" i="5" l="1"/>
  <c r="DT327" i="2"/>
  <c r="DS327" i="2"/>
  <c r="DO327" i="2"/>
  <c r="AH327" i="2"/>
  <c r="HA279" i="2"/>
  <c r="GY279" i="2"/>
  <c r="GX279" i="2"/>
  <c r="GQ279" i="2"/>
  <c r="GP279" i="2"/>
  <c r="GO279" i="2"/>
  <c r="GN279" i="2"/>
  <c r="GM279" i="2"/>
  <c r="GE279" i="2"/>
  <c r="GD279" i="2"/>
  <c r="FZ279" i="2"/>
  <c r="FY279" i="2"/>
  <c r="FX279" i="2"/>
  <c r="FW279" i="2"/>
  <c r="FP279" i="2"/>
  <c r="FH279" i="2"/>
  <c r="FE279" i="2"/>
  <c r="FD279" i="2"/>
  <c r="FC279" i="2"/>
  <c r="EF279" i="2"/>
  <c r="EE279" i="2"/>
  <c r="DV279" i="2"/>
  <c r="DU279" i="2"/>
  <c r="DQ279" i="2"/>
  <c r="DP279" i="2"/>
  <c r="DN279" i="2"/>
  <c r="DM279" i="2"/>
  <c r="DK279" i="2"/>
  <c r="DJ279" i="2"/>
  <c r="DG279" i="2"/>
  <c r="DF279" i="2"/>
  <c r="DE279" i="2"/>
  <c r="DD279" i="2"/>
  <c r="CY279" i="2"/>
  <c r="CW279" i="2"/>
  <c r="CV279" i="2"/>
  <c r="CU279" i="2"/>
  <c r="CT279" i="2"/>
  <c r="CS279" i="2"/>
  <c r="CM279" i="2"/>
  <c r="CH279" i="2"/>
  <c r="CG279" i="2"/>
  <c r="CE279" i="2"/>
  <c r="CF279" i="2" s="1"/>
  <c r="BX279" i="2"/>
  <c r="BW279" i="2"/>
  <c r="BV279" i="2"/>
  <c r="BU279" i="2"/>
  <c r="BT279" i="2"/>
  <c r="BR279" i="2"/>
  <c r="BQ279" i="2"/>
  <c r="BP279" i="2"/>
  <c r="BK279" i="2"/>
  <c r="BJ279" i="2"/>
  <c r="BI279" i="2"/>
  <c r="BD279" i="2"/>
  <c r="BB279" i="2"/>
  <c r="BA279" i="2"/>
  <c r="AZ279" i="2"/>
  <c r="AY279" i="2"/>
  <c r="AX279" i="2"/>
  <c r="AW279" i="2"/>
  <c r="AV279" i="2"/>
  <c r="AR279" i="2"/>
  <c r="AQ279" i="2"/>
  <c r="AP279" i="2"/>
  <c r="AO279" i="2"/>
  <c r="AN279" i="2" s="1"/>
  <c r="AJ279" i="2"/>
  <c r="AC279" i="2"/>
  <c r="AB279" i="2"/>
  <c r="Z279" i="2"/>
  <c r="V279" i="2"/>
  <c r="U279" i="2"/>
  <c r="T279" i="2"/>
  <c r="S279" i="2"/>
  <c r="R279" i="2"/>
  <c r="Q279" i="2"/>
  <c r="P279" i="2"/>
  <c r="O279" i="2"/>
  <c r="N279" i="2"/>
  <c r="M279" i="2"/>
  <c r="K279" i="2"/>
  <c r="J279" i="2"/>
  <c r="I279" i="2"/>
  <c r="G279" i="2"/>
  <c r="F279" i="2"/>
  <c r="E279" i="2"/>
  <c r="D279" i="2"/>
  <c r="HA278" i="2"/>
  <c r="GY278" i="2"/>
  <c r="GX278" i="2"/>
  <c r="GQ278" i="2"/>
  <c r="GP278" i="2"/>
  <c r="GO278" i="2"/>
  <c r="GN278" i="2"/>
  <c r="GM278" i="2"/>
  <c r="GE278" i="2"/>
  <c r="GD278" i="2"/>
  <c r="FZ278" i="2"/>
  <c r="FY278" i="2"/>
  <c r="FX278" i="2"/>
  <c r="FW278" i="2"/>
  <c r="FP278" i="2"/>
  <c r="FH278" i="2"/>
  <c r="FE278" i="2"/>
  <c r="FD278" i="2"/>
  <c r="FC278" i="2"/>
  <c r="EF278" i="2"/>
  <c r="EE278" i="2"/>
  <c r="DV278" i="2"/>
  <c r="DU278" i="2"/>
  <c r="DQ278" i="2"/>
  <c r="DP278" i="2"/>
  <c r="DN278" i="2"/>
  <c r="DM278" i="2"/>
  <c r="DK278" i="2"/>
  <c r="DJ278" i="2"/>
  <c r="DG278" i="2"/>
  <c r="DF278" i="2"/>
  <c r="DE278" i="2"/>
  <c r="DD278" i="2"/>
  <c r="CY278" i="2"/>
  <c r="CW278" i="2"/>
  <c r="CV278" i="2"/>
  <c r="CU278" i="2"/>
  <c r="CT278" i="2"/>
  <c r="CS278" i="2"/>
  <c r="CM278" i="2"/>
  <c r="CH278" i="2"/>
  <c r="CG278" i="2"/>
  <c r="CE278" i="2"/>
  <c r="CL278" i="2" s="1"/>
  <c r="BX278" i="2"/>
  <c r="BW278" i="2"/>
  <c r="BV278" i="2"/>
  <c r="BU278" i="2"/>
  <c r="BT278" i="2"/>
  <c r="BR278" i="2"/>
  <c r="BQ278" i="2"/>
  <c r="BP278" i="2"/>
  <c r="BK278" i="2"/>
  <c r="BJ278" i="2"/>
  <c r="BI278" i="2"/>
  <c r="BD278" i="2"/>
  <c r="BB278" i="2"/>
  <c r="BA278" i="2"/>
  <c r="AZ278" i="2"/>
  <c r="AY278" i="2"/>
  <c r="AX278" i="2"/>
  <c r="AW278" i="2"/>
  <c r="AV278" i="2"/>
  <c r="AR278" i="2"/>
  <c r="AQ278" i="2"/>
  <c r="AP278" i="2"/>
  <c r="AO278" i="2"/>
  <c r="BH278" i="2" s="1"/>
  <c r="AJ278" i="2"/>
  <c r="AC278" i="2"/>
  <c r="AB278" i="2"/>
  <c r="Z278" i="2"/>
  <c r="V278" i="2"/>
  <c r="U278" i="2"/>
  <c r="T278" i="2"/>
  <c r="S278" i="2"/>
  <c r="R278" i="2"/>
  <c r="Q278" i="2"/>
  <c r="P278" i="2"/>
  <c r="O278" i="2"/>
  <c r="N278" i="2"/>
  <c r="M278" i="2"/>
  <c r="K278" i="2"/>
  <c r="J278" i="2"/>
  <c r="I278" i="2"/>
  <c r="G278" i="2"/>
  <c r="F278" i="2"/>
  <c r="E278" i="2"/>
  <c r="D278" i="2"/>
  <c r="EX278" i="2" l="1"/>
  <c r="AE279" i="2"/>
  <c r="AE278" i="2"/>
  <c r="GR278" i="2"/>
  <c r="FG278" i="2"/>
  <c r="EW278" i="2"/>
  <c r="DL279" i="2"/>
  <c r="DH279" i="2"/>
  <c r="EY279" i="2" s="1"/>
  <c r="DH278" i="2"/>
  <c r="EY278" i="2" s="1"/>
  <c r="CX278" i="2"/>
  <c r="AN278" i="2"/>
  <c r="DL278" i="2"/>
  <c r="EX279" i="2"/>
  <c r="HB278" i="2"/>
  <c r="X278" i="2"/>
  <c r="FG279" i="2"/>
  <c r="HB279" i="2"/>
  <c r="X279" i="2"/>
  <c r="CX279" i="2"/>
  <c r="EW279" i="2"/>
  <c r="GR279" i="2"/>
  <c r="CF278" i="2"/>
  <c r="BH279" i="2"/>
  <c r="CL279" i="2"/>
  <c r="EZ279" i="2" l="1"/>
  <c r="FA279" i="2" s="1"/>
  <c r="EZ278" i="2"/>
  <c r="FA278" i="2" s="1"/>
  <c r="HA277" i="2" l="1"/>
  <c r="GY277" i="2"/>
  <c r="GX277" i="2"/>
  <c r="GQ277" i="2"/>
  <c r="GP277" i="2"/>
  <c r="GO277" i="2"/>
  <c r="GN277" i="2"/>
  <c r="GM277" i="2"/>
  <c r="GE277" i="2"/>
  <c r="GD277" i="2"/>
  <c r="FZ277" i="2"/>
  <c r="FY277" i="2"/>
  <c r="FX277" i="2"/>
  <c r="FW277" i="2"/>
  <c r="FP277" i="2"/>
  <c r="FH277" i="2"/>
  <c r="FE277" i="2"/>
  <c r="FD277" i="2"/>
  <c r="FC277" i="2"/>
  <c r="EF277" i="2"/>
  <c r="EE277" i="2"/>
  <c r="DV277" i="2"/>
  <c r="DU277" i="2"/>
  <c r="DQ277" i="2"/>
  <c r="DP277" i="2"/>
  <c r="DN277" i="2"/>
  <c r="DM277" i="2"/>
  <c r="DK277" i="2"/>
  <c r="DJ277" i="2"/>
  <c r="DG277" i="2"/>
  <c r="DF277" i="2"/>
  <c r="DE277" i="2"/>
  <c r="DD277" i="2"/>
  <c r="CY277" i="2"/>
  <c r="CW277" i="2"/>
  <c r="CV277" i="2"/>
  <c r="CU277" i="2"/>
  <c r="CT277" i="2"/>
  <c r="CS277" i="2"/>
  <c r="CM277" i="2"/>
  <c r="CH277" i="2"/>
  <c r="CG277" i="2"/>
  <c r="CE277" i="2"/>
  <c r="CF277" i="2" s="1"/>
  <c r="BX277" i="2"/>
  <c r="BW277" i="2"/>
  <c r="BV277" i="2"/>
  <c r="BU277" i="2"/>
  <c r="BT277" i="2"/>
  <c r="BR277" i="2"/>
  <c r="BQ277" i="2"/>
  <c r="BP277" i="2"/>
  <c r="BK277" i="2"/>
  <c r="BJ277" i="2"/>
  <c r="BI277" i="2"/>
  <c r="BD277" i="2"/>
  <c r="BB277" i="2"/>
  <c r="BA277" i="2"/>
  <c r="AZ277" i="2"/>
  <c r="AY277" i="2"/>
  <c r="AX277" i="2"/>
  <c r="AW277" i="2"/>
  <c r="AV277" i="2"/>
  <c r="AR277" i="2"/>
  <c r="AQ277" i="2"/>
  <c r="AP277" i="2"/>
  <c r="AO277" i="2"/>
  <c r="AN277" i="2" s="1"/>
  <c r="AJ277" i="2"/>
  <c r="AC277" i="2"/>
  <c r="AB277" i="2"/>
  <c r="Z277" i="2"/>
  <c r="V277" i="2"/>
  <c r="U277" i="2"/>
  <c r="T277" i="2"/>
  <c r="S277" i="2"/>
  <c r="R277" i="2"/>
  <c r="Q277" i="2"/>
  <c r="P277" i="2"/>
  <c r="O277" i="2"/>
  <c r="N277" i="2"/>
  <c r="M277" i="2"/>
  <c r="K277" i="2"/>
  <c r="J277" i="2"/>
  <c r="I277" i="2"/>
  <c r="G277" i="2"/>
  <c r="F277" i="2"/>
  <c r="E277" i="2"/>
  <c r="D277" i="2"/>
  <c r="HJ276" i="2"/>
  <c r="HA276" i="2"/>
  <c r="GY276" i="2"/>
  <c r="GX276" i="2"/>
  <c r="GQ276" i="2"/>
  <c r="GP276" i="2"/>
  <c r="GO276" i="2"/>
  <c r="GN276" i="2"/>
  <c r="GM276" i="2"/>
  <c r="GE276" i="2"/>
  <c r="GD276" i="2"/>
  <c r="FZ276" i="2"/>
  <c r="FY276" i="2"/>
  <c r="FX276" i="2"/>
  <c r="FW276" i="2"/>
  <c r="FP276" i="2"/>
  <c r="FH276" i="2"/>
  <c r="FE276" i="2"/>
  <c r="FD276" i="2"/>
  <c r="FC276" i="2"/>
  <c r="EF276" i="2"/>
  <c r="EE276" i="2"/>
  <c r="DV276" i="2"/>
  <c r="DU276" i="2"/>
  <c r="DQ276" i="2"/>
  <c r="DP276" i="2"/>
  <c r="DN276" i="2"/>
  <c r="DM276" i="2"/>
  <c r="DK276" i="2"/>
  <c r="DJ276" i="2"/>
  <c r="DG276" i="2"/>
  <c r="DF276" i="2"/>
  <c r="DE276" i="2"/>
  <c r="DD276" i="2"/>
  <c r="CY276" i="2"/>
  <c r="CW276" i="2"/>
  <c r="CV276" i="2"/>
  <c r="CU276" i="2"/>
  <c r="CT276" i="2"/>
  <c r="CS276" i="2"/>
  <c r="CM276" i="2"/>
  <c r="CH276" i="2"/>
  <c r="CG276" i="2"/>
  <c r="CE276" i="2"/>
  <c r="CL276" i="2" s="1"/>
  <c r="BX276" i="2"/>
  <c r="BW276" i="2"/>
  <c r="BV276" i="2"/>
  <c r="BU276" i="2"/>
  <c r="BT276" i="2"/>
  <c r="BR276" i="2"/>
  <c r="BQ276" i="2"/>
  <c r="BP276" i="2"/>
  <c r="BK276" i="2"/>
  <c r="BJ276" i="2"/>
  <c r="BI276" i="2"/>
  <c r="BD276" i="2"/>
  <c r="BB276" i="2"/>
  <c r="BA276" i="2"/>
  <c r="AZ276" i="2"/>
  <c r="AY276" i="2"/>
  <c r="AX276" i="2"/>
  <c r="AW276" i="2"/>
  <c r="AV276" i="2"/>
  <c r="AR276" i="2"/>
  <c r="AQ276" i="2"/>
  <c r="AP276" i="2"/>
  <c r="AO276" i="2"/>
  <c r="AN276" i="2" s="1"/>
  <c r="AJ276" i="2"/>
  <c r="AC276" i="2"/>
  <c r="AB276" i="2"/>
  <c r="Z276" i="2"/>
  <c r="V276" i="2"/>
  <c r="U276" i="2"/>
  <c r="T276" i="2"/>
  <c r="S276" i="2"/>
  <c r="R276" i="2"/>
  <c r="Q276" i="2"/>
  <c r="P276" i="2"/>
  <c r="O276" i="2"/>
  <c r="N276" i="2"/>
  <c r="M276" i="2"/>
  <c r="K276" i="2"/>
  <c r="J276" i="2"/>
  <c r="I276" i="2"/>
  <c r="G276" i="2"/>
  <c r="F276" i="2"/>
  <c r="E276" i="2"/>
  <c r="D276" i="2"/>
  <c r="HA248" i="2"/>
  <c r="GY248" i="2"/>
  <c r="GX248" i="2"/>
  <c r="GQ248" i="2"/>
  <c r="GP248" i="2"/>
  <c r="GO248" i="2"/>
  <c r="GN248" i="2"/>
  <c r="GM248" i="2"/>
  <c r="GE248" i="2"/>
  <c r="GD248" i="2"/>
  <c r="FZ248" i="2"/>
  <c r="FY248" i="2"/>
  <c r="FX248" i="2"/>
  <c r="FW248" i="2"/>
  <c r="FP248" i="2"/>
  <c r="FH248" i="2"/>
  <c r="FE248" i="2"/>
  <c r="FD248" i="2"/>
  <c r="FC248" i="2"/>
  <c r="EF248" i="2"/>
  <c r="EE248" i="2"/>
  <c r="DV248" i="2"/>
  <c r="DU248" i="2"/>
  <c r="DQ248" i="2"/>
  <c r="DP248" i="2"/>
  <c r="DN248" i="2"/>
  <c r="DM248" i="2"/>
  <c r="DK248" i="2"/>
  <c r="DJ248" i="2"/>
  <c r="DG248" i="2"/>
  <c r="DF248" i="2"/>
  <c r="DE248" i="2"/>
  <c r="DD248" i="2"/>
  <c r="CY248" i="2"/>
  <c r="CW248" i="2"/>
  <c r="CV248" i="2"/>
  <c r="CU248" i="2"/>
  <c r="CT248" i="2"/>
  <c r="CS248" i="2"/>
  <c r="CM248" i="2"/>
  <c r="CH248" i="2"/>
  <c r="CG248" i="2"/>
  <c r="CE248" i="2"/>
  <c r="CL248" i="2" s="1"/>
  <c r="BX248" i="2"/>
  <c r="BW248" i="2"/>
  <c r="BV248" i="2"/>
  <c r="BU248" i="2"/>
  <c r="BT248" i="2"/>
  <c r="BR248" i="2"/>
  <c r="BQ248" i="2"/>
  <c r="BP248" i="2"/>
  <c r="BK248" i="2"/>
  <c r="BJ248" i="2"/>
  <c r="BI248" i="2"/>
  <c r="BD248" i="2"/>
  <c r="BB248" i="2"/>
  <c r="BA248" i="2"/>
  <c r="AZ248" i="2"/>
  <c r="AY248" i="2"/>
  <c r="AX248" i="2"/>
  <c r="AW248" i="2"/>
  <c r="AV248" i="2"/>
  <c r="AR248" i="2"/>
  <c r="AQ248" i="2"/>
  <c r="AP248" i="2"/>
  <c r="AO248" i="2"/>
  <c r="BH248" i="2" s="1"/>
  <c r="AJ248" i="2"/>
  <c r="AC248" i="2"/>
  <c r="AB248" i="2"/>
  <c r="Z248" i="2"/>
  <c r="V248" i="2"/>
  <c r="U248" i="2"/>
  <c r="T248" i="2"/>
  <c r="S248" i="2"/>
  <c r="R248" i="2"/>
  <c r="Q248" i="2"/>
  <c r="P248" i="2"/>
  <c r="O248" i="2"/>
  <c r="N248" i="2"/>
  <c r="M248" i="2"/>
  <c r="K248" i="2"/>
  <c r="J248" i="2"/>
  <c r="I248" i="2"/>
  <c r="G248" i="2"/>
  <c r="F248" i="2"/>
  <c r="E248" i="2"/>
  <c r="D248" i="2"/>
  <c r="HA177" i="2"/>
  <c r="GY177" i="2"/>
  <c r="GX177" i="2"/>
  <c r="GQ177" i="2"/>
  <c r="GP177" i="2"/>
  <c r="GO177" i="2"/>
  <c r="GN177" i="2"/>
  <c r="GM177" i="2"/>
  <c r="GE177" i="2"/>
  <c r="GD177" i="2"/>
  <c r="FZ177" i="2"/>
  <c r="FY177" i="2"/>
  <c r="FX177" i="2"/>
  <c r="FW177" i="2"/>
  <c r="FP177" i="2"/>
  <c r="FH177" i="2"/>
  <c r="FE177" i="2"/>
  <c r="FD177" i="2"/>
  <c r="FC177" i="2"/>
  <c r="EF177" i="2"/>
  <c r="EE177" i="2"/>
  <c r="DV177" i="2"/>
  <c r="DU177" i="2"/>
  <c r="DQ177" i="2"/>
  <c r="DP177" i="2"/>
  <c r="DN177" i="2"/>
  <c r="DM177" i="2"/>
  <c r="DK177" i="2"/>
  <c r="DJ177" i="2"/>
  <c r="DG177" i="2"/>
  <c r="DF177" i="2"/>
  <c r="DE177" i="2"/>
  <c r="DD177" i="2"/>
  <c r="CY177" i="2"/>
  <c r="CW177" i="2"/>
  <c r="CV177" i="2"/>
  <c r="CU177" i="2"/>
  <c r="CT177" i="2"/>
  <c r="CS177" i="2"/>
  <c r="CM177" i="2"/>
  <c r="CH177" i="2"/>
  <c r="CG177" i="2"/>
  <c r="CE177" i="2"/>
  <c r="CL177" i="2" s="1"/>
  <c r="BX177" i="2"/>
  <c r="BW177" i="2"/>
  <c r="BV177" i="2"/>
  <c r="BU177" i="2"/>
  <c r="BT177" i="2"/>
  <c r="BR177" i="2"/>
  <c r="BQ177" i="2"/>
  <c r="BP177" i="2"/>
  <c r="BK177" i="2"/>
  <c r="BJ177" i="2"/>
  <c r="BI177" i="2"/>
  <c r="BD177" i="2"/>
  <c r="BB177" i="2"/>
  <c r="BA177" i="2"/>
  <c r="AZ177" i="2"/>
  <c r="AY177" i="2"/>
  <c r="AX177" i="2"/>
  <c r="AW177" i="2"/>
  <c r="AV177" i="2"/>
  <c r="AR177" i="2"/>
  <c r="AQ177" i="2"/>
  <c r="AP177" i="2"/>
  <c r="AO177" i="2"/>
  <c r="BH177" i="2" s="1"/>
  <c r="AJ177" i="2"/>
  <c r="AC177" i="2"/>
  <c r="AB177" i="2"/>
  <c r="Z177" i="2"/>
  <c r="V177" i="2"/>
  <c r="W177" i="2" s="1"/>
  <c r="U177" i="2"/>
  <c r="T177" i="2"/>
  <c r="S177" i="2"/>
  <c r="R177" i="2"/>
  <c r="Q177" i="2"/>
  <c r="P177" i="2"/>
  <c r="O177" i="2"/>
  <c r="N177" i="2"/>
  <c r="M177" i="2"/>
  <c r="K177" i="2"/>
  <c r="J177" i="2"/>
  <c r="I177" i="2"/>
  <c r="G177" i="2"/>
  <c r="F177" i="2"/>
  <c r="E177" i="2"/>
  <c r="D177" i="2"/>
  <c r="HA176" i="2"/>
  <c r="GY176" i="2"/>
  <c r="GX176" i="2"/>
  <c r="GQ176" i="2"/>
  <c r="GP176" i="2"/>
  <c r="GO176" i="2"/>
  <c r="GN176" i="2"/>
  <c r="GM176" i="2"/>
  <c r="GE176" i="2"/>
  <c r="GD176" i="2"/>
  <c r="FZ176" i="2"/>
  <c r="FY176" i="2"/>
  <c r="FX176" i="2"/>
  <c r="FW176" i="2"/>
  <c r="FP176" i="2"/>
  <c r="FH176" i="2"/>
  <c r="FE176" i="2"/>
  <c r="FD176" i="2"/>
  <c r="FC176" i="2"/>
  <c r="EF176" i="2"/>
  <c r="EE176" i="2"/>
  <c r="DV176" i="2"/>
  <c r="DU176" i="2"/>
  <c r="DQ176" i="2"/>
  <c r="DP176" i="2"/>
  <c r="DN176" i="2"/>
  <c r="DM176" i="2"/>
  <c r="DK176" i="2"/>
  <c r="DJ176" i="2"/>
  <c r="DG176" i="2"/>
  <c r="DF176" i="2"/>
  <c r="DE176" i="2"/>
  <c r="DD176" i="2"/>
  <c r="CY176" i="2"/>
  <c r="CW176" i="2"/>
  <c r="CV176" i="2"/>
  <c r="CU176" i="2"/>
  <c r="CT176" i="2"/>
  <c r="CS176" i="2"/>
  <c r="CM176" i="2"/>
  <c r="CH176" i="2"/>
  <c r="CG176" i="2"/>
  <c r="CE176" i="2"/>
  <c r="CF176" i="2" s="1"/>
  <c r="BX176" i="2"/>
  <c r="BW176" i="2"/>
  <c r="BV176" i="2"/>
  <c r="BU176" i="2"/>
  <c r="BT176" i="2"/>
  <c r="BR176" i="2"/>
  <c r="BQ176" i="2"/>
  <c r="BP176" i="2"/>
  <c r="BK176" i="2"/>
  <c r="BJ176" i="2"/>
  <c r="BI176" i="2"/>
  <c r="BD176" i="2"/>
  <c r="BB176" i="2"/>
  <c r="BA176" i="2"/>
  <c r="AZ176" i="2"/>
  <c r="AY176" i="2"/>
  <c r="AX176" i="2"/>
  <c r="AW176" i="2"/>
  <c r="AV176" i="2"/>
  <c r="AR176" i="2"/>
  <c r="AQ176" i="2"/>
  <c r="AP176" i="2"/>
  <c r="AO176" i="2"/>
  <c r="BH176" i="2" s="1"/>
  <c r="AJ176" i="2"/>
  <c r="AC176" i="2"/>
  <c r="AB176" i="2"/>
  <c r="Z176" i="2"/>
  <c r="V176" i="2"/>
  <c r="W176" i="2" s="1"/>
  <c r="U176" i="2"/>
  <c r="T176" i="2"/>
  <c r="S176" i="2"/>
  <c r="R176" i="2"/>
  <c r="Q176" i="2"/>
  <c r="P176" i="2"/>
  <c r="O176" i="2"/>
  <c r="N176" i="2"/>
  <c r="M176" i="2"/>
  <c r="K176" i="2"/>
  <c r="J176" i="2"/>
  <c r="I176" i="2"/>
  <c r="G176" i="2"/>
  <c r="F176" i="2"/>
  <c r="E176" i="2"/>
  <c r="D176" i="2"/>
  <c r="X277" i="2" l="1"/>
  <c r="DH277" i="2"/>
  <c r="EY277" i="2" s="1"/>
  <c r="EX277" i="2"/>
  <c r="DH276" i="2"/>
  <c r="EY276" i="2" s="1"/>
  <c r="AE277" i="2"/>
  <c r="EW277" i="2"/>
  <c r="DL277" i="2"/>
  <c r="FG277" i="2"/>
  <c r="HB277" i="2"/>
  <c r="CX277" i="2"/>
  <c r="GR277" i="2"/>
  <c r="BH277" i="2"/>
  <c r="CL277" i="2"/>
  <c r="EX276" i="2"/>
  <c r="CF276" i="2"/>
  <c r="EX248" i="2"/>
  <c r="FG276" i="2"/>
  <c r="HB276" i="2"/>
  <c r="CX276" i="2"/>
  <c r="DA276" i="2" s="1"/>
  <c r="X276" i="2"/>
  <c r="DL276" i="2"/>
  <c r="AE276" i="2"/>
  <c r="EW276" i="2"/>
  <c r="GR276" i="2"/>
  <c r="BH276" i="2"/>
  <c r="GR248" i="2"/>
  <c r="DH177" i="2"/>
  <c r="EY177" i="2" s="1"/>
  <c r="DH248" i="2"/>
  <c r="EY248" i="2" s="1"/>
  <c r="DL248" i="2"/>
  <c r="CX248" i="2"/>
  <c r="DA248" i="2" s="1"/>
  <c r="CF248" i="2"/>
  <c r="X248" i="2"/>
  <c r="AE248" i="2"/>
  <c r="FG248" i="2"/>
  <c r="HB248" i="2"/>
  <c r="EW248" i="2"/>
  <c r="AN248" i="2"/>
  <c r="EX177" i="2"/>
  <c r="FG176" i="2"/>
  <c r="GR177" i="2"/>
  <c r="CX176" i="2"/>
  <c r="DA176" i="2" s="1"/>
  <c r="EW176" i="2"/>
  <c r="X176" i="2"/>
  <c r="AE176" i="2"/>
  <c r="CX177" i="2"/>
  <c r="DA177" i="2" s="1"/>
  <c r="CF177" i="2"/>
  <c r="AN176" i="2"/>
  <c r="DL176" i="2"/>
  <c r="EX176" i="2"/>
  <c r="GR176" i="2"/>
  <c r="X177" i="2"/>
  <c r="DL177" i="2"/>
  <c r="AE177" i="2"/>
  <c r="FG177" i="2"/>
  <c r="HB177" i="2"/>
  <c r="DH176" i="2"/>
  <c r="HB176" i="2"/>
  <c r="EW177" i="2"/>
  <c r="AN177" i="2"/>
  <c r="CL176" i="2"/>
  <c r="GQ7" i="2"/>
  <c r="GQ8" i="2"/>
  <c r="GQ9" i="2"/>
  <c r="GQ10" i="2"/>
  <c r="GQ11" i="2"/>
  <c r="GQ12" i="2"/>
  <c r="GQ13" i="2"/>
  <c r="GQ14" i="2"/>
  <c r="GQ15" i="2"/>
  <c r="GQ16" i="2"/>
  <c r="GQ17" i="2"/>
  <c r="GQ18" i="2"/>
  <c r="GQ19" i="2"/>
  <c r="GQ20" i="2"/>
  <c r="GQ22" i="2"/>
  <c r="GQ23" i="2"/>
  <c r="GQ24" i="2"/>
  <c r="GQ25" i="2"/>
  <c r="GQ26" i="2"/>
  <c r="GQ27" i="2"/>
  <c r="GQ28" i="2"/>
  <c r="GQ29" i="2"/>
  <c r="GQ30" i="2"/>
  <c r="GQ31" i="2"/>
  <c r="GQ32" i="2"/>
  <c r="GQ33" i="2"/>
  <c r="GQ34" i="2"/>
  <c r="GQ35" i="2"/>
  <c r="GQ36" i="2"/>
  <c r="GQ37" i="2"/>
  <c r="GQ38" i="2"/>
  <c r="GQ39" i="2"/>
  <c r="GQ40" i="2"/>
  <c r="GQ41" i="2"/>
  <c r="GQ42" i="2"/>
  <c r="GQ43" i="2"/>
  <c r="GQ44" i="2"/>
  <c r="GQ45" i="2"/>
  <c r="GQ46" i="2"/>
  <c r="GQ47" i="2"/>
  <c r="GQ48" i="2"/>
  <c r="GQ49" i="2"/>
  <c r="GQ50" i="2"/>
  <c r="GQ51" i="2"/>
  <c r="GQ52" i="2"/>
  <c r="GQ53" i="2"/>
  <c r="GQ54" i="2"/>
  <c r="GQ55" i="2"/>
  <c r="GQ56" i="2"/>
  <c r="GQ57" i="2"/>
  <c r="GQ58" i="2"/>
  <c r="GQ59" i="2"/>
  <c r="GQ60" i="2"/>
  <c r="GQ61" i="2"/>
  <c r="GQ62" i="2"/>
  <c r="GQ63" i="2"/>
  <c r="GQ64" i="2"/>
  <c r="GQ65" i="2"/>
  <c r="GQ66" i="2"/>
  <c r="GQ67" i="2"/>
  <c r="GQ68" i="2"/>
  <c r="GQ69" i="2"/>
  <c r="GQ70" i="2"/>
  <c r="GQ71" i="2"/>
  <c r="GQ72" i="2"/>
  <c r="GQ73" i="2"/>
  <c r="GQ74" i="2"/>
  <c r="GQ75" i="2"/>
  <c r="GQ77" i="2"/>
  <c r="GQ78" i="2"/>
  <c r="GQ79" i="2"/>
  <c r="GQ80" i="2"/>
  <c r="GQ81" i="2"/>
  <c r="GQ82" i="2"/>
  <c r="GQ83" i="2"/>
  <c r="GQ84" i="2"/>
  <c r="GQ85" i="2"/>
  <c r="GQ86" i="2"/>
  <c r="GQ87" i="2"/>
  <c r="GQ88" i="2"/>
  <c r="GQ89" i="2"/>
  <c r="GQ90" i="2"/>
  <c r="GQ91" i="2"/>
  <c r="GQ92" i="2"/>
  <c r="GQ93" i="2"/>
  <c r="GQ94" i="2"/>
  <c r="GQ95" i="2"/>
  <c r="GQ96" i="2"/>
  <c r="GQ97" i="2"/>
  <c r="GQ98" i="2"/>
  <c r="GQ99" i="2"/>
  <c r="GQ100" i="2"/>
  <c r="GQ101" i="2"/>
  <c r="GQ102" i="2"/>
  <c r="GQ104" i="2"/>
  <c r="GQ105" i="2"/>
  <c r="GQ106" i="2"/>
  <c r="GQ107" i="2"/>
  <c r="GQ108" i="2"/>
  <c r="GQ109" i="2"/>
  <c r="GQ110" i="2"/>
  <c r="GQ111" i="2"/>
  <c r="GQ112" i="2"/>
  <c r="GQ113" i="2"/>
  <c r="GQ114" i="2"/>
  <c r="GQ115" i="2"/>
  <c r="GQ116" i="2"/>
  <c r="GQ117" i="2"/>
  <c r="GQ118" i="2"/>
  <c r="GQ119" i="2"/>
  <c r="GQ120" i="2"/>
  <c r="GQ121" i="2"/>
  <c r="GQ122" i="2"/>
  <c r="GQ123" i="2"/>
  <c r="GQ124" i="2"/>
  <c r="GQ125" i="2"/>
  <c r="GQ126" i="2"/>
  <c r="GQ127" i="2"/>
  <c r="GQ128" i="2"/>
  <c r="GQ130" i="2"/>
  <c r="GQ131" i="2"/>
  <c r="GQ135" i="2"/>
  <c r="GQ136" i="2"/>
  <c r="GQ137" i="2"/>
  <c r="GQ138" i="2"/>
  <c r="GQ139" i="2"/>
  <c r="GQ140" i="2"/>
  <c r="GQ142" i="2"/>
  <c r="GQ143" i="2"/>
  <c r="GQ144" i="2"/>
  <c r="GQ145" i="2"/>
  <c r="GQ146" i="2"/>
  <c r="GQ147" i="2"/>
  <c r="GQ149" i="2"/>
  <c r="GQ150" i="2"/>
  <c r="GQ151" i="2"/>
  <c r="GQ152" i="2"/>
  <c r="GQ153" i="2"/>
  <c r="GQ154" i="2"/>
  <c r="GQ155" i="2"/>
  <c r="GQ156" i="2"/>
  <c r="GQ157" i="2"/>
  <c r="GQ158" i="2"/>
  <c r="GQ159" i="2"/>
  <c r="GQ160" i="2"/>
  <c r="GQ161" i="2"/>
  <c r="GQ162" i="2"/>
  <c r="GQ163" i="2"/>
  <c r="GQ164" i="2"/>
  <c r="GQ165" i="2"/>
  <c r="GQ166" i="2"/>
  <c r="GQ167" i="2"/>
  <c r="GQ168" i="2"/>
  <c r="GQ169" i="2"/>
  <c r="GQ171" i="2"/>
  <c r="GQ172" i="2"/>
  <c r="GQ173" i="2"/>
  <c r="GQ174" i="2"/>
  <c r="GQ175" i="2"/>
  <c r="GQ179" i="2"/>
  <c r="GQ180" i="2"/>
  <c r="GQ181" i="2"/>
  <c r="GQ182" i="2"/>
  <c r="GQ183" i="2"/>
  <c r="GQ184" i="2"/>
  <c r="GQ185" i="2"/>
  <c r="GQ186" i="2"/>
  <c r="GQ188" i="2"/>
  <c r="GQ189" i="2"/>
  <c r="GQ190" i="2"/>
  <c r="GQ191" i="2"/>
  <c r="GQ192" i="2"/>
  <c r="GQ193" i="2"/>
  <c r="GQ194" i="2"/>
  <c r="GQ196" i="2"/>
  <c r="GQ197" i="2"/>
  <c r="GQ198" i="2"/>
  <c r="GQ199" i="2"/>
  <c r="GQ200" i="2"/>
  <c r="GQ201" i="2"/>
  <c r="GQ202" i="2"/>
  <c r="GQ203" i="2"/>
  <c r="GQ204" i="2"/>
  <c r="GQ209" i="2"/>
  <c r="GQ210" i="2"/>
  <c r="GQ211" i="2"/>
  <c r="GQ212" i="2"/>
  <c r="GQ213" i="2"/>
  <c r="GQ215" i="2"/>
  <c r="GQ216" i="2"/>
  <c r="GQ218" i="2"/>
  <c r="GQ219" i="2"/>
  <c r="GQ220" i="2"/>
  <c r="GQ221" i="2"/>
  <c r="GQ223" i="2"/>
  <c r="GQ224" i="2"/>
  <c r="GQ225" i="2"/>
  <c r="GQ226" i="2"/>
  <c r="GQ227" i="2"/>
  <c r="GQ228" i="2"/>
  <c r="GQ229" i="2"/>
  <c r="GQ230" i="2"/>
  <c r="GQ231" i="2"/>
  <c r="GQ232" i="2"/>
  <c r="GQ233" i="2"/>
  <c r="GQ234" i="2"/>
  <c r="GQ235" i="2"/>
  <c r="GQ236" i="2"/>
  <c r="GQ237" i="2"/>
  <c r="GQ238" i="2"/>
  <c r="GQ239" i="2"/>
  <c r="GQ240" i="2"/>
  <c r="GQ241" i="2"/>
  <c r="GQ242" i="2"/>
  <c r="GQ243" i="2"/>
  <c r="GQ244" i="2"/>
  <c r="GQ245" i="2"/>
  <c r="GQ246" i="2"/>
  <c r="GQ247" i="2"/>
  <c r="GQ249" i="2"/>
  <c r="GQ250" i="2"/>
  <c r="GQ251" i="2"/>
  <c r="GQ252" i="2"/>
  <c r="GQ254" i="2"/>
  <c r="GQ256" i="2"/>
  <c r="GQ257" i="2"/>
  <c r="GQ258" i="2"/>
  <c r="GQ259" i="2"/>
  <c r="GQ260" i="2"/>
  <c r="GQ261" i="2"/>
  <c r="GQ262" i="2"/>
  <c r="GQ263" i="2"/>
  <c r="GQ264" i="2"/>
  <c r="GQ265" i="2"/>
  <c r="GQ266" i="2"/>
  <c r="GQ267" i="2"/>
  <c r="GQ268" i="2"/>
  <c r="GQ271" i="2"/>
  <c r="GQ272" i="2"/>
  <c r="GQ273" i="2"/>
  <c r="GQ275" i="2"/>
  <c r="GQ280" i="2"/>
  <c r="GQ6" i="2"/>
  <c r="GP280" i="2"/>
  <c r="GP275" i="2"/>
  <c r="GP273" i="2"/>
  <c r="GP272" i="2"/>
  <c r="GP271" i="2"/>
  <c r="GP268" i="2"/>
  <c r="GP267" i="2"/>
  <c r="GP266" i="2"/>
  <c r="GP265" i="2"/>
  <c r="GP264" i="2"/>
  <c r="GP263" i="2"/>
  <c r="GP262" i="2"/>
  <c r="GP261" i="2"/>
  <c r="GP260" i="2"/>
  <c r="GP259" i="2"/>
  <c r="GP258" i="2"/>
  <c r="GP257" i="2"/>
  <c r="GP256" i="2"/>
  <c r="GP254" i="2"/>
  <c r="GP252" i="2"/>
  <c r="GP251" i="2"/>
  <c r="GP250" i="2"/>
  <c r="GP249" i="2"/>
  <c r="GP247" i="2"/>
  <c r="GP246" i="2"/>
  <c r="GP245" i="2"/>
  <c r="GP244" i="2"/>
  <c r="GP243" i="2"/>
  <c r="GP242" i="2"/>
  <c r="GP241" i="2"/>
  <c r="GP240" i="2"/>
  <c r="GP239" i="2"/>
  <c r="GP238" i="2"/>
  <c r="GP237" i="2"/>
  <c r="GP236" i="2"/>
  <c r="GP235" i="2"/>
  <c r="GP234" i="2"/>
  <c r="GP233" i="2"/>
  <c r="GP232" i="2"/>
  <c r="GP231" i="2"/>
  <c r="GP230" i="2"/>
  <c r="GP229" i="2"/>
  <c r="GP228" i="2"/>
  <c r="GP227" i="2"/>
  <c r="GP226" i="2"/>
  <c r="GP225" i="2"/>
  <c r="GP224" i="2"/>
  <c r="GP223" i="2"/>
  <c r="GP221" i="2"/>
  <c r="GP220" i="2"/>
  <c r="GP219" i="2"/>
  <c r="GP218" i="2"/>
  <c r="GP216" i="2"/>
  <c r="GP215" i="2"/>
  <c r="GP213" i="2"/>
  <c r="GP212" i="2"/>
  <c r="GP211" i="2"/>
  <c r="GP210" i="2"/>
  <c r="GP209" i="2"/>
  <c r="GP204" i="2"/>
  <c r="GP203" i="2"/>
  <c r="GP202" i="2"/>
  <c r="GP201" i="2"/>
  <c r="GP200" i="2"/>
  <c r="GP199" i="2"/>
  <c r="GP198" i="2"/>
  <c r="GP197" i="2"/>
  <c r="GP196" i="2"/>
  <c r="GP194" i="2"/>
  <c r="GP193" i="2"/>
  <c r="GP192" i="2"/>
  <c r="GP191" i="2"/>
  <c r="GP190" i="2"/>
  <c r="GP189" i="2"/>
  <c r="GP188" i="2"/>
  <c r="GP186" i="2"/>
  <c r="GP185" i="2"/>
  <c r="GP184" i="2"/>
  <c r="GP183" i="2"/>
  <c r="GP182" i="2"/>
  <c r="GP181" i="2"/>
  <c r="GP180" i="2"/>
  <c r="GP179" i="2"/>
  <c r="GP175" i="2"/>
  <c r="GP174" i="2"/>
  <c r="GP173" i="2"/>
  <c r="GP172" i="2"/>
  <c r="GP171" i="2"/>
  <c r="GP169" i="2"/>
  <c r="GP168" i="2"/>
  <c r="GP167" i="2"/>
  <c r="GP166" i="2"/>
  <c r="GP165" i="2"/>
  <c r="GP164" i="2"/>
  <c r="GP163" i="2"/>
  <c r="GP162" i="2"/>
  <c r="GP161" i="2"/>
  <c r="GP160" i="2"/>
  <c r="GP159" i="2"/>
  <c r="GP158" i="2"/>
  <c r="GP157" i="2"/>
  <c r="GP156" i="2"/>
  <c r="GP155" i="2"/>
  <c r="GP154" i="2"/>
  <c r="GP153" i="2"/>
  <c r="GP152" i="2"/>
  <c r="GP151" i="2"/>
  <c r="GP150" i="2"/>
  <c r="GP149" i="2"/>
  <c r="GP147" i="2"/>
  <c r="GP146" i="2"/>
  <c r="GP145" i="2"/>
  <c r="GP144" i="2"/>
  <c r="GP143" i="2"/>
  <c r="GP142" i="2"/>
  <c r="GP140" i="2"/>
  <c r="GP139" i="2"/>
  <c r="GP138" i="2"/>
  <c r="GP137" i="2"/>
  <c r="GP136" i="2"/>
  <c r="GP135" i="2"/>
  <c r="GP131" i="2"/>
  <c r="GP130" i="2"/>
  <c r="GP128" i="2"/>
  <c r="GP127" i="2"/>
  <c r="GP126" i="2"/>
  <c r="GP125" i="2"/>
  <c r="GP124" i="2"/>
  <c r="GP123" i="2"/>
  <c r="GP122" i="2"/>
  <c r="GP121" i="2"/>
  <c r="GP120" i="2"/>
  <c r="GP119" i="2"/>
  <c r="GP118" i="2"/>
  <c r="GP117" i="2"/>
  <c r="GP116" i="2"/>
  <c r="GP115" i="2"/>
  <c r="GP114" i="2"/>
  <c r="GP113" i="2"/>
  <c r="GP112" i="2"/>
  <c r="GP111" i="2"/>
  <c r="GP110" i="2"/>
  <c r="GP109" i="2"/>
  <c r="GP108" i="2"/>
  <c r="GP107" i="2"/>
  <c r="GP106" i="2"/>
  <c r="GP105" i="2"/>
  <c r="GP104" i="2"/>
  <c r="GP102" i="2"/>
  <c r="GP101" i="2"/>
  <c r="GP100" i="2"/>
  <c r="GP99" i="2"/>
  <c r="GP98" i="2"/>
  <c r="GP97" i="2"/>
  <c r="GP96" i="2"/>
  <c r="GP95" i="2"/>
  <c r="GP94" i="2"/>
  <c r="GP93" i="2"/>
  <c r="GP92" i="2"/>
  <c r="GP91" i="2"/>
  <c r="GP90" i="2"/>
  <c r="GP89" i="2"/>
  <c r="GP88" i="2"/>
  <c r="GP87" i="2"/>
  <c r="GP86" i="2"/>
  <c r="GP85" i="2"/>
  <c r="GP84" i="2"/>
  <c r="GP83" i="2"/>
  <c r="GP82" i="2"/>
  <c r="GP81" i="2"/>
  <c r="GP80" i="2"/>
  <c r="GP79" i="2"/>
  <c r="GP78" i="2"/>
  <c r="GP77" i="2"/>
  <c r="GP75" i="2"/>
  <c r="GP74" i="2"/>
  <c r="GP73" i="2"/>
  <c r="GP72" i="2"/>
  <c r="GP71" i="2"/>
  <c r="GP70" i="2"/>
  <c r="GP69" i="2"/>
  <c r="GP68" i="2"/>
  <c r="GP67" i="2"/>
  <c r="GP66" i="2"/>
  <c r="GP65" i="2"/>
  <c r="GP64" i="2"/>
  <c r="GP63" i="2"/>
  <c r="GP62" i="2"/>
  <c r="GP61" i="2"/>
  <c r="GP60" i="2"/>
  <c r="GP59" i="2"/>
  <c r="GP58" i="2"/>
  <c r="GP57" i="2"/>
  <c r="GP56" i="2"/>
  <c r="GP55" i="2"/>
  <c r="GP54" i="2"/>
  <c r="GP53" i="2"/>
  <c r="GP52" i="2"/>
  <c r="GP51" i="2"/>
  <c r="GP50" i="2"/>
  <c r="GP49" i="2"/>
  <c r="GP48" i="2"/>
  <c r="GP47" i="2"/>
  <c r="GP46" i="2"/>
  <c r="GP45" i="2"/>
  <c r="GP44" i="2"/>
  <c r="GP43" i="2"/>
  <c r="GP42" i="2"/>
  <c r="GP41" i="2"/>
  <c r="GP40" i="2"/>
  <c r="GP39" i="2"/>
  <c r="GP38" i="2"/>
  <c r="GP37" i="2"/>
  <c r="GP36" i="2"/>
  <c r="GP35" i="2"/>
  <c r="GP34" i="2"/>
  <c r="GP33" i="2"/>
  <c r="GP32" i="2"/>
  <c r="GP31" i="2"/>
  <c r="GP30" i="2"/>
  <c r="GP29" i="2"/>
  <c r="GP28" i="2"/>
  <c r="GP27" i="2"/>
  <c r="GP26" i="2"/>
  <c r="GP25" i="2"/>
  <c r="GP24" i="2"/>
  <c r="GP23" i="2"/>
  <c r="GP22" i="2"/>
  <c r="GP20" i="2"/>
  <c r="GP19" i="2"/>
  <c r="GP18" i="2"/>
  <c r="GP17" i="2"/>
  <c r="GP16" i="2"/>
  <c r="GP15" i="2"/>
  <c r="GP14" i="2"/>
  <c r="GP13" i="2"/>
  <c r="GP12" i="2"/>
  <c r="GP11" i="2"/>
  <c r="GP10" i="2"/>
  <c r="GP9" i="2"/>
  <c r="GP8" i="2"/>
  <c r="GP7" i="2"/>
  <c r="GP6" i="2"/>
  <c r="DV7" i="2"/>
  <c r="DV8" i="2"/>
  <c r="DV9" i="2"/>
  <c r="DV10" i="2"/>
  <c r="DV11" i="2"/>
  <c r="DV12" i="2"/>
  <c r="DV13" i="2"/>
  <c r="DV14" i="2"/>
  <c r="DV15" i="2"/>
  <c r="DV16" i="2"/>
  <c r="DV17" i="2"/>
  <c r="DV18" i="2"/>
  <c r="DV19" i="2"/>
  <c r="DV20" i="2"/>
  <c r="DV22" i="2"/>
  <c r="DV23" i="2"/>
  <c r="DV24" i="2"/>
  <c r="DV25" i="2"/>
  <c r="DV26" i="2"/>
  <c r="DV27" i="2"/>
  <c r="DV28" i="2"/>
  <c r="DV29" i="2"/>
  <c r="DV30" i="2"/>
  <c r="DV31" i="2"/>
  <c r="DV32" i="2"/>
  <c r="DV33" i="2"/>
  <c r="DV34" i="2"/>
  <c r="DV35" i="2"/>
  <c r="DV36" i="2"/>
  <c r="DV37" i="2"/>
  <c r="DV38" i="2"/>
  <c r="DV39" i="2"/>
  <c r="DV40" i="2"/>
  <c r="DV41" i="2"/>
  <c r="DV42" i="2"/>
  <c r="DV43" i="2"/>
  <c r="DV44" i="2"/>
  <c r="DV45" i="2"/>
  <c r="DV46" i="2"/>
  <c r="DV47" i="2"/>
  <c r="DV48" i="2"/>
  <c r="DV49" i="2"/>
  <c r="DV50" i="2"/>
  <c r="DV51" i="2"/>
  <c r="DV52" i="2"/>
  <c r="DV53" i="2"/>
  <c r="DV54" i="2"/>
  <c r="DV55" i="2"/>
  <c r="DV56" i="2"/>
  <c r="DV57" i="2"/>
  <c r="DV58" i="2"/>
  <c r="DV59" i="2"/>
  <c r="DV60" i="2"/>
  <c r="DV61" i="2"/>
  <c r="DV62" i="2"/>
  <c r="DV63" i="2"/>
  <c r="DV64" i="2"/>
  <c r="DV65" i="2"/>
  <c r="DV66" i="2"/>
  <c r="DV67" i="2"/>
  <c r="DV68" i="2"/>
  <c r="DV69" i="2"/>
  <c r="DV70" i="2"/>
  <c r="DV71" i="2"/>
  <c r="DV72" i="2"/>
  <c r="DV73" i="2"/>
  <c r="DV74" i="2"/>
  <c r="DV75" i="2"/>
  <c r="DV77" i="2"/>
  <c r="DV78" i="2"/>
  <c r="DV79" i="2"/>
  <c r="DV80" i="2"/>
  <c r="DV81" i="2"/>
  <c r="DV82" i="2"/>
  <c r="DV83" i="2"/>
  <c r="DV84" i="2"/>
  <c r="DV85" i="2"/>
  <c r="DV86" i="2"/>
  <c r="DV87" i="2"/>
  <c r="DV88" i="2"/>
  <c r="DV89" i="2"/>
  <c r="DV90" i="2"/>
  <c r="DV91" i="2"/>
  <c r="DV92" i="2"/>
  <c r="DV93" i="2"/>
  <c r="DV94" i="2"/>
  <c r="DV95" i="2"/>
  <c r="DV96" i="2"/>
  <c r="DV97" i="2"/>
  <c r="DV98" i="2"/>
  <c r="DV99" i="2"/>
  <c r="DV100" i="2"/>
  <c r="DV101" i="2"/>
  <c r="DV102" i="2"/>
  <c r="DV104" i="2"/>
  <c r="DV105" i="2"/>
  <c r="DV106" i="2"/>
  <c r="DV107" i="2"/>
  <c r="DV108" i="2"/>
  <c r="DV109" i="2"/>
  <c r="DV110" i="2"/>
  <c r="DV111" i="2"/>
  <c r="DV112" i="2"/>
  <c r="DV113" i="2"/>
  <c r="DV114" i="2"/>
  <c r="DV115" i="2"/>
  <c r="DV116" i="2"/>
  <c r="DV117" i="2"/>
  <c r="DV118" i="2"/>
  <c r="DV119" i="2"/>
  <c r="DV120" i="2"/>
  <c r="DV121" i="2"/>
  <c r="DV122" i="2"/>
  <c r="DV123" i="2"/>
  <c r="DV124" i="2"/>
  <c r="DV125" i="2"/>
  <c r="DV126" i="2"/>
  <c r="DV127" i="2"/>
  <c r="DV128" i="2"/>
  <c r="DV130" i="2"/>
  <c r="DV131" i="2"/>
  <c r="DV135" i="2"/>
  <c r="DV136" i="2"/>
  <c r="DV137" i="2"/>
  <c r="DV138" i="2"/>
  <c r="DV139" i="2"/>
  <c r="DV140" i="2"/>
  <c r="DV142" i="2"/>
  <c r="DV143" i="2"/>
  <c r="DV144" i="2"/>
  <c r="DV145" i="2"/>
  <c r="DV146" i="2"/>
  <c r="DV147" i="2"/>
  <c r="DV149" i="2"/>
  <c r="DV150" i="2"/>
  <c r="DV151" i="2"/>
  <c r="DV152" i="2"/>
  <c r="DV153" i="2"/>
  <c r="DV154" i="2"/>
  <c r="DV155" i="2"/>
  <c r="DV156" i="2"/>
  <c r="DV157" i="2"/>
  <c r="DV158" i="2"/>
  <c r="DV159" i="2"/>
  <c r="DV160" i="2"/>
  <c r="DV161" i="2"/>
  <c r="DV162" i="2"/>
  <c r="DV163" i="2"/>
  <c r="DV164" i="2"/>
  <c r="DV165" i="2"/>
  <c r="DV166" i="2"/>
  <c r="DV167" i="2"/>
  <c r="DV168" i="2"/>
  <c r="DV169" i="2"/>
  <c r="DV171" i="2"/>
  <c r="DV172" i="2"/>
  <c r="DV173" i="2"/>
  <c r="DV174" i="2"/>
  <c r="DV175" i="2"/>
  <c r="DV179" i="2"/>
  <c r="DV180" i="2"/>
  <c r="DV181" i="2"/>
  <c r="DV182" i="2"/>
  <c r="DV183" i="2"/>
  <c r="DV184" i="2"/>
  <c r="DV185" i="2"/>
  <c r="DV186" i="2"/>
  <c r="DV188" i="2"/>
  <c r="DV189" i="2"/>
  <c r="DV190" i="2"/>
  <c r="DV191" i="2"/>
  <c r="DV192" i="2"/>
  <c r="DV193" i="2"/>
  <c r="DV194" i="2"/>
  <c r="DV196" i="2"/>
  <c r="DV197" i="2"/>
  <c r="DV198" i="2"/>
  <c r="DV199" i="2"/>
  <c r="DV200" i="2"/>
  <c r="DV201" i="2"/>
  <c r="DV202" i="2"/>
  <c r="DV203" i="2"/>
  <c r="DV204" i="2"/>
  <c r="DV209" i="2"/>
  <c r="DV210" i="2"/>
  <c r="DV211" i="2"/>
  <c r="DV212" i="2"/>
  <c r="DV213" i="2"/>
  <c r="DV215" i="2"/>
  <c r="DV216" i="2"/>
  <c r="DV218" i="2"/>
  <c r="DV219" i="2"/>
  <c r="DV220" i="2"/>
  <c r="DV221" i="2"/>
  <c r="DV223" i="2"/>
  <c r="DV224" i="2"/>
  <c r="DV225" i="2"/>
  <c r="DV226" i="2"/>
  <c r="DV227" i="2"/>
  <c r="DV228" i="2"/>
  <c r="DV229" i="2"/>
  <c r="DV230" i="2"/>
  <c r="DV231" i="2"/>
  <c r="DV232" i="2"/>
  <c r="DV233" i="2"/>
  <c r="DV234" i="2"/>
  <c r="DV235" i="2"/>
  <c r="DV236" i="2"/>
  <c r="DV237" i="2"/>
  <c r="DV238" i="2"/>
  <c r="DV239" i="2"/>
  <c r="DV240" i="2"/>
  <c r="DV241" i="2"/>
  <c r="DV242" i="2"/>
  <c r="DV243" i="2"/>
  <c r="DV244" i="2"/>
  <c r="DV245" i="2"/>
  <c r="DV246" i="2"/>
  <c r="DV247" i="2"/>
  <c r="DV249" i="2"/>
  <c r="DV250" i="2"/>
  <c r="DV251" i="2"/>
  <c r="DV252" i="2"/>
  <c r="DV254" i="2"/>
  <c r="DV256" i="2"/>
  <c r="DV257" i="2"/>
  <c r="DV258" i="2"/>
  <c r="DV259" i="2"/>
  <c r="DV260" i="2"/>
  <c r="DV261" i="2"/>
  <c r="DV262" i="2"/>
  <c r="DV263" i="2"/>
  <c r="DV264" i="2"/>
  <c r="DV265" i="2"/>
  <c r="DV266" i="2"/>
  <c r="DV267" i="2"/>
  <c r="DV268" i="2"/>
  <c r="DV271" i="2"/>
  <c r="DV272" i="2"/>
  <c r="DV273" i="2"/>
  <c r="DV275" i="2"/>
  <c r="DV280" i="2"/>
  <c r="DV6" i="2"/>
  <c r="DN7" i="2"/>
  <c r="DN8" i="2"/>
  <c r="DN9" i="2"/>
  <c r="DN10" i="2"/>
  <c r="DN11" i="2"/>
  <c r="DN12" i="2"/>
  <c r="DN13" i="2"/>
  <c r="DN14" i="2"/>
  <c r="DN15" i="2"/>
  <c r="DN16" i="2"/>
  <c r="DN17" i="2"/>
  <c r="DN18" i="2"/>
  <c r="DN19" i="2"/>
  <c r="DN20" i="2"/>
  <c r="DN22" i="2"/>
  <c r="DN23" i="2"/>
  <c r="DN24" i="2"/>
  <c r="DN25" i="2"/>
  <c r="DN26" i="2"/>
  <c r="DN27" i="2"/>
  <c r="DN28" i="2"/>
  <c r="DN29" i="2"/>
  <c r="DN30" i="2"/>
  <c r="DN31" i="2"/>
  <c r="DN32" i="2"/>
  <c r="DN33" i="2"/>
  <c r="DN34" i="2"/>
  <c r="DN35" i="2"/>
  <c r="DN36" i="2"/>
  <c r="DN37" i="2"/>
  <c r="DN38" i="2"/>
  <c r="DN39" i="2"/>
  <c r="DN40" i="2"/>
  <c r="DN41" i="2"/>
  <c r="DN42" i="2"/>
  <c r="DN43" i="2"/>
  <c r="DN44" i="2"/>
  <c r="DN45" i="2"/>
  <c r="DN46" i="2"/>
  <c r="DN47" i="2"/>
  <c r="DN48" i="2"/>
  <c r="DN49" i="2"/>
  <c r="DN50" i="2"/>
  <c r="DN51" i="2"/>
  <c r="DN52" i="2"/>
  <c r="DN53" i="2"/>
  <c r="DN54" i="2"/>
  <c r="DN55" i="2"/>
  <c r="DN56" i="2"/>
  <c r="DN57" i="2"/>
  <c r="DN58" i="2"/>
  <c r="DN59" i="2"/>
  <c r="DN60" i="2"/>
  <c r="DN61" i="2"/>
  <c r="DN62" i="2"/>
  <c r="DN63" i="2"/>
  <c r="DN64" i="2"/>
  <c r="DN65" i="2"/>
  <c r="DN66" i="2"/>
  <c r="DN67" i="2"/>
  <c r="DN68" i="2"/>
  <c r="DN69" i="2"/>
  <c r="DN70" i="2"/>
  <c r="DN71" i="2"/>
  <c r="DN72" i="2"/>
  <c r="DN73" i="2"/>
  <c r="DN74" i="2"/>
  <c r="DN75" i="2"/>
  <c r="DN77" i="2"/>
  <c r="DN78" i="2"/>
  <c r="DN79" i="2"/>
  <c r="DN80" i="2"/>
  <c r="DN81" i="2"/>
  <c r="DN82" i="2"/>
  <c r="DN83" i="2"/>
  <c r="DN84" i="2"/>
  <c r="DN85" i="2"/>
  <c r="DN86" i="2"/>
  <c r="DN87" i="2"/>
  <c r="DN88" i="2"/>
  <c r="DN89" i="2"/>
  <c r="DN90" i="2"/>
  <c r="DN91" i="2"/>
  <c r="DN92" i="2"/>
  <c r="DN93" i="2"/>
  <c r="DN94" i="2"/>
  <c r="DN95" i="2"/>
  <c r="DN96" i="2"/>
  <c r="DN97" i="2"/>
  <c r="DN98" i="2"/>
  <c r="DN99" i="2"/>
  <c r="DN100" i="2"/>
  <c r="DN101" i="2"/>
  <c r="DN102" i="2"/>
  <c r="DN104" i="2"/>
  <c r="DN105" i="2"/>
  <c r="DN106" i="2"/>
  <c r="DN107" i="2"/>
  <c r="DN108" i="2"/>
  <c r="DN109" i="2"/>
  <c r="DN110" i="2"/>
  <c r="DN111" i="2"/>
  <c r="DN112" i="2"/>
  <c r="DN113" i="2"/>
  <c r="DN114" i="2"/>
  <c r="DN115" i="2"/>
  <c r="DN116" i="2"/>
  <c r="DN117" i="2"/>
  <c r="DN118" i="2"/>
  <c r="DN119" i="2"/>
  <c r="DN120" i="2"/>
  <c r="DN121" i="2"/>
  <c r="DN122" i="2"/>
  <c r="DN123" i="2"/>
  <c r="DN124" i="2"/>
  <c r="DN125" i="2"/>
  <c r="DN126" i="2"/>
  <c r="DN127" i="2"/>
  <c r="DN128" i="2"/>
  <c r="DN130" i="2"/>
  <c r="DN131" i="2"/>
  <c r="DN135" i="2"/>
  <c r="DN136" i="2"/>
  <c r="DN137" i="2"/>
  <c r="DN138" i="2"/>
  <c r="DN139" i="2"/>
  <c r="DN140" i="2"/>
  <c r="DN142" i="2"/>
  <c r="DN143" i="2"/>
  <c r="DN144" i="2"/>
  <c r="DN145" i="2"/>
  <c r="DN146" i="2"/>
  <c r="DN147" i="2"/>
  <c r="DN149" i="2"/>
  <c r="DN150" i="2"/>
  <c r="DN151" i="2"/>
  <c r="DN152" i="2"/>
  <c r="DN153" i="2"/>
  <c r="DN154" i="2"/>
  <c r="DN155" i="2"/>
  <c r="DN156" i="2"/>
  <c r="DN157" i="2"/>
  <c r="DN158" i="2"/>
  <c r="DN159" i="2"/>
  <c r="DN160" i="2"/>
  <c r="DN161" i="2"/>
  <c r="DN162" i="2"/>
  <c r="DN163" i="2"/>
  <c r="DN164" i="2"/>
  <c r="DN165" i="2"/>
  <c r="DN166" i="2"/>
  <c r="DN167" i="2"/>
  <c r="DN168" i="2"/>
  <c r="DN169" i="2"/>
  <c r="DN171" i="2"/>
  <c r="DN172" i="2"/>
  <c r="DN173" i="2"/>
  <c r="DN174" i="2"/>
  <c r="DN175" i="2"/>
  <c r="DN179" i="2"/>
  <c r="DN180" i="2"/>
  <c r="DN181" i="2"/>
  <c r="DN182" i="2"/>
  <c r="DN183" i="2"/>
  <c r="DN184" i="2"/>
  <c r="DN185" i="2"/>
  <c r="DN186" i="2"/>
  <c r="DN188" i="2"/>
  <c r="DN189" i="2"/>
  <c r="DN190" i="2"/>
  <c r="DN191" i="2"/>
  <c r="DN192" i="2"/>
  <c r="DN193" i="2"/>
  <c r="DN194" i="2"/>
  <c r="DN196" i="2"/>
  <c r="DN197" i="2"/>
  <c r="DN198" i="2"/>
  <c r="DN199" i="2"/>
  <c r="DN200" i="2"/>
  <c r="DN201" i="2"/>
  <c r="DN202" i="2"/>
  <c r="DN203" i="2"/>
  <c r="DN204" i="2"/>
  <c r="DN209" i="2"/>
  <c r="DN210" i="2"/>
  <c r="DN211" i="2"/>
  <c r="DN212" i="2"/>
  <c r="DN213" i="2"/>
  <c r="DN215" i="2"/>
  <c r="DN216" i="2"/>
  <c r="DN218" i="2"/>
  <c r="DN219" i="2"/>
  <c r="DN220" i="2"/>
  <c r="DN221" i="2"/>
  <c r="DN223" i="2"/>
  <c r="DN224" i="2"/>
  <c r="DN225" i="2"/>
  <c r="DN226" i="2"/>
  <c r="DN227" i="2"/>
  <c r="DN228" i="2"/>
  <c r="DN229" i="2"/>
  <c r="DN230" i="2"/>
  <c r="DN231" i="2"/>
  <c r="DN232" i="2"/>
  <c r="DN233" i="2"/>
  <c r="DN234" i="2"/>
  <c r="DN235" i="2"/>
  <c r="DN236" i="2"/>
  <c r="DN237" i="2"/>
  <c r="DN238" i="2"/>
  <c r="DN239" i="2"/>
  <c r="DN240" i="2"/>
  <c r="DN241" i="2"/>
  <c r="DN242" i="2"/>
  <c r="DN243" i="2"/>
  <c r="DN244" i="2"/>
  <c r="DN245" i="2"/>
  <c r="DN246" i="2"/>
  <c r="DN247" i="2"/>
  <c r="DN249" i="2"/>
  <c r="DN250" i="2"/>
  <c r="DN251" i="2"/>
  <c r="DN252" i="2"/>
  <c r="DN254" i="2"/>
  <c r="DN256" i="2"/>
  <c r="DN257" i="2"/>
  <c r="DN258" i="2"/>
  <c r="DN259" i="2"/>
  <c r="DN260" i="2"/>
  <c r="DN261" i="2"/>
  <c r="DN262" i="2"/>
  <c r="DN263" i="2"/>
  <c r="DN264" i="2"/>
  <c r="DN265" i="2"/>
  <c r="DN266" i="2"/>
  <c r="DN267" i="2"/>
  <c r="DN268" i="2"/>
  <c r="DN271" i="2"/>
  <c r="DN272" i="2"/>
  <c r="DN273" i="2"/>
  <c r="DN275" i="2"/>
  <c r="DN280" i="2"/>
  <c r="DN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122" i="2"/>
  <c r="BB123" i="2"/>
  <c r="BB124" i="2"/>
  <c r="BB125" i="2"/>
  <c r="BB126" i="2"/>
  <c r="BB127" i="2"/>
  <c r="BB128" i="2"/>
  <c r="BB130" i="2"/>
  <c r="BB131" i="2"/>
  <c r="BB135" i="2"/>
  <c r="BB136" i="2"/>
  <c r="BB137" i="2"/>
  <c r="BB138" i="2"/>
  <c r="BB139" i="2"/>
  <c r="BB140" i="2"/>
  <c r="BB142" i="2"/>
  <c r="BB143" i="2"/>
  <c r="BB144" i="2"/>
  <c r="BB145" i="2"/>
  <c r="BB146" i="2"/>
  <c r="BB147" i="2"/>
  <c r="BB149" i="2"/>
  <c r="BB150" i="2"/>
  <c r="BB151" i="2"/>
  <c r="BB152" i="2"/>
  <c r="BB153" i="2"/>
  <c r="BB154" i="2"/>
  <c r="BB155" i="2"/>
  <c r="BB156" i="2"/>
  <c r="BB157" i="2"/>
  <c r="BB158" i="2"/>
  <c r="BB159" i="2"/>
  <c r="BB160" i="2"/>
  <c r="BB161" i="2"/>
  <c r="BB162" i="2"/>
  <c r="BB163" i="2"/>
  <c r="BB164" i="2"/>
  <c r="BB165" i="2"/>
  <c r="BB166" i="2"/>
  <c r="BB167" i="2"/>
  <c r="BB168" i="2"/>
  <c r="BB169" i="2"/>
  <c r="BB171" i="2"/>
  <c r="BB172" i="2"/>
  <c r="BB173" i="2"/>
  <c r="BB174" i="2"/>
  <c r="BB175" i="2"/>
  <c r="BB179" i="2"/>
  <c r="BB180" i="2"/>
  <c r="BB181" i="2"/>
  <c r="BB182" i="2"/>
  <c r="BB183" i="2"/>
  <c r="BB184" i="2"/>
  <c r="BB185" i="2"/>
  <c r="BB186" i="2"/>
  <c r="BB188" i="2"/>
  <c r="BB189" i="2"/>
  <c r="BB190" i="2"/>
  <c r="BB191" i="2"/>
  <c r="BB192" i="2"/>
  <c r="BB193" i="2"/>
  <c r="BB194" i="2"/>
  <c r="BB196" i="2"/>
  <c r="BB197" i="2"/>
  <c r="BB198" i="2"/>
  <c r="BB199" i="2"/>
  <c r="BB200" i="2"/>
  <c r="BB201" i="2"/>
  <c r="BB202" i="2"/>
  <c r="BB203" i="2"/>
  <c r="BB204" i="2"/>
  <c r="BB209" i="2"/>
  <c r="BB210" i="2"/>
  <c r="BB211" i="2"/>
  <c r="BB212" i="2"/>
  <c r="BB213" i="2"/>
  <c r="BB215" i="2"/>
  <c r="BB216" i="2"/>
  <c r="BB218" i="2"/>
  <c r="BB219" i="2"/>
  <c r="BB220" i="2"/>
  <c r="BB221" i="2"/>
  <c r="BB223" i="2"/>
  <c r="BB224" i="2"/>
  <c r="BB225" i="2"/>
  <c r="BB226" i="2"/>
  <c r="BB227" i="2"/>
  <c r="BB228" i="2"/>
  <c r="BB229" i="2"/>
  <c r="BB230" i="2"/>
  <c r="BB231" i="2"/>
  <c r="BB232" i="2"/>
  <c r="BB233" i="2"/>
  <c r="BB234" i="2"/>
  <c r="BB235" i="2"/>
  <c r="BB236" i="2"/>
  <c r="BB237" i="2"/>
  <c r="BB238" i="2"/>
  <c r="BB239" i="2"/>
  <c r="BB240" i="2"/>
  <c r="BB241" i="2"/>
  <c r="BB242" i="2"/>
  <c r="BB243" i="2"/>
  <c r="BB244" i="2"/>
  <c r="BB245" i="2"/>
  <c r="BB246" i="2"/>
  <c r="BB247" i="2"/>
  <c r="BB249" i="2"/>
  <c r="BB250" i="2"/>
  <c r="BB251" i="2"/>
  <c r="BB252" i="2"/>
  <c r="BB254" i="2"/>
  <c r="BB256" i="2"/>
  <c r="BB257" i="2"/>
  <c r="BB258" i="2"/>
  <c r="BB259" i="2"/>
  <c r="BB260" i="2"/>
  <c r="BB261" i="2"/>
  <c r="BB262" i="2"/>
  <c r="BB263" i="2"/>
  <c r="BB264" i="2"/>
  <c r="BB265" i="2"/>
  <c r="BB266" i="2"/>
  <c r="BB267" i="2"/>
  <c r="BB268" i="2"/>
  <c r="BB271" i="2"/>
  <c r="BB272" i="2"/>
  <c r="BB273" i="2"/>
  <c r="BB275" i="2"/>
  <c r="BB280" i="2"/>
  <c r="BB6" i="2"/>
  <c r="HA245" i="2"/>
  <c r="GY245" i="2"/>
  <c r="GX245" i="2"/>
  <c r="GO245" i="2"/>
  <c r="GN245" i="2"/>
  <c r="GM245" i="2"/>
  <c r="GE245" i="2"/>
  <c r="GD245" i="2"/>
  <c r="FZ245" i="2"/>
  <c r="FY245" i="2"/>
  <c r="FX245" i="2"/>
  <c r="FW245" i="2"/>
  <c r="FP245" i="2"/>
  <c r="FH245" i="2"/>
  <c r="FE245" i="2"/>
  <c r="FD245" i="2"/>
  <c r="FC245" i="2"/>
  <c r="EF245" i="2"/>
  <c r="EE245" i="2"/>
  <c r="DU245" i="2"/>
  <c r="DQ245" i="2"/>
  <c r="DP245" i="2"/>
  <c r="DM245" i="2"/>
  <c r="DK245" i="2"/>
  <c r="DJ245" i="2"/>
  <c r="DG245" i="2"/>
  <c r="DF245" i="2"/>
  <c r="DE245" i="2"/>
  <c r="DD245" i="2"/>
  <c r="CY245" i="2"/>
  <c r="CW245" i="2"/>
  <c r="CV245" i="2"/>
  <c r="CU245" i="2"/>
  <c r="CT245" i="2"/>
  <c r="CS245" i="2"/>
  <c r="CM245" i="2"/>
  <c r="CH245" i="2"/>
  <c r="CG245" i="2"/>
  <c r="CE245" i="2"/>
  <c r="CF245" i="2" s="1"/>
  <c r="BX245" i="2"/>
  <c r="BW245" i="2"/>
  <c r="BV245" i="2"/>
  <c r="BU245" i="2"/>
  <c r="BT245" i="2"/>
  <c r="BR245" i="2"/>
  <c r="BQ245" i="2"/>
  <c r="BP245" i="2"/>
  <c r="BK245" i="2"/>
  <c r="BJ245" i="2"/>
  <c r="BI245" i="2"/>
  <c r="BD245" i="2"/>
  <c r="BA245" i="2"/>
  <c r="AZ245" i="2"/>
  <c r="AY245" i="2"/>
  <c r="AX245" i="2"/>
  <c r="AW245" i="2"/>
  <c r="AV245" i="2"/>
  <c r="AR245" i="2"/>
  <c r="AQ245" i="2"/>
  <c r="AP245" i="2"/>
  <c r="AO245" i="2"/>
  <c r="BH245" i="2" s="1"/>
  <c r="AJ245" i="2"/>
  <c r="AC245" i="2"/>
  <c r="AB245" i="2"/>
  <c r="Z245" i="2"/>
  <c r="V245" i="2"/>
  <c r="U245" i="2"/>
  <c r="T245" i="2"/>
  <c r="S245" i="2"/>
  <c r="R245" i="2"/>
  <c r="Q245" i="2"/>
  <c r="P245" i="2"/>
  <c r="O245" i="2"/>
  <c r="N245" i="2"/>
  <c r="M245" i="2"/>
  <c r="K245" i="2"/>
  <c r="J245" i="2"/>
  <c r="I245" i="2"/>
  <c r="G245" i="2"/>
  <c r="F245" i="2"/>
  <c r="E245" i="2"/>
  <c r="D245" i="2"/>
  <c r="HA211" i="2"/>
  <c r="GY211" i="2"/>
  <c r="GX211" i="2"/>
  <c r="GO211" i="2"/>
  <c r="GN211" i="2"/>
  <c r="GM211" i="2"/>
  <c r="GE211" i="2"/>
  <c r="GD211" i="2"/>
  <c r="FZ211" i="2"/>
  <c r="FY211" i="2"/>
  <c r="FX211" i="2"/>
  <c r="FW211" i="2"/>
  <c r="FP211" i="2"/>
  <c r="FH211" i="2"/>
  <c r="FE211" i="2"/>
  <c r="FD211" i="2"/>
  <c r="FC211" i="2"/>
  <c r="EF211" i="2"/>
  <c r="EE211" i="2"/>
  <c r="DU211" i="2"/>
  <c r="DQ211" i="2"/>
  <c r="DP211" i="2"/>
  <c r="DM211" i="2"/>
  <c r="DK211" i="2"/>
  <c r="DJ211" i="2"/>
  <c r="DG211" i="2"/>
  <c r="DF211" i="2"/>
  <c r="DE211" i="2"/>
  <c r="DD211" i="2"/>
  <c r="CY211" i="2"/>
  <c r="CW211" i="2"/>
  <c r="CV211" i="2"/>
  <c r="CU211" i="2"/>
  <c r="CT211" i="2"/>
  <c r="CS211" i="2"/>
  <c r="CM211" i="2"/>
  <c r="CH211" i="2"/>
  <c r="CG211" i="2"/>
  <c r="CE211" i="2"/>
  <c r="CF211" i="2" s="1"/>
  <c r="BX211" i="2"/>
  <c r="BW211" i="2"/>
  <c r="BV211" i="2"/>
  <c r="BU211" i="2"/>
  <c r="BT211" i="2"/>
  <c r="BR211" i="2"/>
  <c r="BQ211" i="2"/>
  <c r="BP211" i="2"/>
  <c r="BK211" i="2"/>
  <c r="BJ211" i="2"/>
  <c r="BI211" i="2"/>
  <c r="BD211" i="2"/>
  <c r="BA211" i="2"/>
  <c r="AZ211" i="2"/>
  <c r="AY211" i="2"/>
  <c r="AX211" i="2"/>
  <c r="AW211" i="2"/>
  <c r="AV211" i="2"/>
  <c r="AR211" i="2"/>
  <c r="AQ211" i="2"/>
  <c r="AP211" i="2"/>
  <c r="AO211" i="2"/>
  <c r="BH211" i="2" s="1"/>
  <c r="AJ211" i="2"/>
  <c r="AC211" i="2"/>
  <c r="AB211" i="2"/>
  <c r="Z211" i="2"/>
  <c r="V211" i="2"/>
  <c r="U211" i="2"/>
  <c r="T211" i="2"/>
  <c r="S211" i="2"/>
  <c r="R211" i="2"/>
  <c r="Q211" i="2"/>
  <c r="P211" i="2"/>
  <c r="O211" i="2"/>
  <c r="N211" i="2"/>
  <c r="M211" i="2"/>
  <c r="K211" i="2"/>
  <c r="J211" i="2"/>
  <c r="I211" i="2"/>
  <c r="G211" i="2"/>
  <c r="F211" i="2"/>
  <c r="E211" i="2"/>
  <c r="D211" i="2"/>
  <c r="HA201" i="2"/>
  <c r="GY201" i="2"/>
  <c r="GX201" i="2"/>
  <c r="GO201" i="2"/>
  <c r="GN201" i="2"/>
  <c r="GM201" i="2"/>
  <c r="GE201" i="2"/>
  <c r="GD201" i="2"/>
  <c r="FZ201" i="2"/>
  <c r="FY201" i="2"/>
  <c r="FX201" i="2"/>
  <c r="FW201" i="2"/>
  <c r="FP201" i="2"/>
  <c r="FH201" i="2"/>
  <c r="FE201" i="2"/>
  <c r="FD201" i="2"/>
  <c r="FC201" i="2"/>
  <c r="EF201" i="2"/>
  <c r="EE201" i="2"/>
  <c r="DU201" i="2"/>
  <c r="DQ201" i="2"/>
  <c r="DP201" i="2"/>
  <c r="DM201" i="2"/>
  <c r="DK201" i="2"/>
  <c r="DJ201" i="2"/>
  <c r="DG201" i="2"/>
  <c r="DF201" i="2"/>
  <c r="DE201" i="2"/>
  <c r="DD201" i="2"/>
  <c r="CY201" i="2"/>
  <c r="CW201" i="2"/>
  <c r="CV201" i="2"/>
  <c r="CU201" i="2"/>
  <c r="CT201" i="2"/>
  <c r="CS201" i="2"/>
  <c r="CM201" i="2"/>
  <c r="CH201" i="2"/>
  <c r="CG201" i="2"/>
  <c r="CE201" i="2"/>
  <c r="CF201" i="2" s="1"/>
  <c r="BX201" i="2"/>
  <c r="BW201" i="2"/>
  <c r="BV201" i="2"/>
  <c r="BU201" i="2"/>
  <c r="BT201" i="2"/>
  <c r="BR201" i="2"/>
  <c r="BQ201" i="2"/>
  <c r="BP201" i="2"/>
  <c r="BK201" i="2"/>
  <c r="BJ201" i="2"/>
  <c r="BI201" i="2"/>
  <c r="BD201" i="2"/>
  <c r="BA201" i="2"/>
  <c r="AZ201" i="2"/>
  <c r="AY201" i="2"/>
  <c r="AX201" i="2"/>
  <c r="AW201" i="2"/>
  <c r="AV201" i="2"/>
  <c r="AR201" i="2"/>
  <c r="AQ201" i="2"/>
  <c r="AP201" i="2"/>
  <c r="AO201" i="2"/>
  <c r="BH201" i="2" s="1"/>
  <c r="AJ201" i="2"/>
  <c r="AC201" i="2"/>
  <c r="AB201" i="2"/>
  <c r="Z201" i="2"/>
  <c r="V201" i="2"/>
  <c r="W201" i="2" s="1"/>
  <c r="U201" i="2"/>
  <c r="T201" i="2"/>
  <c r="S201" i="2"/>
  <c r="R201" i="2"/>
  <c r="Q201" i="2"/>
  <c r="P201" i="2"/>
  <c r="O201" i="2"/>
  <c r="N201" i="2"/>
  <c r="M201" i="2"/>
  <c r="K201" i="2"/>
  <c r="J201" i="2"/>
  <c r="I201" i="2"/>
  <c r="G201" i="2"/>
  <c r="F201" i="2"/>
  <c r="E201" i="2"/>
  <c r="D201" i="2"/>
  <c r="HA181" i="2"/>
  <c r="GY181" i="2"/>
  <c r="GX181" i="2"/>
  <c r="GO181" i="2"/>
  <c r="GN181" i="2"/>
  <c r="GM181" i="2"/>
  <c r="GE181" i="2"/>
  <c r="GD181" i="2"/>
  <c r="FZ181" i="2"/>
  <c r="FY181" i="2"/>
  <c r="FX181" i="2"/>
  <c r="FW181" i="2"/>
  <c r="FP181" i="2"/>
  <c r="FH181" i="2"/>
  <c r="FE181" i="2"/>
  <c r="FD181" i="2"/>
  <c r="FC181" i="2"/>
  <c r="EF181" i="2"/>
  <c r="EE181" i="2"/>
  <c r="DU181" i="2"/>
  <c r="DQ181" i="2"/>
  <c r="DP181" i="2"/>
  <c r="DM181" i="2"/>
  <c r="DK181" i="2"/>
  <c r="DJ181" i="2"/>
  <c r="DG181" i="2"/>
  <c r="DF181" i="2"/>
  <c r="DE181" i="2"/>
  <c r="DD181" i="2"/>
  <c r="CY181" i="2"/>
  <c r="CW181" i="2"/>
  <c r="CV181" i="2"/>
  <c r="CU181" i="2"/>
  <c r="CT181" i="2"/>
  <c r="CS181" i="2"/>
  <c r="CM181" i="2"/>
  <c r="CH181" i="2"/>
  <c r="CG181" i="2"/>
  <c r="CE181" i="2"/>
  <c r="CF181" i="2" s="1"/>
  <c r="BX181" i="2"/>
  <c r="BW181" i="2"/>
  <c r="BV181" i="2"/>
  <c r="BU181" i="2"/>
  <c r="BT181" i="2"/>
  <c r="BR181" i="2"/>
  <c r="BQ181" i="2"/>
  <c r="BP181" i="2"/>
  <c r="BK181" i="2"/>
  <c r="BJ181" i="2"/>
  <c r="BI181" i="2"/>
  <c r="BD181" i="2"/>
  <c r="BA181" i="2"/>
  <c r="AZ181" i="2"/>
  <c r="AY181" i="2"/>
  <c r="AX181" i="2"/>
  <c r="AW181" i="2"/>
  <c r="AV181" i="2"/>
  <c r="AR181" i="2"/>
  <c r="AQ181" i="2"/>
  <c r="AP181" i="2"/>
  <c r="AO181" i="2"/>
  <c r="BH181" i="2" s="1"/>
  <c r="AJ181" i="2"/>
  <c r="AC181" i="2"/>
  <c r="AB181" i="2"/>
  <c r="Z181" i="2"/>
  <c r="V181" i="2"/>
  <c r="W181" i="2" s="1"/>
  <c r="U181" i="2"/>
  <c r="T181" i="2"/>
  <c r="S181" i="2"/>
  <c r="R181" i="2"/>
  <c r="Q181" i="2"/>
  <c r="P181" i="2"/>
  <c r="O181" i="2"/>
  <c r="N181" i="2"/>
  <c r="M181" i="2"/>
  <c r="K181" i="2"/>
  <c r="J181" i="2"/>
  <c r="I181" i="2"/>
  <c r="G181" i="2"/>
  <c r="F181" i="2"/>
  <c r="E181" i="2"/>
  <c r="D181" i="2"/>
  <c r="HA112" i="2"/>
  <c r="GY112" i="2"/>
  <c r="GX112" i="2"/>
  <c r="GO112" i="2"/>
  <c r="GN112" i="2"/>
  <c r="GM112" i="2"/>
  <c r="GE112" i="2"/>
  <c r="GD112" i="2"/>
  <c r="FZ112" i="2"/>
  <c r="FY112" i="2"/>
  <c r="FX112" i="2"/>
  <c r="FW112" i="2"/>
  <c r="FP112" i="2"/>
  <c r="FH112" i="2"/>
  <c r="FE112" i="2"/>
  <c r="FD112" i="2"/>
  <c r="FC112" i="2"/>
  <c r="EF112" i="2"/>
  <c r="EE112" i="2"/>
  <c r="DU112" i="2"/>
  <c r="DQ112" i="2"/>
  <c r="DP112" i="2"/>
  <c r="DM112" i="2"/>
  <c r="DK112" i="2"/>
  <c r="DJ112" i="2"/>
  <c r="DG112" i="2"/>
  <c r="DF112" i="2"/>
  <c r="DE112" i="2"/>
  <c r="DD112" i="2"/>
  <c r="CY112" i="2"/>
  <c r="CW112" i="2"/>
  <c r="CV112" i="2"/>
  <c r="CU112" i="2"/>
  <c r="CT112" i="2"/>
  <c r="CS112" i="2"/>
  <c r="CM112" i="2"/>
  <c r="CH112" i="2"/>
  <c r="CG112" i="2"/>
  <c r="CE112" i="2"/>
  <c r="CF112" i="2" s="1"/>
  <c r="BX112" i="2"/>
  <c r="BW112" i="2"/>
  <c r="BV112" i="2"/>
  <c r="BU112" i="2"/>
  <c r="BT112" i="2"/>
  <c r="BR112" i="2"/>
  <c r="BQ112" i="2"/>
  <c r="BP112" i="2"/>
  <c r="BK112" i="2"/>
  <c r="BJ112" i="2"/>
  <c r="BI112" i="2"/>
  <c r="BD112" i="2"/>
  <c r="BA112" i="2"/>
  <c r="AZ112" i="2"/>
  <c r="AY112" i="2"/>
  <c r="AX112" i="2"/>
  <c r="AW112" i="2"/>
  <c r="AV112" i="2"/>
  <c r="AR112" i="2"/>
  <c r="AQ112" i="2"/>
  <c r="AP112" i="2"/>
  <c r="AO112" i="2"/>
  <c r="BH112" i="2" s="1"/>
  <c r="AJ112" i="2"/>
  <c r="AC112" i="2"/>
  <c r="AB112" i="2"/>
  <c r="Z112" i="2"/>
  <c r="V112" i="2"/>
  <c r="U112" i="2"/>
  <c r="T112" i="2"/>
  <c r="S112" i="2"/>
  <c r="R112" i="2"/>
  <c r="Q112" i="2"/>
  <c r="P112" i="2"/>
  <c r="O112" i="2"/>
  <c r="N112" i="2"/>
  <c r="M112" i="2"/>
  <c r="K112" i="2"/>
  <c r="J112" i="2"/>
  <c r="I112" i="2"/>
  <c r="G112" i="2"/>
  <c r="F112" i="2"/>
  <c r="E112" i="2"/>
  <c r="D112" i="2"/>
  <c r="BB281" i="2" l="1"/>
  <c r="BB283" i="2" s="1"/>
  <c r="GQ281" i="2"/>
  <c r="DN281" i="2"/>
  <c r="GP281" i="2"/>
  <c r="GP283" i="2" s="1"/>
  <c r="EY176" i="2"/>
  <c r="EZ176" i="2" s="1"/>
  <c r="FA176" i="2" s="1"/>
  <c r="EW201" i="2"/>
  <c r="GP310" i="2"/>
  <c r="DN310" i="2"/>
  <c r="BB310" i="2"/>
  <c r="GQ310" i="2"/>
  <c r="EW245" i="2"/>
  <c r="EZ277" i="2"/>
  <c r="FA277" i="2" s="1"/>
  <c r="EW112" i="2"/>
  <c r="EZ276" i="2"/>
  <c r="FA276" i="2" s="1"/>
  <c r="EZ248" i="2"/>
  <c r="FA248" i="2" s="1"/>
  <c r="EZ177" i="2"/>
  <c r="FA177" i="2" s="1"/>
  <c r="EW181" i="2"/>
  <c r="EW211" i="2"/>
  <c r="CL245" i="2"/>
  <c r="GR245" i="2"/>
  <c r="DL245" i="2"/>
  <c r="X245" i="2"/>
  <c r="GR211" i="2"/>
  <c r="AE245" i="2"/>
  <c r="EX245" i="2"/>
  <c r="DH245" i="2"/>
  <c r="EY245" i="2" s="1"/>
  <c r="CX245" i="2"/>
  <c r="DA245" i="2" s="1"/>
  <c r="FG245" i="2"/>
  <c r="HB245" i="2"/>
  <c r="AN245" i="2"/>
  <c r="DL201" i="2"/>
  <c r="EX211" i="2"/>
  <c r="DH211" i="2"/>
  <c r="EY211" i="2" s="1"/>
  <c r="AE211" i="2"/>
  <c r="CX211" i="2"/>
  <c r="DA211" i="2" s="1"/>
  <c r="DL211" i="2"/>
  <c r="FG211" i="2"/>
  <c r="X211" i="2"/>
  <c r="HB211" i="2"/>
  <c r="CL211" i="2"/>
  <c r="AN211" i="2"/>
  <c r="FG201" i="2"/>
  <c r="HB201" i="2"/>
  <c r="CL201" i="2"/>
  <c r="GR201" i="2"/>
  <c r="HB181" i="2"/>
  <c r="CX201" i="2"/>
  <c r="DA201" i="2" s="1"/>
  <c r="DH201" i="2"/>
  <c r="EY201" i="2" s="1"/>
  <c r="EX201" i="2"/>
  <c r="X201" i="2"/>
  <c r="AE201" i="2"/>
  <c r="AN201" i="2"/>
  <c r="GR112" i="2"/>
  <c r="EX181" i="2"/>
  <c r="DL112" i="2"/>
  <c r="FG112" i="2"/>
  <c r="HB112" i="2"/>
  <c r="CL181" i="2"/>
  <c r="GR181" i="2"/>
  <c r="AE181" i="2"/>
  <c r="DH181" i="2"/>
  <c r="EY181" i="2" s="1"/>
  <c r="CX181" i="2"/>
  <c r="DA181" i="2" s="1"/>
  <c r="DL181" i="2"/>
  <c r="FG181" i="2"/>
  <c r="AN181" i="2"/>
  <c r="X181" i="2"/>
  <c r="AE112" i="2"/>
  <c r="EX112" i="2"/>
  <c r="AN112" i="2"/>
  <c r="CL112" i="2"/>
  <c r="DH112" i="2"/>
  <c r="EY112" i="2" s="1"/>
  <c r="X112" i="2"/>
  <c r="CX112" i="2"/>
  <c r="DA112" i="2" s="1"/>
  <c r="FC263" i="2"/>
  <c r="DD263" i="2"/>
  <c r="HC283" i="2"/>
  <c r="HB283" i="2"/>
  <c r="GW283" i="2"/>
  <c r="GV283" i="2"/>
  <c r="GU283" i="2"/>
  <c r="GT283" i="2"/>
  <c r="GS283" i="2"/>
  <c r="GR283" i="2"/>
  <c r="GG283" i="2"/>
  <c r="GF283" i="2"/>
  <c r="GC283" i="2"/>
  <c r="GB283" i="2"/>
  <c r="GA283" i="2"/>
  <c r="FU283" i="2"/>
  <c r="FT283" i="2"/>
  <c r="FS283" i="2"/>
  <c r="FO283" i="2"/>
  <c r="FN283" i="2"/>
  <c r="FM283" i="2"/>
  <c r="FJ283" i="2"/>
  <c r="FI283" i="2"/>
  <c r="FG283" i="2"/>
  <c r="FF283" i="2"/>
  <c r="FB283" i="2"/>
  <c r="FA283" i="2"/>
  <c r="EZ283" i="2"/>
  <c r="EY283" i="2"/>
  <c r="EX283" i="2"/>
  <c r="EW283" i="2"/>
  <c r="ED283" i="2"/>
  <c r="EC283" i="2"/>
  <c r="EB283" i="2"/>
  <c r="EA283" i="2"/>
  <c r="DZ283" i="2"/>
  <c r="DY283" i="2"/>
  <c r="DX283" i="2"/>
  <c r="DW283" i="2"/>
  <c r="DV283" i="2"/>
  <c r="DL283" i="2"/>
  <c r="DI283" i="2"/>
  <c r="DH283" i="2"/>
  <c r="DG283" i="2"/>
  <c r="DF283" i="2"/>
  <c r="DC283" i="2"/>
  <c r="DB283" i="2"/>
  <c r="DA283" i="2"/>
  <c r="CX283" i="2"/>
  <c r="CR283" i="2"/>
  <c r="CQ283" i="2"/>
  <c r="CP283" i="2"/>
  <c r="CO283" i="2"/>
  <c r="CN283" i="2"/>
  <c r="CK283" i="2"/>
  <c r="CJ283" i="2"/>
  <c r="CI283" i="2"/>
  <c r="CD283" i="2"/>
  <c r="CC283" i="2"/>
  <c r="CB283" i="2"/>
  <c r="BN283" i="2"/>
  <c r="BM283" i="2"/>
  <c r="BL283" i="2"/>
  <c r="BG283" i="2"/>
  <c r="BF283" i="2"/>
  <c r="BE283" i="2"/>
  <c r="AU283" i="2"/>
  <c r="AT283" i="2"/>
  <c r="AS283" i="2"/>
  <c r="AM283" i="2"/>
  <c r="AL283" i="2"/>
  <c r="AK283" i="2"/>
  <c r="AG283" i="2"/>
  <c r="AF283" i="2"/>
  <c r="AE283" i="2"/>
  <c r="AD283" i="2"/>
  <c r="Y283" i="2"/>
  <c r="EZ112" i="2" l="1"/>
  <c r="FA112" i="2" s="1"/>
  <c r="EZ201" i="2"/>
  <c r="FA201" i="2" s="1"/>
  <c r="EZ245" i="2"/>
  <c r="FA245" i="2" s="1"/>
  <c r="EZ211" i="2"/>
  <c r="FA211" i="2" s="1"/>
  <c r="EZ181" i="2"/>
  <c r="FA181" i="2" s="1"/>
  <c r="I142" i="11"/>
  <c r="I143" i="11" s="1"/>
  <c r="I146" i="11" s="1"/>
  <c r="D142" i="11" l="1"/>
  <c r="D143" i="11" s="1"/>
  <c r="D146" i="11" s="1"/>
  <c r="L28" i="8"/>
  <c r="L23" i="8"/>
  <c r="L22" i="8"/>
  <c r="K22" i="8"/>
  <c r="L21" i="8"/>
  <c r="K21" i="8"/>
  <c r="L18" i="8"/>
  <c r="K18" i="8"/>
  <c r="L17" i="8"/>
  <c r="L16" i="8"/>
  <c r="K16" i="8"/>
  <c r="L11" i="8"/>
  <c r="L13" i="8"/>
  <c r="L12" i="8"/>
  <c r="L14" i="8"/>
  <c r="L8" i="8"/>
  <c r="FC264" i="2"/>
  <c r="FF264" i="2" s="1"/>
  <c r="GX247" i="2"/>
  <c r="G406" i="2" l="1"/>
  <c r="F405" i="2"/>
  <c r="H405" i="2" s="1"/>
  <c r="H404" i="2"/>
  <c r="F404" i="2"/>
  <c r="E404" i="2"/>
  <c r="E406" i="2" s="1"/>
  <c r="H383" i="2"/>
  <c r="G386" i="2"/>
  <c r="E386" i="2"/>
  <c r="F406" i="2" l="1"/>
  <c r="H406" i="2"/>
  <c r="AH27" i="6"/>
  <c r="AG27" i="6" l="1"/>
  <c r="I107" i="11"/>
  <c r="H136" i="11"/>
  <c r="C136" i="11"/>
  <c r="AC20" i="6" l="1"/>
  <c r="L20" i="12"/>
  <c r="L21" i="12" s="1"/>
  <c r="L22" i="12" s="1"/>
  <c r="L23" i="12" s="1"/>
  <c r="L24" i="12" s="1"/>
  <c r="L25" i="12" s="1"/>
  <c r="L26" i="12" s="1"/>
  <c r="L27" i="12" s="1"/>
  <c r="L28" i="12" s="1"/>
  <c r="L41" i="12"/>
  <c r="L42" i="12" s="1"/>
  <c r="L43" i="12" s="1"/>
  <c r="L44" i="12" s="1"/>
  <c r="L45" i="12" s="1"/>
  <c r="L46" i="12" s="1"/>
  <c r="L47" i="12" s="1"/>
  <c r="L48" i="12" s="1"/>
  <c r="L49" i="12" s="1"/>
  <c r="C114" i="11" l="1"/>
  <c r="K39" i="12"/>
  <c r="K74" i="12" l="1"/>
  <c r="AE7" i="6"/>
  <c r="AC7" i="6"/>
  <c r="AE6" i="6"/>
  <c r="AE5" i="6"/>
  <c r="AE4" i="6"/>
  <c r="AC4" i="6"/>
  <c r="AE3" i="6"/>
  <c r="AC2" i="6"/>
  <c r="K111" i="12" l="1"/>
  <c r="AE2" i="6"/>
  <c r="K78" i="12"/>
  <c r="AE29" i="6"/>
  <c r="N31" i="9" l="1"/>
  <c r="D5" i="15"/>
  <c r="G36" i="11" l="1"/>
  <c r="G37" i="11" s="1"/>
  <c r="G40" i="11" s="1"/>
  <c r="F36" i="11"/>
  <c r="T20" i="6" s="1"/>
  <c r="M32" i="9"/>
  <c r="M37" i="9" s="1"/>
  <c r="K85" i="12" l="1"/>
  <c r="K87" i="12" s="1"/>
  <c r="F37" i="11"/>
  <c r="F40" i="11" s="1"/>
  <c r="N30" i="9"/>
  <c r="N32" i="9" s="1"/>
  <c r="O32" i="9"/>
  <c r="O37" i="9" l="1"/>
  <c r="N37" i="9"/>
  <c r="AE20" i="6"/>
  <c r="Y315" i="2"/>
  <c r="X315" i="2"/>
  <c r="W315" i="2"/>
  <c r="D39" i="9" l="1"/>
  <c r="D38" i="9"/>
  <c r="GK283" i="2"/>
  <c r="GO280" i="2"/>
  <c r="GO275" i="2"/>
  <c r="GO273" i="2"/>
  <c r="GO272" i="2"/>
  <c r="GO271" i="2"/>
  <c r="GO268" i="2"/>
  <c r="GO267" i="2"/>
  <c r="GO266" i="2"/>
  <c r="GO265" i="2"/>
  <c r="GO264" i="2"/>
  <c r="GO263" i="2"/>
  <c r="GO262" i="2"/>
  <c r="GO261" i="2"/>
  <c r="GO260" i="2"/>
  <c r="GO259" i="2"/>
  <c r="GO258" i="2"/>
  <c r="GO257" i="2"/>
  <c r="GO256" i="2"/>
  <c r="GO254" i="2"/>
  <c r="GO252" i="2"/>
  <c r="GO251" i="2"/>
  <c r="GO250" i="2"/>
  <c r="GO249" i="2"/>
  <c r="GO247" i="2"/>
  <c r="GO246" i="2"/>
  <c r="GO244" i="2"/>
  <c r="GO243" i="2"/>
  <c r="GO242" i="2"/>
  <c r="GO241" i="2"/>
  <c r="GO240" i="2"/>
  <c r="GO239" i="2"/>
  <c r="GO238" i="2"/>
  <c r="GO237" i="2"/>
  <c r="GO236" i="2"/>
  <c r="GO235" i="2"/>
  <c r="GO234" i="2"/>
  <c r="GO233" i="2"/>
  <c r="GO232" i="2"/>
  <c r="GO231" i="2"/>
  <c r="GO230" i="2"/>
  <c r="GO229" i="2"/>
  <c r="GO228" i="2"/>
  <c r="GO227" i="2"/>
  <c r="GO226" i="2"/>
  <c r="GO225" i="2"/>
  <c r="GO224" i="2"/>
  <c r="GO223" i="2"/>
  <c r="GO221" i="2"/>
  <c r="GO220" i="2"/>
  <c r="GO219" i="2"/>
  <c r="GO218" i="2"/>
  <c r="GO216" i="2"/>
  <c r="GO215" i="2"/>
  <c r="GO213" i="2"/>
  <c r="GO212" i="2"/>
  <c r="GO210" i="2"/>
  <c r="GO209" i="2"/>
  <c r="GO204" i="2"/>
  <c r="GO203" i="2"/>
  <c r="GO202" i="2"/>
  <c r="GO200" i="2"/>
  <c r="GO199" i="2"/>
  <c r="GO198" i="2"/>
  <c r="GO197" i="2"/>
  <c r="GO196" i="2"/>
  <c r="GO194" i="2"/>
  <c r="GO193" i="2"/>
  <c r="GO192" i="2"/>
  <c r="GO191" i="2"/>
  <c r="GO190" i="2"/>
  <c r="GO189" i="2"/>
  <c r="GO188" i="2"/>
  <c r="GO186" i="2"/>
  <c r="GO185" i="2"/>
  <c r="GO184" i="2"/>
  <c r="GO183" i="2"/>
  <c r="GO182" i="2"/>
  <c r="GO180" i="2"/>
  <c r="GO179" i="2"/>
  <c r="GO175" i="2"/>
  <c r="GO174" i="2"/>
  <c r="GO173" i="2"/>
  <c r="GO172" i="2"/>
  <c r="GO171" i="2"/>
  <c r="GO169" i="2"/>
  <c r="GO168" i="2"/>
  <c r="GO167" i="2"/>
  <c r="GO166" i="2"/>
  <c r="GO165" i="2"/>
  <c r="GO164" i="2"/>
  <c r="GO163" i="2"/>
  <c r="GO162" i="2"/>
  <c r="GO161" i="2"/>
  <c r="GO160" i="2"/>
  <c r="GO159" i="2"/>
  <c r="GO158" i="2"/>
  <c r="GO157" i="2"/>
  <c r="GO156" i="2"/>
  <c r="GO155" i="2"/>
  <c r="GO154" i="2"/>
  <c r="GO153" i="2"/>
  <c r="GO152" i="2"/>
  <c r="GO151" i="2"/>
  <c r="GO150" i="2"/>
  <c r="GO149" i="2"/>
  <c r="GO147" i="2"/>
  <c r="GO146" i="2"/>
  <c r="GO145" i="2"/>
  <c r="GO144" i="2"/>
  <c r="GO143" i="2"/>
  <c r="GO142" i="2"/>
  <c r="GO140" i="2"/>
  <c r="GO139" i="2"/>
  <c r="GO138" i="2"/>
  <c r="GO137" i="2"/>
  <c r="GO136" i="2"/>
  <c r="GO135" i="2"/>
  <c r="GO131" i="2"/>
  <c r="GO130" i="2"/>
  <c r="GO128" i="2"/>
  <c r="GO127" i="2"/>
  <c r="GO126" i="2"/>
  <c r="GO125" i="2"/>
  <c r="GO124" i="2"/>
  <c r="GO123" i="2"/>
  <c r="GO122" i="2"/>
  <c r="GO121" i="2"/>
  <c r="GO120" i="2"/>
  <c r="GO119" i="2"/>
  <c r="GO118" i="2"/>
  <c r="GO117" i="2"/>
  <c r="GO116" i="2"/>
  <c r="GO115" i="2"/>
  <c r="GO114" i="2"/>
  <c r="GO113" i="2"/>
  <c r="GO111" i="2"/>
  <c r="GO110" i="2"/>
  <c r="GO109" i="2"/>
  <c r="GO108" i="2"/>
  <c r="GO107" i="2"/>
  <c r="GO106" i="2"/>
  <c r="GO105" i="2"/>
  <c r="GO104" i="2"/>
  <c r="GO102" i="2"/>
  <c r="GO101" i="2"/>
  <c r="GO100" i="2"/>
  <c r="GO99" i="2"/>
  <c r="GO98" i="2"/>
  <c r="GO97" i="2"/>
  <c r="GO96" i="2"/>
  <c r="GO95" i="2"/>
  <c r="GO94" i="2"/>
  <c r="GO93" i="2"/>
  <c r="GO92" i="2"/>
  <c r="GO91" i="2"/>
  <c r="GO90" i="2"/>
  <c r="GO89" i="2"/>
  <c r="GO88" i="2"/>
  <c r="GO87" i="2"/>
  <c r="GO86" i="2"/>
  <c r="GO85" i="2"/>
  <c r="GO84" i="2"/>
  <c r="GO83" i="2"/>
  <c r="GO82" i="2"/>
  <c r="GO81" i="2"/>
  <c r="GO80" i="2"/>
  <c r="GO79" i="2"/>
  <c r="GO78" i="2"/>
  <c r="GO77" i="2"/>
  <c r="GO75" i="2"/>
  <c r="GO74" i="2"/>
  <c r="GO73" i="2"/>
  <c r="GO72" i="2"/>
  <c r="GO71" i="2"/>
  <c r="GO70" i="2"/>
  <c r="GO69" i="2"/>
  <c r="GO68" i="2"/>
  <c r="GO67" i="2"/>
  <c r="GO66" i="2"/>
  <c r="GO65" i="2"/>
  <c r="GO64" i="2"/>
  <c r="GO63" i="2"/>
  <c r="GO62" i="2"/>
  <c r="GO61" i="2"/>
  <c r="GO60" i="2"/>
  <c r="GO59" i="2"/>
  <c r="GO58" i="2"/>
  <c r="GO57" i="2"/>
  <c r="GO56" i="2"/>
  <c r="GO55" i="2"/>
  <c r="GO54" i="2"/>
  <c r="GO53" i="2"/>
  <c r="GO52" i="2"/>
  <c r="GO51" i="2"/>
  <c r="GO50" i="2"/>
  <c r="GO49" i="2"/>
  <c r="GO48" i="2"/>
  <c r="GO47" i="2"/>
  <c r="GO46" i="2"/>
  <c r="GO45" i="2"/>
  <c r="GO44" i="2"/>
  <c r="GO43" i="2"/>
  <c r="GO42" i="2"/>
  <c r="GO41" i="2"/>
  <c r="GO40" i="2"/>
  <c r="GO39" i="2"/>
  <c r="GO38" i="2"/>
  <c r="GO37" i="2"/>
  <c r="GO36" i="2"/>
  <c r="GO35" i="2"/>
  <c r="GO34" i="2"/>
  <c r="GO33" i="2"/>
  <c r="GO32" i="2"/>
  <c r="GO31" i="2"/>
  <c r="GO30" i="2"/>
  <c r="GO29" i="2"/>
  <c r="GO28" i="2"/>
  <c r="GO27" i="2"/>
  <c r="GO26" i="2"/>
  <c r="GO25" i="2"/>
  <c r="GO24" i="2"/>
  <c r="GO23" i="2"/>
  <c r="GO22" i="2"/>
  <c r="GO20" i="2"/>
  <c r="GO19" i="2"/>
  <c r="GO18" i="2"/>
  <c r="GO17" i="2"/>
  <c r="GO16" i="2"/>
  <c r="GO15" i="2"/>
  <c r="GO14" i="2"/>
  <c r="GO13" i="2"/>
  <c r="GO12" i="2"/>
  <c r="GO11" i="2"/>
  <c r="GO10" i="2"/>
  <c r="GO9" i="2"/>
  <c r="GO8" i="2"/>
  <c r="GO7" i="2"/>
  <c r="GO6" i="2"/>
  <c r="DK7" i="2"/>
  <c r="DK8" i="2"/>
  <c r="DK9" i="2"/>
  <c r="DK10" i="2"/>
  <c r="DK11" i="2"/>
  <c r="DK12" i="2"/>
  <c r="DK13" i="2"/>
  <c r="DK14" i="2"/>
  <c r="DK15" i="2"/>
  <c r="DK16" i="2"/>
  <c r="DK17" i="2"/>
  <c r="DK18" i="2"/>
  <c r="DK19" i="2"/>
  <c r="DK20" i="2"/>
  <c r="DK22" i="2"/>
  <c r="DK23" i="2"/>
  <c r="DK24" i="2"/>
  <c r="DK25" i="2"/>
  <c r="DK26" i="2"/>
  <c r="DK27" i="2"/>
  <c r="DK28" i="2"/>
  <c r="DK29" i="2"/>
  <c r="DK30" i="2"/>
  <c r="DK31" i="2"/>
  <c r="DK32" i="2"/>
  <c r="DK33" i="2"/>
  <c r="DK34" i="2"/>
  <c r="DK35" i="2"/>
  <c r="DK36" i="2"/>
  <c r="DK37" i="2"/>
  <c r="DK38" i="2"/>
  <c r="DK39" i="2"/>
  <c r="DK40" i="2"/>
  <c r="DK41" i="2"/>
  <c r="DK42" i="2"/>
  <c r="DK43" i="2"/>
  <c r="DK44" i="2"/>
  <c r="DK45" i="2"/>
  <c r="DK46" i="2"/>
  <c r="DK47" i="2"/>
  <c r="DK48" i="2"/>
  <c r="DK49" i="2"/>
  <c r="DK50" i="2"/>
  <c r="DK51" i="2"/>
  <c r="DK52" i="2"/>
  <c r="DK53" i="2"/>
  <c r="DK54" i="2"/>
  <c r="DK55" i="2"/>
  <c r="DK56" i="2"/>
  <c r="DK57" i="2"/>
  <c r="DK58" i="2"/>
  <c r="DK59" i="2"/>
  <c r="DK60" i="2"/>
  <c r="DK61" i="2"/>
  <c r="DK62" i="2"/>
  <c r="DK63" i="2"/>
  <c r="DK64" i="2"/>
  <c r="DK65" i="2"/>
  <c r="DK66" i="2"/>
  <c r="DK67" i="2"/>
  <c r="DK68" i="2"/>
  <c r="DK69" i="2"/>
  <c r="DK70" i="2"/>
  <c r="DK71" i="2"/>
  <c r="DK72" i="2"/>
  <c r="DK73" i="2"/>
  <c r="DK74" i="2"/>
  <c r="DK75" i="2"/>
  <c r="DK77" i="2"/>
  <c r="DK78" i="2"/>
  <c r="DK79" i="2"/>
  <c r="DK80" i="2"/>
  <c r="DK81" i="2"/>
  <c r="DK82" i="2"/>
  <c r="DK83" i="2"/>
  <c r="DK84" i="2"/>
  <c r="DK85" i="2"/>
  <c r="DK86" i="2"/>
  <c r="DK87" i="2"/>
  <c r="DK88" i="2"/>
  <c r="DK89" i="2"/>
  <c r="DK90" i="2"/>
  <c r="DK91" i="2"/>
  <c r="DK92" i="2"/>
  <c r="DK93" i="2"/>
  <c r="DK94" i="2"/>
  <c r="DK95" i="2"/>
  <c r="DK96" i="2"/>
  <c r="DK97" i="2"/>
  <c r="DK98" i="2"/>
  <c r="DK99" i="2"/>
  <c r="DK100" i="2"/>
  <c r="DK101" i="2"/>
  <c r="DK102" i="2"/>
  <c r="DK104" i="2"/>
  <c r="DK105" i="2"/>
  <c r="DK106" i="2"/>
  <c r="DK107" i="2"/>
  <c r="DK108" i="2"/>
  <c r="DK109" i="2"/>
  <c r="DK110" i="2"/>
  <c r="DK111" i="2"/>
  <c r="DK113" i="2"/>
  <c r="DK114" i="2"/>
  <c r="DK115" i="2"/>
  <c r="DK116" i="2"/>
  <c r="DK117" i="2"/>
  <c r="DK118" i="2"/>
  <c r="DK119" i="2"/>
  <c r="DK120" i="2"/>
  <c r="DK121" i="2"/>
  <c r="DK122" i="2"/>
  <c r="DK123" i="2"/>
  <c r="DK124" i="2"/>
  <c r="DK125" i="2"/>
  <c r="DK126" i="2"/>
  <c r="DK127" i="2"/>
  <c r="DK128" i="2"/>
  <c r="DK130" i="2"/>
  <c r="DK131" i="2"/>
  <c r="DK135" i="2"/>
  <c r="DK136" i="2"/>
  <c r="DK137" i="2"/>
  <c r="DK138" i="2"/>
  <c r="DK139" i="2"/>
  <c r="DK140" i="2"/>
  <c r="DK142" i="2"/>
  <c r="DK143" i="2"/>
  <c r="DK144" i="2"/>
  <c r="DK145" i="2"/>
  <c r="DK146" i="2"/>
  <c r="DK147" i="2"/>
  <c r="DK149" i="2"/>
  <c r="DK150" i="2"/>
  <c r="DK151" i="2"/>
  <c r="DK152" i="2"/>
  <c r="DK153" i="2"/>
  <c r="DK154" i="2"/>
  <c r="DK155" i="2"/>
  <c r="DK156" i="2"/>
  <c r="DK157" i="2"/>
  <c r="DK158" i="2"/>
  <c r="DK159" i="2"/>
  <c r="DK160" i="2"/>
  <c r="DK161" i="2"/>
  <c r="DK162" i="2"/>
  <c r="DK163" i="2"/>
  <c r="DK164" i="2"/>
  <c r="DK165" i="2"/>
  <c r="DK166" i="2"/>
  <c r="DK167" i="2"/>
  <c r="DK168" i="2"/>
  <c r="DK169" i="2"/>
  <c r="DK171" i="2"/>
  <c r="DK172" i="2"/>
  <c r="DK173" i="2"/>
  <c r="DK174" i="2"/>
  <c r="DK175" i="2"/>
  <c r="DK179" i="2"/>
  <c r="DK180" i="2"/>
  <c r="DK182" i="2"/>
  <c r="DK183" i="2"/>
  <c r="DK184" i="2"/>
  <c r="DK185" i="2"/>
  <c r="DK186" i="2"/>
  <c r="DK188" i="2"/>
  <c r="DK189" i="2"/>
  <c r="DK190" i="2"/>
  <c r="DK191" i="2"/>
  <c r="DK192" i="2"/>
  <c r="DK193" i="2"/>
  <c r="DK194" i="2"/>
  <c r="DK196" i="2"/>
  <c r="DK197" i="2"/>
  <c r="DK198" i="2"/>
  <c r="DK199" i="2"/>
  <c r="DK200" i="2"/>
  <c r="DK202" i="2"/>
  <c r="DK203" i="2"/>
  <c r="DK204" i="2"/>
  <c r="DK209" i="2"/>
  <c r="DK210" i="2"/>
  <c r="DK212" i="2"/>
  <c r="DK213" i="2"/>
  <c r="DK215" i="2"/>
  <c r="DK216" i="2"/>
  <c r="DK218" i="2"/>
  <c r="DK219" i="2"/>
  <c r="DK220" i="2"/>
  <c r="DK221" i="2"/>
  <c r="DK223" i="2"/>
  <c r="DK224" i="2"/>
  <c r="DK225" i="2"/>
  <c r="DK226" i="2"/>
  <c r="DK227" i="2"/>
  <c r="DK228" i="2"/>
  <c r="DK229" i="2"/>
  <c r="DK230" i="2"/>
  <c r="DK231" i="2"/>
  <c r="DK232" i="2"/>
  <c r="DK233" i="2"/>
  <c r="DK234" i="2"/>
  <c r="DK235" i="2"/>
  <c r="DK236" i="2"/>
  <c r="DK237" i="2"/>
  <c r="DK238" i="2"/>
  <c r="DK239" i="2"/>
  <c r="DK240" i="2"/>
  <c r="DK241" i="2"/>
  <c r="DK242" i="2"/>
  <c r="DK243" i="2"/>
  <c r="DK244" i="2"/>
  <c r="DK246" i="2"/>
  <c r="DK247" i="2"/>
  <c r="DK249" i="2"/>
  <c r="DK250" i="2"/>
  <c r="DK251" i="2"/>
  <c r="DK252" i="2"/>
  <c r="DK254" i="2"/>
  <c r="DK256" i="2"/>
  <c r="DK257" i="2"/>
  <c r="DK258" i="2"/>
  <c r="DK259" i="2"/>
  <c r="DK260" i="2"/>
  <c r="DK261" i="2"/>
  <c r="DK262" i="2"/>
  <c r="DK263" i="2"/>
  <c r="DK264" i="2"/>
  <c r="DK265" i="2"/>
  <c r="DK266" i="2"/>
  <c r="DK267" i="2"/>
  <c r="DK268" i="2"/>
  <c r="DK271" i="2"/>
  <c r="DK272" i="2"/>
  <c r="DK273" i="2"/>
  <c r="DK275" i="2"/>
  <c r="DK280" i="2"/>
  <c r="DK6" i="2"/>
  <c r="D40" i="9" l="1"/>
  <c r="GO281" i="2"/>
  <c r="GO283" i="2" s="1"/>
  <c r="DK281" i="2"/>
  <c r="GO310" i="2"/>
  <c r="DK310" i="2"/>
  <c r="HA29" i="2"/>
  <c r="GY29" i="2"/>
  <c r="GX29" i="2"/>
  <c r="GN29" i="2"/>
  <c r="GM29" i="2"/>
  <c r="GE29" i="2"/>
  <c r="GD29" i="2"/>
  <c r="FZ29" i="2"/>
  <c r="FY29" i="2"/>
  <c r="FX29" i="2"/>
  <c r="FW29" i="2"/>
  <c r="FP29" i="2"/>
  <c r="FH29" i="2"/>
  <c r="FE29" i="2"/>
  <c r="FD29" i="2"/>
  <c r="FC29" i="2"/>
  <c r="EF29" i="2"/>
  <c r="EE29" i="2"/>
  <c r="DU29" i="2"/>
  <c r="DQ29" i="2"/>
  <c r="DP29" i="2"/>
  <c r="DM29" i="2"/>
  <c r="DJ29" i="2"/>
  <c r="DG29" i="2"/>
  <c r="DF29" i="2"/>
  <c r="DE29" i="2"/>
  <c r="DD29" i="2"/>
  <c r="CY29" i="2"/>
  <c r="CW29" i="2"/>
  <c r="CV29" i="2"/>
  <c r="CU29" i="2"/>
  <c r="CT29" i="2"/>
  <c r="CS29" i="2"/>
  <c r="CM29" i="2"/>
  <c r="CH29" i="2"/>
  <c r="CG29" i="2"/>
  <c r="CE29" i="2"/>
  <c r="CF29" i="2" s="1"/>
  <c r="BX29" i="2"/>
  <c r="BW29" i="2"/>
  <c r="BV29" i="2"/>
  <c r="BU29" i="2"/>
  <c r="BT29" i="2"/>
  <c r="BR29" i="2"/>
  <c r="BQ29" i="2"/>
  <c r="BP29" i="2"/>
  <c r="BK29" i="2"/>
  <c r="BJ29" i="2"/>
  <c r="BI29" i="2"/>
  <c r="BD29" i="2"/>
  <c r="BA29" i="2"/>
  <c r="AZ29" i="2"/>
  <c r="AY29" i="2"/>
  <c r="AX29" i="2"/>
  <c r="AW29" i="2"/>
  <c r="AV29" i="2"/>
  <c r="AR29" i="2"/>
  <c r="AQ29" i="2"/>
  <c r="AP29" i="2"/>
  <c r="AO29" i="2"/>
  <c r="AN29" i="2" s="1"/>
  <c r="AJ29" i="2"/>
  <c r="AC29" i="2"/>
  <c r="AB29" i="2"/>
  <c r="Z29" i="2"/>
  <c r="V29" i="2"/>
  <c r="U29" i="2"/>
  <c r="T29" i="2"/>
  <c r="S29" i="2"/>
  <c r="R29" i="2"/>
  <c r="Q29" i="2"/>
  <c r="P29" i="2"/>
  <c r="O29" i="2"/>
  <c r="N29" i="2"/>
  <c r="M29" i="2"/>
  <c r="K29" i="2"/>
  <c r="J29" i="2"/>
  <c r="I29" i="2"/>
  <c r="G29" i="2"/>
  <c r="F29" i="2"/>
  <c r="E29" i="2"/>
  <c r="D29" i="2"/>
  <c r="FG29" i="2" l="1"/>
  <c r="DH29" i="2"/>
  <c r="EY29" i="2" s="1"/>
  <c r="GR29" i="2"/>
  <c r="AE29" i="2"/>
  <c r="EX29" i="2"/>
  <c r="HB29" i="2"/>
  <c r="BH29" i="2"/>
  <c r="EW29" i="2"/>
  <c r="CX29" i="2"/>
  <c r="DA29" i="2" s="1"/>
  <c r="DL29" i="2"/>
  <c r="X29" i="2"/>
  <c r="CL29" i="2"/>
  <c r="EZ29" i="2" l="1"/>
  <c r="FA29" i="2" s="1"/>
  <c r="BN290" i="2" l="1"/>
  <c r="BR280" i="2"/>
  <c r="BR275" i="2"/>
  <c r="BR273" i="2"/>
  <c r="BR272" i="2"/>
  <c r="BR271" i="2"/>
  <c r="BR268" i="2"/>
  <c r="BR267" i="2"/>
  <c r="BR266" i="2"/>
  <c r="BR265" i="2"/>
  <c r="BR264" i="2"/>
  <c r="BR263" i="2"/>
  <c r="BR262" i="2"/>
  <c r="BR261" i="2"/>
  <c r="BR260" i="2"/>
  <c r="BR259" i="2"/>
  <c r="BR258" i="2"/>
  <c r="BR257" i="2"/>
  <c r="BR256" i="2"/>
  <c r="BR254" i="2"/>
  <c r="BR252" i="2"/>
  <c r="BR251" i="2"/>
  <c r="BR250" i="2"/>
  <c r="BR249" i="2"/>
  <c r="BR247" i="2"/>
  <c r="BR246" i="2"/>
  <c r="BR244" i="2"/>
  <c r="BR243" i="2"/>
  <c r="BR242" i="2"/>
  <c r="BR241" i="2"/>
  <c r="BR240" i="2"/>
  <c r="BR239" i="2"/>
  <c r="BR238" i="2"/>
  <c r="BR237" i="2"/>
  <c r="BR236" i="2"/>
  <c r="BR235" i="2"/>
  <c r="BR234" i="2"/>
  <c r="BR233" i="2"/>
  <c r="BR232" i="2"/>
  <c r="BR231" i="2"/>
  <c r="BR230" i="2"/>
  <c r="BR229" i="2"/>
  <c r="BR228" i="2"/>
  <c r="BR227" i="2"/>
  <c r="BR226" i="2"/>
  <c r="BR225" i="2"/>
  <c r="BR224" i="2"/>
  <c r="BR223" i="2"/>
  <c r="BR221" i="2"/>
  <c r="BR220" i="2"/>
  <c r="BR219" i="2"/>
  <c r="BR218" i="2"/>
  <c r="BR216" i="2"/>
  <c r="BR215" i="2"/>
  <c r="BR213" i="2"/>
  <c r="BR212" i="2"/>
  <c r="BR210" i="2"/>
  <c r="BR209" i="2"/>
  <c r="BR204" i="2"/>
  <c r="BR203" i="2"/>
  <c r="BR202" i="2"/>
  <c r="BR200" i="2"/>
  <c r="BR199" i="2"/>
  <c r="BR198" i="2"/>
  <c r="BR197" i="2"/>
  <c r="BR196" i="2"/>
  <c r="BR194" i="2"/>
  <c r="BR193" i="2"/>
  <c r="BR192" i="2"/>
  <c r="BR191" i="2"/>
  <c r="BR190" i="2"/>
  <c r="BR189" i="2"/>
  <c r="BR188" i="2"/>
  <c r="BR186" i="2"/>
  <c r="BR185" i="2"/>
  <c r="BR184" i="2"/>
  <c r="BR183" i="2"/>
  <c r="BR182" i="2"/>
  <c r="BR180" i="2"/>
  <c r="BR179" i="2"/>
  <c r="BR175" i="2"/>
  <c r="BR174" i="2"/>
  <c r="BR173" i="2"/>
  <c r="BR172" i="2"/>
  <c r="BR171" i="2"/>
  <c r="BR169" i="2"/>
  <c r="BR168" i="2"/>
  <c r="BR167" i="2"/>
  <c r="BR166" i="2"/>
  <c r="BR165" i="2"/>
  <c r="BR164" i="2"/>
  <c r="BR163" i="2"/>
  <c r="BR162" i="2"/>
  <c r="BR161" i="2"/>
  <c r="BR160" i="2"/>
  <c r="BR159" i="2"/>
  <c r="BR158" i="2"/>
  <c r="BR157" i="2"/>
  <c r="BR156" i="2"/>
  <c r="BR155" i="2"/>
  <c r="BR154" i="2"/>
  <c r="BR153" i="2"/>
  <c r="BR152" i="2"/>
  <c r="BR151" i="2"/>
  <c r="BR150" i="2"/>
  <c r="BR149" i="2"/>
  <c r="BR147" i="2"/>
  <c r="BR146" i="2"/>
  <c r="BR145" i="2"/>
  <c r="BR144" i="2"/>
  <c r="BR143" i="2"/>
  <c r="BR142" i="2"/>
  <c r="BR140" i="2"/>
  <c r="BR139" i="2"/>
  <c r="BR138" i="2"/>
  <c r="BR137" i="2"/>
  <c r="BR136" i="2"/>
  <c r="BR135" i="2"/>
  <c r="BR131" i="2"/>
  <c r="BR130" i="2"/>
  <c r="BR128" i="2"/>
  <c r="BR127" i="2"/>
  <c r="BR126" i="2"/>
  <c r="BR125" i="2"/>
  <c r="BR124" i="2"/>
  <c r="BR123" i="2"/>
  <c r="BR122" i="2"/>
  <c r="BR121" i="2"/>
  <c r="BR120" i="2"/>
  <c r="BR119" i="2"/>
  <c r="BR118" i="2"/>
  <c r="BR117" i="2"/>
  <c r="BR116" i="2"/>
  <c r="BR115" i="2"/>
  <c r="BR114" i="2"/>
  <c r="BR113" i="2"/>
  <c r="BR111" i="2"/>
  <c r="BR110" i="2"/>
  <c r="BR109" i="2"/>
  <c r="BR108" i="2"/>
  <c r="BR107" i="2"/>
  <c r="BR106" i="2"/>
  <c r="BR105" i="2"/>
  <c r="BR104" i="2"/>
  <c r="BR102" i="2"/>
  <c r="BR101" i="2"/>
  <c r="BR100" i="2"/>
  <c r="BR99" i="2"/>
  <c r="BR98" i="2"/>
  <c r="BR97" i="2"/>
  <c r="BR96" i="2"/>
  <c r="BR95" i="2"/>
  <c r="BR94" i="2"/>
  <c r="BR93" i="2"/>
  <c r="BR92" i="2"/>
  <c r="BR91" i="2"/>
  <c r="BR90" i="2"/>
  <c r="BR89" i="2"/>
  <c r="BR88" i="2"/>
  <c r="BR87" i="2"/>
  <c r="BR86" i="2"/>
  <c r="BR85" i="2"/>
  <c r="BR84" i="2"/>
  <c r="BR83" i="2"/>
  <c r="BR82" i="2"/>
  <c r="BR81" i="2"/>
  <c r="BR80" i="2"/>
  <c r="BR79" i="2"/>
  <c r="BR78" i="2"/>
  <c r="BR77" i="2"/>
  <c r="BR75" i="2"/>
  <c r="BR74" i="2"/>
  <c r="BR73" i="2"/>
  <c r="BR72" i="2"/>
  <c r="BR71" i="2"/>
  <c r="BR70" i="2"/>
  <c r="BR69" i="2"/>
  <c r="BR68" i="2"/>
  <c r="BR67" i="2"/>
  <c r="BR66" i="2"/>
  <c r="BR65" i="2"/>
  <c r="BR64" i="2"/>
  <c r="BR63" i="2"/>
  <c r="BR62" i="2"/>
  <c r="BR61" i="2"/>
  <c r="BR60" i="2"/>
  <c r="BR59" i="2"/>
  <c r="BR58" i="2"/>
  <c r="BR57" i="2"/>
  <c r="BR56" i="2"/>
  <c r="BR55" i="2"/>
  <c r="BR54" i="2"/>
  <c r="BR53" i="2"/>
  <c r="BR52" i="2"/>
  <c r="BR51" i="2"/>
  <c r="BR50" i="2"/>
  <c r="BR49" i="2"/>
  <c r="BR48" i="2"/>
  <c r="BR47" i="2"/>
  <c r="BR46" i="2"/>
  <c r="BR45" i="2"/>
  <c r="BR44" i="2"/>
  <c r="BR43" i="2"/>
  <c r="BR42" i="2"/>
  <c r="BR41" i="2"/>
  <c r="BR40" i="2"/>
  <c r="BR39" i="2"/>
  <c r="BR38" i="2"/>
  <c r="BR37" i="2"/>
  <c r="BR36" i="2"/>
  <c r="BR35" i="2"/>
  <c r="BR34" i="2"/>
  <c r="BR33" i="2"/>
  <c r="BR32" i="2"/>
  <c r="BR31" i="2"/>
  <c r="BR30" i="2"/>
  <c r="BR28" i="2"/>
  <c r="BR27" i="2"/>
  <c r="BR26" i="2"/>
  <c r="BR25" i="2"/>
  <c r="BR24" i="2"/>
  <c r="BR23" i="2"/>
  <c r="BR22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Q280" i="2"/>
  <c r="BQ275" i="2"/>
  <c r="BQ273" i="2"/>
  <c r="BQ272" i="2"/>
  <c r="BQ271" i="2"/>
  <c r="BQ268" i="2"/>
  <c r="BQ267" i="2"/>
  <c r="BQ266" i="2"/>
  <c r="BQ265" i="2"/>
  <c r="BQ264" i="2"/>
  <c r="BQ263" i="2"/>
  <c r="BQ262" i="2"/>
  <c r="BQ261" i="2"/>
  <c r="BQ260" i="2"/>
  <c r="BQ259" i="2"/>
  <c r="BQ258" i="2"/>
  <c r="BQ257" i="2"/>
  <c r="BQ256" i="2"/>
  <c r="BQ254" i="2"/>
  <c r="BQ252" i="2"/>
  <c r="BQ251" i="2"/>
  <c r="BQ250" i="2"/>
  <c r="BQ249" i="2"/>
  <c r="BQ247" i="2"/>
  <c r="BQ246" i="2"/>
  <c r="BQ244" i="2"/>
  <c r="BQ243" i="2"/>
  <c r="BQ242" i="2"/>
  <c r="BQ241" i="2"/>
  <c r="BQ240" i="2"/>
  <c r="BQ239" i="2"/>
  <c r="BQ238" i="2"/>
  <c r="BQ237" i="2"/>
  <c r="BQ236" i="2"/>
  <c r="BQ235" i="2"/>
  <c r="BQ234" i="2"/>
  <c r="BQ233" i="2"/>
  <c r="BQ232" i="2"/>
  <c r="BQ231" i="2"/>
  <c r="BQ230" i="2"/>
  <c r="BQ229" i="2"/>
  <c r="BQ228" i="2"/>
  <c r="BQ227" i="2"/>
  <c r="BQ226" i="2"/>
  <c r="BQ225" i="2"/>
  <c r="BQ224" i="2"/>
  <c r="BQ223" i="2"/>
  <c r="BQ221" i="2"/>
  <c r="BQ220" i="2"/>
  <c r="BQ219" i="2"/>
  <c r="BQ218" i="2"/>
  <c r="BQ216" i="2"/>
  <c r="BQ215" i="2"/>
  <c r="BQ213" i="2"/>
  <c r="BQ212" i="2"/>
  <c r="BQ210" i="2"/>
  <c r="BQ209" i="2"/>
  <c r="BQ204" i="2"/>
  <c r="BQ203" i="2"/>
  <c r="BQ202" i="2"/>
  <c r="BQ200" i="2"/>
  <c r="BQ199" i="2"/>
  <c r="BQ198" i="2"/>
  <c r="BQ197" i="2"/>
  <c r="BQ196" i="2"/>
  <c r="BQ194" i="2"/>
  <c r="BQ193" i="2"/>
  <c r="BQ192" i="2"/>
  <c r="BQ191" i="2"/>
  <c r="BQ190" i="2"/>
  <c r="BQ189" i="2"/>
  <c r="BQ188" i="2"/>
  <c r="BQ186" i="2"/>
  <c r="BQ185" i="2"/>
  <c r="BQ184" i="2"/>
  <c r="BQ183" i="2"/>
  <c r="BQ182" i="2"/>
  <c r="BQ180" i="2"/>
  <c r="BQ179" i="2"/>
  <c r="BQ175" i="2"/>
  <c r="BQ174" i="2"/>
  <c r="BQ173" i="2"/>
  <c r="BQ172" i="2"/>
  <c r="BQ171" i="2"/>
  <c r="BQ169" i="2"/>
  <c r="BQ168" i="2"/>
  <c r="BQ167" i="2"/>
  <c r="BQ166" i="2"/>
  <c r="BQ165" i="2"/>
  <c r="BQ164" i="2"/>
  <c r="BQ163" i="2"/>
  <c r="BQ162" i="2"/>
  <c r="BQ161" i="2"/>
  <c r="BQ160" i="2"/>
  <c r="BQ159" i="2"/>
  <c r="BQ158" i="2"/>
  <c r="BQ157" i="2"/>
  <c r="BQ156" i="2"/>
  <c r="BQ155" i="2"/>
  <c r="BQ154" i="2"/>
  <c r="BQ153" i="2"/>
  <c r="BQ152" i="2"/>
  <c r="BQ151" i="2"/>
  <c r="BQ150" i="2"/>
  <c r="BQ149" i="2"/>
  <c r="BQ147" i="2"/>
  <c r="BQ146" i="2"/>
  <c r="BQ145" i="2"/>
  <c r="BQ144" i="2"/>
  <c r="BQ143" i="2"/>
  <c r="BQ142" i="2"/>
  <c r="BQ140" i="2"/>
  <c r="BQ139" i="2"/>
  <c r="BQ138" i="2"/>
  <c r="BQ137" i="2"/>
  <c r="BQ136" i="2"/>
  <c r="BQ135" i="2"/>
  <c r="BQ131" i="2"/>
  <c r="BQ130" i="2"/>
  <c r="BQ128" i="2"/>
  <c r="BQ127" i="2"/>
  <c r="BQ126" i="2"/>
  <c r="BQ125" i="2"/>
  <c r="BQ124" i="2"/>
  <c r="BQ123" i="2"/>
  <c r="BQ122" i="2"/>
  <c r="BQ121" i="2"/>
  <c r="BQ120" i="2"/>
  <c r="BQ119" i="2"/>
  <c r="BQ118" i="2"/>
  <c r="BQ117" i="2"/>
  <c r="BQ116" i="2"/>
  <c r="BQ115" i="2"/>
  <c r="BQ114" i="2"/>
  <c r="BQ113" i="2"/>
  <c r="BQ111" i="2"/>
  <c r="BQ110" i="2"/>
  <c r="BQ109" i="2"/>
  <c r="BQ108" i="2"/>
  <c r="BQ107" i="2"/>
  <c r="BQ106" i="2"/>
  <c r="BQ105" i="2"/>
  <c r="BQ104" i="2"/>
  <c r="BQ102" i="2"/>
  <c r="BQ101" i="2"/>
  <c r="BQ100" i="2"/>
  <c r="BQ99" i="2"/>
  <c r="BQ98" i="2"/>
  <c r="BQ97" i="2"/>
  <c r="BQ96" i="2"/>
  <c r="BQ95" i="2"/>
  <c r="BQ94" i="2"/>
  <c r="BQ93" i="2"/>
  <c r="BQ92" i="2"/>
  <c r="BQ91" i="2"/>
  <c r="BQ90" i="2"/>
  <c r="BQ89" i="2"/>
  <c r="BQ88" i="2"/>
  <c r="BQ87" i="2"/>
  <c r="BQ86" i="2"/>
  <c r="BQ85" i="2"/>
  <c r="BQ84" i="2"/>
  <c r="BQ83" i="2"/>
  <c r="BQ82" i="2"/>
  <c r="BQ81" i="2"/>
  <c r="BQ80" i="2"/>
  <c r="BQ79" i="2"/>
  <c r="BQ78" i="2"/>
  <c r="BQ77" i="2"/>
  <c r="BQ75" i="2"/>
  <c r="BQ74" i="2"/>
  <c r="BQ73" i="2"/>
  <c r="BQ72" i="2"/>
  <c r="BQ71" i="2"/>
  <c r="BQ70" i="2"/>
  <c r="BQ69" i="2"/>
  <c r="BQ68" i="2"/>
  <c r="BQ67" i="2"/>
  <c r="BQ66" i="2"/>
  <c r="BQ65" i="2"/>
  <c r="BQ64" i="2"/>
  <c r="BQ63" i="2"/>
  <c r="BQ62" i="2"/>
  <c r="BQ61" i="2"/>
  <c r="BQ60" i="2"/>
  <c r="BQ59" i="2"/>
  <c r="BQ58" i="2"/>
  <c r="BQ57" i="2"/>
  <c r="BQ56" i="2"/>
  <c r="BQ55" i="2"/>
  <c r="BQ54" i="2"/>
  <c r="BQ53" i="2"/>
  <c r="BQ52" i="2"/>
  <c r="BQ51" i="2"/>
  <c r="BQ50" i="2"/>
  <c r="BQ49" i="2"/>
  <c r="BQ48" i="2"/>
  <c r="BQ47" i="2"/>
  <c r="BQ46" i="2"/>
  <c r="BQ45" i="2"/>
  <c r="BQ44" i="2"/>
  <c r="BQ43" i="2"/>
  <c r="BQ42" i="2"/>
  <c r="BQ41" i="2"/>
  <c r="BQ40" i="2"/>
  <c r="BQ39" i="2"/>
  <c r="BQ38" i="2"/>
  <c r="BQ37" i="2"/>
  <c r="BQ36" i="2"/>
  <c r="BQ35" i="2"/>
  <c r="BQ34" i="2"/>
  <c r="BQ33" i="2"/>
  <c r="BQ32" i="2"/>
  <c r="BQ31" i="2"/>
  <c r="BQ30" i="2"/>
  <c r="BQ28" i="2"/>
  <c r="BQ27" i="2"/>
  <c r="BQ26" i="2"/>
  <c r="BQ25" i="2"/>
  <c r="BQ24" i="2"/>
  <c r="BQ23" i="2"/>
  <c r="BQ22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Q8" i="2"/>
  <c r="BQ7" i="2"/>
  <c r="BQ6" i="2"/>
  <c r="BQ281" i="2" l="1"/>
  <c r="BQ283" i="2" s="1"/>
  <c r="BR281" i="2"/>
  <c r="BR283" i="2" s="1"/>
  <c r="BR310" i="2"/>
  <c r="BQ310" i="2"/>
  <c r="E314" i="2"/>
  <c r="HD314" i="2" s="1"/>
  <c r="AC6" i="6" l="1"/>
  <c r="AC5" i="6"/>
  <c r="AC3" i="6"/>
  <c r="AC29" i="6"/>
  <c r="C127" i="11" l="1"/>
  <c r="D122" i="11"/>
  <c r="G122" i="11" s="1"/>
  <c r="D120" i="11"/>
  <c r="G120" i="11" s="1"/>
  <c r="D118" i="11"/>
  <c r="G118" i="11" s="1"/>
  <c r="F118" i="11" s="1"/>
  <c r="D116" i="11"/>
  <c r="G116" i="11" s="1"/>
  <c r="F116" i="11" s="1"/>
  <c r="D113" i="11"/>
  <c r="G113" i="11" s="1"/>
  <c r="D111" i="11"/>
  <c r="G111" i="11" s="1"/>
  <c r="D109" i="11"/>
  <c r="G109" i="11" s="1"/>
  <c r="D63" i="11"/>
  <c r="G63" i="11" s="1"/>
  <c r="F63" i="11" s="1"/>
  <c r="D60" i="11"/>
  <c r="G60" i="11" s="1"/>
  <c r="F60" i="11" s="1"/>
  <c r="D58" i="11"/>
  <c r="G58" i="11" s="1"/>
  <c r="F58" i="11" s="1"/>
  <c r="I137" i="11"/>
  <c r="I138" i="11" s="1"/>
  <c r="I132" i="11"/>
  <c r="I133" i="11" s="1"/>
  <c r="D130" i="11"/>
  <c r="D129" i="11"/>
  <c r="I127" i="11"/>
  <c r="D126" i="11"/>
  <c r="D124" i="11"/>
  <c r="H122" i="11"/>
  <c r="H120" i="11"/>
  <c r="I114" i="11"/>
  <c r="I123" i="11" s="1"/>
  <c r="H113" i="11"/>
  <c r="G54" i="11"/>
  <c r="G53" i="11"/>
  <c r="G51" i="11"/>
  <c r="C6" i="11"/>
  <c r="B6" i="11"/>
  <c r="I13" i="11"/>
  <c r="H13" i="11"/>
  <c r="D21" i="11"/>
  <c r="G21" i="11" s="1"/>
  <c r="F21" i="11" s="1"/>
  <c r="D20" i="11"/>
  <c r="G20" i="11" s="1"/>
  <c r="F20" i="11" s="1"/>
  <c r="D19" i="11"/>
  <c r="G19" i="11" s="1"/>
  <c r="F19" i="11" s="1"/>
  <c r="D18" i="11"/>
  <c r="G18" i="11" s="1"/>
  <c r="F18" i="11" s="1"/>
  <c r="D17" i="11"/>
  <c r="G17" i="11" s="1"/>
  <c r="F17" i="11" s="1"/>
  <c r="D16" i="11"/>
  <c r="G16" i="11" s="1"/>
  <c r="F16" i="11" s="1"/>
  <c r="D15" i="11"/>
  <c r="C13" i="11"/>
  <c r="B13" i="11"/>
  <c r="I6" i="11"/>
  <c r="H6" i="11"/>
  <c r="E6" i="11"/>
  <c r="D12" i="11"/>
  <c r="G12" i="11" s="1"/>
  <c r="F12" i="11" s="1"/>
  <c r="D11" i="11"/>
  <c r="G11" i="11" s="1"/>
  <c r="F11" i="11" s="1"/>
  <c r="D10" i="11"/>
  <c r="D9" i="11"/>
  <c r="G9" i="11" s="1"/>
  <c r="F9" i="11" s="1"/>
  <c r="D8" i="11"/>
  <c r="G8" i="11" s="1"/>
  <c r="F8" i="11" s="1"/>
  <c r="D7" i="11"/>
  <c r="I128" i="11" l="1"/>
  <c r="I134" i="11" s="1"/>
  <c r="F122" i="11"/>
  <c r="F113" i="11"/>
  <c r="F120" i="11"/>
  <c r="D6" i="11"/>
  <c r="G15" i="11"/>
  <c r="F15" i="11" s="1"/>
  <c r="G10" i="11"/>
  <c r="O41" i="9"/>
  <c r="F10" i="11" l="1"/>
  <c r="M7" i="10" l="1"/>
  <c r="AE23" i="6"/>
  <c r="AC23" i="6"/>
  <c r="V44" i="7" l="1"/>
  <c r="Q27" i="7"/>
  <c r="Q26" i="7"/>
  <c r="Q25" i="7"/>
  <c r="Q22" i="7"/>
  <c r="Q21" i="7"/>
  <c r="Q20" i="7"/>
  <c r="Q15" i="7"/>
  <c r="Q17" i="7"/>
  <c r="Q16" i="7"/>
  <c r="Q18" i="7"/>
  <c r="Q13" i="7"/>
  <c r="Q12" i="7"/>
  <c r="Q11" i="7"/>
  <c r="N27" i="7"/>
  <c r="K27" i="7"/>
  <c r="G12" i="7"/>
  <c r="G27" i="7"/>
  <c r="Q14" i="7" l="1"/>
  <c r="CS241" i="2"/>
  <c r="Z234" i="2"/>
  <c r="FH263" i="2" l="1"/>
  <c r="HA223" i="2"/>
  <c r="GY223" i="2"/>
  <c r="GX223" i="2"/>
  <c r="GN223" i="2"/>
  <c r="GM223" i="2"/>
  <c r="GE223" i="2"/>
  <c r="GD223" i="2"/>
  <c r="FZ223" i="2"/>
  <c r="FY223" i="2"/>
  <c r="FX223" i="2"/>
  <c r="FW223" i="2"/>
  <c r="FP223" i="2"/>
  <c r="FH223" i="2"/>
  <c r="FE223" i="2"/>
  <c r="FD223" i="2"/>
  <c r="FC223" i="2"/>
  <c r="EF223" i="2"/>
  <c r="EE223" i="2"/>
  <c r="DU223" i="2"/>
  <c r="DQ223" i="2"/>
  <c r="DP223" i="2"/>
  <c r="DM223" i="2"/>
  <c r="DJ223" i="2"/>
  <c r="DG223" i="2"/>
  <c r="DF223" i="2"/>
  <c r="DE223" i="2"/>
  <c r="DD223" i="2"/>
  <c r="CY223" i="2"/>
  <c r="CW223" i="2"/>
  <c r="CV223" i="2"/>
  <c r="CU223" i="2"/>
  <c r="CT223" i="2"/>
  <c r="CS223" i="2"/>
  <c r="CM223" i="2"/>
  <c r="CH223" i="2"/>
  <c r="CG223" i="2"/>
  <c r="CE223" i="2"/>
  <c r="CF223" i="2" s="1"/>
  <c r="BX223" i="2"/>
  <c r="BW223" i="2"/>
  <c r="BV223" i="2"/>
  <c r="BU223" i="2"/>
  <c r="BT223" i="2"/>
  <c r="BP223" i="2"/>
  <c r="BK223" i="2"/>
  <c r="BJ223" i="2"/>
  <c r="BI223" i="2"/>
  <c r="BD223" i="2"/>
  <c r="BA223" i="2"/>
  <c r="AZ223" i="2"/>
  <c r="AY223" i="2"/>
  <c r="AX223" i="2"/>
  <c r="AW223" i="2"/>
  <c r="AV223" i="2"/>
  <c r="AR223" i="2"/>
  <c r="AQ223" i="2"/>
  <c r="AP223" i="2"/>
  <c r="AO223" i="2"/>
  <c r="AN223" i="2" s="1"/>
  <c r="AJ223" i="2"/>
  <c r="AC223" i="2"/>
  <c r="AB223" i="2"/>
  <c r="Z223" i="2"/>
  <c r="V223" i="2"/>
  <c r="U223" i="2"/>
  <c r="T223" i="2"/>
  <c r="S223" i="2"/>
  <c r="R223" i="2"/>
  <c r="Q223" i="2"/>
  <c r="P223" i="2"/>
  <c r="O223" i="2"/>
  <c r="N223" i="2"/>
  <c r="M223" i="2"/>
  <c r="K223" i="2"/>
  <c r="J223" i="2"/>
  <c r="I223" i="2"/>
  <c r="G223" i="2"/>
  <c r="F223" i="2"/>
  <c r="E223" i="2"/>
  <c r="D223" i="2"/>
  <c r="HA179" i="2"/>
  <c r="GY179" i="2"/>
  <c r="GX179" i="2"/>
  <c r="GN179" i="2"/>
  <c r="GM179" i="2"/>
  <c r="GE179" i="2"/>
  <c r="GD179" i="2"/>
  <c r="FZ179" i="2"/>
  <c r="FY179" i="2"/>
  <c r="FX179" i="2"/>
  <c r="FW179" i="2"/>
  <c r="FP179" i="2"/>
  <c r="FH179" i="2"/>
  <c r="FE179" i="2"/>
  <c r="FD179" i="2"/>
  <c r="FC179" i="2"/>
  <c r="EF179" i="2"/>
  <c r="EE179" i="2"/>
  <c r="DU179" i="2"/>
  <c r="DQ179" i="2"/>
  <c r="DP179" i="2"/>
  <c r="DM179" i="2"/>
  <c r="DJ179" i="2"/>
  <c r="DG179" i="2"/>
  <c r="DF179" i="2"/>
  <c r="DE179" i="2"/>
  <c r="DD179" i="2"/>
  <c r="CY179" i="2"/>
  <c r="CW179" i="2"/>
  <c r="CV179" i="2"/>
  <c r="CU179" i="2"/>
  <c r="CT179" i="2"/>
  <c r="CS179" i="2"/>
  <c r="CM179" i="2"/>
  <c r="CH179" i="2"/>
  <c r="CG179" i="2"/>
  <c r="CE179" i="2"/>
  <c r="CF179" i="2" s="1"/>
  <c r="BX179" i="2"/>
  <c r="BW179" i="2"/>
  <c r="BV179" i="2"/>
  <c r="BU179" i="2"/>
  <c r="BT179" i="2"/>
  <c r="BP179" i="2"/>
  <c r="BK179" i="2"/>
  <c r="BJ179" i="2"/>
  <c r="BI179" i="2"/>
  <c r="BD179" i="2"/>
  <c r="BA179" i="2"/>
  <c r="AZ179" i="2"/>
  <c r="AY179" i="2"/>
  <c r="AX179" i="2"/>
  <c r="AW179" i="2"/>
  <c r="AV179" i="2"/>
  <c r="AR179" i="2"/>
  <c r="AQ179" i="2"/>
  <c r="AP179" i="2"/>
  <c r="AO179" i="2"/>
  <c r="AN179" i="2" s="1"/>
  <c r="AJ179" i="2"/>
  <c r="AC179" i="2"/>
  <c r="AB179" i="2"/>
  <c r="Z179" i="2"/>
  <c r="V179" i="2"/>
  <c r="W179" i="2" s="1"/>
  <c r="U179" i="2"/>
  <c r="T179" i="2"/>
  <c r="S179" i="2"/>
  <c r="R179" i="2"/>
  <c r="Q179" i="2"/>
  <c r="P179" i="2"/>
  <c r="O179" i="2"/>
  <c r="N179" i="2"/>
  <c r="M179" i="2"/>
  <c r="K179" i="2"/>
  <c r="J179" i="2"/>
  <c r="I179" i="2"/>
  <c r="G179" i="2"/>
  <c r="F179" i="2"/>
  <c r="E179" i="2"/>
  <c r="D179" i="2"/>
  <c r="HA173" i="2"/>
  <c r="GY173" i="2"/>
  <c r="GX173" i="2"/>
  <c r="GN173" i="2"/>
  <c r="GM173" i="2"/>
  <c r="GE173" i="2"/>
  <c r="GD173" i="2"/>
  <c r="FZ173" i="2"/>
  <c r="FY173" i="2"/>
  <c r="FX173" i="2"/>
  <c r="FW173" i="2"/>
  <c r="FP173" i="2"/>
  <c r="FH173" i="2"/>
  <c r="FE173" i="2"/>
  <c r="FD173" i="2"/>
  <c r="FC173" i="2"/>
  <c r="EF173" i="2"/>
  <c r="EE173" i="2"/>
  <c r="DU173" i="2"/>
  <c r="DQ173" i="2"/>
  <c r="DP173" i="2"/>
  <c r="DM173" i="2"/>
  <c r="DJ173" i="2"/>
  <c r="DG173" i="2"/>
  <c r="DF173" i="2"/>
  <c r="DE173" i="2"/>
  <c r="DD173" i="2"/>
  <c r="CY173" i="2"/>
  <c r="CW173" i="2"/>
  <c r="CV173" i="2"/>
  <c r="CU173" i="2"/>
  <c r="CT173" i="2"/>
  <c r="CS173" i="2"/>
  <c r="CM173" i="2"/>
  <c r="CH173" i="2"/>
  <c r="CG173" i="2"/>
  <c r="CE173" i="2"/>
  <c r="CF173" i="2" s="1"/>
  <c r="BX173" i="2"/>
  <c r="BW173" i="2"/>
  <c r="BV173" i="2"/>
  <c r="BU173" i="2"/>
  <c r="BT173" i="2"/>
  <c r="BP173" i="2"/>
  <c r="BK173" i="2"/>
  <c r="BJ173" i="2"/>
  <c r="BI173" i="2"/>
  <c r="BD173" i="2"/>
  <c r="BA173" i="2"/>
  <c r="AZ173" i="2"/>
  <c r="AY173" i="2"/>
  <c r="AX173" i="2"/>
  <c r="AW173" i="2"/>
  <c r="AV173" i="2"/>
  <c r="AR173" i="2"/>
  <c r="AQ173" i="2"/>
  <c r="AP173" i="2"/>
  <c r="AO173" i="2"/>
  <c r="BH173" i="2" s="1"/>
  <c r="AJ173" i="2"/>
  <c r="AC173" i="2"/>
  <c r="AB173" i="2"/>
  <c r="Z173" i="2"/>
  <c r="V173" i="2"/>
  <c r="W173" i="2" s="1"/>
  <c r="U173" i="2"/>
  <c r="T173" i="2"/>
  <c r="S173" i="2"/>
  <c r="R173" i="2"/>
  <c r="Q173" i="2"/>
  <c r="P173" i="2"/>
  <c r="O173" i="2"/>
  <c r="N173" i="2"/>
  <c r="M173" i="2"/>
  <c r="K173" i="2"/>
  <c r="J173" i="2"/>
  <c r="I173" i="2"/>
  <c r="G173" i="2"/>
  <c r="F173" i="2"/>
  <c r="E173" i="2"/>
  <c r="D173" i="2"/>
  <c r="HA149" i="2"/>
  <c r="GY149" i="2"/>
  <c r="GX149" i="2"/>
  <c r="GN149" i="2"/>
  <c r="GM149" i="2"/>
  <c r="GE149" i="2"/>
  <c r="GD149" i="2"/>
  <c r="FZ149" i="2"/>
  <c r="FY149" i="2"/>
  <c r="FX149" i="2"/>
  <c r="FW149" i="2"/>
  <c r="FP149" i="2"/>
  <c r="FH149" i="2"/>
  <c r="FE149" i="2"/>
  <c r="FD149" i="2"/>
  <c r="FC149" i="2"/>
  <c r="EF149" i="2"/>
  <c r="EE149" i="2"/>
  <c r="DU149" i="2"/>
  <c r="DQ149" i="2"/>
  <c r="DP149" i="2"/>
  <c r="DM149" i="2"/>
  <c r="DJ149" i="2"/>
  <c r="DG149" i="2"/>
  <c r="DF149" i="2"/>
  <c r="DE149" i="2"/>
  <c r="DD149" i="2"/>
  <c r="CY149" i="2"/>
  <c r="CW149" i="2"/>
  <c r="CV149" i="2"/>
  <c r="CU149" i="2"/>
  <c r="CT149" i="2"/>
  <c r="CS149" i="2"/>
  <c r="CM149" i="2"/>
  <c r="CH149" i="2"/>
  <c r="CG149" i="2"/>
  <c r="CE149" i="2"/>
  <c r="CF149" i="2" s="1"/>
  <c r="BX149" i="2"/>
  <c r="BW149" i="2"/>
  <c r="BV149" i="2"/>
  <c r="BU149" i="2"/>
  <c r="BT149" i="2"/>
  <c r="BP149" i="2"/>
  <c r="BK149" i="2"/>
  <c r="BJ149" i="2"/>
  <c r="BI149" i="2"/>
  <c r="BD149" i="2"/>
  <c r="BA149" i="2"/>
  <c r="AZ149" i="2"/>
  <c r="AY149" i="2"/>
  <c r="AX149" i="2"/>
  <c r="AW149" i="2"/>
  <c r="AV149" i="2"/>
  <c r="AR149" i="2"/>
  <c r="AQ149" i="2"/>
  <c r="AP149" i="2"/>
  <c r="AO149" i="2"/>
  <c r="AN149" i="2" s="1"/>
  <c r="AJ149" i="2"/>
  <c r="AC149" i="2"/>
  <c r="AB149" i="2"/>
  <c r="Z149" i="2"/>
  <c r="V149" i="2"/>
  <c r="U149" i="2"/>
  <c r="T149" i="2"/>
  <c r="S149" i="2"/>
  <c r="R149" i="2"/>
  <c r="Q149" i="2"/>
  <c r="P149" i="2"/>
  <c r="O149" i="2"/>
  <c r="N149" i="2"/>
  <c r="M149" i="2"/>
  <c r="K149" i="2"/>
  <c r="J149" i="2"/>
  <c r="I149" i="2"/>
  <c r="G149" i="2"/>
  <c r="F149" i="2"/>
  <c r="E149" i="2"/>
  <c r="D149" i="2"/>
  <c r="HA118" i="2"/>
  <c r="GY118" i="2"/>
  <c r="GX118" i="2"/>
  <c r="GN118" i="2"/>
  <c r="GM118" i="2"/>
  <c r="GE118" i="2"/>
  <c r="GD118" i="2"/>
  <c r="FZ118" i="2"/>
  <c r="FY118" i="2"/>
  <c r="FX118" i="2"/>
  <c r="FW118" i="2"/>
  <c r="FP118" i="2"/>
  <c r="FH118" i="2"/>
  <c r="FE118" i="2"/>
  <c r="FD118" i="2"/>
  <c r="FC118" i="2"/>
  <c r="EF118" i="2"/>
  <c r="EE118" i="2"/>
  <c r="DU118" i="2"/>
  <c r="DQ118" i="2"/>
  <c r="DP118" i="2"/>
  <c r="DM118" i="2"/>
  <c r="DJ118" i="2"/>
  <c r="DG118" i="2"/>
  <c r="DF118" i="2"/>
  <c r="DE118" i="2"/>
  <c r="DD118" i="2"/>
  <c r="CY118" i="2"/>
  <c r="CW118" i="2"/>
  <c r="CV118" i="2"/>
  <c r="CU118" i="2"/>
  <c r="CT118" i="2"/>
  <c r="CS118" i="2"/>
  <c r="CM118" i="2"/>
  <c r="CH118" i="2"/>
  <c r="CG118" i="2"/>
  <c r="CE118" i="2"/>
  <c r="CF118" i="2" s="1"/>
  <c r="BX118" i="2"/>
  <c r="BW118" i="2"/>
  <c r="BV118" i="2"/>
  <c r="BU118" i="2"/>
  <c r="BT118" i="2"/>
  <c r="BP118" i="2"/>
  <c r="BK118" i="2"/>
  <c r="BJ118" i="2"/>
  <c r="BI118" i="2"/>
  <c r="BD118" i="2"/>
  <c r="BA118" i="2"/>
  <c r="AZ118" i="2"/>
  <c r="AY118" i="2"/>
  <c r="AX118" i="2"/>
  <c r="AW118" i="2"/>
  <c r="AV118" i="2"/>
  <c r="AR118" i="2"/>
  <c r="AQ118" i="2"/>
  <c r="AP118" i="2"/>
  <c r="AO118" i="2"/>
  <c r="AN118" i="2" s="1"/>
  <c r="AJ118" i="2"/>
  <c r="AC118" i="2"/>
  <c r="AB118" i="2"/>
  <c r="Z118" i="2"/>
  <c r="V118" i="2"/>
  <c r="U118" i="2"/>
  <c r="T118" i="2"/>
  <c r="S118" i="2"/>
  <c r="R118" i="2"/>
  <c r="Q118" i="2"/>
  <c r="P118" i="2"/>
  <c r="O118" i="2"/>
  <c r="N118" i="2"/>
  <c r="M118" i="2"/>
  <c r="K118" i="2"/>
  <c r="J118" i="2"/>
  <c r="I118" i="2"/>
  <c r="G118" i="2"/>
  <c r="F118" i="2"/>
  <c r="E118" i="2"/>
  <c r="D118" i="2"/>
  <c r="HA47" i="2"/>
  <c r="GY47" i="2"/>
  <c r="GX47" i="2"/>
  <c r="GN47" i="2"/>
  <c r="GM47" i="2"/>
  <c r="GE47" i="2"/>
  <c r="GD47" i="2"/>
  <c r="FZ47" i="2"/>
  <c r="FY47" i="2"/>
  <c r="FX47" i="2"/>
  <c r="FW47" i="2"/>
  <c r="FP47" i="2"/>
  <c r="FH47" i="2"/>
  <c r="FE47" i="2"/>
  <c r="FD47" i="2"/>
  <c r="FC47" i="2"/>
  <c r="EF47" i="2"/>
  <c r="EE47" i="2"/>
  <c r="DU47" i="2"/>
  <c r="DQ47" i="2"/>
  <c r="DP47" i="2"/>
  <c r="DM47" i="2"/>
  <c r="DJ47" i="2"/>
  <c r="DG47" i="2"/>
  <c r="DF47" i="2"/>
  <c r="DE47" i="2"/>
  <c r="DD47" i="2"/>
  <c r="CY47" i="2"/>
  <c r="CW47" i="2"/>
  <c r="CV47" i="2"/>
  <c r="CU47" i="2"/>
  <c r="CT47" i="2"/>
  <c r="CS47" i="2"/>
  <c r="CM47" i="2"/>
  <c r="CH47" i="2"/>
  <c r="CG47" i="2"/>
  <c r="CE47" i="2"/>
  <c r="CF47" i="2" s="1"/>
  <c r="BX47" i="2"/>
  <c r="BW47" i="2"/>
  <c r="BV47" i="2"/>
  <c r="BU47" i="2"/>
  <c r="BT47" i="2"/>
  <c r="BP47" i="2"/>
  <c r="BK47" i="2"/>
  <c r="BJ47" i="2"/>
  <c r="BI47" i="2"/>
  <c r="BD47" i="2"/>
  <c r="BA47" i="2"/>
  <c r="AZ47" i="2"/>
  <c r="AY47" i="2"/>
  <c r="AX47" i="2"/>
  <c r="AW47" i="2"/>
  <c r="AV47" i="2"/>
  <c r="AR47" i="2"/>
  <c r="AQ47" i="2"/>
  <c r="AP47" i="2"/>
  <c r="AO47" i="2"/>
  <c r="AN47" i="2" s="1"/>
  <c r="AJ47" i="2"/>
  <c r="AC47" i="2"/>
  <c r="AB47" i="2"/>
  <c r="Z47" i="2"/>
  <c r="V47" i="2"/>
  <c r="U47" i="2"/>
  <c r="T47" i="2"/>
  <c r="S47" i="2"/>
  <c r="R47" i="2"/>
  <c r="Q47" i="2"/>
  <c r="P47" i="2"/>
  <c r="O47" i="2"/>
  <c r="N47" i="2"/>
  <c r="M47" i="2"/>
  <c r="K47" i="2"/>
  <c r="J47" i="2"/>
  <c r="I47" i="2"/>
  <c r="G47" i="2"/>
  <c r="F47" i="2"/>
  <c r="E47" i="2"/>
  <c r="D47" i="2"/>
  <c r="CL179" i="2" l="1"/>
  <c r="DH179" i="2"/>
  <c r="EY179" i="2" s="1"/>
  <c r="GR179" i="2"/>
  <c r="HB223" i="2"/>
  <c r="EX179" i="2"/>
  <c r="HB179" i="2"/>
  <c r="DH223" i="2"/>
  <c r="EY223" i="2" s="1"/>
  <c r="CL223" i="2"/>
  <c r="EX223" i="2"/>
  <c r="X223" i="2"/>
  <c r="DL223" i="2"/>
  <c r="EW223" i="2"/>
  <c r="GR223" i="2"/>
  <c r="BH223" i="2"/>
  <c r="CX223" i="2"/>
  <c r="DA223" i="2" s="1"/>
  <c r="AE223" i="2"/>
  <c r="FG223" i="2"/>
  <c r="X179" i="2"/>
  <c r="DL179" i="2"/>
  <c r="EW179" i="2"/>
  <c r="BH179" i="2"/>
  <c r="CX179" i="2"/>
  <c r="DA179" i="2" s="1"/>
  <c r="AE179" i="2"/>
  <c r="FG179" i="2"/>
  <c r="DH173" i="2"/>
  <c r="EY173" i="2" s="1"/>
  <c r="CL173" i="2"/>
  <c r="HB173" i="2"/>
  <c r="EX173" i="2"/>
  <c r="GR173" i="2"/>
  <c r="DH118" i="2"/>
  <c r="EY118" i="2" s="1"/>
  <c r="DL173" i="2"/>
  <c r="EW173" i="2"/>
  <c r="AE173" i="2"/>
  <c r="AN173" i="2"/>
  <c r="CX173" i="2"/>
  <c r="DA173" i="2" s="1"/>
  <c r="DH149" i="2"/>
  <c r="EY149" i="2" s="1"/>
  <c r="HB149" i="2"/>
  <c r="X173" i="2"/>
  <c r="FG173" i="2"/>
  <c r="HB118" i="2"/>
  <c r="CL149" i="2"/>
  <c r="EX149" i="2"/>
  <c r="X149" i="2"/>
  <c r="DL149" i="2"/>
  <c r="EW149" i="2"/>
  <c r="GR149" i="2"/>
  <c r="BH149" i="2"/>
  <c r="CX149" i="2"/>
  <c r="DA149" i="2" s="1"/>
  <c r="AE149" i="2"/>
  <c r="FG149" i="2"/>
  <c r="CL118" i="2"/>
  <c r="EX118" i="2"/>
  <c r="HB47" i="2"/>
  <c r="X118" i="2"/>
  <c r="DL118" i="2"/>
  <c r="EW118" i="2"/>
  <c r="GR118" i="2"/>
  <c r="BH118" i="2"/>
  <c r="CX118" i="2"/>
  <c r="DA118" i="2" s="1"/>
  <c r="AE118" i="2"/>
  <c r="FG118" i="2"/>
  <c r="CL47" i="2"/>
  <c r="DH47" i="2"/>
  <c r="EY47" i="2" s="1"/>
  <c r="EX47" i="2"/>
  <c r="X47" i="2"/>
  <c r="GR47" i="2"/>
  <c r="DL47" i="2"/>
  <c r="EW47" i="2"/>
  <c r="BH47" i="2"/>
  <c r="CX47" i="2"/>
  <c r="DA47" i="2" s="1"/>
  <c r="AE47" i="2"/>
  <c r="FG47" i="2"/>
  <c r="N18" i="6"/>
  <c r="K18" i="6"/>
  <c r="J18" i="6"/>
  <c r="I18" i="6"/>
  <c r="EZ223" i="2" l="1"/>
  <c r="FA223" i="2" s="1"/>
  <c r="EZ179" i="2"/>
  <c r="FA179" i="2" s="1"/>
  <c r="EZ173" i="2"/>
  <c r="FA173" i="2" s="1"/>
  <c r="EZ149" i="2"/>
  <c r="FA149" i="2" s="1"/>
  <c r="EZ118" i="2"/>
  <c r="FA118" i="2" s="1"/>
  <c r="EZ47" i="2"/>
  <c r="FA47" i="2" s="1"/>
  <c r="HA268" i="2"/>
  <c r="GY268" i="2"/>
  <c r="GX268" i="2"/>
  <c r="GN268" i="2"/>
  <c r="GM268" i="2"/>
  <c r="GE268" i="2"/>
  <c r="GD268" i="2"/>
  <c r="FZ268" i="2"/>
  <c r="FY268" i="2"/>
  <c r="FX268" i="2"/>
  <c r="FW268" i="2"/>
  <c r="FP268" i="2"/>
  <c r="FH268" i="2"/>
  <c r="FE268" i="2"/>
  <c r="FD268" i="2"/>
  <c r="FC268" i="2"/>
  <c r="EF268" i="2"/>
  <c r="EE268" i="2"/>
  <c r="DU268" i="2"/>
  <c r="DQ268" i="2"/>
  <c r="DP268" i="2"/>
  <c r="DM268" i="2"/>
  <c r="DJ268" i="2"/>
  <c r="DG268" i="2"/>
  <c r="DF268" i="2"/>
  <c r="DE268" i="2"/>
  <c r="DD268" i="2"/>
  <c r="CY268" i="2"/>
  <c r="CW268" i="2"/>
  <c r="CV268" i="2"/>
  <c r="CU268" i="2"/>
  <c r="CT268" i="2"/>
  <c r="CS268" i="2"/>
  <c r="CM268" i="2"/>
  <c r="CH268" i="2"/>
  <c r="CG268" i="2"/>
  <c r="CE268" i="2"/>
  <c r="CF268" i="2" s="1"/>
  <c r="BX268" i="2"/>
  <c r="BW268" i="2"/>
  <c r="BV268" i="2"/>
  <c r="BU268" i="2"/>
  <c r="BT268" i="2"/>
  <c r="BP268" i="2"/>
  <c r="BK268" i="2"/>
  <c r="BJ268" i="2"/>
  <c r="BI268" i="2"/>
  <c r="BD268" i="2"/>
  <c r="BA268" i="2"/>
  <c r="AZ268" i="2"/>
  <c r="AY268" i="2"/>
  <c r="AX268" i="2"/>
  <c r="AW268" i="2"/>
  <c r="AV268" i="2"/>
  <c r="AR268" i="2"/>
  <c r="AQ268" i="2"/>
  <c r="AP268" i="2"/>
  <c r="AO268" i="2"/>
  <c r="AN268" i="2" s="1"/>
  <c r="AJ268" i="2"/>
  <c r="AC268" i="2"/>
  <c r="AB268" i="2"/>
  <c r="Z268" i="2"/>
  <c r="V268" i="2"/>
  <c r="U268" i="2"/>
  <c r="T268" i="2"/>
  <c r="S268" i="2"/>
  <c r="R268" i="2"/>
  <c r="Q268" i="2"/>
  <c r="P268" i="2"/>
  <c r="O268" i="2"/>
  <c r="N268" i="2"/>
  <c r="M268" i="2"/>
  <c r="K268" i="2"/>
  <c r="J268" i="2"/>
  <c r="I268" i="2"/>
  <c r="G268" i="2"/>
  <c r="F268" i="2"/>
  <c r="D268" i="2"/>
  <c r="X268" i="2" l="1"/>
  <c r="DH268" i="2"/>
  <c r="EY268" i="2" s="1"/>
  <c r="HB268" i="2"/>
  <c r="CL268" i="2"/>
  <c r="EX268" i="2"/>
  <c r="DL268" i="2"/>
  <c r="EW268" i="2"/>
  <c r="GR268" i="2"/>
  <c r="BH268" i="2"/>
  <c r="CX268" i="2"/>
  <c r="DA268" i="2" s="1"/>
  <c r="AE268" i="2"/>
  <c r="FG268" i="2"/>
  <c r="K18" i="12"/>
  <c r="J18" i="12"/>
  <c r="K63" i="12"/>
  <c r="K19" i="12" l="1"/>
  <c r="EZ268" i="2"/>
  <c r="FA268" i="2" s="1"/>
  <c r="T27" i="6" l="1"/>
  <c r="I7" i="6"/>
  <c r="I6" i="6"/>
  <c r="I4" i="6"/>
  <c r="I3" i="6"/>
  <c r="M90" i="6"/>
  <c r="M84" i="6"/>
  <c r="J33" i="6"/>
  <c r="I33" i="6"/>
  <c r="V19" i="6"/>
  <c r="L86" i="6"/>
  <c r="L92" i="6" s="1"/>
  <c r="L70" i="6"/>
  <c r="L76" i="6" s="1"/>
  <c r="L60" i="6"/>
  <c r="L53" i="6"/>
  <c r="G33" i="6"/>
  <c r="X27" i="6" l="1"/>
  <c r="Z27" i="6" s="1"/>
  <c r="AB27" i="6" s="1"/>
  <c r="L101" i="6"/>
  <c r="I5" i="6"/>
  <c r="V32" i="7"/>
  <c r="H100" i="11"/>
  <c r="G100" i="11"/>
  <c r="F100" i="11"/>
  <c r="D100" i="11"/>
  <c r="C100" i="11"/>
  <c r="B100" i="11"/>
  <c r="C18" i="9" l="1"/>
  <c r="N18" i="9" s="1"/>
  <c r="DO334" i="2" l="1"/>
  <c r="DS334" i="2"/>
  <c r="DT334" i="2"/>
  <c r="BP7" i="2" l="1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2" i="2"/>
  <c r="BP23" i="2"/>
  <c r="BP24" i="2"/>
  <c r="BP25" i="2"/>
  <c r="BP26" i="2"/>
  <c r="BP27" i="2"/>
  <c r="BP28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4" i="2"/>
  <c r="BP105" i="2"/>
  <c r="BP106" i="2"/>
  <c r="BP107" i="2"/>
  <c r="BP108" i="2"/>
  <c r="BP109" i="2"/>
  <c r="BP110" i="2"/>
  <c r="BP111" i="2"/>
  <c r="BP113" i="2"/>
  <c r="BP114" i="2"/>
  <c r="BP115" i="2"/>
  <c r="BP116" i="2"/>
  <c r="BP117" i="2"/>
  <c r="BP119" i="2"/>
  <c r="BP120" i="2"/>
  <c r="BP121" i="2"/>
  <c r="BP122" i="2"/>
  <c r="BP123" i="2"/>
  <c r="BP124" i="2"/>
  <c r="BP125" i="2"/>
  <c r="BP126" i="2"/>
  <c r="BP127" i="2"/>
  <c r="BP128" i="2"/>
  <c r="BP130" i="2"/>
  <c r="BP131" i="2"/>
  <c r="BP135" i="2"/>
  <c r="BP136" i="2"/>
  <c r="BP137" i="2"/>
  <c r="BP138" i="2"/>
  <c r="BP139" i="2"/>
  <c r="BP140" i="2"/>
  <c r="BP142" i="2"/>
  <c r="BP143" i="2"/>
  <c r="BP144" i="2"/>
  <c r="BP145" i="2"/>
  <c r="BP146" i="2"/>
  <c r="BP147" i="2"/>
  <c r="BP150" i="2"/>
  <c r="BP151" i="2"/>
  <c r="BP152" i="2"/>
  <c r="BP153" i="2"/>
  <c r="BP154" i="2"/>
  <c r="BP155" i="2"/>
  <c r="BP156" i="2"/>
  <c r="BP157" i="2"/>
  <c r="BP158" i="2"/>
  <c r="BP159" i="2"/>
  <c r="BP160" i="2"/>
  <c r="BP161" i="2"/>
  <c r="BP162" i="2"/>
  <c r="BP163" i="2"/>
  <c r="BP164" i="2"/>
  <c r="BP165" i="2"/>
  <c r="BP166" i="2"/>
  <c r="BP167" i="2"/>
  <c r="BP168" i="2"/>
  <c r="BP169" i="2"/>
  <c r="BP171" i="2"/>
  <c r="BP172" i="2"/>
  <c r="BP174" i="2"/>
  <c r="BP175" i="2"/>
  <c r="BP180" i="2"/>
  <c r="BP182" i="2"/>
  <c r="BP183" i="2"/>
  <c r="BP184" i="2"/>
  <c r="BP185" i="2"/>
  <c r="BP186" i="2"/>
  <c r="BP188" i="2"/>
  <c r="BP189" i="2"/>
  <c r="BP190" i="2"/>
  <c r="BP191" i="2"/>
  <c r="BP192" i="2"/>
  <c r="BP193" i="2"/>
  <c r="BP194" i="2"/>
  <c r="BP196" i="2"/>
  <c r="BP197" i="2"/>
  <c r="BP198" i="2"/>
  <c r="BP199" i="2"/>
  <c r="BP200" i="2"/>
  <c r="BP202" i="2"/>
  <c r="BP203" i="2"/>
  <c r="BP204" i="2"/>
  <c r="BP209" i="2"/>
  <c r="BP210" i="2"/>
  <c r="BP212" i="2"/>
  <c r="BP213" i="2"/>
  <c r="BP215" i="2"/>
  <c r="BP216" i="2"/>
  <c r="BP218" i="2"/>
  <c r="BP219" i="2"/>
  <c r="BP220" i="2"/>
  <c r="BP221" i="2"/>
  <c r="BP224" i="2"/>
  <c r="BP225" i="2"/>
  <c r="BP226" i="2"/>
  <c r="BP227" i="2"/>
  <c r="BP228" i="2"/>
  <c r="BP229" i="2"/>
  <c r="BP230" i="2"/>
  <c r="BP231" i="2"/>
  <c r="BP232" i="2"/>
  <c r="BP233" i="2"/>
  <c r="BP234" i="2"/>
  <c r="BP235" i="2"/>
  <c r="BP236" i="2"/>
  <c r="BP237" i="2"/>
  <c r="BP238" i="2"/>
  <c r="BP239" i="2"/>
  <c r="BP240" i="2"/>
  <c r="BP241" i="2"/>
  <c r="BP242" i="2"/>
  <c r="BP243" i="2"/>
  <c r="BP244" i="2"/>
  <c r="BP246" i="2"/>
  <c r="BP247" i="2"/>
  <c r="BP249" i="2"/>
  <c r="BP250" i="2"/>
  <c r="BP251" i="2"/>
  <c r="BP252" i="2"/>
  <c r="BP254" i="2"/>
  <c r="BP256" i="2"/>
  <c r="BP257" i="2"/>
  <c r="BP258" i="2"/>
  <c r="BP259" i="2"/>
  <c r="BP260" i="2"/>
  <c r="BP261" i="2"/>
  <c r="BP262" i="2"/>
  <c r="BP263" i="2"/>
  <c r="BP264" i="2"/>
  <c r="BP265" i="2"/>
  <c r="BP266" i="2"/>
  <c r="BP267" i="2"/>
  <c r="BP271" i="2"/>
  <c r="BP272" i="2"/>
  <c r="BP273" i="2"/>
  <c r="BP275" i="2"/>
  <c r="BP280" i="2"/>
  <c r="BP6" i="2"/>
  <c r="FV283" i="2"/>
  <c r="BP281" i="2" l="1"/>
  <c r="BP283" i="2" s="1"/>
  <c r="AD238" i="2"/>
  <c r="AD237" i="2"/>
  <c r="AD236" i="2"/>
  <c r="AD235" i="2"/>
  <c r="R2" i="6"/>
  <c r="AD2" i="6" s="1"/>
  <c r="R3" i="6"/>
  <c r="AD3" i="6" s="1"/>
  <c r="R4" i="6"/>
  <c r="AD4" i="6" s="1"/>
  <c r="R6" i="6"/>
  <c r="AD6" i="6" s="1"/>
  <c r="R5" i="6"/>
  <c r="AD5" i="6" s="1"/>
  <c r="AD239" i="2"/>
  <c r="R7" i="6"/>
  <c r="AD7" i="6" s="1"/>
  <c r="U34" i="6"/>
  <c r="O6" i="6"/>
  <c r="O34" i="6" s="1"/>
  <c r="E6" i="6"/>
  <c r="C6" i="6"/>
  <c r="N12" i="6"/>
  <c r="HA239" i="2"/>
  <c r="GY239" i="2"/>
  <c r="GX239" i="2"/>
  <c r="GN239" i="2"/>
  <c r="GM239" i="2"/>
  <c r="GE239" i="2"/>
  <c r="GD239" i="2"/>
  <c r="FZ239" i="2"/>
  <c r="FY239" i="2"/>
  <c r="FX239" i="2"/>
  <c r="FW239" i="2"/>
  <c r="FP239" i="2"/>
  <c r="FH239" i="2"/>
  <c r="FE239" i="2"/>
  <c r="FD239" i="2"/>
  <c r="FC239" i="2"/>
  <c r="EF239" i="2"/>
  <c r="EE239" i="2"/>
  <c r="DU239" i="2"/>
  <c r="DQ239" i="2"/>
  <c r="DP239" i="2"/>
  <c r="DM239" i="2"/>
  <c r="DJ239" i="2"/>
  <c r="DG239" i="2"/>
  <c r="DF239" i="2"/>
  <c r="DE239" i="2"/>
  <c r="DD239" i="2"/>
  <c r="CY239" i="2"/>
  <c r="CW239" i="2"/>
  <c r="CV239" i="2"/>
  <c r="CU239" i="2"/>
  <c r="CT239" i="2"/>
  <c r="CS239" i="2"/>
  <c r="CM239" i="2"/>
  <c r="CH239" i="2"/>
  <c r="CG239" i="2"/>
  <c r="CE239" i="2"/>
  <c r="CF239" i="2" s="1"/>
  <c r="BX239" i="2"/>
  <c r="BW239" i="2"/>
  <c r="BV239" i="2"/>
  <c r="BU239" i="2"/>
  <c r="BT239" i="2"/>
  <c r="BK239" i="2"/>
  <c r="BJ239" i="2"/>
  <c r="BI239" i="2"/>
  <c r="BD239" i="2"/>
  <c r="BA239" i="2"/>
  <c r="AZ239" i="2"/>
  <c r="AY239" i="2"/>
  <c r="AX239" i="2"/>
  <c r="AW239" i="2"/>
  <c r="AV239" i="2"/>
  <c r="AR239" i="2"/>
  <c r="AQ239" i="2"/>
  <c r="AP239" i="2"/>
  <c r="AO239" i="2"/>
  <c r="BH239" i="2" s="1"/>
  <c r="AJ239" i="2"/>
  <c r="AC239" i="2"/>
  <c r="AB239" i="2"/>
  <c r="V239" i="2"/>
  <c r="U239" i="2"/>
  <c r="T239" i="2"/>
  <c r="S239" i="2"/>
  <c r="R239" i="2"/>
  <c r="Q239" i="2"/>
  <c r="P239" i="2"/>
  <c r="O239" i="2"/>
  <c r="N239" i="2"/>
  <c r="M239" i="2"/>
  <c r="K239" i="2"/>
  <c r="J239" i="2"/>
  <c r="I239" i="2"/>
  <c r="G239" i="2"/>
  <c r="F239" i="2"/>
  <c r="E239" i="2"/>
  <c r="D239" i="2"/>
  <c r="HA238" i="2"/>
  <c r="GY238" i="2"/>
  <c r="GX238" i="2"/>
  <c r="GN238" i="2"/>
  <c r="GM238" i="2"/>
  <c r="GE238" i="2"/>
  <c r="GD238" i="2"/>
  <c r="FZ238" i="2"/>
  <c r="FY238" i="2"/>
  <c r="FX238" i="2"/>
  <c r="FW238" i="2"/>
  <c r="FP238" i="2"/>
  <c r="FH238" i="2"/>
  <c r="FE238" i="2"/>
  <c r="FD238" i="2"/>
  <c r="FC238" i="2"/>
  <c r="EF238" i="2"/>
  <c r="EE238" i="2"/>
  <c r="DU238" i="2"/>
  <c r="DQ238" i="2"/>
  <c r="DP238" i="2"/>
  <c r="DM238" i="2"/>
  <c r="DJ238" i="2"/>
  <c r="DG238" i="2"/>
  <c r="DF238" i="2"/>
  <c r="DE238" i="2"/>
  <c r="DD238" i="2"/>
  <c r="CY238" i="2"/>
  <c r="CW238" i="2"/>
  <c r="CV238" i="2"/>
  <c r="CU238" i="2"/>
  <c r="CT238" i="2"/>
  <c r="CS238" i="2"/>
  <c r="CM238" i="2"/>
  <c r="CH238" i="2"/>
  <c r="CG238" i="2"/>
  <c r="CE238" i="2"/>
  <c r="CL238" i="2" s="1"/>
  <c r="BX238" i="2"/>
  <c r="BW238" i="2"/>
  <c r="BV238" i="2"/>
  <c r="BU238" i="2"/>
  <c r="BT238" i="2"/>
  <c r="BK238" i="2"/>
  <c r="BJ238" i="2"/>
  <c r="BI238" i="2"/>
  <c r="BD238" i="2"/>
  <c r="BA238" i="2"/>
  <c r="AZ238" i="2"/>
  <c r="AY238" i="2"/>
  <c r="AX238" i="2"/>
  <c r="AW238" i="2"/>
  <c r="AV238" i="2"/>
  <c r="AR238" i="2"/>
  <c r="AQ238" i="2"/>
  <c r="AP238" i="2"/>
  <c r="AO238" i="2"/>
  <c r="BH238" i="2" s="1"/>
  <c r="AJ238" i="2"/>
  <c r="AC238" i="2"/>
  <c r="AB238" i="2"/>
  <c r="V238" i="2"/>
  <c r="U238" i="2"/>
  <c r="T238" i="2"/>
  <c r="S238" i="2"/>
  <c r="R238" i="2"/>
  <c r="Q238" i="2"/>
  <c r="P238" i="2"/>
  <c r="O238" i="2"/>
  <c r="N238" i="2"/>
  <c r="M238" i="2"/>
  <c r="K238" i="2"/>
  <c r="J238" i="2"/>
  <c r="I238" i="2"/>
  <c r="G238" i="2"/>
  <c r="F238" i="2"/>
  <c r="E238" i="2"/>
  <c r="D238" i="2"/>
  <c r="HA237" i="2"/>
  <c r="GY237" i="2"/>
  <c r="GX237" i="2"/>
  <c r="GN237" i="2"/>
  <c r="GM237" i="2"/>
  <c r="GE237" i="2"/>
  <c r="GD237" i="2"/>
  <c r="FZ237" i="2"/>
  <c r="FY237" i="2"/>
  <c r="FX237" i="2"/>
  <c r="FW237" i="2"/>
  <c r="FP237" i="2"/>
  <c r="FH237" i="2"/>
  <c r="FE237" i="2"/>
  <c r="FD237" i="2"/>
  <c r="FC237" i="2"/>
  <c r="EF237" i="2"/>
  <c r="EE237" i="2"/>
  <c r="DU237" i="2"/>
  <c r="DQ237" i="2"/>
  <c r="DP237" i="2"/>
  <c r="DM237" i="2"/>
  <c r="DJ237" i="2"/>
  <c r="DG237" i="2"/>
  <c r="DF237" i="2"/>
  <c r="DE237" i="2"/>
  <c r="DD237" i="2"/>
  <c r="CY237" i="2"/>
  <c r="CW237" i="2"/>
  <c r="CV237" i="2"/>
  <c r="CU237" i="2"/>
  <c r="CT237" i="2"/>
  <c r="CS237" i="2"/>
  <c r="CM237" i="2"/>
  <c r="CH237" i="2"/>
  <c r="CG237" i="2"/>
  <c r="CE237" i="2"/>
  <c r="CL237" i="2" s="1"/>
  <c r="BX237" i="2"/>
  <c r="BW237" i="2"/>
  <c r="BV237" i="2"/>
  <c r="BU237" i="2"/>
  <c r="BT237" i="2"/>
  <c r="BK237" i="2"/>
  <c r="BJ237" i="2"/>
  <c r="BI237" i="2"/>
  <c r="BD237" i="2"/>
  <c r="BA237" i="2"/>
  <c r="AZ237" i="2"/>
  <c r="AY237" i="2"/>
  <c r="AX237" i="2"/>
  <c r="AW237" i="2"/>
  <c r="AV237" i="2"/>
  <c r="AR237" i="2"/>
  <c r="AQ237" i="2"/>
  <c r="AP237" i="2"/>
  <c r="AO237" i="2"/>
  <c r="BH237" i="2" s="1"/>
  <c r="AJ237" i="2"/>
  <c r="AC237" i="2"/>
  <c r="AB237" i="2"/>
  <c r="V237" i="2"/>
  <c r="U237" i="2"/>
  <c r="T237" i="2"/>
  <c r="S237" i="2"/>
  <c r="R237" i="2"/>
  <c r="Q237" i="2"/>
  <c r="P237" i="2"/>
  <c r="O237" i="2"/>
  <c r="N237" i="2"/>
  <c r="M237" i="2"/>
  <c r="K237" i="2"/>
  <c r="J237" i="2"/>
  <c r="I237" i="2"/>
  <c r="G237" i="2"/>
  <c r="F237" i="2"/>
  <c r="E237" i="2"/>
  <c r="D237" i="2"/>
  <c r="HA236" i="2"/>
  <c r="GY236" i="2"/>
  <c r="GX236" i="2"/>
  <c r="GN236" i="2"/>
  <c r="GM236" i="2"/>
  <c r="GE236" i="2"/>
  <c r="GD236" i="2"/>
  <c r="FZ236" i="2"/>
  <c r="FY236" i="2"/>
  <c r="FX236" i="2"/>
  <c r="FW236" i="2"/>
  <c r="FP236" i="2"/>
  <c r="FH236" i="2"/>
  <c r="FE236" i="2"/>
  <c r="FD236" i="2"/>
  <c r="FC236" i="2"/>
  <c r="EF236" i="2"/>
  <c r="EE236" i="2"/>
  <c r="DU236" i="2"/>
  <c r="DQ236" i="2"/>
  <c r="DP236" i="2"/>
  <c r="DM236" i="2"/>
  <c r="DJ236" i="2"/>
  <c r="DG236" i="2"/>
  <c r="DF236" i="2"/>
  <c r="DE236" i="2"/>
  <c r="DD236" i="2"/>
  <c r="CY236" i="2"/>
  <c r="CW236" i="2"/>
  <c r="CV236" i="2"/>
  <c r="CU236" i="2"/>
  <c r="CT236" i="2"/>
  <c r="CS236" i="2"/>
  <c r="CM236" i="2"/>
  <c r="CH236" i="2"/>
  <c r="CG236" i="2"/>
  <c r="CE236" i="2"/>
  <c r="CF236" i="2" s="1"/>
  <c r="BX236" i="2"/>
  <c r="BW236" i="2"/>
  <c r="BV236" i="2"/>
  <c r="BU236" i="2"/>
  <c r="BT236" i="2"/>
  <c r="BK236" i="2"/>
  <c r="BJ236" i="2"/>
  <c r="BI236" i="2"/>
  <c r="BD236" i="2"/>
  <c r="BA236" i="2"/>
  <c r="AZ236" i="2"/>
  <c r="AY236" i="2"/>
  <c r="AX236" i="2"/>
  <c r="AW236" i="2"/>
  <c r="AV236" i="2"/>
  <c r="AR236" i="2"/>
  <c r="AQ236" i="2"/>
  <c r="AP236" i="2"/>
  <c r="AO236" i="2"/>
  <c r="BH236" i="2" s="1"/>
  <c r="AJ236" i="2"/>
  <c r="AC236" i="2"/>
  <c r="AB236" i="2"/>
  <c r="V236" i="2"/>
  <c r="U236" i="2"/>
  <c r="T236" i="2"/>
  <c r="S236" i="2"/>
  <c r="R236" i="2"/>
  <c r="Q236" i="2"/>
  <c r="P236" i="2"/>
  <c r="O236" i="2"/>
  <c r="N236" i="2"/>
  <c r="M236" i="2"/>
  <c r="K236" i="2"/>
  <c r="J236" i="2"/>
  <c r="I236" i="2"/>
  <c r="G236" i="2"/>
  <c r="F236" i="2"/>
  <c r="E236" i="2"/>
  <c r="D236" i="2"/>
  <c r="HA235" i="2"/>
  <c r="GY235" i="2"/>
  <c r="GX235" i="2"/>
  <c r="GN235" i="2"/>
  <c r="GM235" i="2"/>
  <c r="GE235" i="2"/>
  <c r="GD235" i="2"/>
  <c r="FZ235" i="2"/>
  <c r="FY235" i="2"/>
  <c r="FX235" i="2"/>
  <c r="FW235" i="2"/>
  <c r="FP235" i="2"/>
  <c r="FH235" i="2"/>
  <c r="FE235" i="2"/>
  <c r="FD235" i="2"/>
  <c r="FC235" i="2"/>
  <c r="EF235" i="2"/>
  <c r="EE235" i="2"/>
  <c r="DU235" i="2"/>
  <c r="DQ235" i="2"/>
  <c r="DP235" i="2"/>
  <c r="DM235" i="2"/>
  <c r="DJ235" i="2"/>
  <c r="DG235" i="2"/>
  <c r="DF235" i="2"/>
  <c r="DE235" i="2"/>
  <c r="DD235" i="2"/>
  <c r="CY235" i="2"/>
  <c r="CW235" i="2"/>
  <c r="CV235" i="2"/>
  <c r="CU235" i="2"/>
  <c r="CT235" i="2"/>
  <c r="CS235" i="2"/>
  <c r="CM235" i="2"/>
  <c r="CH235" i="2"/>
  <c r="CG235" i="2"/>
  <c r="CE235" i="2"/>
  <c r="CF235" i="2" s="1"/>
  <c r="BX235" i="2"/>
  <c r="BW235" i="2"/>
  <c r="BV235" i="2"/>
  <c r="BU235" i="2"/>
  <c r="BT235" i="2"/>
  <c r="BK235" i="2"/>
  <c r="BJ235" i="2"/>
  <c r="BI235" i="2"/>
  <c r="BD235" i="2"/>
  <c r="BA235" i="2"/>
  <c r="AZ235" i="2"/>
  <c r="AY235" i="2"/>
  <c r="AX235" i="2"/>
  <c r="AW235" i="2"/>
  <c r="AV235" i="2"/>
  <c r="AR235" i="2"/>
  <c r="AQ235" i="2"/>
  <c r="AP235" i="2"/>
  <c r="AO235" i="2"/>
  <c r="BH235" i="2" s="1"/>
  <c r="AJ235" i="2"/>
  <c r="AC235" i="2"/>
  <c r="AB235" i="2"/>
  <c r="V235" i="2"/>
  <c r="U235" i="2"/>
  <c r="T235" i="2"/>
  <c r="S235" i="2"/>
  <c r="R235" i="2"/>
  <c r="Q235" i="2"/>
  <c r="P235" i="2"/>
  <c r="O235" i="2"/>
  <c r="N235" i="2"/>
  <c r="M235" i="2"/>
  <c r="K235" i="2"/>
  <c r="J235" i="2"/>
  <c r="I235" i="2"/>
  <c r="G235" i="2"/>
  <c r="F235" i="2"/>
  <c r="E235" i="2"/>
  <c r="D235" i="2"/>
  <c r="DF130" i="2"/>
  <c r="DF138" i="2"/>
  <c r="DF136" i="2"/>
  <c r="DF128" i="2"/>
  <c r="DF113" i="2"/>
  <c r="DF119" i="2"/>
  <c r="DF88" i="2"/>
  <c r="DF7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2" i="2"/>
  <c r="DF23" i="2"/>
  <c r="DF24" i="2"/>
  <c r="DF25" i="2"/>
  <c r="DF26" i="2"/>
  <c r="DF27" i="2"/>
  <c r="DF28" i="2"/>
  <c r="DF30" i="2"/>
  <c r="DF31" i="2"/>
  <c r="DF32" i="2"/>
  <c r="DF33" i="2"/>
  <c r="DF34" i="2"/>
  <c r="DF35" i="2"/>
  <c r="DF36" i="2"/>
  <c r="DF37" i="2"/>
  <c r="DF38" i="2"/>
  <c r="DF39" i="2"/>
  <c r="DF40" i="2"/>
  <c r="DF41" i="2"/>
  <c r="DF42" i="2"/>
  <c r="DF43" i="2"/>
  <c r="DF44" i="2"/>
  <c r="DF45" i="2"/>
  <c r="DF46" i="2"/>
  <c r="DF48" i="2"/>
  <c r="DF49" i="2"/>
  <c r="DF50" i="2"/>
  <c r="DF51" i="2"/>
  <c r="DF52" i="2"/>
  <c r="DF53" i="2"/>
  <c r="DF54" i="2"/>
  <c r="DF55" i="2"/>
  <c r="DF56" i="2"/>
  <c r="DF57" i="2"/>
  <c r="DF58" i="2"/>
  <c r="DF59" i="2"/>
  <c r="DF60" i="2"/>
  <c r="DF61" i="2"/>
  <c r="DF62" i="2"/>
  <c r="DF63" i="2"/>
  <c r="DF64" i="2"/>
  <c r="DF65" i="2"/>
  <c r="DF66" i="2"/>
  <c r="DF67" i="2"/>
  <c r="DF68" i="2"/>
  <c r="DF69" i="2"/>
  <c r="DF70" i="2"/>
  <c r="DF71" i="2"/>
  <c r="DF72" i="2"/>
  <c r="DF73" i="2"/>
  <c r="DF74" i="2"/>
  <c r="DF75" i="2"/>
  <c r="DF77" i="2"/>
  <c r="DF78" i="2"/>
  <c r="DF79" i="2"/>
  <c r="DF80" i="2"/>
  <c r="DF81" i="2"/>
  <c r="DF82" i="2"/>
  <c r="DF83" i="2"/>
  <c r="DF84" i="2"/>
  <c r="DF85" i="2"/>
  <c r="DF86" i="2"/>
  <c r="DF87" i="2"/>
  <c r="DF89" i="2"/>
  <c r="DF90" i="2"/>
  <c r="DF91" i="2"/>
  <c r="DF92" i="2"/>
  <c r="DF93" i="2"/>
  <c r="DF94" i="2"/>
  <c r="DF95" i="2"/>
  <c r="DF96" i="2"/>
  <c r="DF97" i="2"/>
  <c r="DF98" i="2"/>
  <c r="DF99" i="2"/>
  <c r="DF100" i="2"/>
  <c r="DF101" i="2"/>
  <c r="DF102" i="2"/>
  <c r="DF104" i="2"/>
  <c r="DF105" i="2"/>
  <c r="DF106" i="2"/>
  <c r="DF107" i="2"/>
  <c r="DF108" i="2"/>
  <c r="DF109" i="2"/>
  <c r="DF110" i="2"/>
  <c r="DF111" i="2"/>
  <c r="DF114" i="2"/>
  <c r="DF115" i="2"/>
  <c r="DF116" i="2"/>
  <c r="DF117" i="2"/>
  <c r="DF120" i="2"/>
  <c r="DF121" i="2"/>
  <c r="DF122" i="2"/>
  <c r="DF123" i="2"/>
  <c r="DF124" i="2"/>
  <c r="DF125" i="2"/>
  <c r="DF126" i="2"/>
  <c r="DF127" i="2"/>
  <c r="DF131" i="2"/>
  <c r="DF135" i="2"/>
  <c r="DF137" i="2"/>
  <c r="DF139" i="2"/>
  <c r="DF140" i="2"/>
  <c r="DF142" i="2"/>
  <c r="DF143" i="2"/>
  <c r="DF144" i="2"/>
  <c r="DF145" i="2"/>
  <c r="DF146" i="2"/>
  <c r="DF147" i="2"/>
  <c r="DF150" i="2"/>
  <c r="DF151" i="2"/>
  <c r="DF152" i="2"/>
  <c r="DF153" i="2"/>
  <c r="DF154" i="2"/>
  <c r="DF155" i="2"/>
  <c r="DF156" i="2"/>
  <c r="DF157" i="2"/>
  <c r="DF158" i="2"/>
  <c r="DF159" i="2"/>
  <c r="DF160" i="2"/>
  <c r="DF161" i="2"/>
  <c r="DF162" i="2"/>
  <c r="DF163" i="2"/>
  <c r="DF164" i="2"/>
  <c r="DF165" i="2"/>
  <c r="DF166" i="2"/>
  <c r="DF167" i="2"/>
  <c r="DF168" i="2"/>
  <c r="DF169" i="2"/>
  <c r="DF171" i="2"/>
  <c r="DF172" i="2"/>
  <c r="DF174" i="2"/>
  <c r="DF175" i="2"/>
  <c r="DF180" i="2"/>
  <c r="DF182" i="2"/>
  <c r="DF183" i="2"/>
  <c r="DF184" i="2"/>
  <c r="DF185" i="2"/>
  <c r="DF186" i="2"/>
  <c r="DF188" i="2"/>
  <c r="DF189" i="2"/>
  <c r="DF190" i="2"/>
  <c r="DF191" i="2"/>
  <c r="DF192" i="2"/>
  <c r="DF193" i="2"/>
  <c r="DF194" i="2"/>
  <c r="DF196" i="2"/>
  <c r="DF197" i="2"/>
  <c r="DF198" i="2"/>
  <c r="DF199" i="2"/>
  <c r="DF200" i="2"/>
  <c r="DF202" i="2"/>
  <c r="DF203" i="2"/>
  <c r="DF204" i="2"/>
  <c r="DF209" i="2"/>
  <c r="DF210" i="2"/>
  <c r="DF212" i="2"/>
  <c r="DF213" i="2"/>
  <c r="DF215" i="2"/>
  <c r="DF216" i="2"/>
  <c r="DF218" i="2"/>
  <c r="DF219" i="2"/>
  <c r="DF220" i="2"/>
  <c r="DF221" i="2"/>
  <c r="DF224" i="2"/>
  <c r="DF225" i="2"/>
  <c r="DF226" i="2"/>
  <c r="DF227" i="2"/>
  <c r="DF228" i="2"/>
  <c r="DF229" i="2"/>
  <c r="DF230" i="2"/>
  <c r="DF231" i="2"/>
  <c r="DF232" i="2"/>
  <c r="DF233" i="2"/>
  <c r="DF234" i="2"/>
  <c r="DF240" i="2"/>
  <c r="DF241" i="2"/>
  <c r="DF242" i="2"/>
  <c r="DF243" i="2"/>
  <c r="DF244" i="2"/>
  <c r="DF246" i="2"/>
  <c r="DF247" i="2"/>
  <c r="DF249" i="2"/>
  <c r="DF250" i="2"/>
  <c r="DF251" i="2"/>
  <c r="DF252" i="2"/>
  <c r="DF254" i="2"/>
  <c r="DF256" i="2"/>
  <c r="DF257" i="2"/>
  <c r="DF258" i="2"/>
  <c r="DF259" i="2"/>
  <c r="DF260" i="2"/>
  <c r="DF261" i="2"/>
  <c r="DF262" i="2"/>
  <c r="DF263" i="2"/>
  <c r="DF264" i="2"/>
  <c r="DF265" i="2"/>
  <c r="DF266" i="2"/>
  <c r="DF267" i="2"/>
  <c r="DF271" i="2"/>
  <c r="DF272" i="2"/>
  <c r="DF273" i="2"/>
  <c r="DF275" i="2"/>
  <c r="DF280" i="2"/>
  <c r="DF6" i="2"/>
  <c r="DH237" i="2" l="1"/>
  <c r="EY237" i="2" s="1"/>
  <c r="DH236" i="2"/>
  <c r="EY236" i="2" s="1"/>
  <c r="DH235" i="2"/>
  <c r="EY235" i="2" s="1"/>
  <c r="DH239" i="2"/>
  <c r="EY239" i="2" s="1"/>
  <c r="DH238" i="2"/>
  <c r="EY238" i="2" s="1"/>
  <c r="AE235" i="2"/>
  <c r="AN239" i="2"/>
  <c r="FG237" i="2"/>
  <c r="DL235" i="2"/>
  <c r="DL236" i="2"/>
  <c r="HB236" i="2"/>
  <c r="HB239" i="2"/>
  <c r="CX235" i="2"/>
  <c r="DA235" i="2" s="1"/>
  <c r="FG235" i="2"/>
  <c r="GR235" i="2"/>
  <c r="AE236" i="2"/>
  <c r="X239" i="2"/>
  <c r="AE239" i="2"/>
  <c r="GR239" i="2"/>
  <c r="EX238" i="2"/>
  <c r="EX235" i="2"/>
  <c r="CX236" i="2"/>
  <c r="DA236" i="2" s="1"/>
  <c r="AN237" i="2"/>
  <c r="DL237" i="2"/>
  <c r="CX238" i="2"/>
  <c r="DA238" i="2" s="1"/>
  <c r="AN235" i="2"/>
  <c r="DL238" i="2"/>
  <c r="AN238" i="2"/>
  <c r="DL239" i="2"/>
  <c r="CL236" i="2"/>
  <c r="EX236" i="2"/>
  <c r="X237" i="2"/>
  <c r="AE237" i="2"/>
  <c r="EX237" i="2"/>
  <c r="X238" i="2"/>
  <c r="GR238" i="2"/>
  <c r="EW239" i="2"/>
  <c r="X236" i="2"/>
  <c r="EW236" i="2"/>
  <c r="FG236" i="2"/>
  <c r="GR236" i="2"/>
  <c r="CX237" i="2"/>
  <c r="DA237" i="2" s="1"/>
  <c r="EW237" i="2"/>
  <c r="HB237" i="2"/>
  <c r="AE238" i="2"/>
  <c r="EW238" i="2"/>
  <c r="CX239" i="2"/>
  <c r="DA239" i="2" s="1"/>
  <c r="FG239" i="2"/>
  <c r="X235" i="2"/>
  <c r="GR237" i="2"/>
  <c r="CF238" i="2"/>
  <c r="FG238" i="2"/>
  <c r="HB238" i="2"/>
  <c r="EX239" i="2"/>
  <c r="EW235" i="2"/>
  <c r="HB235" i="2"/>
  <c r="AN236" i="2"/>
  <c r="CL235" i="2"/>
  <c r="CF237" i="2"/>
  <c r="CL239" i="2"/>
  <c r="DG280" i="2"/>
  <c r="DG275" i="2"/>
  <c r="DG273" i="2"/>
  <c r="DG272" i="2"/>
  <c r="DG271" i="2"/>
  <c r="DG267" i="2"/>
  <c r="DG266" i="2"/>
  <c r="DG265" i="2"/>
  <c r="DG264" i="2"/>
  <c r="DG262" i="2"/>
  <c r="DG261" i="2"/>
  <c r="DG260" i="2"/>
  <c r="DG259" i="2"/>
  <c r="DG258" i="2"/>
  <c r="DG257" i="2"/>
  <c r="DG256" i="2"/>
  <c r="DG254" i="2"/>
  <c r="DG252" i="2"/>
  <c r="DG251" i="2"/>
  <c r="DG250" i="2"/>
  <c r="DG249" i="2"/>
  <c r="DG247" i="2"/>
  <c r="DG246" i="2"/>
  <c r="DG244" i="2"/>
  <c r="DG243" i="2"/>
  <c r="DG242" i="2"/>
  <c r="DG241" i="2"/>
  <c r="DG240" i="2"/>
  <c r="DG234" i="2"/>
  <c r="DG233" i="2"/>
  <c r="DG232" i="2"/>
  <c r="DG231" i="2"/>
  <c r="DG230" i="2"/>
  <c r="DG229" i="2"/>
  <c r="DG228" i="2"/>
  <c r="DG227" i="2"/>
  <c r="DG226" i="2"/>
  <c r="DG225" i="2"/>
  <c r="DG224" i="2"/>
  <c r="DG221" i="2"/>
  <c r="DG220" i="2"/>
  <c r="DG219" i="2"/>
  <c r="DG218" i="2"/>
  <c r="DG216" i="2"/>
  <c r="DG215" i="2"/>
  <c r="DG213" i="2"/>
  <c r="DG212" i="2"/>
  <c r="DG210" i="2"/>
  <c r="DG209" i="2"/>
  <c r="DG204" i="2"/>
  <c r="DG203" i="2"/>
  <c r="DG202" i="2"/>
  <c r="DG200" i="2"/>
  <c r="DG199" i="2"/>
  <c r="DG198" i="2"/>
  <c r="DG197" i="2"/>
  <c r="DG196" i="2"/>
  <c r="DG194" i="2"/>
  <c r="DG193" i="2"/>
  <c r="DG192" i="2"/>
  <c r="DG191" i="2"/>
  <c r="DG190" i="2"/>
  <c r="DG189" i="2"/>
  <c r="DG188" i="2"/>
  <c r="DG186" i="2"/>
  <c r="DG185" i="2"/>
  <c r="DG184" i="2"/>
  <c r="DG183" i="2"/>
  <c r="DG182" i="2"/>
  <c r="DG180" i="2"/>
  <c r="DG175" i="2"/>
  <c r="DG174" i="2"/>
  <c r="DG172" i="2"/>
  <c r="DG171" i="2"/>
  <c r="DG169" i="2"/>
  <c r="DG168" i="2"/>
  <c r="DG167" i="2"/>
  <c r="DG166" i="2"/>
  <c r="DG165" i="2"/>
  <c r="DG164" i="2"/>
  <c r="DG163" i="2"/>
  <c r="DG162" i="2"/>
  <c r="DG161" i="2"/>
  <c r="DG160" i="2"/>
  <c r="DG159" i="2"/>
  <c r="DG158" i="2"/>
  <c r="DG157" i="2"/>
  <c r="DG156" i="2"/>
  <c r="DG155" i="2"/>
  <c r="DG154" i="2"/>
  <c r="DG153" i="2"/>
  <c r="DG152" i="2"/>
  <c r="DG151" i="2"/>
  <c r="DG150" i="2"/>
  <c r="DG147" i="2"/>
  <c r="DG146" i="2"/>
  <c r="DG145" i="2"/>
  <c r="DG144" i="2"/>
  <c r="DG143" i="2"/>
  <c r="DG142" i="2"/>
  <c r="DG140" i="2"/>
  <c r="DG139" i="2"/>
  <c r="DG137" i="2"/>
  <c r="DG136" i="2"/>
  <c r="DG135" i="2"/>
  <c r="DG131" i="2"/>
  <c r="DG128" i="2"/>
  <c r="DG127" i="2"/>
  <c r="DG126" i="2"/>
  <c r="DG123" i="2"/>
  <c r="DG122" i="2"/>
  <c r="DG121" i="2"/>
  <c r="DG120" i="2"/>
  <c r="DG117" i="2"/>
  <c r="DG116" i="2"/>
  <c r="DG115" i="2"/>
  <c r="DG114" i="2"/>
  <c r="DG113" i="2"/>
  <c r="DG111" i="2"/>
  <c r="DG109" i="2"/>
  <c r="DG108" i="2"/>
  <c r="DG107" i="2"/>
  <c r="DG105" i="2"/>
  <c r="DG104" i="2"/>
  <c r="DG102" i="2"/>
  <c r="DG101" i="2"/>
  <c r="DG100" i="2"/>
  <c r="DG99" i="2"/>
  <c r="DG98" i="2"/>
  <c r="DG97" i="2"/>
  <c r="DG96" i="2"/>
  <c r="DG95" i="2"/>
  <c r="DG94" i="2"/>
  <c r="DG93" i="2"/>
  <c r="DG92" i="2"/>
  <c r="DG91" i="2"/>
  <c r="DG90" i="2"/>
  <c r="DG89" i="2"/>
  <c r="DG87" i="2"/>
  <c r="DG86" i="2"/>
  <c r="DG85" i="2"/>
  <c r="DG84" i="2"/>
  <c r="DG83" i="2"/>
  <c r="DG82" i="2"/>
  <c r="DG81" i="2"/>
  <c r="DG80" i="2"/>
  <c r="DG79" i="2"/>
  <c r="DG78" i="2"/>
  <c r="DG77" i="2"/>
  <c r="DG75" i="2"/>
  <c r="DG74" i="2"/>
  <c r="DG73" i="2"/>
  <c r="DG72" i="2"/>
  <c r="DG71" i="2"/>
  <c r="DG70" i="2"/>
  <c r="DG69" i="2"/>
  <c r="DG68" i="2"/>
  <c r="DG67" i="2"/>
  <c r="DG66" i="2"/>
  <c r="DG65" i="2"/>
  <c r="DG64" i="2"/>
  <c r="DG63" i="2"/>
  <c r="DG62" i="2"/>
  <c r="DG61" i="2"/>
  <c r="DG60" i="2"/>
  <c r="DG59" i="2"/>
  <c r="DG58" i="2"/>
  <c r="DG57" i="2"/>
  <c r="DG56" i="2"/>
  <c r="DG55" i="2"/>
  <c r="DG54" i="2"/>
  <c r="DG53" i="2"/>
  <c r="DG52" i="2"/>
  <c r="DG51" i="2"/>
  <c r="DG50" i="2"/>
  <c r="DG49" i="2"/>
  <c r="DG48" i="2"/>
  <c r="DG46" i="2"/>
  <c r="DG45" i="2"/>
  <c r="DG44" i="2"/>
  <c r="DG43" i="2"/>
  <c r="DG42" i="2"/>
  <c r="DG41" i="2"/>
  <c r="DG40" i="2"/>
  <c r="DG39" i="2"/>
  <c r="DG38" i="2"/>
  <c r="DG37" i="2"/>
  <c r="DG36" i="2"/>
  <c r="DG35" i="2"/>
  <c r="DG34" i="2"/>
  <c r="DG33" i="2"/>
  <c r="DG32" i="2"/>
  <c r="DG31" i="2"/>
  <c r="DG30" i="2"/>
  <c r="DG28" i="2"/>
  <c r="DG27" i="2"/>
  <c r="DG26" i="2"/>
  <c r="DG25" i="2"/>
  <c r="DG24" i="2"/>
  <c r="DG23" i="2"/>
  <c r="DG22" i="2"/>
  <c r="DG20" i="2"/>
  <c r="DG19" i="2"/>
  <c r="DG18" i="2"/>
  <c r="DG17" i="2"/>
  <c r="DG16" i="2"/>
  <c r="DG15" i="2"/>
  <c r="DG14" i="2"/>
  <c r="DG13" i="2"/>
  <c r="DG12" i="2"/>
  <c r="DG11" i="2"/>
  <c r="DG10" i="2"/>
  <c r="DG9" i="2"/>
  <c r="DG8" i="2"/>
  <c r="DG7" i="2"/>
  <c r="DG6" i="2"/>
  <c r="DG125" i="2"/>
  <c r="DG110" i="2"/>
  <c r="DG138" i="2"/>
  <c r="DG130" i="2"/>
  <c r="DG124" i="2"/>
  <c r="DG106" i="2"/>
  <c r="DG119" i="2"/>
  <c r="DG88" i="2"/>
  <c r="W142" i="2"/>
  <c r="EZ235" i="2" l="1"/>
  <c r="FA235" i="2" s="1"/>
  <c r="EZ236" i="2"/>
  <c r="FA236" i="2" s="1"/>
  <c r="EZ239" i="2"/>
  <c r="FA239" i="2" s="1"/>
  <c r="EZ237" i="2"/>
  <c r="FA237" i="2" s="1"/>
  <c r="EZ238" i="2"/>
  <c r="FA238" i="2" s="1"/>
  <c r="R29" i="6"/>
  <c r="AD29" i="6" s="1"/>
  <c r="AD23" i="6"/>
  <c r="R20" i="6"/>
  <c r="AD20" i="6" l="1"/>
  <c r="F11" i="16"/>
  <c r="HA171" i="2"/>
  <c r="GY171" i="2"/>
  <c r="GX171" i="2"/>
  <c r="GN171" i="2"/>
  <c r="GM171" i="2"/>
  <c r="GE171" i="2"/>
  <c r="GD171" i="2"/>
  <c r="FZ171" i="2"/>
  <c r="FY171" i="2"/>
  <c r="FX171" i="2"/>
  <c r="FW171" i="2"/>
  <c r="FP171" i="2"/>
  <c r="FH171" i="2"/>
  <c r="FE171" i="2"/>
  <c r="FD171" i="2"/>
  <c r="FC171" i="2"/>
  <c r="EF171" i="2"/>
  <c r="EE171" i="2"/>
  <c r="DU171" i="2"/>
  <c r="DQ171" i="2"/>
  <c r="DP171" i="2"/>
  <c r="DM171" i="2"/>
  <c r="DJ171" i="2"/>
  <c r="DE171" i="2"/>
  <c r="DD171" i="2"/>
  <c r="CY171" i="2"/>
  <c r="CW171" i="2"/>
  <c r="CV171" i="2"/>
  <c r="CU171" i="2"/>
  <c r="CT171" i="2"/>
  <c r="CS171" i="2"/>
  <c r="CM171" i="2"/>
  <c r="CH171" i="2"/>
  <c r="CG171" i="2"/>
  <c r="CE171" i="2"/>
  <c r="CL171" i="2" s="1"/>
  <c r="BX171" i="2"/>
  <c r="BW171" i="2"/>
  <c r="BV171" i="2"/>
  <c r="BU171" i="2"/>
  <c r="BT171" i="2"/>
  <c r="BK171" i="2"/>
  <c r="BJ171" i="2"/>
  <c r="BI171" i="2"/>
  <c r="BD171" i="2"/>
  <c r="BA171" i="2"/>
  <c r="AZ171" i="2"/>
  <c r="AY171" i="2"/>
  <c r="AX171" i="2"/>
  <c r="AW171" i="2"/>
  <c r="AV171" i="2"/>
  <c r="AR171" i="2"/>
  <c r="AQ171" i="2"/>
  <c r="AP171" i="2"/>
  <c r="AO171" i="2"/>
  <c r="BH171" i="2" s="1"/>
  <c r="AJ171" i="2"/>
  <c r="AC171" i="2"/>
  <c r="AB171" i="2"/>
  <c r="Z171" i="2"/>
  <c r="V171" i="2"/>
  <c r="W171" i="2" s="1"/>
  <c r="U171" i="2"/>
  <c r="T171" i="2"/>
  <c r="S171" i="2"/>
  <c r="R171" i="2"/>
  <c r="Q171" i="2"/>
  <c r="P171" i="2"/>
  <c r="O171" i="2"/>
  <c r="N171" i="2"/>
  <c r="M171" i="2"/>
  <c r="K171" i="2"/>
  <c r="J171" i="2"/>
  <c r="I171" i="2"/>
  <c r="G171" i="2"/>
  <c r="F171" i="2"/>
  <c r="E171" i="2"/>
  <c r="D171" i="2"/>
  <c r="V280" i="2"/>
  <c r="V275" i="2"/>
  <c r="V273" i="2"/>
  <c r="V272" i="2"/>
  <c r="V271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2" i="2"/>
  <c r="V251" i="2"/>
  <c r="V250" i="2"/>
  <c r="V249" i="2"/>
  <c r="V247" i="2"/>
  <c r="V246" i="2"/>
  <c r="V244" i="2"/>
  <c r="V243" i="2"/>
  <c r="V242" i="2"/>
  <c r="V241" i="2"/>
  <c r="V240" i="2"/>
  <c r="V234" i="2"/>
  <c r="V233" i="2"/>
  <c r="V232" i="2"/>
  <c r="V231" i="2"/>
  <c r="V230" i="2"/>
  <c r="V229" i="2"/>
  <c r="V228" i="2"/>
  <c r="V227" i="2"/>
  <c r="V226" i="2"/>
  <c r="V225" i="2"/>
  <c r="V224" i="2"/>
  <c r="V221" i="2"/>
  <c r="V220" i="2"/>
  <c r="V219" i="2"/>
  <c r="V218" i="2"/>
  <c r="V216" i="2"/>
  <c r="V215" i="2"/>
  <c r="V213" i="2"/>
  <c r="V212" i="2"/>
  <c r="V210" i="2"/>
  <c r="V209" i="2"/>
  <c r="V204" i="2"/>
  <c r="V203" i="2"/>
  <c r="V202" i="2"/>
  <c r="V200" i="2"/>
  <c r="V199" i="2"/>
  <c r="V198" i="2"/>
  <c r="V197" i="2"/>
  <c r="V196" i="2"/>
  <c r="V194" i="2"/>
  <c r="V193" i="2"/>
  <c r="V192" i="2"/>
  <c r="V191" i="2"/>
  <c r="V190" i="2"/>
  <c r="V189" i="2"/>
  <c r="V188" i="2"/>
  <c r="V186" i="2"/>
  <c r="V185" i="2"/>
  <c r="V184" i="2"/>
  <c r="V183" i="2"/>
  <c r="V182" i="2"/>
  <c r="V180" i="2"/>
  <c r="V175" i="2"/>
  <c r="V174" i="2"/>
  <c r="V172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7" i="2"/>
  <c r="V146" i="2"/>
  <c r="V145" i="2"/>
  <c r="V144" i="2"/>
  <c r="V143" i="2"/>
  <c r="V142" i="2"/>
  <c r="V140" i="2"/>
  <c r="V139" i="2"/>
  <c r="V138" i="2"/>
  <c r="V137" i="2"/>
  <c r="V136" i="2"/>
  <c r="V135" i="2"/>
  <c r="V131" i="2"/>
  <c r="V130" i="2"/>
  <c r="V128" i="2"/>
  <c r="V127" i="2"/>
  <c r="V126" i="2"/>
  <c r="V125" i="2"/>
  <c r="V124" i="2"/>
  <c r="V123" i="2"/>
  <c r="V122" i="2"/>
  <c r="V121" i="2"/>
  <c r="V120" i="2"/>
  <c r="V119" i="2"/>
  <c r="V117" i="2"/>
  <c r="V116" i="2"/>
  <c r="V115" i="2"/>
  <c r="V114" i="2"/>
  <c r="V113" i="2"/>
  <c r="V111" i="2"/>
  <c r="V110" i="2"/>
  <c r="V109" i="2"/>
  <c r="V108" i="2"/>
  <c r="V107" i="2"/>
  <c r="V106" i="2"/>
  <c r="V105" i="2"/>
  <c r="V104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8" i="2"/>
  <c r="V27" i="2"/>
  <c r="V26" i="2"/>
  <c r="V25" i="2"/>
  <c r="V24" i="2"/>
  <c r="V23" i="2"/>
  <c r="V22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HA280" i="2"/>
  <c r="GY280" i="2"/>
  <c r="GX280" i="2"/>
  <c r="HA275" i="2"/>
  <c r="GY275" i="2"/>
  <c r="GX275" i="2"/>
  <c r="HA273" i="2"/>
  <c r="GY273" i="2"/>
  <c r="GX273" i="2"/>
  <c r="HA272" i="2"/>
  <c r="GY272" i="2"/>
  <c r="GX272" i="2"/>
  <c r="HA271" i="2"/>
  <c r="GY271" i="2"/>
  <c r="GX271" i="2"/>
  <c r="HA267" i="2"/>
  <c r="GY267" i="2"/>
  <c r="GX267" i="2"/>
  <c r="HA266" i="2"/>
  <c r="GY266" i="2"/>
  <c r="GX266" i="2"/>
  <c r="HA265" i="2"/>
  <c r="GY265" i="2"/>
  <c r="GX265" i="2"/>
  <c r="HA264" i="2"/>
  <c r="GY264" i="2"/>
  <c r="GX264" i="2"/>
  <c r="HA263" i="2"/>
  <c r="GY263" i="2"/>
  <c r="GX263" i="2"/>
  <c r="HA262" i="2"/>
  <c r="GY262" i="2"/>
  <c r="GX262" i="2"/>
  <c r="HA261" i="2"/>
  <c r="GY261" i="2"/>
  <c r="GX261" i="2"/>
  <c r="HA260" i="2"/>
  <c r="GY260" i="2"/>
  <c r="GX260" i="2"/>
  <c r="HA259" i="2"/>
  <c r="GY259" i="2"/>
  <c r="GX259" i="2"/>
  <c r="HA258" i="2"/>
  <c r="GY258" i="2"/>
  <c r="GX258" i="2"/>
  <c r="HA257" i="2"/>
  <c r="GY257" i="2"/>
  <c r="GX257" i="2"/>
  <c r="HA256" i="2"/>
  <c r="GY256" i="2"/>
  <c r="GX256" i="2"/>
  <c r="HA254" i="2"/>
  <c r="GY254" i="2"/>
  <c r="GX254" i="2"/>
  <c r="HA252" i="2"/>
  <c r="GY252" i="2"/>
  <c r="GX252" i="2"/>
  <c r="HA251" i="2"/>
  <c r="GY251" i="2"/>
  <c r="GX251" i="2"/>
  <c r="HA250" i="2"/>
  <c r="GY250" i="2"/>
  <c r="GX250" i="2"/>
  <c r="HA249" i="2"/>
  <c r="GY249" i="2"/>
  <c r="GX249" i="2"/>
  <c r="HA247" i="2"/>
  <c r="GY247" i="2"/>
  <c r="HA246" i="2"/>
  <c r="GY246" i="2"/>
  <c r="HA244" i="2"/>
  <c r="GY244" i="2"/>
  <c r="GX244" i="2"/>
  <c r="HA243" i="2"/>
  <c r="GY243" i="2"/>
  <c r="GX243" i="2"/>
  <c r="HA242" i="2"/>
  <c r="GY242" i="2"/>
  <c r="GX242" i="2"/>
  <c r="HA241" i="2"/>
  <c r="GY241" i="2"/>
  <c r="GX241" i="2"/>
  <c r="HA240" i="2"/>
  <c r="GY240" i="2"/>
  <c r="GX240" i="2"/>
  <c r="HA234" i="2"/>
  <c r="GY234" i="2"/>
  <c r="GX234" i="2"/>
  <c r="HA233" i="2"/>
  <c r="GY233" i="2"/>
  <c r="GX233" i="2"/>
  <c r="HA232" i="2"/>
  <c r="GY232" i="2"/>
  <c r="GX232" i="2"/>
  <c r="HA231" i="2"/>
  <c r="GY231" i="2"/>
  <c r="GX231" i="2"/>
  <c r="HA230" i="2"/>
  <c r="GY230" i="2"/>
  <c r="GX230" i="2"/>
  <c r="HA229" i="2"/>
  <c r="GY229" i="2"/>
  <c r="GX229" i="2"/>
  <c r="HA228" i="2"/>
  <c r="GY228" i="2"/>
  <c r="GX228" i="2"/>
  <c r="HA227" i="2"/>
  <c r="GY227" i="2"/>
  <c r="GX227" i="2"/>
  <c r="HA226" i="2"/>
  <c r="GY226" i="2"/>
  <c r="GX226" i="2"/>
  <c r="HA225" i="2"/>
  <c r="GY225" i="2"/>
  <c r="GX225" i="2"/>
  <c r="HA224" i="2"/>
  <c r="GY224" i="2"/>
  <c r="GX224" i="2"/>
  <c r="HA221" i="2"/>
  <c r="GY221" i="2"/>
  <c r="GX221" i="2"/>
  <c r="HA220" i="2"/>
  <c r="GY220" i="2"/>
  <c r="GX220" i="2"/>
  <c r="HA219" i="2"/>
  <c r="GY219" i="2"/>
  <c r="GX219" i="2"/>
  <c r="HA218" i="2"/>
  <c r="GY218" i="2"/>
  <c r="GX218" i="2"/>
  <c r="HA216" i="2"/>
  <c r="GY216" i="2"/>
  <c r="GX216" i="2"/>
  <c r="HA215" i="2"/>
  <c r="GY215" i="2"/>
  <c r="GX215" i="2"/>
  <c r="HA213" i="2"/>
  <c r="GY213" i="2"/>
  <c r="GX213" i="2"/>
  <c r="HA212" i="2"/>
  <c r="GY212" i="2"/>
  <c r="GX212" i="2"/>
  <c r="HA210" i="2"/>
  <c r="GY210" i="2"/>
  <c r="GX210" i="2"/>
  <c r="HA209" i="2"/>
  <c r="GY209" i="2"/>
  <c r="GX209" i="2"/>
  <c r="HA204" i="2"/>
  <c r="GY204" i="2"/>
  <c r="GX204" i="2"/>
  <c r="HA203" i="2"/>
  <c r="GY203" i="2"/>
  <c r="GX203" i="2"/>
  <c r="HA202" i="2"/>
  <c r="GY202" i="2"/>
  <c r="GX202" i="2"/>
  <c r="HA200" i="2"/>
  <c r="GY200" i="2"/>
  <c r="GX200" i="2"/>
  <c r="HA199" i="2"/>
  <c r="GY199" i="2"/>
  <c r="GX199" i="2"/>
  <c r="HA198" i="2"/>
  <c r="GY198" i="2"/>
  <c r="GX198" i="2"/>
  <c r="HA197" i="2"/>
  <c r="GY197" i="2"/>
  <c r="GX197" i="2"/>
  <c r="HA196" i="2"/>
  <c r="GY196" i="2"/>
  <c r="GX196" i="2"/>
  <c r="HA194" i="2"/>
  <c r="GY194" i="2"/>
  <c r="GX194" i="2"/>
  <c r="HA193" i="2"/>
  <c r="GY193" i="2"/>
  <c r="GX193" i="2"/>
  <c r="HA192" i="2"/>
  <c r="GY192" i="2"/>
  <c r="GX192" i="2"/>
  <c r="HA191" i="2"/>
  <c r="GY191" i="2"/>
  <c r="GX191" i="2"/>
  <c r="HA190" i="2"/>
  <c r="GY190" i="2"/>
  <c r="GX190" i="2"/>
  <c r="HA189" i="2"/>
  <c r="GY189" i="2"/>
  <c r="GX189" i="2"/>
  <c r="HA188" i="2"/>
  <c r="GY188" i="2"/>
  <c r="GX188" i="2"/>
  <c r="HA186" i="2"/>
  <c r="GY186" i="2"/>
  <c r="GX186" i="2"/>
  <c r="HA185" i="2"/>
  <c r="GY185" i="2"/>
  <c r="GX185" i="2"/>
  <c r="HA184" i="2"/>
  <c r="GY184" i="2"/>
  <c r="GX184" i="2"/>
  <c r="HA183" i="2"/>
  <c r="GY183" i="2"/>
  <c r="GX183" i="2"/>
  <c r="HA182" i="2"/>
  <c r="GY182" i="2"/>
  <c r="GX182" i="2"/>
  <c r="HA180" i="2"/>
  <c r="GY180" i="2"/>
  <c r="GX180" i="2"/>
  <c r="HA175" i="2"/>
  <c r="GY175" i="2"/>
  <c r="GX175" i="2"/>
  <c r="HA174" i="2"/>
  <c r="GY174" i="2"/>
  <c r="GX174" i="2"/>
  <c r="HA172" i="2"/>
  <c r="GY172" i="2"/>
  <c r="GX172" i="2"/>
  <c r="HA169" i="2"/>
  <c r="GY169" i="2"/>
  <c r="GX169" i="2"/>
  <c r="HA168" i="2"/>
  <c r="GY168" i="2"/>
  <c r="GX168" i="2"/>
  <c r="HA167" i="2"/>
  <c r="GY167" i="2"/>
  <c r="GX167" i="2"/>
  <c r="HA166" i="2"/>
  <c r="GY166" i="2"/>
  <c r="GX166" i="2"/>
  <c r="HA165" i="2"/>
  <c r="GY165" i="2"/>
  <c r="GX165" i="2"/>
  <c r="HA164" i="2"/>
  <c r="GY164" i="2"/>
  <c r="GX164" i="2"/>
  <c r="HA163" i="2"/>
  <c r="GY163" i="2"/>
  <c r="GX163" i="2"/>
  <c r="HA162" i="2"/>
  <c r="GY162" i="2"/>
  <c r="GX162" i="2"/>
  <c r="HA161" i="2"/>
  <c r="GY161" i="2"/>
  <c r="GX161" i="2"/>
  <c r="HA160" i="2"/>
  <c r="GY160" i="2"/>
  <c r="GX160" i="2"/>
  <c r="HA159" i="2"/>
  <c r="GY159" i="2"/>
  <c r="GX159" i="2"/>
  <c r="HA158" i="2"/>
  <c r="GY158" i="2"/>
  <c r="GX158" i="2"/>
  <c r="HA157" i="2"/>
  <c r="GY157" i="2"/>
  <c r="GX157" i="2"/>
  <c r="HA156" i="2"/>
  <c r="GY156" i="2"/>
  <c r="GX156" i="2"/>
  <c r="HA155" i="2"/>
  <c r="GY155" i="2"/>
  <c r="GX155" i="2"/>
  <c r="HA154" i="2"/>
  <c r="GY154" i="2"/>
  <c r="GX154" i="2"/>
  <c r="HA153" i="2"/>
  <c r="GY153" i="2"/>
  <c r="GX153" i="2"/>
  <c r="HA152" i="2"/>
  <c r="GY152" i="2"/>
  <c r="GX152" i="2"/>
  <c r="HA151" i="2"/>
  <c r="GY151" i="2"/>
  <c r="GX151" i="2"/>
  <c r="HA150" i="2"/>
  <c r="GY150" i="2"/>
  <c r="GX150" i="2"/>
  <c r="HA147" i="2"/>
  <c r="GY147" i="2"/>
  <c r="GX147" i="2"/>
  <c r="HA146" i="2"/>
  <c r="GY146" i="2"/>
  <c r="GX146" i="2"/>
  <c r="HA145" i="2"/>
  <c r="GY145" i="2"/>
  <c r="GX145" i="2"/>
  <c r="HA144" i="2"/>
  <c r="GY144" i="2"/>
  <c r="GX144" i="2"/>
  <c r="HA143" i="2"/>
  <c r="GY143" i="2"/>
  <c r="GX143" i="2"/>
  <c r="HA142" i="2"/>
  <c r="GY142" i="2"/>
  <c r="GX142" i="2"/>
  <c r="HA140" i="2"/>
  <c r="GY140" i="2"/>
  <c r="GX140" i="2"/>
  <c r="HA139" i="2"/>
  <c r="GY139" i="2"/>
  <c r="GX139" i="2"/>
  <c r="HA138" i="2"/>
  <c r="GY138" i="2"/>
  <c r="GX138" i="2"/>
  <c r="HA137" i="2"/>
  <c r="GY137" i="2"/>
  <c r="GX137" i="2"/>
  <c r="HA136" i="2"/>
  <c r="GY136" i="2"/>
  <c r="GX136" i="2"/>
  <c r="HA135" i="2"/>
  <c r="GY135" i="2"/>
  <c r="GX135" i="2"/>
  <c r="HA131" i="2"/>
  <c r="GY131" i="2"/>
  <c r="GX131" i="2"/>
  <c r="HA130" i="2"/>
  <c r="GY130" i="2"/>
  <c r="GX130" i="2"/>
  <c r="HA128" i="2"/>
  <c r="GY128" i="2"/>
  <c r="GX128" i="2"/>
  <c r="HA127" i="2"/>
  <c r="GY127" i="2"/>
  <c r="GX127" i="2"/>
  <c r="HA126" i="2"/>
  <c r="GY126" i="2"/>
  <c r="GX126" i="2"/>
  <c r="HA125" i="2"/>
  <c r="GY125" i="2"/>
  <c r="GX125" i="2"/>
  <c r="HA124" i="2"/>
  <c r="GY124" i="2"/>
  <c r="GX124" i="2"/>
  <c r="HA123" i="2"/>
  <c r="GY123" i="2"/>
  <c r="GX123" i="2"/>
  <c r="HA122" i="2"/>
  <c r="GY122" i="2"/>
  <c r="GX122" i="2"/>
  <c r="HA121" i="2"/>
  <c r="GY121" i="2"/>
  <c r="GX121" i="2"/>
  <c r="HA120" i="2"/>
  <c r="GY120" i="2"/>
  <c r="GX120" i="2"/>
  <c r="HA119" i="2"/>
  <c r="GY119" i="2"/>
  <c r="GX119" i="2"/>
  <c r="HA117" i="2"/>
  <c r="GY117" i="2"/>
  <c r="GX117" i="2"/>
  <c r="HA116" i="2"/>
  <c r="GY116" i="2"/>
  <c r="GX116" i="2"/>
  <c r="HA115" i="2"/>
  <c r="GY115" i="2"/>
  <c r="GX115" i="2"/>
  <c r="HA114" i="2"/>
  <c r="GY114" i="2"/>
  <c r="GX114" i="2"/>
  <c r="HA113" i="2"/>
  <c r="GY113" i="2"/>
  <c r="GX113" i="2"/>
  <c r="HA111" i="2"/>
  <c r="GY111" i="2"/>
  <c r="GX111" i="2"/>
  <c r="HA110" i="2"/>
  <c r="GY110" i="2"/>
  <c r="GX110" i="2"/>
  <c r="HA109" i="2"/>
  <c r="GY109" i="2"/>
  <c r="GX109" i="2"/>
  <c r="HA108" i="2"/>
  <c r="GY108" i="2"/>
  <c r="GX108" i="2"/>
  <c r="HA107" i="2"/>
  <c r="GY107" i="2"/>
  <c r="GX107" i="2"/>
  <c r="HA106" i="2"/>
  <c r="GY106" i="2"/>
  <c r="GX106" i="2"/>
  <c r="HA105" i="2"/>
  <c r="GY105" i="2"/>
  <c r="GX105" i="2"/>
  <c r="HA104" i="2"/>
  <c r="GY104" i="2"/>
  <c r="GX104" i="2"/>
  <c r="HA102" i="2"/>
  <c r="GY102" i="2"/>
  <c r="GX102" i="2"/>
  <c r="HA101" i="2"/>
  <c r="GY101" i="2"/>
  <c r="GX101" i="2"/>
  <c r="HA100" i="2"/>
  <c r="GY100" i="2"/>
  <c r="GX100" i="2"/>
  <c r="HA99" i="2"/>
  <c r="GY99" i="2"/>
  <c r="GX99" i="2"/>
  <c r="HA98" i="2"/>
  <c r="GY98" i="2"/>
  <c r="GX98" i="2"/>
  <c r="HA97" i="2"/>
  <c r="GY97" i="2"/>
  <c r="GX97" i="2"/>
  <c r="HA96" i="2"/>
  <c r="GY96" i="2"/>
  <c r="GX96" i="2"/>
  <c r="HA95" i="2"/>
  <c r="GY95" i="2"/>
  <c r="GX95" i="2"/>
  <c r="HA94" i="2"/>
  <c r="GY94" i="2"/>
  <c r="GX94" i="2"/>
  <c r="HA93" i="2"/>
  <c r="GY93" i="2"/>
  <c r="GX93" i="2"/>
  <c r="HA92" i="2"/>
  <c r="GY92" i="2"/>
  <c r="GX92" i="2"/>
  <c r="HA91" i="2"/>
  <c r="GY91" i="2"/>
  <c r="GX91" i="2"/>
  <c r="HA90" i="2"/>
  <c r="GY90" i="2"/>
  <c r="GX90" i="2"/>
  <c r="HA89" i="2"/>
  <c r="GY89" i="2"/>
  <c r="GX89" i="2"/>
  <c r="HA88" i="2"/>
  <c r="GY88" i="2"/>
  <c r="GX88" i="2"/>
  <c r="HA87" i="2"/>
  <c r="GY87" i="2"/>
  <c r="GX87" i="2"/>
  <c r="HA86" i="2"/>
  <c r="GY86" i="2"/>
  <c r="GX86" i="2"/>
  <c r="HA85" i="2"/>
  <c r="GY85" i="2"/>
  <c r="GX85" i="2"/>
  <c r="HA84" i="2"/>
  <c r="GY84" i="2"/>
  <c r="GX84" i="2"/>
  <c r="HA83" i="2"/>
  <c r="GY83" i="2"/>
  <c r="GX83" i="2"/>
  <c r="HA82" i="2"/>
  <c r="GY82" i="2"/>
  <c r="GX82" i="2"/>
  <c r="HA81" i="2"/>
  <c r="GY81" i="2"/>
  <c r="GX81" i="2"/>
  <c r="HA80" i="2"/>
  <c r="GY80" i="2"/>
  <c r="GX80" i="2"/>
  <c r="HA79" i="2"/>
  <c r="GY79" i="2"/>
  <c r="GX79" i="2"/>
  <c r="HA78" i="2"/>
  <c r="GY78" i="2"/>
  <c r="GX78" i="2"/>
  <c r="HA77" i="2"/>
  <c r="GY77" i="2"/>
  <c r="GX77" i="2"/>
  <c r="HA75" i="2"/>
  <c r="GY75" i="2"/>
  <c r="GX75" i="2"/>
  <c r="HA74" i="2"/>
  <c r="GY74" i="2"/>
  <c r="GX74" i="2"/>
  <c r="HA73" i="2"/>
  <c r="GY73" i="2"/>
  <c r="GX73" i="2"/>
  <c r="HA72" i="2"/>
  <c r="GY72" i="2"/>
  <c r="GX72" i="2"/>
  <c r="HA71" i="2"/>
  <c r="GY71" i="2"/>
  <c r="GX71" i="2"/>
  <c r="HA70" i="2"/>
  <c r="GY70" i="2"/>
  <c r="GX70" i="2"/>
  <c r="HA69" i="2"/>
  <c r="GY69" i="2"/>
  <c r="GX69" i="2"/>
  <c r="HA68" i="2"/>
  <c r="GY68" i="2"/>
  <c r="GX68" i="2"/>
  <c r="HA67" i="2"/>
  <c r="GY67" i="2"/>
  <c r="GX67" i="2"/>
  <c r="HA66" i="2"/>
  <c r="GY66" i="2"/>
  <c r="GX66" i="2"/>
  <c r="HA65" i="2"/>
  <c r="GY65" i="2"/>
  <c r="GX65" i="2"/>
  <c r="HA64" i="2"/>
  <c r="GY64" i="2"/>
  <c r="GX64" i="2"/>
  <c r="HA63" i="2"/>
  <c r="GY63" i="2"/>
  <c r="GX63" i="2"/>
  <c r="HA62" i="2"/>
  <c r="GY62" i="2"/>
  <c r="GX62" i="2"/>
  <c r="HA61" i="2"/>
  <c r="GY61" i="2"/>
  <c r="GX61" i="2"/>
  <c r="HA60" i="2"/>
  <c r="GY60" i="2"/>
  <c r="GX60" i="2"/>
  <c r="HA59" i="2"/>
  <c r="GY59" i="2"/>
  <c r="GX59" i="2"/>
  <c r="HA58" i="2"/>
  <c r="GY58" i="2"/>
  <c r="GX58" i="2"/>
  <c r="HA57" i="2"/>
  <c r="GY57" i="2"/>
  <c r="GX57" i="2"/>
  <c r="HA56" i="2"/>
  <c r="GY56" i="2"/>
  <c r="GX56" i="2"/>
  <c r="HA55" i="2"/>
  <c r="GY55" i="2"/>
  <c r="GX55" i="2"/>
  <c r="HA54" i="2"/>
  <c r="GY54" i="2"/>
  <c r="GX54" i="2"/>
  <c r="HA53" i="2"/>
  <c r="GY53" i="2"/>
  <c r="GX53" i="2"/>
  <c r="HA52" i="2"/>
  <c r="GY52" i="2"/>
  <c r="GX52" i="2"/>
  <c r="HA51" i="2"/>
  <c r="GY51" i="2"/>
  <c r="GX51" i="2"/>
  <c r="HA50" i="2"/>
  <c r="GY50" i="2"/>
  <c r="GX50" i="2"/>
  <c r="HA49" i="2"/>
  <c r="GY49" i="2"/>
  <c r="GX49" i="2"/>
  <c r="HA48" i="2"/>
  <c r="GY48" i="2"/>
  <c r="GX48" i="2"/>
  <c r="HA46" i="2"/>
  <c r="GY46" i="2"/>
  <c r="GX46" i="2"/>
  <c r="HA45" i="2"/>
  <c r="GY45" i="2"/>
  <c r="GX45" i="2"/>
  <c r="HA44" i="2"/>
  <c r="GY44" i="2"/>
  <c r="GX44" i="2"/>
  <c r="HA43" i="2"/>
  <c r="GY43" i="2"/>
  <c r="GX43" i="2"/>
  <c r="HA42" i="2"/>
  <c r="GY42" i="2"/>
  <c r="GX42" i="2"/>
  <c r="HA41" i="2"/>
  <c r="GY41" i="2"/>
  <c r="GX41" i="2"/>
  <c r="HA40" i="2"/>
  <c r="GY40" i="2"/>
  <c r="GX40" i="2"/>
  <c r="HA39" i="2"/>
  <c r="GY39" i="2"/>
  <c r="GX39" i="2"/>
  <c r="HA38" i="2"/>
  <c r="GY38" i="2"/>
  <c r="GX38" i="2"/>
  <c r="HA37" i="2"/>
  <c r="GY37" i="2"/>
  <c r="GX37" i="2"/>
  <c r="HA36" i="2"/>
  <c r="GY36" i="2"/>
  <c r="GX36" i="2"/>
  <c r="HA35" i="2"/>
  <c r="GY35" i="2"/>
  <c r="GX35" i="2"/>
  <c r="HA34" i="2"/>
  <c r="GY34" i="2"/>
  <c r="GX34" i="2"/>
  <c r="HA33" i="2"/>
  <c r="GY33" i="2"/>
  <c r="GX33" i="2"/>
  <c r="HA32" i="2"/>
  <c r="GY32" i="2"/>
  <c r="GX32" i="2"/>
  <c r="HA31" i="2"/>
  <c r="GY31" i="2"/>
  <c r="GX31" i="2"/>
  <c r="HA30" i="2"/>
  <c r="GY30" i="2"/>
  <c r="GX30" i="2"/>
  <c r="HA28" i="2"/>
  <c r="GY28" i="2"/>
  <c r="GX28" i="2"/>
  <c r="HA27" i="2"/>
  <c r="GY27" i="2"/>
  <c r="GX27" i="2"/>
  <c r="HA26" i="2"/>
  <c r="GY26" i="2"/>
  <c r="GX26" i="2"/>
  <c r="HA25" i="2"/>
  <c r="GY25" i="2"/>
  <c r="GX25" i="2"/>
  <c r="HA24" i="2"/>
  <c r="GY24" i="2"/>
  <c r="GX24" i="2"/>
  <c r="HA23" i="2"/>
  <c r="GY23" i="2"/>
  <c r="GX23" i="2"/>
  <c r="HA22" i="2"/>
  <c r="GY22" i="2"/>
  <c r="GX22" i="2"/>
  <c r="HA20" i="2"/>
  <c r="GY20" i="2"/>
  <c r="GX20" i="2"/>
  <c r="HA19" i="2"/>
  <c r="GY19" i="2"/>
  <c r="GX19" i="2"/>
  <c r="HA18" i="2"/>
  <c r="GY18" i="2"/>
  <c r="GX18" i="2"/>
  <c r="HA17" i="2"/>
  <c r="GY17" i="2"/>
  <c r="GX17" i="2"/>
  <c r="HA16" i="2"/>
  <c r="GY16" i="2"/>
  <c r="GX16" i="2"/>
  <c r="HA15" i="2"/>
  <c r="GY15" i="2"/>
  <c r="GX15" i="2"/>
  <c r="HA14" i="2"/>
  <c r="GY14" i="2"/>
  <c r="GX14" i="2"/>
  <c r="HA13" i="2"/>
  <c r="GY13" i="2"/>
  <c r="GX13" i="2"/>
  <c r="HA12" i="2"/>
  <c r="GY12" i="2"/>
  <c r="GX12" i="2"/>
  <c r="HA11" i="2"/>
  <c r="GY11" i="2"/>
  <c r="GX11" i="2"/>
  <c r="HA10" i="2"/>
  <c r="GY10" i="2"/>
  <c r="GX10" i="2"/>
  <c r="HA9" i="2"/>
  <c r="GY9" i="2"/>
  <c r="GX9" i="2"/>
  <c r="HA8" i="2"/>
  <c r="GY8" i="2"/>
  <c r="GX8" i="2"/>
  <c r="HA7" i="2"/>
  <c r="GY7" i="2"/>
  <c r="GX7" i="2"/>
  <c r="GX6" i="2"/>
  <c r="HA6" i="2"/>
  <c r="GY6" i="2"/>
  <c r="GN280" i="2"/>
  <c r="GM280" i="2"/>
  <c r="GN275" i="2"/>
  <c r="GM275" i="2"/>
  <c r="GN273" i="2"/>
  <c r="GM273" i="2"/>
  <c r="GN272" i="2"/>
  <c r="GM272" i="2"/>
  <c r="GN271" i="2"/>
  <c r="GM271" i="2"/>
  <c r="GN267" i="2"/>
  <c r="GM267" i="2"/>
  <c r="GN266" i="2"/>
  <c r="GM266" i="2"/>
  <c r="GN265" i="2"/>
  <c r="GM265" i="2"/>
  <c r="GN264" i="2"/>
  <c r="GM264" i="2"/>
  <c r="GN263" i="2"/>
  <c r="GM263" i="2"/>
  <c r="GN262" i="2"/>
  <c r="GM262" i="2"/>
  <c r="GN261" i="2"/>
  <c r="GM261" i="2"/>
  <c r="GN260" i="2"/>
  <c r="GM260" i="2"/>
  <c r="GN259" i="2"/>
  <c r="GM259" i="2"/>
  <c r="GN258" i="2"/>
  <c r="GM258" i="2"/>
  <c r="GN257" i="2"/>
  <c r="GM257" i="2"/>
  <c r="GN256" i="2"/>
  <c r="GM256" i="2"/>
  <c r="GN254" i="2"/>
  <c r="GM254" i="2"/>
  <c r="GN252" i="2"/>
  <c r="GM252" i="2"/>
  <c r="GN251" i="2"/>
  <c r="GM251" i="2"/>
  <c r="GN250" i="2"/>
  <c r="GM250" i="2"/>
  <c r="GN249" i="2"/>
  <c r="GM249" i="2"/>
  <c r="GN247" i="2"/>
  <c r="GM247" i="2"/>
  <c r="GN246" i="2"/>
  <c r="GM246" i="2"/>
  <c r="GN244" i="2"/>
  <c r="GM244" i="2"/>
  <c r="GN243" i="2"/>
  <c r="GM243" i="2"/>
  <c r="GN242" i="2"/>
  <c r="GM242" i="2"/>
  <c r="GN241" i="2"/>
  <c r="GM241" i="2"/>
  <c r="GN240" i="2"/>
  <c r="GM240" i="2"/>
  <c r="GN234" i="2"/>
  <c r="GM234" i="2"/>
  <c r="GN233" i="2"/>
  <c r="GM233" i="2"/>
  <c r="GN232" i="2"/>
  <c r="GM232" i="2"/>
  <c r="GN231" i="2"/>
  <c r="GM231" i="2"/>
  <c r="GN230" i="2"/>
  <c r="GM230" i="2"/>
  <c r="GN229" i="2"/>
  <c r="GM229" i="2"/>
  <c r="GN228" i="2"/>
  <c r="GM228" i="2"/>
  <c r="GN227" i="2"/>
  <c r="GM227" i="2"/>
  <c r="GN226" i="2"/>
  <c r="GM226" i="2"/>
  <c r="GN225" i="2"/>
  <c r="GM225" i="2"/>
  <c r="GN224" i="2"/>
  <c r="GM224" i="2"/>
  <c r="GN221" i="2"/>
  <c r="GM221" i="2"/>
  <c r="GN220" i="2"/>
  <c r="GM220" i="2"/>
  <c r="GN219" i="2"/>
  <c r="GM219" i="2"/>
  <c r="GN218" i="2"/>
  <c r="GM218" i="2"/>
  <c r="GN216" i="2"/>
  <c r="GM216" i="2"/>
  <c r="GN215" i="2"/>
  <c r="GM215" i="2"/>
  <c r="GN213" i="2"/>
  <c r="GM213" i="2"/>
  <c r="GN212" i="2"/>
  <c r="GM212" i="2"/>
  <c r="GN210" i="2"/>
  <c r="GM210" i="2"/>
  <c r="GN209" i="2"/>
  <c r="GM209" i="2"/>
  <c r="GN204" i="2"/>
  <c r="GM204" i="2"/>
  <c r="GN203" i="2"/>
  <c r="GM203" i="2"/>
  <c r="GN202" i="2"/>
  <c r="GM202" i="2"/>
  <c r="GN200" i="2"/>
  <c r="GM200" i="2"/>
  <c r="GN199" i="2"/>
  <c r="GM199" i="2"/>
  <c r="GN198" i="2"/>
  <c r="GM198" i="2"/>
  <c r="GN197" i="2"/>
  <c r="GM197" i="2"/>
  <c r="GN196" i="2"/>
  <c r="GM196" i="2"/>
  <c r="GN194" i="2"/>
  <c r="GM194" i="2"/>
  <c r="GN193" i="2"/>
  <c r="GM193" i="2"/>
  <c r="GN192" i="2"/>
  <c r="GM192" i="2"/>
  <c r="GN191" i="2"/>
  <c r="GM191" i="2"/>
  <c r="GN190" i="2"/>
  <c r="GM190" i="2"/>
  <c r="GN189" i="2"/>
  <c r="GM189" i="2"/>
  <c r="GN188" i="2"/>
  <c r="GM188" i="2"/>
  <c r="GN186" i="2"/>
  <c r="GM186" i="2"/>
  <c r="GN185" i="2"/>
  <c r="GM185" i="2"/>
  <c r="GN184" i="2"/>
  <c r="GM184" i="2"/>
  <c r="GN183" i="2"/>
  <c r="GM183" i="2"/>
  <c r="GN182" i="2"/>
  <c r="GM182" i="2"/>
  <c r="GN180" i="2"/>
  <c r="GM180" i="2"/>
  <c r="GN175" i="2"/>
  <c r="GM175" i="2"/>
  <c r="GN174" i="2"/>
  <c r="GM174" i="2"/>
  <c r="GN172" i="2"/>
  <c r="GM172" i="2"/>
  <c r="GN169" i="2"/>
  <c r="GM169" i="2"/>
  <c r="GN168" i="2"/>
  <c r="GM168" i="2"/>
  <c r="GN167" i="2"/>
  <c r="GM167" i="2"/>
  <c r="GN166" i="2"/>
  <c r="GM166" i="2"/>
  <c r="GN165" i="2"/>
  <c r="GM165" i="2"/>
  <c r="GN164" i="2"/>
  <c r="GM164" i="2"/>
  <c r="GN163" i="2"/>
  <c r="GM163" i="2"/>
  <c r="GN162" i="2"/>
  <c r="GM162" i="2"/>
  <c r="GN161" i="2"/>
  <c r="GM161" i="2"/>
  <c r="GN160" i="2"/>
  <c r="GM160" i="2"/>
  <c r="GN159" i="2"/>
  <c r="GM159" i="2"/>
  <c r="GN158" i="2"/>
  <c r="GM158" i="2"/>
  <c r="GN157" i="2"/>
  <c r="GM157" i="2"/>
  <c r="GN156" i="2"/>
  <c r="GM156" i="2"/>
  <c r="GN155" i="2"/>
  <c r="GM155" i="2"/>
  <c r="GN154" i="2"/>
  <c r="GM154" i="2"/>
  <c r="GN153" i="2"/>
  <c r="GM153" i="2"/>
  <c r="GN152" i="2"/>
  <c r="GM152" i="2"/>
  <c r="GN151" i="2"/>
  <c r="GM151" i="2"/>
  <c r="GN150" i="2"/>
  <c r="GM150" i="2"/>
  <c r="GN147" i="2"/>
  <c r="GM147" i="2"/>
  <c r="GN146" i="2"/>
  <c r="GM146" i="2"/>
  <c r="GN145" i="2"/>
  <c r="GM145" i="2"/>
  <c r="GN144" i="2"/>
  <c r="GM144" i="2"/>
  <c r="GN143" i="2"/>
  <c r="GM143" i="2"/>
  <c r="GN142" i="2"/>
  <c r="GM142" i="2"/>
  <c r="GN140" i="2"/>
  <c r="GM140" i="2"/>
  <c r="GN139" i="2"/>
  <c r="GM139" i="2"/>
  <c r="GN138" i="2"/>
  <c r="GM138" i="2"/>
  <c r="GN137" i="2"/>
  <c r="GM137" i="2"/>
  <c r="GN136" i="2"/>
  <c r="GM136" i="2"/>
  <c r="GN135" i="2"/>
  <c r="GM135" i="2"/>
  <c r="GN131" i="2"/>
  <c r="GM131" i="2"/>
  <c r="GN130" i="2"/>
  <c r="GM130" i="2"/>
  <c r="GN128" i="2"/>
  <c r="GM128" i="2"/>
  <c r="GN127" i="2"/>
  <c r="GM127" i="2"/>
  <c r="GN126" i="2"/>
  <c r="GM126" i="2"/>
  <c r="GN125" i="2"/>
  <c r="GM125" i="2"/>
  <c r="GN124" i="2"/>
  <c r="GM124" i="2"/>
  <c r="GN123" i="2"/>
  <c r="GM123" i="2"/>
  <c r="GN122" i="2"/>
  <c r="GM122" i="2"/>
  <c r="GN121" i="2"/>
  <c r="GM121" i="2"/>
  <c r="GN120" i="2"/>
  <c r="GM120" i="2"/>
  <c r="GN119" i="2"/>
  <c r="GM119" i="2"/>
  <c r="GN117" i="2"/>
  <c r="GM117" i="2"/>
  <c r="GN116" i="2"/>
  <c r="GM116" i="2"/>
  <c r="GN115" i="2"/>
  <c r="GM115" i="2"/>
  <c r="GN114" i="2"/>
  <c r="GM114" i="2"/>
  <c r="GN113" i="2"/>
  <c r="GM113" i="2"/>
  <c r="GN111" i="2"/>
  <c r="GM111" i="2"/>
  <c r="GN110" i="2"/>
  <c r="GM110" i="2"/>
  <c r="GN109" i="2"/>
  <c r="GM109" i="2"/>
  <c r="GN108" i="2"/>
  <c r="GM108" i="2"/>
  <c r="GN107" i="2"/>
  <c r="GM107" i="2"/>
  <c r="GN106" i="2"/>
  <c r="GM106" i="2"/>
  <c r="GN105" i="2"/>
  <c r="GM105" i="2"/>
  <c r="GN104" i="2"/>
  <c r="GM104" i="2"/>
  <c r="GN102" i="2"/>
  <c r="GM102" i="2"/>
  <c r="GN101" i="2"/>
  <c r="GM101" i="2"/>
  <c r="GN100" i="2"/>
  <c r="GM100" i="2"/>
  <c r="GN99" i="2"/>
  <c r="GM99" i="2"/>
  <c r="GN98" i="2"/>
  <c r="GM98" i="2"/>
  <c r="GN97" i="2"/>
  <c r="GM97" i="2"/>
  <c r="GN96" i="2"/>
  <c r="GM96" i="2"/>
  <c r="GN95" i="2"/>
  <c r="GM95" i="2"/>
  <c r="GN94" i="2"/>
  <c r="GM94" i="2"/>
  <c r="GN93" i="2"/>
  <c r="GM93" i="2"/>
  <c r="GN92" i="2"/>
  <c r="GM92" i="2"/>
  <c r="GN91" i="2"/>
  <c r="GM91" i="2"/>
  <c r="GN90" i="2"/>
  <c r="GM90" i="2"/>
  <c r="GN89" i="2"/>
  <c r="GM89" i="2"/>
  <c r="GN88" i="2"/>
  <c r="GM88" i="2"/>
  <c r="GN87" i="2"/>
  <c r="GM87" i="2"/>
  <c r="GN86" i="2"/>
  <c r="GM86" i="2"/>
  <c r="GN85" i="2"/>
  <c r="GM85" i="2"/>
  <c r="GN84" i="2"/>
  <c r="GM84" i="2"/>
  <c r="GN83" i="2"/>
  <c r="GM83" i="2"/>
  <c r="GN82" i="2"/>
  <c r="GM82" i="2"/>
  <c r="GN81" i="2"/>
  <c r="GM81" i="2"/>
  <c r="GN80" i="2"/>
  <c r="GM80" i="2"/>
  <c r="GN79" i="2"/>
  <c r="GM79" i="2"/>
  <c r="GN78" i="2"/>
  <c r="GM78" i="2"/>
  <c r="GN77" i="2"/>
  <c r="GM77" i="2"/>
  <c r="GN75" i="2"/>
  <c r="GM75" i="2"/>
  <c r="GN74" i="2"/>
  <c r="GM74" i="2"/>
  <c r="GN73" i="2"/>
  <c r="GM73" i="2"/>
  <c r="GN72" i="2"/>
  <c r="GM72" i="2"/>
  <c r="GN71" i="2"/>
  <c r="GM71" i="2"/>
  <c r="GN70" i="2"/>
  <c r="GM70" i="2"/>
  <c r="GN69" i="2"/>
  <c r="GM69" i="2"/>
  <c r="GN68" i="2"/>
  <c r="GM68" i="2"/>
  <c r="GN67" i="2"/>
  <c r="GM67" i="2"/>
  <c r="GN66" i="2"/>
  <c r="GM66" i="2"/>
  <c r="GN65" i="2"/>
  <c r="GM65" i="2"/>
  <c r="GN64" i="2"/>
  <c r="GM64" i="2"/>
  <c r="GN63" i="2"/>
  <c r="GM63" i="2"/>
  <c r="GN62" i="2"/>
  <c r="GM62" i="2"/>
  <c r="GN61" i="2"/>
  <c r="GM61" i="2"/>
  <c r="GN60" i="2"/>
  <c r="GM60" i="2"/>
  <c r="GN59" i="2"/>
  <c r="GM59" i="2"/>
  <c r="GN58" i="2"/>
  <c r="GM58" i="2"/>
  <c r="GN57" i="2"/>
  <c r="GM57" i="2"/>
  <c r="GN56" i="2"/>
  <c r="GM56" i="2"/>
  <c r="GN55" i="2"/>
  <c r="GM55" i="2"/>
  <c r="GN54" i="2"/>
  <c r="GM54" i="2"/>
  <c r="GN53" i="2"/>
  <c r="GM53" i="2"/>
  <c r="GN52" i="2"/>
  <c r="GM52" i="2"/>
  <c r="GN51" i="2"/>
  <c r="GM51" i="2"/>
  <c r="GN50" i="2"/>
  <c r="GM50" i="2"/>
  <c r="GN49" i="2"/>
  <c r="GM49" i="2"/>
  <c r="GN48" i="2"/>
  <c r="GM48" i="2"/>
  <c r="GN46" i="2"/>
  <c r="GM46" i="2"/>
  <c r="GN45" i="2"/>
  <c r="GM45" i="2"/>
  <c r="GN44" i="2"/>
  <c r="GM44" i="2"/>
  <c r="GN43" i="2"/>
  <c r="GM43" i="2"/>
  <c r="GN42" i="2"/>
  <c r="GM42" i="2"/>
  <c r="GN41" i="2"/>
  <c r="GM41" i="2"/>
  <c r="GN40" i="2"/>
  <c r="GM40" i="2"/>
  <c r="GN39" i="2"/>
  <c r="GM39" i="2"/>
  <c r="GN38" i="2"/>
  <c r="GM38" i="2"/>
  <c r="GN37" i="2"/>
  <c r="GM37" i="2"/>
  <c r="GN36" i="2"/>
  <c r="GM36" i="2"/>
  <c r="GN35" i="2"/>
  <c r="GM35" i="2"/>
  <c r="GN34" i="2"/>
  <c r="GM34" i="2"/>
  <c r="GN33" i="2"/>
  <c r="GM33" i="2"/>
  <c r="GN32" i="2"/>
  <c r="GM32" i="2"/>
  <c r="GN31" i="2"/>
  <c r="GM31" i="2"/>
  <c r="GN30" i="2"/>
  <c r="GM30" i="2"/>
  <c r="GN28" i="2"/>
  <c r="GM28" i="2"/>
  <c r="GN27" i="2"/>
  <c r="GM27" i="2"/>
  <c r="GN26" i="2"/>
  <c r="GM26" i="2"/>
  <c r="GN25" i="2"/>
  <c r="GM25" i="2"/>
  <c r="GN24" i="2"/>
  <c r="GM24" i="2"/>
  <c r="GN23" i="2"/>
  <c r="GM23" i="2"/>
  <c r="GN22" i="2"/>
  <c r="GM22" i="2"/>
  <c r="GN20" i="2"/>
  <c r="GM20" i="2"/>
  <c r="GN19" i="2"/>
  <c r="GM19" i="2"/>
  <c r="GN18" i="2"/>
  <c r="GM18" i="2"/>
  <c r="GN17" i="2"/>
  <c r="GM17" i="2"/>
  <c r="GN16" i="2"/>
  <c r="GM16" i="2"/>
  <c r="GN15" i="2"/>
  <c r="GM15" i="2"/>
  <c r="GN14" i="2"/>
  <c r="GM14" i="2"/>
  <c r="GN13" i="2"/>
  <c r="GM13" i="2"/>
  <c r="GN12" i="2"/>
  <c r="GM12" i="2"/>
  <c r="GN11" i="2"/>
  <c r="GM11" i="2"/>
  <c r="GN10" i="2"/>
  <c r="GM10" i="2"/>
  <c r="GN9" i="2"/>
  <c r="GM9" i="2"/>
  <c r="GN8" i="2"/>
  <c r="GM8" i="2"/>
  <c r="GN7" i="2"/>
  <c r="GM7" i="2"/>
  <c r="GN6" i="2"/>
  <c r="GM6" i="2"/>
  <c r="GE280" i="2"/>
  <c r="GD280" i="2"/>
  <c r="GE275" i="2"/>
  <c r="GD275" i="2"/>
  <c r="GE273" i="2"/>
  <c r="GD273" i="2"/>
  <c r="GE272" i="2"/>
  <c r="GD272" i="2"/>
  <c r="GE271" i="2"/>
  <c r="GD271" i="2"/>
  <c r="GE267" i="2"/>
  <c r="GD267" i="2"/>
  <c r="GE266" i="2"/>
  <c r="GD266" i="2"/>
  <c r="GE265" i="2"/>
  <c r="GD265" i="2"/>
  <c r="GE264" i="2"/>
  <c r="GD264" i="2"/>
  <c r="GE263" i="2"/>
  <c r="GD263" i="2"/>
  <c r="GE262" i="2"/>
  <c r="GD262" i="2"/>
  <c r="GE261" i="2"/>
  <c r="GD261" i="2"/>
  <c r="GE260" i="2"/>
  <c r="GD260" i="2"/>
  <c r="GE259" i="2"/>
  <c r="GD259" i="2"/>
  <c r="GE258" i="2"/>
  <c r="GD258" i="2"/>
  <c r="GE257" i="2"/>
  <c r="GD257" i="2"/>
  <c r="GE256" i="2"/>
  <c r="GD256" i="2"/>
  <c r="GE254" i="2"/>
  <c r="GD254" i="2"/>
  <c r="GE252" i="2"/>
  <c r="GD252" i="2"/>
  <c r="GE251" i="2"/>
  <c r="GE344" i="2" s="1"/>
  <c r="GD251" i="2"/>
  <c r="GE250" i="2"/>
  <c r="GD250" i="2"/>
  <c r="GE249" i="2"/>
  <c r="GD249" i="2"/>
  <c r="GE247" i="2"/>
  <c r="GD247" i="2"/>
  <c r="GE246" i="2"/>
  <c r="GD246" i="2"/>
  <c r="GE244" i="2"/>
  <c r="GD244" i="2"/>
  <c r="GE243" i="2"/>
  <c r="GD243" i="2"/>
  <c r="GE242" i="2"/>
  <c r="GD242" i="2"/>
  <c r="GE241" i="2"/>
  <c r="GD241" i="2"/>
  <c r="GE240" i="2"/>
  <c r="GD240" i="2"/>
  <c r="GE234" i="2"/>
  <c r="GD234" i="2"/>
  <c r="GE233" i="2"/>
  <c r="GD233" i="2"/>
  <c r="GE232" i="2"/>
  <c r="GD232" i="2"/>
  <c r="GE231" i="2"/>
  <c r="GD231" i="2"/>
  <c r="GE230" i="2"/>
  <c r="GD230" i="2"/>
  <c r="GE229" i="2"/>
  <c r="GD229" i="2"/>
  <c r="GE228" i="2"/>
  <c r="GD228" i="2"/>
  <c r="GE227" i="2"/>
  <c r="GD227" i="2"/>
  <c r="GE226" i="2"/>
  <c r="GD226" i="2"/>
  <c r="GE225" i="2"/>
  <c r="GD225" i="2"/>
  <c r="GE224" i="2"/>
  <c r="GD224" i="2"/>
  <c r="GE221" i="2"/>
  <c r="GD221" i="2"/>
  <c r="GE220" i="2"/>
  <c r="GD220" i="2"/>
  <c r="GE219" i="2"/>
  <c r="GD219" i="2"/>
  <c r="GE218" i="2"/>
  <c r="GD218" i="2"/>
  <c r="GE216" i="2"/>
  <c r="GD216" i="2"/>
  <c r="GE215" i="2"/>
  <c r="GD215" i="2"/>
  <c r="GE213" i="2"/>
  <c r="GD213" i="2"/>
  <c r="GE212" i="2"/>
  <c r="GD212" i="2"/>
  <c r="GE210" i="2"/>
  <c r="GD210" i="2"/>
  <c r="GE209" i="2"/>
  <c r="GD209" i="2"/>
  <c r="GE204" i="2"/>
  <c r="GD204" i="2"/>
  <c r="GE203" i="2"/>
  <c r="GD203" i="2"/>
  <c r="GE202" i="2"/>
  <c r="GD202" i="2"/>
  <c r="GE200" i="2"/>
  <c r="GD200" i="2"/>
  <c r="GE199" i="2"/>
  <c r="GD199" i="2"/>
  <c r="GE198" i="2"/>
  <c r="GD198" i="2"/>
  <c r="GE197" i="2"/>
  <c r="GD197" i="2"/>
  <c r="GE196" i="2"/>
  <c r="GD196" i="2"/>
  <c r="GE194" i="2"/>
  <c r="GD194" i="2"/>
  <c r="GE193" i="2"/>
  <c r="GD193" i="2"/>
  <c r="GE192" i="2"/>
  <c r="GD192" i="2"/>
  <c r="GE191" i="2"/>
  <c r="GD191" i="2"/>
  <c r="GE190" i="2"/>
  <c r="GD190" i="2"/>
  <c r="GE189" i="2"/>
  <c r="GD189" i="2"/>
  <c r="GE188" i="2"/>
  <c r="GD188" i="2"/>
  <c r="GE186" i="2"/>
  <c r="GD186" i="2"/>
  <c r="GE185" i="2"/>
  <c r="GD185" i="2"/>
  <c r="GE184" i="2"/>
  <c r="GD184" i="2"/>
  <c r="GE183" i="2"/>
  <c r="GD183" i="2"/>
  <c r="GE182" i="2"/>
  <c r="GD182" i="2"/>
  <c r="GE180" i="2"/>
  <c r="GD180" i="2"/>
  <c r="GE175" i="2"/>
  <c r="GD175" i="2"/>
  <c r="GE174" i="2"/>
  <c r="GD174" i="2"/>
  <c r="GE172" i="2"/>
  <c r="GD172" i="2"/>
  <c r="GE169" i="2"/>
  <c r="GD169" i="2"/>
  <c r="GE168" i="2"/>
  <c r="GD168" i="2"/>
  <c r="GE167" i="2"/>
  <c r="GD167" i="2"/>
  <c r="GE166" i="2"/>
  <c r="GD166" i="2"/>
  <c r="GE165" i="2"/>
  <c r="GD165" i="2"/>
  <c r="GE164" i="2"/>
  <c r="GD164" i="2"/>
  <c r="GE163" i="2"/>
  <c r="GD163" i="2"/>
  <c r="GE162" i="2"/>
  <c r="GD162" i="2"/>
  <c r="GE161" i="2"/>
  <c r="GD161" i="2"/>
  <c r="GE160" i="2"/>
  <c r="GD160" i="2"/>
  <c r="GE159" i="2"/>
  <c r="GD159" i="2"/>
  <c r="GE158" i="2"/>
  <c r="GD158" i="2"/>
  <c r="GE157" i="2"/>
  <c r="GD157" i="2"/>
  <c r="GE156" i="2"/>
  <c r="GD156" i="2"/>
  <c r="GE155" i="2"/>
  <c r="GD155" i="2"/>
  <c r="GE154" i="2"/>
  <c r="GD154" i="2"/>
  <c r="GE153" i="2"/>
  <c r="GD153" i="2"/>
  <c r="GE152" i="2"/>
  <c r="GD152" i="2"/>
  <c r="GE151" i="2"/>
  <c r="GE332" i="2" s="1"/>
  <c r="P57" i="9" s="1"/>
  <c r="GD151" i="2"/>
  <c r="GE150" i="2"/>
  <c r="GD150" i="2"/>
  <c r="GE147" i="2"/>
  <c r="GD147" i="2"/>
  <c r="GE146" i="2"/>
  <c r="GD146" i="2"/>
  <c r="GE145" i="2"/>
  <c r="GD145" i="2"/>
  <c r="GE144" i="2"/>
  <c r="GD144" i="2"/>
  <c r="GE143" i="2"/>
  <c r="GD143" i="2"/>
  <c r="GE142" i="2"/>
  <c r="GD142" i="2"/>
  <c r="GE140" i="2"/>
  <c r="GD140" i="2"/>
  <c r="GE139" i="2"/>
  <c r="GD139" i="2"/>
  <c r="GE138" i="2"/>
  <c r="GD138" i="2"/>
  <c r="GE137" i="2"/>
  <c r="GD137" i="2"/>
  <c r="GE136" i="2"/>
  <c r="GD136" i="2"/>
  <c r="GE135" i="2"/>
  <c r="GD135" i="2"/>
  <c r="GE131" i="2"/>
  <c r="GD131" i="2"/>
  <c r="GE130" i="2"/>
  <c r="GD130" i="2"/>
  <c r="GE128" i="2"/>
  <c r="GD128" i="2"/>
  <c r="GE127" i="2"/>
  <c r="GD127" i="2"/>
  <c r="GE126" i="2"/>
  <c r="GD126" i="2"/>
  <c r="GE125" i="2"/>
  <c r="GD125" i="2"/>
  <c r="GE124" i="2"/>
  <c r="GD124" i="2"/>
  <c r="GE123" i="2"/>
  <c r="GD123" i="2"/>
  <c r="GE122" i="2"/>
  <c r="GD122" i="2"/>
  <c r="GE121" i="2"/>
  <c r="GD121" i="2"/>
  <c r="GE120" i="2"/>
  <c r="GD120" i="2"/>
  <c r="GE119" i="2"/>
  <c r="GD119" i="2"/>
  <c r="GE117" i="2"/>
  <c r="GD117" i="2"/>
  <c r="GE116" i="2"/>
  <c r="GD116" i="2"/>
  <c r="GE115" i="2"/>
  <c r="GD115" i="2"/>
  <c r="GE114" i="2"/>
  <c r="GD114" i="2"/>
  <c r="GE113" i="2"/>
  <c r="GD113" i="2"/>
  <c r="GE111" i="2"/>
  <c r="GD111" i="2"/>
  <c r="GE110" i="2"/>
  <c r="GD110" i="2"/>
  <c r="GE109" i="2"/>
  <c r="GD109" i="2"/>
  <c r="GE108" i="2"/>
  <c r="GD108" i="2"/>
  <c r="GE107" i="2"/>
  <c r="GD107" i="2"/>
  <c r="GE106" i="2"/>
  <c r="GD106" i="2"/>
  <c r="GE105" i="2"/>
  <c r="GD105" i="2"/>
  <c r="GE104" i="2"/>
  <c r="GD104" i="2"/>
  <c r="GE102" i="2"/>
  <c r="GD102" i="2"/>
  <c r="GE101" i="2"/>
  <c r="GD101" i="2"/>
  <c r="GE100" i="2"/>
  <c r="GD100" i="2"/>
  <c r="GE99" i="2"/>
  <c r="GD99" i="2"/>
  <c r="GE98" i="2"/>
  <c r="GD98" i="2"/>
  <c r="GE97" i="2"/>
  <c r="GD97" i="2"/>
  <c r="GE96" i="2"/>
  <c r="GD96" i="2"/>
  <c r="GE95" i="2"/>
  <c r="GD95" i="2"/>
  <c r="GE94" i="2"/>
  <c r="GD94" i="2"/>
  <c r="GE93" i="2"/>
  <c r="GD93" i="2"/>
  <c r="GE92" i="2"/>
  <c r="GD92" i="2"/>
  <c r="GE91" i="2"/>
  <c r="GD91" i="2"/>
  <c r="GE90" i="2"/>
  <c r="GD90" i="2"/>
  <c r="GE89" i="2"/>
  <c r="GD89" i="2"/>
  <c r="GE88" i="2"/>
  <c r="GD88" i="2"/>
  <c r="GE87" i="2"/>
  <c r="GD87" i="2"/>
  <c r="GE86" i="2"/>
  <c r="GD86" i="2"/>
  <c r="GE85" i="2"/>
  <c r="GD85" i="2"/>
  <c r="GE84" i="2"/>
  <c r="GD84" i="2"/>
  <c r="GE83" i="2"/>
  <c r="GD83" i="2"/>
  <c r="GE82" i="2"/>
  <c r="GD82" i="2"/>
  <c r="GE81" i="2"/>
  <c r="GD81" i="2"/>
  <c r="GE80" i="2"/>
  <c r="GE79" i="2"/>
  <c r="GD79" i="2"/>
  <c r="GE78" i="2"/>
  <c r="GD78" i="2"/>
  <c r="GE77" i="2"/>
  <c r="GD77" i="2"/>
  <c r="GE75" i="2"/>
  <c r="GD75" i="2"/>
  <c r="GE74" i="2"/>
  <c r="GD74" i="2"/>
  <c r="GE73" i="2"/>
  <c r="GD73" i="2"/>
  <c r="GE72" i="2"/>
  <c r="GD72" i="2"/>
  <c r="GE71" i="2"/>
  <c r="GD71" i="2"/>
  <c r="GE70" i="2"/>
  <c r="GD70" i="2"/>
  <c r="GE69" i="2"/>
  <c r="GD69" i="2"/>
  <c r="GE68" i="2"/>
  <c r="GD68" i="2"/>
  <c r="GE67" i="2"/>
  <c r="GD67" i="2"/>
  <c r="GE66" i="2"/>
  <c r="GD66" i="2"/>
  <c r="GE65" i="2"/>
  <c r="GD65" i="2"/>
  <c r="GE64" i="2"/>
  <c r="GD64" i="2"/>
  <c r="GE63" i="2"/>
  <c r="GD63" i="2"/>
  <c r="GE62" i="2"/>
  <c r="GD62" i="2"/>
  <c r="GE61" i="2"/>
  <c r="GD61" i="2"/>
  <c r="GE60" i="2"/>
  <c r="GD60" i="2"/>
  <c r="GE59" i="2"/>
  <c r="GD59" i="2"/>
  <c r="GE58" i="2"/>
  <c r="GD58" i="2"/>
  <c r="GE57" i="2"/>
  <c r="GD57" i="2"/>
  <c r="GE56" i="2"/>
  <c r="GD56" i="2"/>
  <c r="GE55" i="2"/>
  <c r="GD55" i="2"/>
  <c r="GE54" i="2"/>
  <c r="GD54" i="2"/>
  <c r="GE53" i="2"/>
  <c r="GD53" i="2"/>
  <c r="GE52" i="2"/>
  <c r="GD52" i="2"/>
  <c r="GE51" i="2"/>
  <c r="GD51" i="2"/>
  <c r="GE50" i="2"/>
  <c r="GD50" i="2"/>
  <c r="GE49" i="2"/>
  <c r="GD49" i="2"/>
  <c r="GE48" i="2"/>
  <c r="GD48" i="2"/>
  <c r="GE46" i="2"/>
  <c r="GD46" i="2"/>
  <c r="GE45" i="2"/>
  <c r="GD45" i="2"/>
  <c r="GE44" i="2"/>
  <c r="GD44" i="2"/>
  <c r="GE43" i="2"/>
  <c r="GD43" i="2"/>
  <c r="GE42" i="2"/>
  <c r="GD42" i="2"/>
  <c r="GE41" i="2"/>
  <c r="GD41" i="2"/>
  <c r="GE40" i="2"/>
  <c r="GD40" i="2"/>
  <c r="GE39" i="2"/>
  <c r="GD39" i="2"/>
  <c r="GE38" i="2"/>
  <c r="GD38" i="2"/>
  <c r="GE37" i="2"/>
  <c r="GD37" i="2"/>
  <c r="GE36" i="2"/>
  <c r="GD36" i="2"/>
  <c r="GE35" i="2"/>
  <c r="GD35" i="2"/>
  <c r="GE34" i="2"/>
  <c r="GD34" i="2"/>
  <c r="GE33" i="2"/>
  <c r="GD33" i="2"/>
  <c r="GE32" i="2"/>
  <c r="GD32" i="2"/>
  <c r="GE31" i="2"/>
  <c r="GD31" i="2"/>
  <c r="GE30" i="2"/>
  <c r="GD30" i="2"/>
  <c r="GE28" i="2"/>
  <c r="GD28" i="2"/>
  <c r="GE27" i="2"/>
  <c r="GD27" i="2"/>
  <c r="GE26" i="2"/>
  <c r="GD26" i="2"/>
  <c r="GE25" i="2"/>
  <c r="GD25" i="2"/>
  <c r="GE24" i="2"/>
  <c r="GD24" i="2"/>
  <c r="GE23" i="2"/>
  <c r="GD23" i="2"/>
  <c r="GE22" i="2"/>
  <c r="GD22" i="2"/>
  <c r="GE20" i="2"/>
  <c r="GD20" i="2"/>
  <c r="GE19" i="2"/>
  <c r="GD19" i="2"/>
  <c r="GE18" i="2"/>
  <c r="GD18" i="2"/>
  <c r="GE17" i="2"/>
  <c r="GD17" i="2"/>
  <c r="GE16" i="2"/>
  <c r="GD16" i="2"/>
  <c r="GE15" i="2"/>
  <c r="GD15" i="2"/>
  <c r="GE14" i="2"/>
  <c r="GD14" i="2"/>
  <c r="GE13" i="2"/>
  <c r="GD13" i="2"/>
  <c r="GE12" i="2"/>
  <c r="GD12" i="2"/>
  <c r="GE11" i="2"/>
  <c r="GD11" i="2"/>
  <c r="GE10" i="2"/>
  <c r="GD10" i="2"/>
  <c r="GE9" i="2"/>
  <c r="GD9" i="2"/>
  <c r="GE8" i="2"/>
  <c r="GD8" i="2"/>
  <c r="GE7" i="2"/>
  <c r="GD7" i="2"/>
  <c r="GE6" i="2"/>
  <c r="GD6" i="2"/>
  <c r="FZ280" i="2"/>
  <c r="FZ275" i="2"/>
  <c r="FZ273" i="2"/>
  <c r="FZ272" i="2"/>
  <c r="FZ271" i="2"/>
  <c r="FZ267" i="2"/>
  <c r="FZ266" i="2"/>
  <c r="FZ265" i="2"/>
  <c r="FZ264" i="2"/>
  <c r="FZ263" i="2"/>
  <c r="FZ262" i="2"/>
  <c r="FZ261" i="2"/>
  <c r="FZ260" i="2"/>
  <c r="FZ259" i="2"/>
  <c r="FZ258" i="2"/>
  <c r="FZ257" i="2"/>
  <c r="FZ256" i="2"/>
  <c r="FZ254" i="2"/>
  <c r="FZ252" i="2"/>
  <c r="FZ251" i="2"/>
  <c r="FZ250" i="2"/>
  <c r="FZ249" i="2"/>
  <c r="FZ247" i="2"/>
  <c r="FZ246" i="2"/>
  <c r="FZ244" i="2"/>
  <c r="FZ243" i="2"/>
  <c r="FZ242" i="2"/>
  <c r="FZ241" i="2"/>
  <c r="FZ240" i="2"/>
  <c r="FZ234" i="2"/>
  <c r="FZ233" i="2"/>
  <c r="FZ232" i="2"/>
  <c r="FZ231" i="2"/>
  <c r="FZ230" i="2"/>
  <c r="FZ229" i="2"/>
  <c r="FZ228" i="2"/>
  <c r="FZ227" i="2"/>
  <c r="FZ226" i="2"/>
  <c r="FZ225" i="2"/>
  <c r="FZ224" i="2"/>
  <c r="FZ221" i="2"/>
  <c r="FZ220" i="2"/>
  <c r="FZ219" i="2"/>
  <c r="FZ218" i="2"/>
  <c r="FZ216" i="2"/>
  <c r="FZ215" i="2"/>
  <c r="FZ213" i="2"/>
  <c r="FZ212" i="2"/>
  <c r="FZ210" i="2"/>
  <c r="FZ209" i="2"/>
  <c r="FZ204" i="2"/>
  <c r="FZ203" i="2"/>
  <c r="FZ202" i="2"/>
  <c r="FZ200" i="2"/>
  <c r="FZ199" i="2"/>
  <c r="FZ198" i="2"/>
  <c r="FZ197" i="2"/>
  <c r="FZ196" i="2"/>
  <c r="FZ194" i="2"/>
  <c r="FZ193" i="2"/>
  <c r="FZ192" i="2"/>
  <c r="FZ191" i="2"/>
  <c r="FZ190" i="2"/>
  <c r="FZ189" i="2"/>
  <c r="FZ188" i="2"/>
  <c r="FZ186" i="2"/>
  <c r="FZ185" i="2"/>
  <c r="FZ184" i="2"/>
  <c r="FZ183" i="2"/>
  <c r="FZ182" i="2"/>
  <c r="FZ180" i="2"/>
  <c r="FZ175" i="2"/>
  <c r="FZ174" i="2"/>
  <c r="FZ172" i="2"/>
  <c r="FZ169" i="2"/>
  <c r="FZ168" i="2"/>
  <c r="FZ167" i="2"/>
  <c r="FZ166" i="2"/>
  <c r="FZ165" i="2"/>
  <c r="FZ164" i="2"/>
  <c r="FZ163" i="2"/>
  <c r="FZ162" i="2"/>
  <c r="FZ161" i="2"/>
  <c r="FZ160" i="2"/>
  <c r="FZ159" i="2"/>
  <c r="FZ158" i="2"/>
  <c r="FZ157" i="2"/>
  <c r="FZ156" i="2"/>
  <c r="FZ155" i="2"/>
  <c r="FZ154" i="2"/>
  <c r="FZ153" i="2"/>
  <c r="FZ152" i="2"/>
  <c r="FZ151" i="2"/>
  <c r="FZ150" i="2"/>
  <c r="FZ147" i="2"/>
  <c r="FZ146" i="2"/>
  <c r="FZ145" i="2"/>
  <c r="FZ144" i="2"/>
  <c r="FZ143" i="2"/>
  <c r="FZ142" i="2"/>
  <c r="FZ140" i="2"/>
  <c r="FZ139" i="2"/>
  <c r="FZ138" i="2"/>
  <c r="FZ137" i="2"/>
  <c r="FZ136" i="2"/>
  <c r="FZ135" i="2"/>
  <c r="FZ131" i="2"/>
  <c r="FZ130" i="2"/>
  <c r="FZ128" i="2"/>
  <c r="FZ127" i="2"/>
  <c r="FZ126" i="2"/>
  <c r="FZ125" i="2"/>
  <c r="FZ124" i="2"/>
  <c r="FZ123" i="2"/>
  <c r="FZ122" i="2"/>
  <c r="FZ121" i="2"/>
  <c r="FZ120" i="2"/>
  <c r="FZ119" i="2"/>
  <c r="FZ117" i="2"/>
  <c r="FZ116" i="2"/>
  <c r="FZ115" i="2"/>
  <c r="FZ114" i="2"/>
  <c r="FZ113" i="2"/>
  <c r="FZ111" i="2"/>
  <c r="FZ110" i="2"/>
  <c r="FZ109" i="2"/>
  <c r="FZ108" i="2"/>
  <c r="FZ107" i="2"/>
  <c r="FZ106" i="2"/>
  <c r="FZ105" i="2"/>
  <c r="FZ104" i="2"/>
  <c r="FZ102" i="2"/>
  <c r="FZ101" i="2"/>
  <c r="FZ100" i="2"/>
  <c r="FZ99" i="2"/>
  <c r="FZ98" i="2"/>
  <c r="FZ97" i="2"/>
  <c r="FZ96" i="2"/>
  <c r="FZ95" i="2"/>
  <c r="FZ94" i="2"/>
  <c r="FZ93" i="2"/>
  <c r="FZ92" i="2"/>
  <c r="FZ91" i="2"/>
  <c r="FZ90" i="2"/>
  <c r="FZ89" i="2"/>
  <c r="FZ88" i="2"/>
  <c r="FZ87" i="2"/>
  <c r="FZ86" i="2"/>
  <c r="FZ85" i="2"/>
  <c r="FZ84" i="2"/>
  <c r="FZ83" i="2"/>
  <c r="FZ82" i="2"/>
  <c r="FZ81" i="2"/>
  <c r="FZ80" i="2"/>
  <c r="FZ79" i="2"/>
  <c r="FZ78" i="2"/>
  <c r="FZ77" i="2"/>
  <c r="FZ75" i="2"/>
  <c r="FZ74" i="2"/>
  <c r="FZ73" i="2"/>
  <c r="FZ72" i="2"/>
  <c r="FZ71" i="2"/>
  <c r="FZ70" i="2"/>
  <c r="FZ69" i="2"/>
  <c r="FZ68" i="2"/>
  <c r="FZ67" i="2"/>
  <c r="FZ66" i="2"/>
  <c r="FZ65" i="2"/>
  <c r="FZ64" i="2"/>
  <c r="FZ63" i="2"/>
  <c r="FZ62" i="2"/>
  <c r="FZ61" i="2"/>
  <c r="FZ60" i="2"/>
  <c r="FZ59" i="2"/>
  <c r="FZ58" i="2"/>
  <c r="FZ57" i="2"/>
  <c r="FZ56" i="2"/>
  <c r="FZ55" i="2"/>
  <c r="FZ54" i="2"/>
  <c r="FZ53" i="2"/>
  <c r="FZ52" i="2"/>
  <c r="FZ51" i="2"/>
  <c r="FZ50" i="2"/>
  <c r="FZ49" i="2"/>
  <c r="FZ48" i="2"/>
  <c r="FZ46" i="2"/>
  <c r="FZ45" i="2"/>
  <c r="FZ44" i="2"/>
  <c r="FZ43" i="2"/>
  <c r="FZ42" i="2"/>
  <c r="FZ41" i="2"/>
  <c r="FZ40" i="2"/>
  <c r="FZ39" i="2"/>
  <c r="FZ38" i="2"/>
  <c r="FZ37" i="2"/>
  <c r="FZ36" i="2"/>
  <c r="FZ35" i="2"/>
  <c r="FZ34" i="2"/>
  <c r="FZ33" i="2"/>
  <c r="FZ32" i="2"/>
  <c r="FZ31" i="2"/>
  <c r="FZ30" i="2"/>
  <c r="FZ28" i="2"/>
  <c r="FZ27" i="2"/>
  <c r="FZ26" i="2"/>
  <c r="FZ25" i="2"/>
  <c r="FZ24" i="2"/>
  <c r="FZ23" i="2"/>
  <c r="FZ22" i="2"/>
  <c r="FZ20" i="2"/>
  <c r="FZ19" i="2"/>
  <c r="FZ18" i="2"/>
  <c r="FZ17" i="2"/>
  <c r="FZ16" i="2"/>
  <c r="FZ15" i="2"/>
  <c r="FZ14" i="2"/>
  <c r="FZ13" i="2"/>
  <c r="FZ12" i="2"/>
  <c r="FZ11" i="2"/>
  <c r="FZ10" i="2"/>
  <c r="FZ9" i="2"/>
  <c r="FZ8" i="2"/>
  <c r="FZ7" i="2"/>
  <c r="FZ6" i="2"/>
  <c r="FY280" i="2"/>
  <c r="FX280" i="2"/>
  <c r="FW280" i="2"/>
  <c r="FY275" i="2"/>
  <c r="FX275" i="2"/>
  <c r="FW275" i="2"/>
  <c r="FY273" i="2"/>
  <c r="FX273" i="2"/>
  <c r="FW273" i="2"/>
  <c r="FY272" i="2"/>
  <c r="FX272" i="2"/>
  <c r="FW272" i="2"/>
  <c r="FY271" i="2"/>
  <c r="FX271" i="2"/>
  <c r="FW271" i="2"/>
  <c r="FY267" i="2"/>
  <c r="FX267" i="2"/>
  <c r="FW267" i="2"/>
  <c r="FY266" i="2"/>
  <c r="FX266" i="2"/>
  <c r="FW266" i="2"/>
  <c r="FY265" i="2"/>
  <c r="FX265" i="2"/>
  <c r="FW265" i="2"/>
  <c r="FY264" i="2"/>
  <c r="FX264" i="2"/>
  <c r="FW264" i="2"/>
  <c r="FY263" i="2"/>
  <c r="FX263" i="2"/>
  <c r="FW263" i="2"/>
  <c r="FY262" i="2"/>
  <c r="FX262" i="2"/>
  <c r="FW262" i="2"/>
  <c r="FY261" i="2"/>
  <c r="FX261" i="2"/>
  <c r="FW261" i="2"/>
  <c r="FY260" i="2"/>
  <c r="FX260" i="2"/>
  <c r="FW260" i="2"/>
  <c r="FY259" i="2"/>
  <c r="FX259" i="2"/>
  <c r="FW259" i="2"/>
  <c r="FY258" i="2"/>
  <c r="FX258" i="2"/>
  <c r="FW258" i="2"/>
  <c r="FY257" i="2"/>
  <c r="FX257" i="2"/>
  <c r="FW257" i="2"/>
  <c r="FY256" i="2"/>
  <c r="FX256" i="2"/>
  <c r="FW256" i="2"/>
  <c r="FY254" i="2"/>
  <c r="FX254" i="2"/>
  <c r="FW254" i="2"/>
  <c r="FY252" i="2"/>
  <c r="FX252" i="2"/>
  <c r="FW252" i="2"/>
  <c r="FY251" i="2"/>
  <c r="FX251" i="2"/>
  <c r="FW251" i="2"/>
  <c r="FY250" i="2"/>
  <c r="FX250" i="2"/>
  <c r="FW250" i="2"/>
  <c r="FY249" i="2"/>
  <c r="FX249" i="2"/>
  <c r="FW249" i="2"/>
  <c r="FY247" i="2"/>
  <c r="FX247" i="2"/>
  <c r="FW247" i="2"/>
  <c r="FY246" i="2"/>
  <c r="FX246" i="2"/>
  <c r="FW246" i="2"/>
  <c r="FY244" i="2"/>
  <c r="FX244" i="2"/>
  <c r="FW244" i="2"/>
  <c r="FY243" i="2"/>
  <c r="FX243" i="2"/>
  <c r="FW243" i="2"/>
  <c r="FY242" i="2"/>
  <c r="FX242" i="2"/>
  <c r="FW242" i="2"/>
  <c r="FY241" i="2"/>
  <c r="FX241" i="2"/>
  <c r="FW241" i="2"/>
  <c r="FY240" i="2"/>
  <c r="FX240" i="2"/>
  <c r="FW240" i="2"/>
  <c r="FY234" i="2"/>
  <c r="FX234" i="2"/>
  <c r="FW234" i="2"/>
  <c r="FY233" i="2"/>
  <c r="FX233" i="2"/>
  <c r="FW233" i="2"/>
  <c r="FY232" i="2"/>
  <c r="FX232" i="2"/>
  <c r="FW232" i="2"/>
  <c r="FY231" i="2"/>
  <c r="FX231" i="2"/>
  <c r="FW231" i="2"/>
  <c r="FY230" i="2"/>
  <c r="FX230" i="2"/>
  <c r="FW230" i="2"/>
  <c r="FY229" i="2"/>
  <c r="FX229" i="2"/>
  <c r="FW229" i="2"/>
  <c r="FY228" i="2"/>
  <c r="FX228" i="2"/>
  <c r="FW228" i="2"/>
  <c r="FY227" i="2"/>
  <c r="FX227" i="2"/>
  <c r="FW227" i="2"/>
  <c r="FY226" i="2"/>
  <c r="FX226" i="2"/>
  <c r="FW226" i="2"/>
  <c r="FY225" i="2"/>
  <c r="FX225" i="2"/>
  <c r="FW225" i="2"/>
  <c r="FY224" i="2"/>
  <c r="FX224" i="2"/>
  <c r="FW224" i="2"/>
  <c r="FY221" i="2"/>
  <c r="FX221" i="2"/>
  <c r="FW221" i="2"/>
  <c r="FY220" i="2"/>
  <c r="FX220" i="2"/>
  <c r="FW220" i="2"/>
  <c r="FY219" i="2"/>
  <c r="FX219" i="2"/>
  <c r="FW219" i="2"/>
  <c r="FY218" i="2"/>
  <c r="FX218" i="2"/>
  <c r="FW218" i="2"/>
  <c r="FY216" i="2"/>
  <c r="FX216" i="2"/>
  <c r="FW216" i="2"/>
  <c r="FY215" i="2"/>
  <c r="FX215" i="2"/>
  <c r="FW215" i="2"/>
  <c r="FY213" i="2"/>
  <c r="FX213" i="2"/>
  <c r="FW213" i="2"/>
  <c r="FY212" i="2"/>
  <c r="FX212" i="2"/>
  <c r="FW212" i="2"/>
  <c r="FY210" i="2"/>
  <c r="FX210" i="2"/>
  <c r="FW210" i="2"/>
  <c r="FY209" i="2"/>
  <c r="FX209" i="2"/>
  <c r="FW209" i="2"/>
  <c r="FY204" i="2"/>
  <c r="FX204" i="2"/>
  <c r="FW204" i="2"/>
  <c r="FY203" i="2"/>
  <c r="FX203" i="2"/>
  <c r="FW203" i="2"/>
  <c r="FY202" i="2"/>
  <c r="FX202" i="2"/>
  <c r="FW202" i="2"/>
  <c r="FY200" i="2"/>
  <c r="FX200" i="2"/>
  <c r="FW200" i="2"/>
  <c r="FY199" i="2"/>
  <c r="FX199" i="2"/>
  <c r="FW199" i="2"/>
  <c r="FY198" i="2"/>
  <c r="FX198" i="2"/>
  <c r="FW198" i="2"/>
  <c r="FY197" i="2"/>
  <c r="FX197" i="2"/>
  <c r="FW197" i="2"/>
  <c r="FY196" i="2"/>
  <c r="FX196" i="2"/>
  <c r="FW196" i="2"/>
  <c r="FY194" i="2"/>
  <c r="FX194" i="2"/>
  <c r="FW194" i="2"/>
  <c r="FY193" i="2"/>
  <c r="FX193" i="2"/>
  <c r="FW193" i="2"/>
  <c r="FY192" i="2"/>
  <c r="FX192" i="2"/>
  <c r="FW192" i="2"/>
  <c r="FY191" i="2"/>
  <c r="FX191" i="2"/>
  <c r="FW191" i="2"/>
  <c r="FY190" i="2"/>
  <c r="FX190" i="2"/>
  <c r="FW190" i="2"/>
  <c r="FY189" i="2"/>
  <c r="FX189" i="2"/>
  <c r="FW189" i="2"/>
  <c r="FY188" i="2"/>
  <c r="FX188" i="2"/>
  <c r="FW188" i="2"/>
  <c r="FY186" i="2"/>
  <c r="FX186" i="2"/>
  <c r="FW186" i="2"/>
  <c r="FY185" i="2"/>
  <c r="FX185" i="2"/>
  <c r="FW185" i="2"/>
  <c r="FY184" i="2"/>
  <c r="FX184" i="2"/>
  <c r="FW184" i="2"/>
  <c r="FY183" i="2"/>
  <c r="FX183" i="2"/>
  <c r="FW183" i="2"/>
  <c r="FY182" i="2"/>
  <c r="FX182" i="2"/>
  <c r="FW182" i="2"/>
  <c r="FY180" i="2"/>
  <c r="FX180" i="2"/>
  <c r="FW180" i="2"/>
  <c r="FY175" i="2"/>
  <c r="FX175" i="2"/>
  <c r="FW175" i="2"/>
  <c r="FY174" i="2"/>
  <c r="FX174" i="2"/>
  <c r="FW174" i="2"/>
  <c r="FY172" i="2"/>
  <c r="FX172" i="2"/>
  <c r="FW172" i="2"/>
  <c r="FY169" i="2"/>
  <c r="FX169" i="2"/>
  <c r="FW169" i="2"/>
  <c r="FY168" i="2"/>
  <c r="FX168" i="2"/>
  <c r="FW168" i="2"/>
  <c r="FY167" i="2"/>
  <c r="FX167" i="2"/>
  <c r="FW167" i="2"/>
  <c r="FY166" i="2"/>
  <c r="FX166" i="2"/>
  <c r="FW166" i="2"/>
  <c r="FY165" i="2"/>
  <c r="FX165" i="2"/>
  <c r="FW165" i="2"/>
  <c r="FY164" i="2"/>
  <c r="FX164" i="2"/>
  <c r="FW164" i="2"/>
  <c r="FY163" i="2"/>
  <c r="FX163" i="2"/>
  <c r="FW163" i="2"/>
  <c r="FY162" i="2"/>
  <c r="FX162" i="2"/>
  <c r="FW162" i="2"/>
  <c r="FY161" i="2"/>
  <c r="FX161" i="2"/>
  <c r="FW161" i="2"/>
  <c r="FY160" i="2"/>
  <c r="FX160" i="2"/>
  <c r="FW160" i="2"/>
  <c r="FY159" i="2"/>
  <c r="FX159" i="2"/>
  <c r="FW159" i="2"/>
  <c r="FY158" i="2"/>
  <c r="FX158" i="2"/>
  <c r="FW158" i="2"/>
  <c r="FY157" i="2"/>
  <c r="FX157" i="2"/>
  <c r="FW157" i="2"/>
  <c r="FY156" i="2"/>
  <c r="FX156" i="2"/>
  <c r="FW156" i="2"/>
  <c r="FY155" i="2"/>
  <c r="FX155" i="2"/>
  <c r="FW155" i="2"/>
  <c r="FY154" i="2"/>
  <c r="FX154" i="2"/>
  <c r="FW154" i="2"/>
  <c r="FY153" i="2"/>
  <c r="FX153" i="2"/>
  <c r="FW153" i="2"/>
  <c r="FY152" i="2"/>
  <c r="FX152" i="2"/>
  <c r="FW152" i="2"/>
  <c r="FY151" i="2"/>
  <c r="FX151" i="2"/>
  <c r="FW151" i="2"/>
  <c r="FY150" i="2"/>
  <c r="FX150" i="2"/>
  <c r="FW150" i="2"/>
  <c r="FY147" i="2"/>
  <c r="FX147" i="2"/>
  <c r="FW147" i="2"/>
  <c r="FY146" i="2"/>
  <c r="FX146" i="2"/>
  <c r="FW146" i="2"/>
  <c r="FY145" i="2"/>
  <c r="FX145" i="2"/>
  <c r="FW145" i="2"/>
  <c r="FY144" i="2"/>
  <c r="FX144" i="2"/>
  <c r="FW144" i="2"/>
  <c r="FY143" i="2"/>
  <c r="FX143" i="2"/>
  <c r="FW143" i="2"/>
  <c r="FY142" i="2"/>
  <c r="FX142" i="2"/>
  <c r="FW142" i="2"/>
  <c r="FY140" i="2"/>
  <c r="FX140" i="2"/>
  <c r="FW140" i="2"/>
  <c r="FY139" i="2"/>
  <c r="FX139" i="2"/>
  <c r="FW139" i="2"/>
  <c r="FY138" i="2"/>
  <c r="FX138" i="2"/>
  <c r="FW138" i="2"/>
  <c r="FY137" i="2"/>
  <c r="FX137" i="2"/>
  <c r="FW137" i="2"/>
  <c r="FY136" i="2"/>
  <c r="FX136" i="2"/>
  <c r="FW136" i="2"/>
  <c r="FY135" i="2"/>
  <c r="FX135" i="2"/>
  <c r="FW135" i="2"/>
  <c r="FY131" i="2"/>
  <c r="FX131" i="2"/>
  <c r="FW131" i="2"/>
  <c r="FY130" i="2"/>
  <c r="FX130" i="2"/>
  <c r="FW130" i="2"/>
  <c r="FY128" i="2"/>
  <c r="FX128" i="2"/>
  <c r="FW128" i="2"/>
  <c r="FY127" i="2"/>
  <c r="FX127" i="2"/>
  <c r="FW127" i="2"/>
  <c r="FY126" i="2"/>
  <c r="FX126" i="2"/>
  <c r="FW126" i="2"/>
  <c r="FY125" i="2"/>
  <c r="FX125" i="2"/>
  <c r="FW125" i="2"/>
  <c r="FY124" i="2"/>
  <c r="FX124" i="2"/>
  <c r="FW124" i="2"/>
  <c r="FY123" i="2"/>
  <c r="FX123" i="2"/>
  <c r="FW123" i="2"/>
  <c r="FY122" i="2"/>
  <c r="FX122" i="2"/>
  <c r="FW122" i="2"/>
  <c r="FY121" i="2"/>
  <c r="FX121" i="2"/>
  <c r="FW121" i="2"/>
  <c r="FY120" i="2"/>
  <c r="FX120" i="2"/>
  <c r="FW120" i="2"/>
  <c r="FY119" i="2"/>
  <c r="FX119" i="2"/>
  <c r="FW119" i="2"/>
  <c r="FY117" i="2"/>
  <c r="FX117" i="2"/>
  <c r="FW117" i="2"/>
  <c r="FY116" i="2"/>
  <c r="FX116" i="2"/>
  <c r="FW116" i="2"/>
  <c r="FY115" i="2"/>
  <c r="FX115" i="2"/>
  <c r="FW115" i="2"/>
  <c r="FY114" i="2"/>
  <c r="FX114" i="2"/>
  <c r="FW114" i="2"/>
  <c r="FY113" i="2"/>
  <c r="FX113" i="2"/>
  <c r="FW113" i="2"/>
  <c r="FY111" i="2"/>
  <c r="FX111" i="2"/>
  <c r="FW111" i="2"/>
  <c r="FY110" i="2"/>
  <c r="FX110" i="2"/>
  <c r="FW110" i="2"/>
  <c r="FY109" i="2"/>
  <c r="FX109" i="2"/>
  <c r="FW109" i="2"/>
  <c r="FY108" i="2"/>
  <c r="FX108" i="2"/>
  <c r="FW108" i="2"/>
  <c r="FY107" i="2"/>
  <c r="FX107" i="2"/>
  <c r="FW107" i="2"/>
  <c r="FY106" i="2"/>
  <c r="FX106" i="2"/>
  <c r="FW106" i="2"/>
  <c r="FY105" i="2"/>
  <c r="FX105" i="2"/>
  <c r="FW105" i="2"/>
  <c r="FY104" i="2"/>
  <c r="FX104" i="2"/>
  <c r="FW104" i="2"/>
  <c r="FY102" i="2"/>
  <c r="FX102" i="2"/>
  <c r="FW102" i="2"/>
  <c r="FY101" i="2"/>
  <c r="FX101" i="2"/>
  <c r="FW101" i="2"/>
  <c r="FY100" i="2"/>
  <c r="FX100" i="2"/>
  <c r="FW100" i="2"/>
  <c r="FY99" i="2"/>
  <c r="FX99" i="2"/>
  <c r="FW99" i="2"/>
  <c r="FY98" i="2"/>
  <c r="FX98" i="2"/>
  <c r="FW98" i="2"/>
  <c r="FY97" i="2"/>
  <c r="FX97" i="2"/>
  <c r="FW97" i="2"/>
  <c r="FY96" i="2"/>
  <c r="FX96" i="2"/>
  <c r="FW96" i="2"/>
  <c r="FY95" i="2"/>
  <c r="FX95" i="2"/>
  <c r="FW95" i="2"/>
  <c r="FY94" i="2"/>
  <c r="FX94" i="2"/>
  <c r="FW94" i="2"/>
  <c r="FY93" i="2"/>
  <c r="FX93" i="2"/>
  <c r="FW93" i="2"/>
  <c r="FY92" i="2"/>
  <c r="FX92" i="2"/>
  <c r="FW92" i="2"/>
  <c r="FY91" i="2"/>
  <c r="FX91" i="2"/>
  <c r="FW91" i="2"/>
  <c r="FY90" i="2"/>
  <c r="FX90" i="2"/>
  <c r="FW90" i="2"/>
  <c r="FY89" i="2"/>
  <c r="FX89" i="2"/>
  <c r="FW89" i="2"/>
  <c r="FY88" i="2"/>
  <c r="FX88" i="2"/>
  <c r="FW88" i="2"/>
  <c r="FY87" i="2"/>
  <c r="FX87" i="2"/>
  <c r="FW87" i="2"/>
  <c r="FY86" i="2"/>
  <c r="FX86" i="2"/>
  <c r="FW86" i="2"/>
  <c r="FY85" i="2"/>
  <c r="FX85" i="2"/>
  <c r="FW85" i="2"/>
  <c r="FY84" i="2"/>
  <c r="FX84" i="2"/>
  <c r="FW84" i="2"/>
  <c r="FY83" i="2"/>
  <c r="FX83" i="2"/>
  <c r="FW83" i="2"/>
  <c r="FY82" i="2"/>
  <c r="FX82" i="2"/>
  <c r="FW82" i="2"/>
  <c r="FY81" i="2"/>
  <c r="FX81" i="2"/>
  <c r="FW81" i="2"/>
  <c r="FY80" i="2"/>
  <c r="FX80" i="2"/>
  <c r="FW80" i="2"/>
  <c r="FY79" i="2"/>
  <c r="FX79" i="2"/>
  <c r="FW79" i="2"/>
  <c r="FY78" i="2"/>
  <c r="FX78" i="2"/>
  <c r="FW78" i="2"/>
  <c r="FY77" i="2"/>
  <c r="FX77" i="2"/>
  <c r="FW77" i="2"/>
  <c r="FY75" i="2"/>
  <c r="FX75" i="2"/>
  <c r="FW75" i="2"/>
  <c r="FY74" i="2"/>
  <c r="FX74" i="2"/>
  <c r="FW74" i="2"/>
  <c r="FY73" i="2"/>
  <c r="FX73" i="2"/>
  <c r="FW73" i="2"/>
  <c r="FY72" i="2"/>
  <c r="FX72" i="2"/>
  <c r="FW72" i="2"/>
  <c r="FY71" i="2"/>
  <c r="FX71" i="2"/>
  <c r="FW71" i="2"/>
  <c r="FY70" i="2"/>
  <c r="FX70" i="2"/>
  <c r="FW70" i="2"/>
  <c r="FY69" i="2"/>
  <c r="FX69" i="2"/>
  <c r="FW69" i="2"/>
  <c r="FY68" i="2"/>
  <c r="FX68" i="2"/>
  <c r="FW68" i="2"/>
  <c r="FY67" i="2"/>
  <c r="FX67" i="2"/>
  <c r="FW67" i="2"/>
  <c r="FY66" i="2"/>
  <c r="FX66" i="2"/>
  <c r="FW66" i="2"/>
  <c r="FY65" i="2"/>
  <c r="FX65" i="2"/>
  <c r="FW65" i="2"/>
  <c r="FY64" i="2"/>
  <c r="FX64" i="2"/>
  <c r="FW64" i="2"/>
  <c r="FY63" i="2"/>
  <c r="FX63" i="2"/>
  <c r="FW63" i="2"/>
  <c r="FY62" i="2"/>
  <c r="FX62" i="2"/>
  <c r="FW62" i="2"/>
  <c r="FY61" i="2"/>
  <c r="FX61" i="2"/>
  <c r="FW61" i="2"/>
  <c r="FY60" i="2"/>
  <c r="FX60" i="2"/>
  <c r="FW60" i="2"/>
  <c r="FY59" i="2"/>
  <c r="FX59" i="2"/>
  <c r="FW59" i="2"/>
  <c r="FY58" i="2"/>
  <c r="FX58" i="2"/>
  <c r="FW58" i="2"/>
  <c r="FY57" i="2"/>
  <c r="FX57" i="2"/>
  <c r="FW57" i="2"/>
  <c r="FY56" i="2"/>
  <c r="FX56" i="2"/>
  <c r="FW56" i="2"/>
  <c r="FY55" i="2"/>
  <c r="FX55" i="2"/>
  <c r="FW55" i="2"/>
  <c r="FY54" i="2"/>
  <c r="FX54" i="2"/>
  <c r="FW54" i="2"/>
  <c r="FY53" i="2"/>
  <c r="FX53" i="2"/>
  <c r="FW53" i="2"/>
  <c r="FY52" i="2"/>
  <c r="FX52" i="2"/>
  <c r="FW52" i="2"/>
  <c r="FY51" i="2"/>
  <c r="FX51" i="2"/>
  <c r="FW51" i="2"/>
  <c r="FY50" i="2"/>
  <c r="FX50" i="2"/>
  <c r="FW50" i="2"/>
  <c r="FY49" i="2"/>
  <c r="FX49" i="2"/>
  <c r="FW49" i="2"/>
  <c r="FY48" i="2"/>
  <c r="FX48" i="2"/>
  <c r="FW48" i="2"/>
  <c r="FY46" i="2"/>
  <c r="FX46" i="2"/>
  <c r="FW46" i="2"/>
  <c r="FY45" i="2"/>
  <c r="FX45" i="2"/>
  <c r="FW45" i="2"/>
  <c r="FY44" i="2"/>
  <c r="FX44" i="2"/>
  <c r="FW44" i="2"/>
  <c r="FY43" i="2"/>
  <c r="FX43" i="2"/>
  <c r="FW43" i="2"/>
  <c r="FY42" i="2"/>
  <c r="FX42" i="2"/>
  <c r="FW42" i="2"/>
  <c r="FY41" i="2"/>
  <c r="FX41" i="2"/>
  <c r="FW41" i="2"/>
  <c r="FY40" i="2"/>
  <c r="FX40" i="2"/>
  <c r="FW40" i="2"/>
  <c r="FY39" i="2"/>
  <c r="FX39" i="2"/>
  <c r="FW39" i="2"/>
  <c r="FY38" i="2"/>
  <c r="FX38" i="2"/>
  <c r="FW38" i="2"/>
  <c r="FY37" i="2"/>
  <c r="FX37" i="2"/>
  <c r="FW37" i="2"/>
  <c r="FY36" i="2"/>
  <c r="FX36" i="2"/>
  <c r="FW36" i="2"/>
  <c r="FY35" i="2"/>
  <c r="FX35" i="2"/>
  <c r="FW35" i="2"/>
  <c r="FY34" i="2"/>
  <c r="FX34" i="2"/>
  <c r="FW34" i="2"/>
  <c r="FY33" i="2"/>
  <c r="FX33" i="2"/>
  <c r="FW33" i="2"/>
  <c r="FY32" i="2"/>
  <c r="FX32" i="2"/>
  <c r="FW32" i="2"/>
  <c r="FY31" i="2"/>
  <c r="FX31" i="2"/>
  <c r="FW31" i="2"/>
  <c r="FY30" i="2"/>
  <c r="FX30" i="2"/>
  <c r="FW30" i="2"/>
  <c r="FY28" i="2"/>
  <c r="FX28" i="2"/>
  <c r="FW28" i="2"/>
  <c r="FY27" i="2"/>
  <c r="FX27" i="2"/>
  <c r="FW27" i="2"/>
  <c r="FY26" i="2"/>
  <c r="FX26" i="2"/>
  <c r="FW26" i="2"/>
  <c r="FY25" i="2"/>
  <c r="FX25" i="2"/>
  <c r="FW25" i="2"/>
  <c r="FY24" i="2"/>
  <c r="FX24" i="2"/>
  <c r="FW24" i="2"/>
  <c r="FY23" i="2"/>
  <c r="FX23" i="2"/>
  <c r="FW23" i="2"/>
  <c r="FY22" i="2"/>
  <c r="FX22" i="2"/>
  <c r="FW22" i="2"/>
  <c r="FY20" i="2"/>
  <c r="FX20" i="2"/>
  <c r="FW20" i="2"/>
  <c r="FY19" i="2"/>
  <c r="FX19" i="2"/>
  <c r="FW19" i="2"/>
  <c r="FY18" i="2"/>
  <c r="FX18" i="2"/>
  <c r="FW18" i="2"/>
  <c r="FY17" i="2"/>
  <c r="FX17" i="2"/>
  <c r="FW17" i="2"/>
  <c r="FY16" i="2"/>
  <c r="FX16" i="2"/>
  <c r="FW16" i="2"/>
  <c r="FY15" i="2"/>
  <c r="FX15" i="2"/>
  <c r="FW15" i="2"/>
  <c r="FY14" i="2"/>
  <c r="FX14" i="2"/>
  <c r="FW14" i="2"/>
  <c r="FY13" i="2"/>
  <c r="FX13" i="2"/>
  <c r="FW13" i="2"/>
  <c r="FY12" i="2"/>
  <c r="FX12" i="2"/>
  <c r="FW12" i="2"/>
  <c r="FY11" i="2"/>
  <c r="FX11" i="2"/>
  <c r="FW11" i="2"/>
  <c r="FY10" i="2"/>
  <c r="FX10" i="2"/>
  <c r="FW10" i="2"/>
  <c r="FY9" i="2"/>
  <c r="FX9" i="2"/>
  <c r="FW9" i="2"/>
  <c r="FY8" i="2"/>
  <c r="FX8" i="2"/>
  <c r="FW8" i="2"/>
  <c r="FY7" i="2"/>
  <c r="FX7" i="2"/>
  <c r="FW7" i="2"/>
  <c r="FY6" i="2"/>
  <c r="FX6" i="2"/>
  <c r="FW6" i="2"/>
  <c r="FP280" i="2"/>
  <c r="FP275" i="2"/>
  <c r="FP272" i="2"/>
  <c r="FP271" i="2"/>
  <c r="FP267" i="2"/>
  <c r="FP266" i="2"/>
  <c r="FP265" i="2"/>
  <c r="FP264" i="2"/>
  <c r="FP263" i="2"/>
  <c r="FP262" i="2"/>
  <c r="FP261" i="2"/>
  <c r="FP260" i="2"/>
  <c r="FP259" i="2"/>
  <c r="FP258" i="2"/>
  <c r="FP257" i="2"/>
  <c r="FP256" i="2"/>
  <c r="FP254" i="2"/>
  <c r="FP252" i="2"/>
  <c r="FP251" i="2"/>
  <c r="FP344" i="2" s="1"/>
  <c r="FP250" i="2"/>
  <c r="FP249" i="2"/>
  <c r="FP247" i="2"/>
  <c r="FP246" i="2"/>
  <c r="FP244" i="2"/>
  <c r="FP243" i="2"/>
  <c r="FP242" i="2"/>
  <c r="FP241" i="2"/>
  <c r="FP240" i="2"/>
  <c r="FP234" i="2"/>
  <c r="FP233" i="2"/>
  <c r="FP232" i="2"/>
  <c r="FP231" i="2"/>
  <c r="FP230" i="2"/>
  <c r="FP229" i="2"/>
  <c r="FP228" i="2"/>
  <c r="FP227" i="2"/>
  <c r="FP226" i="2"/>
  <c r="FP225" i="2"/>
  <c r="FP224" i="2"/>
  <c r="FP221" i="2"/>
  <c r="FP220" i="2"/>
  <c r="FP219" i="2"/>
  <c r="FP218" i="2"/>
  <c r="FP216" i="2"/>
  <c r="FP215" i="2"/>
  <c r="FP213" i="2"/>
  <c r="FP212" i="2"/>
  <c r="FP210" i="2"/>
  <c r="FP209" i="2"/>
  <c r="FP204" i="2"/>
  <c r="FP203" i="2"/>
  <c r="FP202" i="2"/>
  <c r="FP200" i="2"/>
  <c r="FP199" i="2"/>
  <c r="FP198" i="2"/>
  <c r="FP197" i="2"/>
  <c r="FP196" i="2"/>
  <c r="FP194" i="2"/>
  <c r="FP193" i="2"/>
  <c r="FP192" i="2"/>
  <c r="FP191" i="2"/>
  <c r="FP190" i="2"/>
  <c r="FP189" i="2"/>
  <c r="FP188" i="2"/>
  <c r="FP186" i="2"/>
  <c r="FP185" i="2"/>
  <c r="FP184" i="2"/>
  <c r="FP183" i="2"/>
  <c r="FP182" i="2"/>
  <c r="FP180" i="2"/>
  <c r="FP175" i="2"/>
  <c r="FP174" i="2"/>
  <c r="FP172" i="2"/>
  <c r="FP169" i="2"/>
  <c r="FP168" i="2"/>
  <c r="FP167" i="2"/>
  <c r="FP166" i="2"/>
  <c r="FP165" i="2"/>
  <c r="FP164" i="2"/>
  <c r="FP163" i="2"/>
  <c r="FP162" i="2"/>
  <c r="FP161" i="2"/>
  <c r="FP160" i="2"/>
  <c r="FP159" i="2"/>
  <c r="FP158" i="2"/>
  <c r="FP157" i="2"/>
  <c r="FP156" i="2"/>
  <c r="FP155" i="2"/>
  <c r="FP154" i="2"/>
  <c r="FP153" i="2"/>
  <c r="FP152" i="2"/>
  <c r="FP151" i="2"/>
  <c r="FP150" i="2"/>
  <c r="FP147" i="2"/>
  <c r="FP146" i="2"/>
  <c r="FP145" i="2"/>
  <c r="FP144" i="2"/>
  <c r="FP143" i="2"/>
  <c r="FP142" i="2"/>
  <c r="FP140" i="2"/>
  <c r="FP139" i="2"/>
  <c r="FP138" i="2"/>
  <c r="FP137" i="2"/>
  <c r="FP136" i="2"/>
  <c r="FP135" i="2"/>
  <c r="FP131" i="2"/>
  <c r="FP130" i="2"/>
  <c r="FP128" i="2"/>
  <c r="FP127" i="2"/>
  <c r="FP126" i="2"/>
  <c r="FP125" i="2"/>
  <c r="FP124" i="2"/>
  <c r="FP123" i="2"/>
  <c r="FP122" i="2"/>
  <c r="FP121" i="2"/>
  <c r="FP120" i="2"/>
  <c r="FP119" i="2"/>
  <c r="FP117" i="2"/>
  <c r="FP116" i="2"/>
  <c r="FP115" i="2"/>
  <c r="FP114" i="2"/>
  <c r="FP113" i="2"/>
  <c r="FP111" i="2"/>
  <c r="FP110" i="2"/>
  <c r="FP109" i="2"/>
  <c r="FP108" i="2"/>
  <c r="FP107" i="2"/>
  <c r="FP106" i="2"/>
  <c r="FP105" i="2"/>
  <c r="FP104" i="2"/>
  <c r="FP102" i="2"/>
  <c r="FP101" i="2"/>
  <c r="FP100" i="2"/>
  <c r="FP99" i="2"/>
  <c r="FP98" i="2"/>
  <c r="FP97" i="2"/>
  <c r="FP96" i="2"/>
  <c r="FP95" i="2"/>
  <c r="FP94" i="2"/>
  <c r="FP93" i="2"/>
  <c r="FP92" i="2"/>
  <c r="FP91" i="2"/>
  <c r="FP90" i="2"/>
  <c r="FP89" i="2"/>
  <c r="FP88" i="2"/>
  <c r="FP87" i="2"/>
  <c r="FP86" i="2"/>
  <c r="FP85" i="2"/>
  <c r="FP84" i="2"/>
  <c r="FP83" i="2"/>
  <c r="FP82" i="2"/>
  <c r="FP81" i="2"/>
  <c r="FP80" i="2"/>
  <c r="FP79" i="2"/>
  <c r="FP78" i="2"/>
  <c r="FP77" i="2"/>
  <c r="FP75" i="2"/>
  <c r="FP74" i="2"/>
  <c r="FP73" i="2"/>
  <c r="FP72" i="2"/>
  <c r="FP71" i="2"/>
  <c r="FP70" i="2"/>
  <c r="FP69" i="2"/>
  <c r="FP68" i="2"/>
  <c r="FP67" i="2"/>
  <c r="FP66" i="2"/>
  <c r="FP65" i="2"/>
  <c r="FP64" i="2"/>
  <c r="FP63" i="2"/>
  <c r="FP62" i="2"/>
  <c r="FP61" i="2"/>
  <c r="FP60" i="2"/>
  <c r="FP59" i="2"/>
  <c r="FP58" i="2"/>
  <c r="FP57" i="2"/>
  <c r="FP56" i="2"/>
  <c r="FP55" i="2"/>
  <c r="FP54" i="2"/>
  <c r="FP53" i="2"/>
  <c r="FP52" i="2"/>
  <c r="FP51" i="2"/>
  <c r="FP50" i="2"/>
  <c r="FP49" i="2"/>
  <c r="FP48" i="2"/>
  <c r="FP46" i="2"/>
  <c r="FP45" i="2"/>
  <c r="FP44" i="2"/>
  <c r="FP43" i="2"/>
  <c r="FP42" i="2"/>
  <c r="FP41" i="2"/>
  <c r="FP40" i="2"/>
  <c r="FP39" i="2"/>
  <c r="FP38" i="2"/>
  <c r="FP37" i="2"/>
  <c r="FP36" i="2"/>
  <c r="FP35" i="2"/>
  <c r="FP34" i="2"/>
  <c r="FP33" i="2"/>
  <c r="FP32" i="2"/>
  <c r="FP31" i="2"/>
  <c r="FP30" i="2"/>
  <c r="FP28" i="2"/>
  <c r="FP27" i="2"/>
  <c r="FP26" i="2"/>
  <c r="FP25" i="2"/>
  <c r="FP24" i="2"/>
  <c r="FP23" i="2"/>
  <c r="FP22" i="2"/>
  <c r="FP20" i="2"/>
  <c r="FP19" i="2"/>
  <c r="FP18" i="2"/>
  <c r="FP17" i="2"/>
  <c r="FP16" i="2"/>
  <c r="FP15" i="2"/>
  <c r="FP14" i="2"/>
  <c r="FP13" i="2"/>
  <c r="FP12" i="2"/>
  <c r="FP11" i="2"/>
  <c r="FP10" i="2"/>
  <c r="FP9" i="2"/>
  <c r="FP8" i="2"/>
  <c r="FP7" i="2"/>
  <c r="FP6" i="2"/>
  <c r="FH280" i="2"/>
  <c r="FH275" i="2"/>
  <c r="FH273" i="2"/>
  <c r="FH272" i="2"/>
  <c r="FH271" i="2"/>
  <c r="FH267" i="2"/>
  <c r="FH266" i="2"/>
  <c r="FH265" i="2"/>
  <c r="FH262" i="2"/>
  <c r="FH261" i="2"/>
  <c r="FH260" i="2"/>
  <c r="FH259" i="2"/>
  <c r="FH258" i="2"/>
  <c r="FH257" i="2"/>
  <c r="FH256" i="2"/>
  <c r="FH254" i="2"/>
  <c r="FH252" i="2"/>
  <c r="FH251" i="2"/>
  <c r="FH250" i="2"/>
  <c r="FH249" i="2"/>
  <c r="FH247" i="2"/>
  <c r="FH246" i="2"/>
  <c r="FH244" i="2"/>
  <c r="FH243" i="2"/>
  <c r="FH242" i="2"/>
  <c r="FH241" i="2"/>
  <c r="FH240" i="2"/>
  <c r="FH234" i="2"/>
  <c r="FH233" i="2"/>
  <c r="FH232" i="2"/>
  <c r="FH231" i="2"/>
  <c r="FH230" i="2"/>
  <c r="FH229" i="2"/>
  <c r="FH228" i="2"/>
  <c r="FH227" i="2"/>
  <c r="FH226" i="2"/>
  <c r="FH225" i="2"/>
  <c r="FH224" i="2"/>
  <c r="FH221" i="2"/>
  <c r="FH220" i="2"/>
  <c r="FH219" i="2"/>
  <c r="FH218" i="2"/>
  <c r="FH216" i="2"/>
  <c r="FH215" i="2"/>
  <c r="FH213" i="2"/>
  <c r="FH212" i="2"/>
  <c r="FH210" i="2"/>
  <c r="FH209" i="2"/>
  <c r="FH204" i="2"/>
  <c r="FH203" i="2"/>
  <c r="FH202" i="2"/>
  <c r="FH200" i="2"/>
  <c r="FH199" i="2"/>
  <c r="FH198" i="2"/>
  <c r="FH197" i="2"/>
  <c r="FH196" i="2"/>
  <c r="FH194" i="2"/>
  <c r="FH193" i="2"/>
  <c r="FH192" i="2"/>
  <c r="FH191" i="2"/>
  <c r="FH190" i="2"/>
  <c r="FH189" i="2"/>
  <c r="FH188" i="2"/>
  <c r="FH186" i="2"/>
  <c r="FH185" i="2"/>
  <c r="FH184" i="2"/>
  <c r="FH183" i="2"/>
  <c r="FH182" i="2"/>
  <c r="FH180" i="2"/>
  <c r="FH175" i="2"/>
  <c r="FH174" i="2"/>
  <c r="FH172" i="2"/>
  <c r="FH169" i="2"/>
  <c r="FH168" i="2"/>
  <c r="FH167" i="2"/>
  <c r="FH166" i="2"/>
  <c r="FH165" i="2"/>
  <c r="FH164" i="2"/>
  <c r="FH163" i="2"/>
  <c r="FH162" i="2"/>
  <c r="FH161" i="2"/>
  <c r="FH160" i="2"/>
  <c r="FH159" i="2"/>
  <c r="FH158" i="2"/>
  <c r="FH157" i="2"/>
  <c r="FH156" i="2"/>
  <c r="FH155" i="2"/>
  <c r="FH154" i="2"/>
  <c r="FH153" i="2"/>
  <c r="FH152" i="2"/>
  <c r="FH151" i="2"/>
  <c r="FH150" i="2"/>
  <c r="FH147" i="2"/>
  <c r="FH146" i="2"/>
  <c r="FH145" i="2"/>
  <c r="FH144" i="2"/>
  <c r="FH143" i="2"/>
  <c r="FH142" i="2"/>
  <c r="FH140" i="2"/>
  <c r="FH139" i="2"/>
  <c r="FH138" i="2"/>
  <c r="FH137" i="2"/>
  <c r="FH136" i="2"/>
  <c r="FH135" i="2"/>
  <c r="FH131" i="2"/>
  <c r="FH130" i="2"/>
  <c r="FH128" i="2"/>
  <c r="FH127" i="2"/>
  <c r="FH126" i="2"/>
  <c r="FH125" i="2"/>
  <c r="FH124" i="2"/>
  <c r="FH123" i="2"/>
  <c r="FH122" i="2"/>
  <c r="FH121" i="2"/>
  <c r="FH120" i="2"/>
  <c r="FH119" i="2"/>
  <c r="FH117" i="2"/>
  <c r="FH116" i="2"/>
  <c r="FH115" i="2"/>
  <c r="FH114" i="2"/>
  <c r="FH113" i="2"/>
  <c r="FH111" i="2"/>
  <c r="FH110" i="2"/>
  <c r="FH109" i="2"/>
  <c r="FH108" i="2"/>
  <c r="FH107" i="2"/>
  <c r="FH106" i="2"/>
  <c r="FH105" i="2"/>
  <c r="FH104" i="2"/>
  <c r="FH102" i="2"/>
  <c r="FH101" i="2"/>
  <c r="FH100" i="2"/>
  <c r="FH99" i="2"/>
  <c r="FH327" i="2" s="1"/>
  <c r="FH98" i="2"/>
  <c r="FH97" i="2"/>
  <c r="FH96" i="2"/>
  <c r="FH95" i="2"/>
  <c r="FH94" i="2"/>
  <c r="FH93" i="2"/>
  <c r="FH92" i="2"/>
  <c r="FH91" i="2"/>
  <c r="FH90" i="2"/>
  <c r="FH89" i="2"/>
  <c r="FH88" i="2"/>
  <c r="FH87" i="2"/>
  <c r="FH86" i="2"/>
  <c r="FH85" i="2"/>
  <c r="FH84" i="2"/>
  <c r="FH83" i="2"/>
  <c r="FH82" i="2"/>
  <c r="FH81" i="2"/>
  <c r="FH80" i="2"/>
  <c r="FH79" i="2"/>
  <c r="FH78" i="2"/>
  <c r="FH77" i="2"/>
  <c r="FH75" i="2"/>
  <c r="FH74" i="2"/>
  <c r="FH73" i="2"/>
  <c r="FH72" i="2"/>
  <c r="FH71" i="2"/>
  <c r="FH70" i="2"/>
  <c r="FH69" i="2"/>
  <c r="FH68" i="2"/>
  <c r="FH67" i="2"/>
  <c r="FH66" i="2"/>
  <c r="FH65" i="2"/>
  <c r="FH64" i="2"/>
  <c r="FH63" i="2"/>
  <c r="FH62" i="2"/>
  <c r="FH61" i="2"/>
  <c r="FH60" i="2"/>
  <c r="FH59" i="2"/>
  <c r="FH58" i="2"/>
  <c r="FH57" i="2"/>
  <c r="FH56" i="2"/>
  <c r="FH55" i="2"/>
  <c r="FH54" i="2"/>
  <c r="FH53" i="2"/>
  <c r="FH52" i="2"/>
  <c r="FH51" i="2"/>
  <c r="FH50" i="2"/>
  <c r="FH49" i="2"/>
  <c r="FH48" i="2"/>
  <c r="FH46" i="2"/>
  <c r="FH45" i="2"/>
  <c r="FH44" i="2"/>
  <c r="FH43" i="2"/>
  <c r="FH42" i="2"/>
  <c r="FH41" i="2"/>
  <c r="FH40" i="2"/>
  <c r="FH39" i="2"/>
  <c r="FH38" i="2"/>
  <c r="FH37" i="2"/>
  <c r="FH36" i="2"/>
  <c r="FH35" i="2"/>
  <c r="FH34" i="2"/>
  <c r="FH33" i="2"/>
  <c r="FH32" i="2"/>
  <c r="FH31" i="2"/>
  <c r="FH30" i="2"/>
  <c r="FH28" i="2"/>
  <c r="FH27" i="2"/>
  <c r="FH26" i="2"/>
  <c r="FH25" i="2"/>
  <c r="FH24" i="2"/>
  <c r="FH23" i="2"/>
  <c r="FH22" i="2"/>
  <c r="FH20" i="2"/>
  <c r="FH19" i="2"/>
  <c r="FH18" i="2"/>
  <c r="FH17" i="2"/>
  <c r="FH16" i="2"/>
  <c r="FH15" i="2"/>
  <c r="FH14" i="2"/>
  <c r="FH13" i="2"/>
  <c r="FH12" i="2"/>
  <c r="FH11" i="2"/>
  <c r="FH10" i="2"/>
  <c r="FH9" i="2"/>
  <c r="FH8" i="2"/>
  <c r="FH7" i="2"/>
  <c r="FH6" i="2"/>
  <c r="FE280" i="2"/>
  <c r="FD280" i="2"/>
  <c r="FC280" i="2"/>
  <c r="FE275" i="2"/>
  <c r="FD275" i="2"/>
  <c r="FC275" i="2"/>
  <c r="FE273" i="2"/>
  <c r="FD273" i="2"/>
  <c r="FF273" i="2" s="1"/>
  <c r="FC273" i="2"/>
  <c r="FE272" i="2"/>
  <c r="FD272" i="2"/>
  <c r="FC272" i="2"/>
  <c r="FE271" i="2"/>
  <c r="FD271" i="2"/>
  <c r="FC271" i="2"/>
  <c r="FE267" i="2"/>
  <c r="FD267" i="2"/>
  <c r="FC267" i="2"/>
  <c r="FE266" i="2"/>
  <c r="FD266" i="2"/>
  <c r="FC266" i="2"/>
  <c r="FE265" i="2"/>
  <c r="FD265" i="2"/>
  <c r="FC265" i="2"/>
  <c r="FE264" i="2"/>
  <c r="FE263" i="2"/>
  <c r="FF263" i="2"/>
  <c r="FE262" i="2"/>
  <c r="FD262" i="2"/>
  <c r="FC262" i="2"/>
  <c r="FE261" i="2"/>
  <c r="FD261" i="2"/>
  <c r="FC261" i="2"/>
  <c r="FE260" i="2"/>
  <c r="FD260" i="2"/>
  <c r="FC260" i="2"/>
  <c r="FE259" i="2"/>
  <c r="FD259" i="2"/>
  <c r="FC259" i="2"/>
  <c r="FE258" i="2"/>
  <c r="FD258" i="2"/>
  <c r="FC258" i="2"/>
  <c r="FE257" i="2"/>
  <c r="FD257" i="2"/>
  <c r="FC257" i="2"/>
  <c r="FE256" i="2"/>
  <c r="FD256" i="2"/>
  <c r="FC256" i="2"/>
  <c r="FE254" i="2"/>
  <c r="FD254" i="2"/>
  <c r="FC254" i="2"/>
  <c r="FE252" i="2"/>
  <c r="FD252" i="2"/>
  <c r="FC252" i="2"/>
  <c r="FE251" i="2"/>
  <c r="FD251" i="2"/>
  <c r="FC251" i="2"/>
  <c r="FE250" i="2"/>
  <c r="FD250" i="2"/>
  <c r="FC250" i="2"/>
  <c r="FE249" i="2"/>
  <c r="FD249" i="2"/>
  <c r="FC249" i="2"/>
  <c r="FE247" i="2"/>
  <c r="FD247" i="2"/>
  <c r="FC247" i="2"/>
  <c r="FE246" i="2"/>
  <c r="FD246" i="2"/>
  <c r="FC246" i="2"/>
  <c r="FE244" i="2"/>
  <c r="FD244" i="2"/>
  <c r="FC244" i="2"/>
  <c r="FE243" i="2"/>
  <c r="FD243" i="2"/>
  <c r="FC243" i="2"/>
  <c r="FE242" i="2"/>
  <c r="FD242" i="2"/>
  <c r="FC242" i="2"/>
  <c r="FE241" i="2"/>
  <c r="FD241" i="2"/>
  <c r="FC241" i="2"/>
  <c r="FE240" i="2"/>
  <c r="FD240" i="2"/>
  <c r="FC240" i="2"/>
  <c r="FE234" i="2"/>
  <c r="FD234" i="2"/>
  <c r="FC234" i="2"/>
  <c r="FE233" i="2"/>
  <c r="FD233" i="2"/>
  <c r="FC233" i="2"/>
  <c r="FE232" i="2"/>
  <c r="FD232" i="2"/>
  <c r="FC232" i="2"/>
  <c r="FE231" i="2"/>
  <c r="FD231" i="2"/>
  <c r="FC231" i="2"/>
  <c r="FE230" i="2"/>
  <c r="FD230" i="2"/>
  <c r="FC230" i="2"/>
  <c r="FE229" i="2"/>
  <c r="FD229" i="2"/>
  <c r="FC229" i="2"/>
  <c r="FE228" i="2"/>
  <c r="FD228" i="2"/>
  <c r="FC228" i="2"/>
  <c r="FE227" i="2"/>
  <c r="FD227" i="2"/>
  <c r="FC227" i="2"/>
  <c r="FE226" i="2"/>
  <c r="FD226" i="2"/>
  <c r="FC226" i="2"/>
  <c r="FE225" i="2"/>
  <c r="FD225" i="2"/>
  <c r="FC225" i="2"/>
  <c r="FE224" i="2"/>
  <c r="FD224" i="2"/>
  <c r="FC224" i="2"/>
  <c r="FE221" i="2"/>
  <c r="FD221" i="2"/>
  <c r="FC221" i="2"/>
  <c r="FE220" i="2"/>
  <c r="FD220" i="2"/>
  <c r="FC220" i="2"/>
  <c r="FE219" i="2"/>
  <c r="FD219" i="2"/>
  <c r="FC219" i="2"/>
  <c r="FE218" i="2"/>
  <c r="FD218" i="2"/>
  <c r="FC218" i="2"/>
  <c r="FE216" i="2"/>
  <c r="FD216" i="2"/>
  <c r="FC216" i="2"/>
  <c r="FE215" i="2"/>
  <c r="FD215" i="2"/>
  <c r="FC215" i="2"/>
  <c r="FE213" i="2"/>
  <c r="FD213" i="2"/>
  <c r="FC213" i="2"/>
  <c r="FE212" i="2"/>
  <c r="FD212" i="2"/>
  <c r="FC212" i="2"/>
  <c r="FE210" i="2"/>
  <c r="FD210" i="2"/>
  <c r="FC210" i="2"/>
  <c r="FE209" i="2"/>
  <c r="FD209" i="2"/>
  <c r="FC209" i="2"/>
  <c r="FE204" i="2"/>
  <c r="FD204" i="2"/>
  <c r="FC204" i="2"/>
  <c r="FE203" i="2"/>
  <c r="FD203" i="2"/>
  <c r="FC203" i="2"/>
  <c r="FE202" i="2"/>
  <c r="FD202" i="2"/>
  <c r="FC202" i="2"/>
  <c r="FE200" i="2"/>
  <c r="FD200" i="2"/>
  <c r="FC200" i="2"/>
  <c r="FE199" i="2"/>
  <c r="FD199" i="2"/>
  <c r="FC199" i="2"/>
  <c r="FE198" i="2"/>
  <c r="FD198" i="2"/>
  <c r="FC198" i="2"/>
  <c r="FE197" i="2"/>
  <c r="FD197" i="2"/>
  <c r="FC197" i="2"/>
  <c r="FE196" i="2"/>
  <c r="FD196" i="2"/>
  <c r="FC196" i="2"/>
  <c r="FE194" i="2"/>
  <c r="FD194" i="2"/>
  <c r="FC194" i="2"/>
  <c r="FE193" i="2"/>
  <c r="FD193" i="2"/>
  <c r="FC193" i="2"/>
  <c r="FE192" i="2"/>
  <c r="FD192" i="2"/>
  <c r="FC192" i="2"/>
  <c r="FE191" i="2"/>
  <c r="FD191" i="2"/>
  <c r="FC191" i="2"/>
  <c r="FE190" i="2"/>
  <c r="FD190" i="2"/>
  <c r="FC190" i="2"/>
  <c r="FE189" i="2"/>
  <c r="FD189" i="2"/>
  <c r="FC189" i="2"/>
  <c r="FE188" i="2"/>
  <c r="FD188" i="2"/>
  <c r="FC188" i="2"/>
  <c r="FE186" i="2"/>
  <c r="FD186" i="2"/>
  <c r="FC186" i="2"/>
  <c r="FE185" i="2"/>
  <c r="FD185" i="2"/>
  <c r="FC185" i="2"/>
  <c r="FE184" i="2"/>
  <c r="FD184" i="2"/>
  <c r="FC184" i="2"/>
  <c r="FE183" i="2"/>
  <c r="FD183" i="2"/>
  <c r="FC183" i="2"/>
  <c r="FE182" i="2"/>
  <c r="FD182" i="2"/>
  <c r="FC182" i="2"/>
  <c r="FE180" i="2"/>
  <c r="FD180" i="2"/>
  <c r="FC180" i="2"/>
  <c r="FE175" i="2"/>
  <c r="FD175" i="2"/>
  <c r="FC175" i="2"/>
  <c r="FE174" i="2"/>
  <c r="FD174" i="2"/>
  <c r="FC174" i="2"/>
  <c r="FE172" i="2"/>
  <c r="FD172" i="2"/>
  <c r="FC172" i="2"/>
  <c r="FE169" i="2"/>
  <c r="FD169" i="2"/>
  <c r="FC169" i="2"/>
  <c r="FE168" i="2"/>
  <c r="FD168" i="2"/>
  <c r="FC168" i="2"/>
  <c r="FE167" i="2"/>
  <c r="FD167" i="2"/>
  <c r="FC167" i="2"/>
  <c r="FE166" i="2"/>
  <c r="FD166" i="2"/>
  <c r="FC166" i="2"/>
  <c r="FE165" i="2"/>
  <c r="FD165" i="2"/>
  <c r="FC165" i="2"/>
  <c r="FE164" i="2"/>
  <c r="FD164" i="2"/>
  <c r="FC164" i="2"/>
  <c r="FE163" i="2"/>
  <c r="FD163" i="2"/>
  <c r="FC163" i="2"/>
  <c r="FE162" i="2"/>
  <c r="FD162" i="2"/>
  <c r="FC162" i="2"/>
  <c r="FE161" i="2"/>
  <c r="FD161" i="2"/>
  <c r="FC161" i="2"/>
  <c r="FE160" i="2"/>
  <c r="FD160" i="2"/>
  <c r="FC160" i="2"/>
  <c r="FE159" i="2"/>
  <c r="FD159" i="2"/>
  <c r="FC159" i="2"/>
  <c r="FE158" i="2"/>
  <c r="FD158" i="2"/>
  <c r="FC158" i="2"/>
  <c r="FE157" i="2"/>
  <c r="FD157" i="2"/>
  <c r="FC157" i="2"/>
  <c r="FE156" i="2"/>
  <c r="FD156" i="2"/>
  <c r="FC156" i="2"/>
  <c r="FE155" i="2"/>
  <c r="FD155" i="2"/>
  <c r="FC155" i="2"/>
  <c r="FE154" i="2"/>
  <c r="FD154" i="2"/>
  <c r="FC154" i="2"/>
  <c r="FE153" i="2"/>
  <c r="FD153" i="2"/>
  <c r="FC153" i="2"/>
  <c r="FE152" i="2"/>
  <c r="FD152" i="2"/>
  <c r="FC152" i="2"/>
  <c r="FE151" i="2"/>
  <c r="FD151" i="2"/>
  <c r="FC151" i="2"/>
  <c r="FE150" i="2"/>
  <c r="FD150" i="2"/>
  <c r="FC150" i="2"/>
  <c r="FE147" i="2"/>
  <c r="FD147" i="2"/>
  <c r="FC147" i="2"/>
  <c r="FE146" i="2"/>
  <c r="FD146" i="2"/>
  <c r="FC146" i="2"/>
  <c r="FE145" i="2"/>
  <c r="FD145" i="2"/>
  <c r="FC145" i="2"/>
  <c r="FE144" i="2"/>
  <c r="FD144" i="2"/>
  <c r="FC144" i="2"/>
  <c r="FE143" i="2"/>
  <c r="FD143" i="2"/>
  <c r="FF143" i="2" s="1"/>
  <c r="FC143" i="2"/>
  <c r="FE142" i="2"/>
  <c r="FD142" i="2"/>
  <c r="FC142" i="2"/>
  <c r="FE140" i="2"/>
  <c r="FD140" i="2"/>
  <c r="FC140" i="2"/>
  <c r="FE139" i="2"/>
  <c r="FD139" i="2"/>
  <c r="FC139" i="2"/>
  <c r="FE138" i="2"/>
  <c r="FD138" i="2"/>
  <c r="FC138" i="2"/>
  <c r="FE137" i="2"/>
  <c r="FD137" i="2"/>
  <c r="FC137" i="2"/>
  <c r="FE136" i="2"/>
  <c r="FD136" i="2"/>
  <c r="FC136" i="2"/>
  <c r="FE135" i="2"/>
  <c r="FD135" i="2"/>
  <c r="FC135" i="2"/>
  <c r="FE131" i="2"/>
  <c r="FD131" i="2"/>
  <c r="FC131" i="2"/>
  <c r="FE130" i="2"/>
  <c r="FD130" i="2"/>
  <c r="FC130" i="2"/>
  <c r="FE128" i="2"/>
  <c r="FD128" i="2"/>
  <c r="FC128" i="2"/>
  <c r="FE127" i="2"/>
  <c r="FD127" i="2"/>
  <c r="FC127" i="2"/>
  <c r="FE126" i="2"/>
  <c r="FD126" i="2"/>
  <c r="FC126" i="2"/>
  <c r="FE125" i="2"/>
  <c r="FD125" i="2"/>
  <c r="FC125" i="2"/>
  <c r="FE124" i="2"/>
  <c r="FD124" i="2"/>
  <c r="FC124" i="2"/>
  <c r="FE123" i="2"/>
  <c r="FD123" i="2"/>
  <c r="FC123" i="2"/>
  <c r="FE122" i="2"/>
  <c r="FD122" i="2"/>
  <c r="FC122" i="2"/>
  <c r="FE121" i="2"/>
  <c r="FD121" i="2"/>
  <c r="FC121" i="2"/>
  <c r="FE120" i="2"/>
  <c r="FD120" i="2"/>
  <c r="FC120" i="2"/>
  <c r="FE119" i="2"/>
  <c r="FD119" i="2"/>
  <c r="FC119" i="2"/>
  <c r="FE117" i="2"/>
  <c r="FD117" i="2"/>
  <c r="FC117" i="2"/>
  <c r="FE116" i="2"/>
  <c r="FD116" i="2"/>
  <c r="FC116" i="2"/>
  <c r="FE115" i="2"/>
  <c r="FD115" i="2"/>
  <c r="FC115" i="2"/>
  <c r="FE114" i="2"/>
  <c r="FD114" i="2"/>
  <c r="FC114" i="2"/>
  <c r="FE113" i="2"/>
  <c r="FD113" i="2"/>
  <c r="FC113" i="2"/>
  <c r="FE111" i="2"/>
  <c r="FD111" i="2"/>
  <c r="FC111" i="2"/>
  <c r="FE110" i="2"/>
  <c r="FD110" i="2"/>
  <c r="FC110" i="2"/>
  <c r="FE109" i="2"/>
  <c r="FD109" i="2"/>
  <c r="FC109" i="2"/>
  <c r="FE108" i="2"/>
  <c r="FD108" i="2"/>
  <c r="FC108" i="2"/>
  <c r="FE107" i="2"/>
  <c r="FD107" i="2"/>
  <c r="FC107" i="2"/>
  <c r="FE106" i="2"/>
  <c r="FD106" i="2"/>
  <c r="FC106" i="2"/>
  <c r="FE105" i="2"/>
  <c r="FD105" i="2"/>
  <c r="FC105" i="2"/>
  <c r="FE104" i="2"/>
  <c r="FD104" i="2"/>
  <c r="FC104" i="2"/>
  <c r="FE102" i="2"/>
  <c r="FD102" i="2"/>
  <c r="FC102" i="2"/>
  <c r="FE101" i="2"/>
  <c r="FD101" i="2"/>
  <c r="FC101" i="2"/>
  <c r="FE100" i="2"/>
  <c r="FD100" i="2"/>
  <c r="FC100" i="2"/>
  <c r="FE99" i="2"/>
  <c r="FD99" i="2"/>
  <c r="FC99" i="2"/>
  <c r="FE98" i="2"/>
  <c r="FD98" i="2"/>
  <c r="FC98" i="2"/>
  <c r="FE97" i="2"/>
  <c r="FD97" i="2"/>
  <c r="FC97" i="2"/>
  <c r="FE96" i="2"/>
  <c r="FD96" i="2"/>
  <c r="FC96" i="2"/>
  <c r="FE95" i="2"/>
  <c r="FD95" i="2"/>
  <c r="FC95" i="2"/>
  <c r="FE94" i="2"/>
  <c r="FD94" i="2"/>
  <c r="FC94" i="2"/>
  <c r="FE93" i="2"/>
  <c r="FD93" i="2"/>
  <c r="FC93" i="2"/>
  <c r="FE92" i="2"/>
  <c r="FD92" i="2"/>
  <c r="FC92" i="2"/>
  <c r="FE91" i="2"/>
  <c r="FD91" i="2"/>
  <c r="FC91" i="2"/>
  <c r="FE90" i="2"/>
  <c r="FD90" i="2"/>
  <c r="FC90" i="2"/>
  <c r="FE89" i="2"/>
  <c r="FD89" i="2"/>
  <c r="FC89" i="2"/>
  <c r="FE88" i="2"/>
  <c r="FD88" i="2"/>
  <c r="FC88" i="2"/>
  <c r="FE87" i="2"/>
  <c r="FD87" i="2"/>
  <c r="FC87" i="2"/>
  <c r="FE86" i="2"/>
  <c r="FD86" i="2"/>
  <c r="FC86" i="2"/>
  <c r="FE85" i="2"/>
  <c r="FD85" i="2"/>
  <c r="FC85" i="2"/>
  <c r="FE84" i="2"/>
  <c r="FD84" i="2"/>
  <c r="FC84" i="2"/>
  <c r="FE83" i="2"/>
  <c r="FD83" i="2"/>
  <c r="FC83" i="2"/>
  <c r="FE82" i="2"/>
  <c r="FD82" i="2"/>
  <c r="FC82" i="2"/>
  <c r="FE81" i="2"/>
  <c r="FD81" i="2"/>
  <c r="FC81" i="2"/>
  <c r="FE80" i="2"/>
  <c r="FD80" i="2"/>
  <c r="FC80" i="2"/>
  <c r="FE79" i="2"/>
  <c r="FD79" i="2"/>
  <c r="FC79" i="2"/>
  <c r="FE78" i="2"/>
  <c r="FD78" i="2"/>
  <c r="FC78" i="2"/>
  <c r="FE77" i="2"/>
  <c r="FD77" i="2"/>
  <c r="FC77" i="2"/>
  <c r="FE75" i="2"/>
  <c r="FD75" i="2"/>
  <c r="FC75" i="2"/>
  <c r="FE74" i="2"/>
  <c r="FD74" i="2"/>
  <c r="FC74" i="2"/>
  <c r="FE73" i="2"/>
  <c r="FD73" i="2"/>
  <c r="FC73" i="2"/>
  <c r="FE72" i="2"/>
  <c r="FD72" i="2"/>
  <c r="FC72" i="2"/>
  <c r="FE71" i="2"/>
  <c r="FD71" i="2"/>
  <c r="FC71" i="2"/>
  <c r="FE70" i="2"/>
  <c r="FD70" i="2"/>
  <c r="FC70" i="2"/>
  <c r="FE69" i="2"/>
  <c r="FD69" i="2"/>
  <c r="FC69" i="2"/>
  <c r="FE68" i="2"/>
  <c r="FD68" i="2"/>
  <c r="FC68" i="2"/>
  <c r="FE67" i="2"/>
  <c r="FD67" i="2"/>
  <c r="FC67" i="2"/>
  <c r="FE66" i="2"/>
  <c r="FD66" i="2"/>
  <c r="FC66" i="2"/>
  <c r="FE65" i="2"/>
  <c r="FD65" i="2"/>
  <c r="FC65" i="2"/>
  <c r="FE64" i="2"/>
  <c r="FD64" i="2"/>
  <c r="FC64" i="2"/>
  <c r="FE63" i="2"/>
  <c r="FD63" i="2"/>
  <c r="FC63" i="2"/>
  <c r="FE62" i="2"/>
  <c r="FD62" i="2"/>
  <c r="FC62" i="2"/>
  <c r="FE61" i="2"/>
  <c r="FD61" i="2"/>
  <c r="FC61" i="2"/>
  <c r="FE60" i="2"/>
  <c r="FD60" i="2"/>
  <c r="FC60" i="2"/>
  <c r="FE59" i="2"/>
  <c r="FD59" i="2"/>
  <c r="FC59" i="2"/>
  <c r="FE58" i="2"/>
  <c r="FD58" i="2"/>
  <c r="FC58" i="2"/>
  <c r="FE57" i="2"/>
  <c r="FD57" i="2"/>
  <c r="FC57" i="2"/>
  <c r="FE56" i="2"/>
  <c r="FD56" i="2"/>
  <c r="FC56" i="2"/>
  <c r="FE55" i="2"/>
  <c r="FD55" i="2"/>
  <c r="FC55" i="2"/>
  <c r="FE54" i="2"/>
  <c r="FD54" i="2"/>
  <c r="FC54" i="2"/>
  <c r="FE53" i="2"/>
  <c r="FD53" i="2"/>
  <c r="FC53" i="2"/>
  <c r="FE52" i="2"/>
  <c r="FD52" i="2"/>
  <c r="FC52" i="2"/>
  <c r="FE51" i="2"/>
  <c r="FD51" i="2"/>
  <c r="FC51" i="2"/>
  <c r="FE50" i="2"/>
  <c r="FD50" i="2"/>
  <c r="FC50" i="2"/>
  <c r="FE49" i="2"/>
  <c r="FD49" i="2"/>
  <c r="FC49" i="2"/>
  <c r="FE48" i="2"/>
  <c r="FD48" i="2"/>
  <c r="FC48" i="2"/>
  <c r="FE46" i="2"/>
  <c r="FD46" i="2"/>
  <c r="FC46" i="2"/>
  <c r="FE45" i="2"/>
  <c r="FD45" i="2"/>
  <c r="FC45" i="2"/>
  <c r="FE44" i="2"/>
  <c r="FD44" i="2"/>
  <c r="FC44" i="2"/>
  <c r="FE43" i="2"/>
  <c r="FD43" i="2"/>
  <c r="FC43" i="2"/>
  <c r="FE42" i="2"/>
  <c r="FD42" i="2"/>
  <c r="FC42" i="2"/>
  <c r="FE41" i="2"/>
  <c r="FD41" i="2"/>
  <c r="FC41" i="2"/>
  <c r="FE40" i="2"/>
  <c r="FD40" i="2"/>
  <c r="FC40" i="2"/>
  <c r="FE39" i="2"/>
  <c r="FD39" i="2"/>
  <c r="FC39" i="2"/>
  <c r="FE38" i="2"/>
  <c r="FD38" i="2"/>
  <c r="FC38" i="2"/>
  <c r="FE37" i="2"/>
  <c r="FD37" i="2"/>
  <c r="FC37" i="2"/>
  <c r="FE36" i="2"/>
  <c r="FD36" i="2"/>
  <c r="FC36" i="2"/>
  <c r="FE35" i="2"/>
  <c r="FD35" i="2"/>
  <c r="FC35" i="2"/>
  <c r="FE34" i="2"/>
  <c r="FD34" i="2"/>
  <c r="FC34" i="2"/>
  <c r="FE33" i="2"/>
  <c r="FD33" i="2"/>
  <c r="FC33" i="2"/>
  <c r="FE32" i="2"/>
  <c r="FD32" i="2"/>
  <c r="FC32" i="2"/>
  <c r="FE31" i="2"/>
  <c r="FD31" i="2"/>
  <c r="FC31" i="2"/>
  <c r="FE30" i="2"/>
  <c r="FD30" i="2"/>
  <c r="FC30" i="2"/>
  <c r="FE28" i="2"/>
  <c r="FD28" i="2"/>
  <c r="FC28" i="2"/>
  <c r="FE27" i="2"/>
  <c r="FD27" i="2"/>
  <c r="FC27" i="2"/>
  <c r="FE26" i="2"/>
  <c r="FD26" i="2"/>
  <c r="FC26" i="2"/>
  <c r="FE25" i="2"/>
  <c r="FD25" i="2"/>
  <c r="FC25" i="2"/>
  <c r="FE24" i="2"/>
  <c r="FD24" i="2"/>
  <c r="FC24" i="2"/>
  <c r="FE23" i="2"/>
  <c r="FD23" i="2"/>
  <c r="FC23" i="2"/>
  <c r="FE22" i="2"/>
  <c r="FD22" i="2"/>
  <c r="FC22" i="2"/>
  <c r="FE20" i="2"/>
  <c r="FD20" i="2"/>
  <c r="FC20" i="2"/>
  <c r="FE19" i="2"/>
  <c r="FD19" i="2"/>
  <c r="FC19" i="2"/>
  <c r="FE18" i="2"/>
  <c r="FD18" i="2"/>
  <c r="FC18" i="2"/>
  <c r="FE17" i="2"/>
  <c r="FD17" i="2"/>
  <c r="FC17" i="2"/>
  <c r="FE16" i="2"/>
  <c r="FD16" i="2"/>
  <c r="FC16" i="2"/>
  <c r="FE15" i="2"/>
  <c r="FD15" i="2"/>
  <c r="FC15" i="2"/>
  <c r="FE14" i="2"/>
  <c r="FD14" i="2"/>
  <c r="FC14" i="2"/>
  <c r="FE13" i="2"/>
  <c r="FD13" i="2"/>
  <c r="FC13" i="2"/>
  <c r="FE12" i="2"/>
  <c r="FD12" i="2"/>
  <c r="FC12" i="2"/>
  <c r="FE11" i="2"/>
  <c r="FD11" i="2"/>
  <c r="FC11" i="2"/>
  <c r="FE10" i="2"/>
  <c r="FD10" i="2"/>
  <c r="FC10" i="2"/>
  <c r="FE9" i="2"/>
  <c r="FD9" i="2"/>
  <c r="FC9" i="2"/>
  <c r="FE8" i="2"/>
  <c r="FD8" i="2"/>
  <c r="FC8" i="2"/>
  <c r="FE7" i="2"/>
  <c r="FD7" i="2"/>
  <c r="FC7" i="2"/>
  <c r="FC6" i="2"/>
  <c r="FE6" i="2"/>
  <c r="FD6" i="2"/>
  <c r="EF280" i="2"/>
  <c r="EF275" i="2"/>
  <c r="EF273" i="2"/>
  <c r="EF272" i="2"/>
  <c r="EF271" i="2"/>
  <c r="EF267" i="2"/>
  <c r="EF266" i="2"/>
  <c r="EF265" i="2"/>
  <c r="EF264" i="2"/>
  <c r="EF263" i="2"/>
  <c r="EF262" i="2"/>
  <c r="EF261" i="2"/>
  <c r="EF260" i="2"/>
  <c r="EF259" i="2"/>
  <c r="EF258" i="2"/>
  <c r="EF257" i="2"/>
  <c r="EF256" i="2"/>
  <c r="EF254" i="2"/>
  <c r="EF252" i="2"/>
  <c r="EF251" i="2"/>
  <c r="EF250" i="2"/>
  <c r="EF249" i="2"/>
  <c r="EF247" i="2"/>
  <c r="EF246" i="2"/>
  <c r="EF244" i="2"/>
  <c r="EF243" i="2"/>
  <c r="EF242" i="2"/>
  <c r="EF241" i="2"/>
  <c r="EF240" i="2"/>
  <c r="EF234" i="2"/>
  <c r="EF233" i="2"/>
  <c r="EF232" i="2"/>
  <c r="EF231" i="2"/>
  <c r="EF230" i="2"/>
  <c r="EF229" i="2"/>
  <c r="EF228" i="2"/>
  <c r="EF227" i="2"/>
  <c r="EF226" i="2"/>
  <c r="EF225" i="2"/>
  <c r="EF224" i="2"/>
  <c r="EF221" i="2"/>
  <c r="EF220" i="2"/>
  <c r="EF219" i="2"/>
  <c r="EF218" i="2"/>
  <c r="EF216" i="2"/>
  <c r="EF215" i="2"/>
  <c r="EF213" i="2"/>
  <c r="EF212" i="2"/>
  <c r="EF210" i="2"/>
  <c r="EF209" i="2"/>
  <c r="EF204" i="2"/>
  <c r="EF203" i="2"/>
  <c r="EF202" i="2"/>
  <c r="EF200" i="2"/>
  <c r="EF199" i="2"/>
  <c r="EF198" i="2"/>
  <c r="EF197" i="2"/>
  <c r="EF196" i="2"/>
  <c r="EF194" i="2"/>
  <c r="EF193" i="2"/>
  <c r="EF192" i="2"/>
  <c r="EF191" i="2"/>
  <c r="EF190" i="2"/>
  <c r="EF189" i="2"/>
  <c r="EF188" i="2"/>
  <c r="EF186" i="2"/>
  <c r="EF185" i="2"/>
  <c r="EF184" i="2"/>
  <c r="EF183" i="2"/>
  <c r="EF182" i="2"/>
  <c r="EF180" i="2"/>
  <c r="EF175" i="2"/>
  <c r="EF174" i="2"/>
  <c r="EF172" i="2"/>
  <c r="EF169" i="2"/>
  <c r="EF168" i="2"/>
  <c r="EF167" i="2"/>
  <c r="EF166" i="2"/>
  <c r="EF165" i="2"/>
  <c r="EF164" i="2"/>
  <c r="EF163" i="2"/>
  <c r="EF162" i="2"/>
  <c r="EF161" i="2"/>
  <c r="EF160" i="2"/>
  <c r="EF159" i="2"/>
  <c r="EF158" i="2"/>
  <c r="EF157" i="2"/>
  <c r="EF156" i="2"/>
  <c r="EF155" i="2"/>
  <c r="EF154" i="2"/>
  <c r="EF153" i="2"/>
  <c r="EF152" i="2"/>
  <c r="EF151" i="2"/>
  <c r="EF150" i="2"/>
  <c r="EF147" i="2"/>
  <c r="EF146" i="2"/>
  <c r="EF145" i="2"/>
  <c r="EF144" i="2"/>
  <c r="EF143" i="2"/>
  <c r="EF142" i="2"/>
  <c r="EF140" i="2"/>
  <c r="EF139" i="2"/>
  <c r="EF138" i="2"/>
  <c r="EF137" i="2"/>
  <c r="EF136" i="2"/>
  <c r="EF135" i="2"/>
  <c r="EF131" i="2"/>
  <c r="EF130" i="2"/>
  <c r="EF128" i="2"/>
  <c r="EF127" i="2"/>
  <c r="EF126" i="2"/>
  <c r="EF125" i="2"/>
  <c r="EF124" i="2"/>
  <c r="EF123" i="2"/>
  <c r="EF122" i="2"/>
  <c r="EF121" i="2"/>
  <c r="EF120" i="2"/>
  <c r="EF119" i="2"/>
  <c r="EF117" i="2"/>
  <c r="EF116" i="2"/>
  <c r="EF115" i="2"/>
  <c r="EF114" i="2"/>
  <c r="EF113" i="2"/>
  <c r="EF111" i="2"/>
  <c r="EF110" i="2"/>
  <c r="EF109" i="2"/>
  <c r="EF108" i="2"/>
  <c r="EF107" i="2"/>
  <c r="EF106" i="2"/>
  <c r="EF105" i="2"/>
  <c r="EF104" i="2"/>
  <c r="EF102" i="2"/>
  <c r="EF101" i="2"/>
  <c r="EF100" i="2"/>
  <c r="EF99" i="2"/>
  <c r="EF98" i="2"/>
  <c r="EF97" i="2"/>
  <c r="EF96" i="2"/>
  <c r="EF95" i="2"/>
  <c r="EF94" i="2"/>
  <c r="EF93" i="2"/>
  <c r="EF92" i="2"/>
  <c r="EF91" i="2"/>
  <c r="EF90" i="2"/>
  <c r="EF89" i="2"/>
  <c r="EF88" i="2"/>
  <c r="EF87" i="2"/>
  <c r="EF86" i="2"/>
  <c r="EF85" i="2"/>
  <c r="EF84" i="2"/>
  <c r="EF83" i="2"/>
  <c r="EF82" i="2"/>
  <c r="EF81" i="2"/>
  <c r="EF80" i="2"/>
  <c r="EF79" i="2"/>
  <c r="EF78" i="2"/>
  <c r="EF77" i="2"/>
  <c r="EF75" i="2"/>
  <c r="EF74" i="2"/>
  <c r="EF73" i="2"/>
  <c r="EF72" i="2"/>
  <c r="EF71" i="2"/>
  <c r="EF70" i="2"/>
  <c r="EF69" i="2"/>
  <c r="EF68" i="2"/>
  <c r="EF67" i="2"/>
  <c r="EF66" i="2"/>
  <c r="EF65" i="2"/>
  <c r="EF64" i="2"/>
  <c r="EF63" i="2"/>
  <c r="EF62" i="2"/>
  <c r="EF61" i="2"/>
  <c r="EF60" i="2"/>
  <c r="EF59" i="2"/>
  <c r="EF58" i="2"/>
  <c r="EF57" i="2"/>
  <c r="EF56" i="2"/>
  <c r="EF55" i="2"/>
  <c r="EF54" i="2"/>
  <c r="EF53" i="2"/>
  <c r="EF52" i="2"/>
  <c r="EF51" i="2"/>
  <c r="EF50" i="2"/>
  <c r="EF49" i="2"/>
  <c r="EF48" i="2"/>
  <c r="EF46" i="2"/>
  <c r="EF45" i="2"/>
  <c r="EF44" i="2"/>
  <c r="EF43" i="2"/>
  <c r="EF42" i="2"/>
  <c r="EF41" i="2"/>
  <c r="EF40" i="2"/>
  <c r="EF39" i="2"/>
  <c r="EF38" i="2"/>
  <c r="EF37" i="2"/>
  <c r="EF36" i="2"/>
  <c r="EF35" i="2"/>
  <c r="EF34" i="2"/>
  <c r="EF33" i="2"/>
  <c r="EF32" i="2"/>
  <c r="EF31" i="2"/>
  <c r="EF30" i="2"/>
  <c r="EF28" i="2"/>
  <c r="EF27" i="2"/>
  <c r="EF26" i="2"/>
  <c r="EF25" i="2"/>
  <c r="EF24" i="2"/>
  <c r="EF23" i="2"/>
  <c r="EF22" i="2"/>
  <c r="EF20" i="2"/>
  <c r="EF19" i="2"/>
  <c r="EF18" i="2"/>
  <c r="EF17" i="2"/>
  <c r="EF16" i="2"/>
  <c r="EF15" i="2"/>
  <c r="EF14" i="2"/>
  <c r="EF13" i="2"/>
  <c r="EF12" i="2"/>
  <c r="EF11" i="2"/>
  <c r="EF10" i="2"/>
  <c r="EF9" i="2"/>
  <c r="EF8" i="2"/>
  <c r="EF7" i="2"/>
  <c r="EF6" i="2"/>
  <c r="EE280" i="2"/>
  <c r="EE275" i="2"/>
  <c r="EE273" i="2"/>
  <c r="EE272" i="2"/>
  <c r="EE271" i="2"/>
  <c r="EE267" i="2"/>
  <c r="EE266" i="2"/>
  <c r="EE265" i="2"/>
  <c r="EE264" i="2"/>
  <c r="EE263" i="2"/>
  <c r="EE262" i="2"/>
  <c r="EE261" i="2"/>
  <c r="EE260" i="2"/>
  <c r="EE259" i="2"/>
  <c r="EE258" i="2"/>
  <c r="EE257" i="2"/>
  <c r="EE256" i="2"/>
  <c r="EE254" i="2"/>
  <c r="EE252" i="2"/>
  <c r="EE251" i="2"/>
  <c r="EE250" i="2"/>
  <c r="EE249" i="2"/>
  <c r="EE247" i="2"/>
  <c r="EE246" i="2"/>
  <c r="EE244" i="2"/>
  <c r="EE243" i="2"/>
  <c r="EE242" i="2"/>
  <c r="EE241" i="2"/>
  <c r="EE240" i="2"/>
  <c r="EE234" i="2"/>
  <c r="EE233" i="2"/>
  <c r="EE232" i="2"/>
  <c r="EE231" i="2"/>
  <c r="EE230" i="2"/>
  <c r="EE229" i="2"/>
  <c r="EE228" i="2"/>
  <c r="EE227" i="2"/>
  <c r="EE226" i="2"/>
  <c r="EE225" i="2"/>
  <c r="EE224" i="2"/>
  <c r="EE221" i="2"/>
  <c r="EE220" i="2"/>
  <c r="EE219" i="2"/>
  <c r="EE218" i="2"/>
  <c r="EE216" i="2"/>
  <c r="EE215" i="2"/>
  <c r="EE213" i="2"/>
  <c r="EE212" i="2"/>
  <c r="EE210" i="2"/>
  <c r="EE209" i="2"/>
  <c r="EE204" i="2"/>
  <c r="EE203" i="2"/>
  <c r="EE202" i="2"/>
  <c r="EE200" i="2"/>
  <c r="EE199" i="2"/>
  <c r="EE198" i="2"/>
  <c r="EE197" i="2"/>
  <c r="EE196" i="2"/>
  <c r="EE194" i="2"/>
  <c r="EE193" i="2"/>
  <c r="EE192" i="2"/>
  <c r="EE191" i="2"/>
  <c r="EE190" i="2"/>
  <c r="EE189" i="2"/>
  <c r="EE188" i="2"/>
  <c r="EE186" i="2"/>
  <c r="EE185" i="2"/>
  <c r="EE184" i="2"/>
  <c r="EE183" i="2"/>
  <c r="EE182" i="2"/>
  <c r="EE180" i="2"/>
  <c r="EE175" i="2"/>
  <c r="EE174" i="2"/>
  <c r="EE172" i="2"/>
  <c r="EE169" i="2"/>
  <c r="EE168" i="2"/>
  <c r="EE167" i="2"/>
  <c r="EE166" i="2"/>
  <c r="EE165" i="2"/>
  <c r="EE164" i="2"/>
  <c r="EE163" i="2"/>
  <c r="EE162" i="2"/>
  <c r="EE161" i="2"/>
  <c r="EE160" i="2"/>
  <c r="EE159" i="2"/>
  <c r="EE158" i="2"/>
  <c r="EE157" i="2"/>
  <c r="EE156" i="2"/>
  <c r="EE155" i="2"/>
  <c r="EE154" i="2"/>
  <c r="EE153" i="2"/>
  <c r="EE152" i="2"/>
  <c r="EE151" i="2"/>
  <c r="EE150" i="2"/>
  <c r="EE147" i="2"/>
  <c r="EE146" i="2"/>
  <c r="EE145" i="2"/>
  <c r="EE144" i="2"/>
  <c r="EE143" i="2"/>
  <c r="EE142" i="2"/>
  <c r="EE140" i="2"/>
  <c r="EE139" i="2"/>
  <c r="EE138" i="2"/>
  <c r="EE137" i="2"/>
  <c r="EE136" i="2"/>
  <c r="EE135" i="2"/>
  <c r="EE131" i="2"/>
  <c r="EE130" i="2"/>
  <c r="EE128" i="2"/>
  <c r="EE127" i="2"/>
  <c r="EE126" i="2"/>
  <c r="EE125" i="2"/>
  <c r="EE124" i="2"/>
  <c r="EE123" i="2"/>
  <c r="EE122" i="2"/>
  <c r="EE121" i="2"/>
  <c r="EE120" i="2"/>
  <c r="EE119" i="2"/>
  <c r="EE117" i="2"/>
  <c r="EE116" i="2"/>
  <c r="EE115" i="2"/>
  <c r="EE114" i="2"/>
  <c r="EE113" i="2"/>
  <c r="EE111" i="2"/>
  <c r="EE110" i="2"/>
  <c r="EE109" i="2"/>
  <c r="EE108" i="2"/>
  <c r="EE107" i="2"/>
  <c r="EE106" i="2"/>
  <c r="EE105" i="2"/>
  <c r="EE104" i="2"/>
  <c r="EE102" i="2"/>
  <c r="EE101" i="2"/>
  <c r="EE100" i="2"/>
  <c r="EE99" i="2"/>
  <c r="EE98" i="2"/>
  <c r="EE97" i="2"/>
  <c r="EE96" i="2"/>
  <c r="EE95" i="2"/>
  <c r="EE94" i="2"/>
  <c r="EE93" i="2"/>
  <c r="EE92" i="2"/>
  <c r="EE91" i="2"/>
  <c r="EE90" i="2"/>
  <c r="EE89" i="2"/>
  <c r="EE88" i="2"/>
  <c r="EE87" i="2"/>
  <c r="EE86" i="2"/>
  <c r="EE85" i="2"/>
  <c r="EE84" i="2"/>
  <c r="EE83" i="2"/>
  <c r="EE82" i="2"/>
  <c r="EE81" i="2"/>
  <c r="EE80" i="2"/>
  <c r="EE79" i="2"/>
  <c r="EE78" i="2"/>
  <c r="EE77" i="2"/>
  <c r="EE75" i="2"/>
  <c r="EE74" i="2"/>
  <c r="EE73" i="2"/>
  <c r="EE72" i="2"/>
  <c r="EE71" i="2"/>
  <c r="EE70" i="2"/>
  <c r="EE69" i="2"/>
  <c r="EE68" i="2"/>
  <c r="EE67" i="2"/>
  <c r="EE66" i="2"/>
  <c r="EE65" i="2"/>
  <c r="EE64" i="2"/>
  <c r="EE63" i="2"/>
  <c r="EE62" i="2"/>
  <c r="EE61" i="2"/>
  <c r="EE60" i="2"/>
  <c r="EE59" i="2"/>
  <c r="EE58" i="2"/>
  <c r="EE57" i="2"/>
  <c r="EE56" i="2"/>
  <c r="EE55" i="2"/>
  <c r="EE54" i="2"/>
  <c r="EE53" i="2"/>
  <c r="EE52" i="2"/>
  <c r="EE51" i="2"/>
  <c r="EE50" i="2"/>
  <c r="EE49" i="2"/>
  <c r="EE48" i="2"/>
  <c r="EE46" i="2"/>
  <c r="EE45" i="2"/>
  <c r="EE44" i="2"/>
  <c r="EE43" i="2"/>
  <c r="EE42" i="2"/>
  <c r="EE41" i="2"/>
  <c r="EE40" i="2"/>
  <c r="EE39" i="2"/>
  <c r="EE38" i="2"/>
  <c r="EE37" i="2"/>
  <c r="EE36" i="2"/>
  <c r="EE35" i="2"/>
  <c r="EE34" i="2"/>
  <c r="EE33" i="2"/>
  <c r="EE32" i="2"/>
  <c r="EE31" i="2"/>
  <c r="EE30" i="2"/>
  <c r="EE28" i="2"/>
  <c r="EE27" i="2"/>
  <c r="EE26" i="2"/>
  <c r="EE25" i="2"/>
  <c r="EE24" i="2"/>
  <c r="EE23" i="2"/>
  <c r="EE22" i="2"/>
  <c r="EE20" i="2"/>
  <c r="EE19" i="2"/>
  <c r="EE18" i="2"/>
  <c r="EE17" i="2"/>
  <c r="EE16" i="2"/>
  <c r="EE15" i="2"/>
  <c r="EE14" i="2"/>
  <c r="EE13" i="2"/>
  <c r="EE12" i="2"/>
  <c r="EE11" i="2"/>
  <c r="EE10" i="2"/>
  <c r="EE9" i="2"/>
  <c r="EE8" i="2"/>
  <c r="EE7" i="2"/>
  <c r="EE6" i="2"/>
  <c r="DU280" i="2"/>
  <c r="DU275" i="2"/>
  <c r="DU273" i="2"/>
  <c r="DU272" i="2"/>
  <c r="DU271" i="2"/>
  <c r="DU267" i="2"/>
  <c r="DU266" i="2"/>
  <c r="DU265" i="2"/>
  <c r="DU264" i="2"/>
  <c r="DU263" i="2"/>
  <c r="DU262" i="2"/>
  <c r="DU261" i="2"/>
  <c r="DU260" i="2"/>
  <c r="DU259" i="2"/>
  <c r="DU258" i="2"/>
  <c r="DU257" i="2"/>
  <c r="DU256" i="2"/>
  <c r="DU254" i="2"/>
  <c r="DU252" i="2"/>
  <c r="DU251" i="2"/>
  <c r="DU250" i="2"/>
  <c r="DU249" i="2"/>
  <c r="DU247" i="2"/>
  <c r="DU246" i="2"/>
  <c r="DU244" i="2"/>
  <c r="DU243" i="2"/>
  <c r="DU242" i="2"/>
  <c r="DU241" i="2"/>
  <c r="DU240" i="2"/>
  <c r="DU234" i="2"/>
  <c r="DU233" i="2"/>
  <c r="DU232" i="2"/>
  <c r="DU231" i="2"/>
  <c r="DU230" i="2"/>
  <c r="DU229" i="2"/>
  <c r="DU228" i="2"/>
  <c r="DU227" i="2"/>
  <c r="DU226" i="2"/>
  <c r="DU225" i="2"/>
  <c r="DU224" i="2"/>
  <c r="DU221" i="2"/>
  <c r="DU220" i="2"/>
  <c r="DU219" i="2"/>
  <c r="DU218" i="2"/>
  <c r="DU216" i="2"/>
  <c r="DU215" i="2"/>
  <c r="DU213" i="2"/>
  <c r="DU212" i="2"/>
  <c r="DU210" i="2"/>
  <c r="DU209" i="2"/>
  <c r="DU204" i="2"/>
  <c r="DU203" i="2"/>
  <c r="DU202" i="2"/>
  <c r="DU200" i="2"/>
  <c r="DU199" i="2"/>
  <c r="DU198" i="2"/>
  <c r="DU197" i="2"/>
  <c r="DU196" i="2"/>
  <c r="DU194" i="2"/>
  <c r="DU193" i="2"/>
  <c r="DU192" i="2"/>
  <c r="DU191" i="2"/>
  <c r="DU190" i="2"/>
  <c r="DU189" i="2"/>
  <c r="DU188" i="2"/>
  <c r="DU186" i="2"/>
  <c r="DU185" i="2"/>
  <c r="DU184" i="2"/>
  <c r="DU183" i="2"/>
  <c r="DU182" i="2"/>
  <c r="DU180" i="2"/>
  <c r="DU175" i="2"/>
  <c r="DU174" i="2"/>
  <c r="DU172" i="2"/>
  <c r="DU169" i="2"/>
  <c r="DU168" i="2"/>
  <c r="DU167" i="2"/>
  <c r="DU166" i="2"/>
  <c r="DU165" i="2"/>
  <c r="DU164" i="2"/>
  <c r="DU163" i="2"/>
  <c r="DU162" i="2"/>
  <c r="DU161" i="2"/>
  <c r="DU160" i="2"/>
  <c r="DU159" i="2"/>
  <c r="DU158" i="2"/>
  <c r="DU157" i="2"/>
  <c r="DU156" i="2"/>
  <c r="DU155" i="2"/>
  <c r="DU154" i="2"/>
  <c r="DU153" i="2"/>
  <c r="DU152" i="2"/>
  <c r="DU151" i="2"/>
  <c r="DU150" i="2"/>
  <c r="DU147" i="2"/>
  <c r="DU146" i="2"/>
  <c r="DU145" i="2"/>
  <c r="DU144" i="2"/>
  <c r="DU143" i="2"/>
  <c r="DU142" i="2"/>
  <c r="DU140" i="2"/>
  <c r="DU139" i="2"/>
  <c r="DU138" i="2"/>
  <c r="DU137" i="2"/>
  <c r="DU136" i="2"/>
  <c r="DU135" i="2"/>
  <c r="DU131" i="2"/>
  <c r="DU130" i="2"/>
  <c r="DU128" i="2"/>
  <c r="DU127" i="2"/>
  <c r="DU126" i="2"/>
  <c r="DU125" i="2"/>
  <c r="DU124" i="2"/>
  <c r="DU123" i="2"/>
  <c r="DU122" i="2"/>
  <c r="DU121" i="2"/>
  <c r="DU120" i="2"/>
  <c r="DU119" i="2"/>
  <c r="DU117" i="2"/>
  <c r="DU116" i="2"/>
  <c r="DU115" i="2"/>
  <c r="DU114" i="2"/>
  <c r="DU113" i="2"/>
  <c r="DU111" i="2"/>
  <c r="DU110" i="2"/>
  <c r="DU109" i="2"/>
  <c r="DU108" i="2"/>
  <c r="DU107" i="2"/>
  <c r="DU106" i="2"/>
  <c r="DU105" i="2"/>
  <c r="DU104" i="2"/>
  <c r="DU102" i="2"/>
  <c r="DU101" i="2"/>
  <c r="DU100" i="2"/>
  <c r="DU99" i="2"/>
  <c r="DU98" i="2"/>
  <c r="DU97" i="2"/>
  <c r="DU96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U83" i="2"/>
  <c r="DU82" i="2"/>
  <c r="DU81" i="2"/>
  <c r="DU80" i="2"/>
  <c r="DU79" i="2"/>
  <c r="DU78" i="2"/>
  <c r="DU77" i="2"/>
  <c r="DU75" i="2"/>
  <c r="DU74" i="2"/>
  <c r="DU73" i="2"/>
  <c r="DU72" i="2"/>
  <c r="DU71" i="2"/>
  <c r="DU70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U57" i="2"/>
  <c r="DU56" i="2"/>
  <c r="DU55" i="2"/>
  <c r="DU54" i="2"/>
  <c r="DU53" i="2"/>
  <c r="DU52" i="2"/>
  <c r="DU51" i="2"/>
  <c r="DU50" i="2"/>
  <c r="DU49" i="2"/>
  <c r="DU48" i="2"/>
  <c r="DU46" i="2"/>
  <c r="DU45" i="2"/>
  <c r="DU44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U31" i="2"/>
  <c r="DU30" i="2"/>
  <c r="DU28" i="2"/>
  <c r="DU27" i="2"/>
  <c r="DU26" i="2"/>
  <c r="DU25" i="2"/>
  <c r="DU24" i="2"/>
  <c r="DU23" i="2"/>
  <c r="DU22" i="2"/>
  <c r="DU20" i="2"/>
  <c r="DU19" i="2"/>
  <c r="DU18" i="2"/>
  <c r="DU17" i="2"/>
  <c r="DU16" i="2"/>
  <c r="DU15" i="2"/>
  <c r="DU14" i="2"/>
  <c r="DU13" i="2"/>
  <c r="DU12" i="2"/>
  <c r="DU11" i="2"/>
  <c r="DU10" i="2"/>
  <c r="DU9" i="2"/>
  <c r="DU8" i="2"/>
  <c r="DU7" i="2"/>
  <c r="DU6" i="2"/>
  <c r="DQ280" i="2"/>
  <c r="DQ275" i="2"/>
  <c r="DQ273" i="2"/>
  <c r="DQ272" i="2"/>
  <c r="DQ271" i="2"/>
  <c r="DQ267" i="2"/>
  <c r="DQ266" i="2"/>
  <c r="DQ265" i="2"/>
  <c r="DQ264" i="2"/>
  <c r="DQ263" i="2"/>
  <c r="DQ262" i="2"/>
  <c r="DQ261" i="2"/>
  <c r="DQ260" i="2"/>
  <c r="DQ259" i="2"/>
  <c r="DQ258" i="2"/>
  <c r="DQ257" i="2"/>
  <c r="DQ256" i="2"/>
  <c r="DQ254" i="2"/>
  <c r="DQ252" i="2"/>
  <c r="DQ251" i="2"/>
  <c r="DQ250" i="2"/>
  <c r="DQ249" i="2"/>
  <c r="DQ247" i="2"/>
  <c r="DQ246" i="2"/>
  <c r="DQ244" i="2"/>
  <c r="DQ243" i="2"/>
  <c r="DQ242" i="2"/>
  <c r="DQ241" i="2"/>
  <c r="DQ240" i="2"/>
  <c r="DQ234" i="2"/>
  <c r="DQ233" i="2"/>
  <c r="DQ232" i="2"/>
  <c r="DQ231" i="2"/>
  <c r="DQ230" i="2"/>
  <c r="DQ229" i="2"/>
  <c r="DQ228" i="2"/>
  <c r="DQ227" i="2"/>
  <c r="DQ226" i="2"/>
  <c r="DQ225" i="2"/>
  <c r="DQ224" i="2"/>
  <c r="DQ221" i="2"/>
  <c r="DQ220" i="2"/>
  <c r="DQ219" i="2"/>
  <c r="DQ218" i="2"/>
  <c r="DQ216" i="2"/>
  <c r="DQ215" i="2"/>
  <c r="DQ213" i="2"/>
  <c r="DQ212" i="2"/>
  <c r="DQ210" i="2"/>
  <c r="DQ209" i="2"/>
  <c r="DQ204" i="2"/>
  <c r="DQ203" i="2"/>
  <c r="DQ202" i="2"/>
  <c r="DQ200" i="2"/>
  <c r="DQ199" i="2"/>
  <c r="DQ198" i="2"/>
  <c r="DQ197" i="2"/>
  <c r="DQ196" i="2"/>
  <c r="DQ194" i="2"/>
  <c r="DQ193" i="2"/>
  <c r="DQ192" i="2"/>
  <c r="DQ191" i="2"/>
  <c r="DQ190" i="2"/>
  <c r="DQ189" i="2"/>
  <c r="DQ188" i="2"/>
  <c r="DQ186" i="2"/>
  <c r="DQ185" i="2"/>
  <c r="DQ184" i="2"/>
  <c r="DQ183" i="2"/>
  <c r="DQ182" i="2"/>
  <c r="DQ180" i="2"/>
  <c r="DQ175" i="2"/>
  <c r="DQ174" i="2"/>
  <c r="DQ172" i="2"/>
  <c r="DQ169" i="2"/>
  <c r="DQ168" i="2"/>
  <c r="DQ167" i="2"/>
  <c r="DQ166" i="2"/>
  <c r="DQ165" i="2"/>
  <c r="DQ164" i="2"/>
  <c r="DQ163" i="2"/>
  <c r="DQ162" i="2"/>
  <c r="DQ161" i="2"/>
  <c r="DQ160" i="2"/>
  <c r="DQ159" i="2"/>
  <c r="DQ158" i="2"/>
  <c r="DQ157" i="2"/>
  <c r="DQ156" i="2"/>
  <c r="DQ155" i="2"/>
  <c r="DQ154" i="2"/>
  <c r="DQ153" i="2"/>
  <c r="DQ152" i="2"/>
  <c r="DQ151" i="2"/>
  <c r="DQ150" i="2"/>
  <c r="DQ147" i="2"/>
  <c r="DQ146" i="2"/>
  <c r="DQ145" i="2"/>
  <c r="DQ144" i="2"/>
  <c r="DQ143" i="2"/>
  <c r="DQ142" i="2"/>
  <c r="DQ140" i="2"/>
  <c r="DQ139" i="2"/>
  <c r="DQ138" i="2"/>
  <c r="DQ137" i="2"/>
  <c r="DQ136" i="2"/>
  <c r="DQ135" i="2"/>
  <c r="DQ131" i="2"/>
  <c r="DQ130" i="2"/>
  <c r="DQ128" i="2"/>
  <c r="DQ127" i="2"/>
  <c r="DQ126" i="2"/>
  <c r="DQ125" i="2"/>
  <c r="DQ124" i="2"/>
  <c r="DQ123" i="2"/>
  <c r="DQ122" i="2"/>
  <c r="DQ121" i="2"/>
  <c r="DQ120" i="2"/>
  <c r="DQ119" i="2"/>
  <c r="DQ117" i="2"/>
  <c r="DQ116" i="2"/>
  <c r="DQ115" i="2"/>
  <c r="DQ114" i="2"/>
  <c r="DQ113" i="2"/>
  <c r="DQ111" i="2"/>
  <c r="DQ110" i="2"/>
  <c r="DQ109" i="2"/>
  <c r="DQ108" i="2"/>
  <c r="DQ107" i="2"/>
  <c r="DQ106" i="2"/>
  <c r="DQ105" i="2"/>
  <c r="DQ104" i="2"/>
  <c r="DQ102" i="2"/>
  <c r="DQ101" i="2"/>
  <c r="DQ100" i="2"/>
  <c r="DQ99" i="2"/>
  <c r="DQ327" i="2" s="1"/>
  <c r="DQ98" i="2"/>
  <c r="DQ97" i="2"/>
  <c r="DQ96" i="2"/>
  <c r="DQ95" i="2"/>
  <c r="DQ94" i="2"/>
  <c r="DQ93" i="2"/>
  <c r="DQ92" i="2"/>
  <c r="DQ91" i="2"/>
  <c r="DQ90" i="2"/>
  <c r="DQ89" i="2"/>
  <c r="DQ88" i="2"/>
  <c r="DQ87" i="2"/>
  <c r="DQ86" i="2"/>
  <c r="DQ85" i="2"/>
  <c r="DQ84" i="2"/>
  <c r="DQ83" i="2"/>
  <c r="DQ82" i="2"/>
  <c r="DQ81" i="2"/>
  <c r="DQ80" i="2"/>
  <c r="DQ79" i="2"/>
  <c r="DQ78" i="2"/>
  <c r="DQ77" i="2"/>
  <c r="DQ75" i="2"/>
  <c r="DQ74" i="2"/>
  <c r="DQ73" i="2"/>
  <c r="DQ72" i="2"/>
  <c r="DQ71" i="2"/>
  <c r="DQ70" i="2"/>
  <c r="DQ69" i="2"/>
  <c r="DQ68" i="2"/>
  <c r="DQ67" i="2"/>
  <c r="DQ66" i="2"/>
  <c r="DQ65" i="2"/>
  <c r="DQ64" i="2"/>
  <c r="DQ63" i="2"/>
  <c r="DQ62" i="2"/>
  <c r="DQ61" i="2"/>
  <c r="DQ60" i="2"/>
  <c r="DQ59" i="2"/>
  <c r="DQ58" i="2"/>
  <c r="DQ57" i="2"/>
  <c r="DQ56" i="2"/>
  <c r="DQ55" i="2"/>
  <c r="DQ54" i="2"/>
  <c r="DQ53" i="2"/>
  <c r="DQ52" i="2"/>
  <c r="DQ51" i="2"/>
  <c r="DQ50" i="2"/>
  <c r="DQ49" i="2"/>
  <c r="DQ48" i="2"/>
  <c r="DQ46" i="2"/>
  <c r="DQ45" i="2"/>
  <c r="DQ44" i="2"/>
  <c r="DQ43" i="2"/>
  <c r="DQ42" i="2"/>
  <c r="DQ41" i="2"/>
  <c r="DQ40" i="2"/>
  <c r="DQ39" i="2"/>
  <c r="DQ38" i="2"/>
  <c r="DQ37" i="2"/>
  <c r="DQ36" i="2"/>
  <c r="DQ35" i="2"/>
  <c r="DQ34" i="2"/>
  <c r="DQ33" i="2"/>
  <c r="DQ32" i="2"/>
  <c r="DQ31" i="2"/>
  <c r="DQ30" i="2"/>
  <c r="DQ28" i="2"/>
  <c r="DQ27" i="2"/>
  <c r="DQ26" i="2"/>
  <c r="DQ25" i="2"/>
  <c r="DQ24" i="2"/>
  <c r="DQ23" i="2"/>
  <c r="DQ22" i="2"/>
  <c r="DQ20" i="2"/>
  <c r="DQ19" i="2"/>
  <c r="DQ18" i="2"/>
  <c r="DQ17" i="2"/>
  <c r="DQ16" i="2"/>
  <c r="DQ15" i="2"/>
  <c r="DQ14" i="2"/>
  <c r="DQ13" i="2"/>
  <c r="DQ12" i="2"/>
  <c r="DQ11" i="2"/>
  <c r="DQ10" i="2"/>
  <c r="DQ9" i="2"/>
  <c r="DQ8" i="2"/>
  <c r="DQ7" i="2"/>
  <c r="DQ6" i="2"/>
  <c r="DP280" i="2"/>
  <c r="DP275" i="2"/>
  <c r="DP273" i="2"/>
  <c r="DP272" i="2"/>
  <c r="DP271" i="2"/>
  <c r="DP267" i="2"/>
  <c r="DP266" i="2"/>
  <c r="DP265" i="2"/>
  <c r="DP264" i="2"/>
  <c r="DP263" i="2"/>
  <c r="DP262" i="2"/>
  <c r="DP261" i="2"/>
  <c r="DP260" i="2"/>
  <c r="DP259" i="2"/>
  <c r="DP258" i="2"/>
  <c r="DP257" i="2"/>
  <c r="DP256" i="2"/>
  <c r="DP254" i="2"/>
  <c r="DP252" i="2"/>
  <c r="DP251" i="2"/>
  <c r="DP250" i="2"/>
  <c r="DP249" i="2"/>
  <c r="DP247" i="2"/>
  <c r="DP246" i="2"/>
  <c r="DP244" i="2"/>
  <c r="DP243" i="2"/>
  <c r="DP242" i="2"/>
  <c r="DP241" i="2"/>
  <c r="DP240" i="2"/>
  <c r="DP234" i="2"/>
  <c r="DP233" i="2"/>
  <c r="DP232" i="2"/>
  <c r="DP231" i="2"/>
  <c r="DP230" i="2"/>
  <c r="DP229" i="2"/>
  <c r="DP228" i="2"/>
  <c r="DP227" i="2"/>
  <c r="DP226" i="2"/>
  <c r="DP225" i="2"/>
  <c r="DP224" i="2"/>
  <c r="DP221" i="2"/>
  <c r="DP220" i="2"/>
  <c r="DP219" i="2"/>
  <c r="DP218" i="2"/>
  <c r="DP216" i="2"/>
  <c r="DP215" i="2"/>
  <c r="DP213" i="2"/>
  <c r="DP212" i="2"/>
  <c r="DP210" i="2"/>
  <c r="DP209" i="2"/>
  <c r="DP204" i="2"/>
  <c r="DP203" i="2"/>
  <c r="DP202" i="2"/>
  <c r="DP200" i="2"/>
  <c r="DP199" i="2"/>
  <c r="DP198" i="2"/>
  <c r="DP197" i="2"/>
  <c r="DP196" i="2"/>
  <c r="DP194" i="2"/>
  <c r="DP193" i="2"/>
  <c r="DP192" i="2"/>
  <c r="DP191" i="2"/>
  <c r="DP190" i="2"/>
  <c r="DP189" i="2"/>
  <c r="DP188" i="2"/>
  <c r="DP186" i="2"/>
  <c r="DP185" i="2"/>
  <c r="DP184" i="2"/>
  <c r="DP183" i="2"/>
  <c r="DP182" i="2"/>
  <c r="DP180" i="2"/>
  <c r="DP175" i="2"/>
  <c r="DP174" i="2"/>
  <c r="DP172" i="2"/>
  <c r="DP169" i="2"/>
  <c r="DP168" i="2"/>
  <c r="DP167" i="2"/>
  <c r="DP166" i="2"/>
  <c r="DP165" i="2"/>
  <c r="DP164" i="2"/>
  <c r="DP163" i="2"/>
  <c r="DP162" i="2"/>
  <c r="DP161" i="2"/>
  <c r="DP160" i="2"/>
  <c r="DP159" i="2"/>
  <c r="DP158" i="2"/>
  <c r="DP157" i="2"/>
  <c r="DP156" i="2"/>
  <c r="DP155" i="2"/>
  <c r="DP154" i="2"/>
  <c r="DP153" i="2"/>
  <c r="DP152" i="2"/>
  <c r="DP151" i="2"/>
  <c r="DP150" i="2"/>
  <c r="DP147" i="2"/>
  <c r="DP146" i="2"/>
  <c r="DP145" i="2"/>
  <c r="DP144" i="2"/>
  <c r="DP143" i="2"/>
  <c r="DP142" i="2"/>
  <c r="DP140" i="2"/>
  <c r="DP139" i="2"/>
  <c r="DP138" i="2"/>
  <c r="DP137" i="2"/>
  <c r="DP136" i="2"/>
  <c r="DP135" i="2"/>
  <c r="DP131" i="2"/>
  <c r="DP130" i="2"/>
  <c r="DP128" i="2"/>
  <c r="DP127" i="2"/>
  <c r="DP126" i="2"/>
  <c r="DP125" i="2"/>
  <c r="DP124" i="2"/>
  <c r="DP123" i="2"/>
  <c r="DP122" i="2"/>
  <c r="DP121" i="2"/>
  <c r="DP120" i="2"/>
  <c r="DP119" i="2"/>
  <c r="DP117" i="2"/>
  <c r="DP116" i="2"/>
  <c r="DP115" i="2"/>
  <c r="DP114" i="2"/>
  <c r="DP113" i="2"/>
  <c r="DP111" i="2"/>
  <c r="DP110" i="2"/>
  <c r="DP109" i="2"/>
  <c r="DP108" i="2"/>
  <c r="DP107" i="2"/>
  <c r="DP106" i="2"/>
  <c r="DP105" i="2"/>
  <c r="DP104" i="2"/>
  <c r="DP102" i="2"/>
  <c r="DP101" i="2"/>
  <c r="DP100" i="2"/>
  <c r="DP99" i="2"/>
  <c r="DP327" i="2" s="1"/>
  <c r="DP98" i="2"/>
  <c r="DP97" i="2"/>
  <c r="DP96" i="2"/>
  <c r="DP95" i="2"/>
  <c r="DP94" i="2"/>
  <c r="DP93" i="2"/>
  <c r="DP92" i="2"/>
  <c r="DP91" i="2"/>
  <c r="DP90" i="2"/>
  <c r="DP89" i="2"/>
  <c r="DP88" i="2"/>
  <c r="DP87" i="2"/>
  <c r="DP86" i="2"/>
  <c r="DP85" i="2"/>
  <c r="DP84" i="2"/>
  <c r="DP83" i="2"/>
  <c r="DP82" i="2"/>
  <c r="DP81" i="2"/>
  <c r="DP80" i="2"/>
  <c r="DP79" i="2"/>
  <c r="DP78" i="2"/>
  <c r="DP77" i="2"/>
  <c r="DP75" i="2"/>
  <c r="DP74" i="2"/>
  <c r="DP73" i="2"/>
  <c r="DP72" i="2"/>
  <c r="DP71" i="2"/>
  <c r="DP70" i="2"/>
  <c r="DP69" i="2"/>
  <c r="DP68" i="2"/>
  <c r="DP67" i="2"/>
  <c r="DP66" i="2"/>
  <c r="DP65" i="2"/>
  <c r="DP64" i="2"/>
  <c r="DP63" i="2"/>
  <c r="DP62" i="2"/>
  <c r="DP61" i="2"/>
  <c r="DP60" i="2"/>
  <c r="DP59" i="2"/>
  <c r="DP58" i="2"/>
  <c r="DP57" i="2"/>
  <c r="DP56" i="2"/>
  <c r="DP55" i="2"/>
  <c r="DP54" i="2"/>
  <c r="DP53" i="2"/>
  <c r="DP52" i="2"/>
  <c r="DP51" i="2"/>
  <c r="DP50" i="2"/>
  <c r="DP49" i="2"/>
  <c r="DP48" i="2"/>
  <c r="DP46" i="2"/>
  <c r="DP45" i="2"/>
  <c r="DP44" i="2"/>
  <c r="DP43" i="2"/>
  <c r="DP42" i="2"/>
  <c r="DP41" i="2"/>
  <c r="DP40" i="2"/>
  <c r="DP39" i="2"/>
  <c r="DP38" i="2"/>
  <c r="DP37" i="2"/>
  <c r="DP36" i="2"/>
  <c r="DP35" i="2"/>
  <c r="DP34" i="2"/>
  <c r="DP33" i="2"/>
  <c r="DP32" i="2"/>
  <c r="DP31" i="2"/>
  <c r="DP30" i="2"/>
  <c r="DP28" i="2"/>
  <c r="DP27" i="2"/>
  <c r="DP26" i="2"/>
  <c r="DP25" i="2"/>
  <c r="DP24" i="2"/>
  <c r="DP23" i="2"/>
  <c r="DP22" i="2"/>
  <c r="DP20" i="2"/>
  <c r="DP19" i="2"/>
  <c r="DP18" i="2"/>
  <c r="DP17" i="2"/>
  <c r="DP16" i="2"/>
  <c r="DP15" i="2"/>
  <c r="DP14" i="2"/>
  <c r="DP13" i="2"/>
  <c r="DP12" i="2"/>
  <c r="DP11" i="2"/>
  <c r="DP10" i="2"/>
  <c r="DP9" i="2"/>
  <c r="DP8" i="2"/>
  <c r="DP7" i="2"/>
  <c r="DP6" i="2"/>
  <c r="DM280" i="2"/>
  <c r="DM275" i="2"/>
  <c r="DM273" i="2"/>
  <c r="DM272" i="2"/>
  <c r="DM271" i="2"/>
  <c r="DM267" i="2"/>
  <c r="DM266" i="2"/>
  <c r="DM265" i="2"/>
  <c r="DM264" i="2"/>
  <c r="DM263" i="2"/>
  <c r="DM262" i="2"/>
  <c r="DM261" i="2"/>
  <c r="DM260" i="2"/>
  <c r="DM259" i="2"/>
  <c r="DM258" i="2"/>
  <c r="DM257" i="2"/>
  <c r="DM256" i="2"/>
  <c r="DM254" i="2"/>
  <c r="DM252" i="2"/>
  <c r="DM251" i="2"/>
  <c r="DM250" i="2"/>
  <c r="DM249" i="2"/>
  <c r="DM247" i="2"/>
  <c r="DM246" i="2"/>
  <c r="DM244" i="2"/>
  <c r="DM243" i="2"/>
  <c r="DM242" i="2"/>
  <c r="DM241" i="2"/>
  <c r="DM240" i="2"/>
  <c r="DM234" i="2"/>
  <c r="DM233" i="2"/>
  <c r="DM232" i="2"/>
  <c r="DM231" i="2"/>
  <c r="DM230" i="2"/>
  <c r="DM229" i="2"/>
  <c r="DM228" i="2"/>
  <c r="DM227" i="2"/>
  <c r="DM226" i="2"/>
  <c r="DM225" i="2"/>
  <c r="DM224" i="2"/>
  <c r="DM221" i="2"/>
  <c r="DM220" i="2"/>
  <c r="DM219" i="2"/>
  <c r="DM218" i="2"/>
  <c r="DM216" i="2"/>
  <c r="DM215" i="2"/>
  <c r="DM213" i="2"/>
  <c r="DM212" i="2"/>
  <c r="DM210" i="2"/>
  <c r="DM209" i="2"/>
  <c r="DM204" i="2"/>
  <c r="DM203" i="2"/>
  <c r="DM202" i="2"/>
  <c r="DM200" i="2"/>
  <c r="DM199" i="2"/>
  <c r="DM198" i="2"/>
  <c r="DM197" i="2"/>
  <c r="DM196" i="2"/>
  <c r="DM194" i="2"/>
  <c r="DM193" i="2"/>
  <c r="DM192" i="2"/>
  <c r="DM191" i="2"/>
  <c r="DM190" i="2"/>
  <c r="DM189" i="2"/>
  <c r="DM188" i="2"/>
  <c r="DM186" i="2"/>
  <c r="DM185" i="2"/>
  <c r="DM184" i="2"/>
  <c r="DM183" i="2"/>
  <c r="DM182" i="2"/>
  <c r="DM180" i="2"/>
  <c r="DM175" i="2"/>
  <c r="DM174" i="2"/>
  <c r="DM172" i="2"/>
  <c r="DM169" i="2"/>
  <c r="DM168" i="2"/>
  <c r="DM167" i="2"/>
  <c r="DM166" i="2"/>
  <c r="DM165" i="2"/>
  <c r="DM164" i="2"/>
  <c r="DM163" i="2"/>
  <c r="DM162" i="2"/>
  <c r="DM161" i="2"/>
  <c r="DM160" i="2"/>
  <c r="DM159" i="2"/>
  <c r="DM158" i="2"/>
  <c r="DM157" i="2"/>
  <c r="DM156" i="2"/>
  <c r="DM155" i="2"/>
  <c r="DM154" i="2"/>
  <c r="DM153" i="2"/>
  <c r="DM152" i="2"/>
  <c r="DM151" i="2"/>
  <c r="DM150" i="2"/>
  <c r="DM147" i="2"/>
  <c r="DM146" i="2"/>
  <c r="DM145" i="2"/>
  <c r="DM144" i="2"/>
  <c r="DM143" i="2"/>
  <c r="DM142" i="2"/>
  <c r="DM140" i="2"/>
  <c r="DM139" i="2"/>
  <c r="DM138" i="2"/>
  <c r="DM137" i="2"/>
  <c r="DM136" i="2"/>
  <c r="DM135" i="2"/>
  <c r="DM131" i="2"/>
  <c r="DM130" i="2"/>
  <c r="DM128" i="2"/>
  <c r="DM127" i="2"/>
  <c r="DM126" i="2"/>
  <c r="DM125" i="2"/>
  <c r="DM124" i="2"/>
  <c r="DM123" i="2"/>
  <c r="DM122" i="2"/>
  <c r="DM121" i="2"/>
  <c r="DM120" i="2"/>
  <c r="DM119" i="2"/>
  <c r="DM117" i="2"/>
  <c r="DM116" i="2"/>
  <c r="DM115" i="2"/>
  <c r="DM114" i="2"/>
  <c r="DM113" i="2"/>
  <c r="DM111" i="2"/>
  <c r="DM110" i="2"/>
  <c r="DM109" i="2"/>
  <c r="DM108" i="2"/>
  <c r="DM107" i="2"/>
  <c r="DM106" i="2"/>
  <c r="DM105" i="2"/>
  <c r="DM104" i="2"/>
  <c r="DM102" i="2"/>
  <c r="DM101" i="2"/>
  <c r="DM100" i="2"/>
  <c r="DM99" i="2"/>
  <c r="DM327" i="2" s="1"/>
  <c r="DM98" i="2"/>
  <c r="DM97" i="2"/>
  <c r="DM96" i="2"/>
  <c r="DM95" i="2"/>
  <c r="DM94" i="2"/>
  <c r="DM93" i="2"/>
  <c r="DM92" i="2"/>
  <c r="DM91" i="2"/>
  <c r="DM90" i="2"/>
  <c r="DM89" i="2"/>
  <c r="DM88" i="2"/>
  <c r="DM87" i="2"/>
  <c r="DM86" i="2"/>
  <c r="DM85" i="2"/>
  <c r="DM84" i="2"/>
  <c r="DM83" i="2"/>
  <c r="DM82" i="2"/>
  <c r="DM81" i="2"/>
  <c r="DM80" i="2"/>
  <c r="DM79" i="2"/>
  <c r="DM78" i="2"/>
  <c r="DM77" i="2"/>
  <c r="DM75" i="2"/>
  <c r="DM74" i="2"/>
  <c r="DM73" i="2"/>
  <c r="DM72" i="2"/>
  <c r="DM71" i="2"/>
  <c r="DM70" i="2"/>
  <c r="DM69" i="2"/>
  <c r="DM68" i="2"/>
  <c r="DM67" i="2"/>
  <c r="DM66" i="2"/>
  <c r="DM65" i="2"/>
  <c r="DM64" i="2"/>
  <c r="DM63" i="2"/>
  <c r="DM62" i="2"/>
  <c r="DM61" i="2"/>
  <c r="DM60" i="2"/>
  <c r="DM59" i="2"/>
  <c r="DM58" i="2"/>
  <c r="DM57" i="2"/>
  <c r="DM56" i="2"/>
  <c r="DM55" i="2"/>
  <c r="DM54" i="2"/>
  <c r="DM53" i="2"/>
  <c r="DM52" i="2"/>
  <c r="DM51" i="2"/>
  <c r="DM50" i="2"/>
  <c r="DM49" i="2"/>
  <c r="DM48" i="2"/>
  <c r="DM46" i="2"/>
  <c r="DM45" i="2"/>
  <c r="DM44" i="2"/>
  <c r="DM43" i="2"/>
  <c r="DM42" i="2"/>
  <c r="DM41" i="2"/>
  <c r="DM40" i="2"/>
  <c r="DM39" i="2"/>
  <c r="DM38" i="2"/>
  <c r="DM37" i="2"/>
  <c r="DM36" i="2"/>
  <c r="DM35" i="2"/>
  <c r="DM34" i="2"/>
  <c r="DM33" i="2"/>
  <c r="DM32" i="2"/>
  <c r="DM31" i="2"/>
  <c r="DM30" i="2"/>
  <c r="DM28" i="2"/>
  <c r="DM27" i="2"/>
  <c r="DM26" i="2"/>
  <c r="DM25" i="2"/>
  <c r="DM24" i="2"/>
  <c r="DM23" i="2"/>
  <c r="DM22" i="2"/>
  <c r="DM20" i="2"/>
  <c r="DM19" i="2"/>
  <c r="DM18" i="2"/>
  <c r="DM17" i="2"/>
  <c r="DM16" i="2"/>
  <c r="DM15" i="2"/>
  <c r="DM14" i="2"/>
  <c r="DM13" i="2"/>
  <c r="DM12" i="2"/>
  <c r="DM11" i="2"/>
  <c r="DM10" i="2"/>
  <c r="DM9" i="2"/>
  <c r="DM8" i="2"/>
  <c r="DM7" i="2"/>
  <c r="DM6" i="2"/>
  <c r="DJ280" i="2"/>
  <c r="DL280" i="2" s="1"/>
  <c r="DJ275" i="2"/>
  <c r="DL275" i="2" s="1"/>
  <c r="DJ273" i="2"/>
  <c r="DL273" i="2" s="1"/>
  <c r="DJ272" i="2"/>
  <c r="DL272" i="2" s="1"/>
  <c r="DJ271" i="2"/>
  <c r="DL271" i="2" s="1"/>
  <c r="DJ267" i="2"/>
  <c r="DL267" i="2" s="1"/>
  <c r="DJ266" i="2"/>
  <c r="DL266" i="2" s="1"/>
  <c r="DJ265" i="2"/>
  <c r="DL265" i="2" s="1"/>
  <c r="DJ264" i="2"/>
  <c r="DL264" i="2" s="1"/>
  <c r="DJ263" i="2"/>
  <c r="DL263" i="2" s="1"/>
  <c r="DJ262" i="2"/>
  <c r="DL262" i="2" s="1"/>
  <c r="DJ261" i="2"/>
  <c r="DL261" i="2" s="1"/>
  <c r="DJ260" i="2"/>
  <c r="DL260" i="2" s="1"/>
  <c r="DJ259" i="2"/>
  <c r="DL259" i="2" s="1"/>
  <c r="DJ258" i="2"/>
  <c r="DL258" i="2" s="1"/>
  <c r="DJ257" i="2"/>
  <c r="DL257" i="2" s="1"/>
  <c r="DJ256" i="2"/>
  <c r="DL256" i="2" s="1"/>
  <c r="DJ254" i="2"/>
  <c r="DL254" i="2" s="1"/>
  <c r="DJ252" i="2"/>
  <c r="DL252" i="2" s="1"/>
  <c r="DJ251" i="2"/>
  <c r="DL251" i="2" s="1"/>
  <c r="DJ250" i="2"/>
  <c r="DL250" i="2" s="1"/>
  <c r="DJ249" i="2"/>
  <c r="DL249" i="2" s="1"/>
  <c r="DJ247" i="2"/>
  <c r="DL247" i="2" s="1"/>
  <c r="DJ246" i="2"/>
  <c r="DL246" i="2" s="1"/>
  <c r="DJ244" i="2"/>
  <c r="DL244" i="2" s="1"/>
  <c r="DJ243" i="2"/>
  <c r="DL243" i="2" s="1"/>
  <c r="DJ242" i="2"/>
  <c r="DL242" i="2" s="1"/>
  <c r="DJ241" i="2"/>
  <c r="DL241" i="2" s="1"/>
  <c r="DJ240" i="2"/>
  <c r="DL240" i="2" s="1"/>
  <c r="DJ234" i="2"/>
  <c r="DL234" i="2" s="1"/>
  <c r="DJ233" i="2"/>
  <c r="DL233" i="2" s="1"/>
  <c r="DJ232" i="2"/>
  <c r="DL232" i="2" s="1"/>
  <c r="DJ231" i="2"/>
  <c r="DL231" i="2" s="1"/>
  <c r="DJ230" i="2"/>
  <c r="DL230" i="2" s="1"/>
  <c r="DJ229" i="2"/>
  <c r="DL229" i="2" s="1"/>
  <c r="DJ228" i="2"/>
  <c r="DL228" i="2" s="1"/>
  <c r="DJ227" i="2"/>
  <c r="DL227" i="2" s="1"/>
  <c r="DJ226" i="2"/>
  <c r="DL226" i="2" s="1"/>
  <c r="DJ225" i="2"/>
  <c r="DL225" i="2" s="1"/>
  <c r="DJ224" i="2"/>
  <c r="DL224" i="2" s="1"/>
  <c r="DJ221" i="2"/>
  <c r="DL221" i="2" s="1"/>
  <c r="DJ220" i="2"/>
  <c r="DL220" i="2" s="1"/>
  <c r="DJ219" i="2"/>
  <c r="DL219" i="2" s="1"/>
  <c r="DJ218" i="2"/>
  <c r="DL218" i="2" s="1"/>
  <c r="DJ216" i="2"/>
  <c r="DL216" i="2" s="1"/>
  <c r="DJ215" i="2"/>
  <c r="DL215" i="2" s="1"/>
  <c r="DJ213" i="2"/>
  <c r="DL213" i="2" s="1"/>
  <c r="DJ212" i="2"/>
  <c r="DL212" i="2" s="1"/>
  <c r="DJ210" i="2"/>
  <c r="DL210" i="2" s="1"/>
  <c r="DJ209" i="2"/>
  <c r="DL209" i="2" s="1"/>
  <c r="DJ204" i="2"/>
  <c r="DL204" i="2" s="1"/>
  <c r="DJ203" i="2"/>
  <c r="DL203" i="2" s="1"/>
  <c r="DJ202" i="2"/>
  <c r="DL202" i="2" s="1"/>
  <c r="DJ200" i="2"/>
  <c r="DL200" i="2" s="1"/>
  <c r="DJ199" i="2"/>
  <c r="DL199" i="2" s="1"/>
  <c r="DJ198" i="2"/>
  <c r="DL198" i="2" s="1"/>
  <c r="DJ197" i="2"/>
  <c r="DL197" i="2" s="1"/>
  <c r="DJ196" i="2"/>
  <c r="DL196" i="2" s="1"/>
  <c r="DJ194" i="2"/>
  <c r="DL194" i="2" s="1"/>
  <c r="DJ193" i="2"/>
  <c r="DL193" i="2" s="1"/>
  <c r="DJ192" i="2"/>
  <c r="DL192" i="2" s="1"/>
  <c r="DJ191" i="2"/>
  <c r="DL191" i="2" s="1"/>
  <c r="DJ190" i="2"/>
  <c r="DL190" i="2" s="1"/>
  <c r="DJ189" i="2"/>
  <c r="DL189" i="2" s="1"/>
  <c r="DJ188" i="2"/>
  <c r="DL188" i="2" s="1"/>
  <c r="DJ186" i="2"/>
  <c r="DL186" i="2" s="1"/>
  <c r="DJ185" i="2"/>
  <c r="DL185" i="2" s="1"/>
  <c r="DJ184" i="2"/>
  <c r="DL184" i="2" s="1"/>
  <c r="DJ183" i="2"/>
  <c r="DL183" i="2" s="1"/>
  <c r="DJ182" i="2"/>
  <c r="DL182" i="2" s="1"/>
  <c r="DJ180" i="2"/>
  <c r="DL180" i="2" s="1"/>
  <c r="DJ175" i="2"/>
  <c r="DL175" i="2" s="1"/>
  <c r="DJ174" i="2"/>
  <c r="DL174" i="2" s="1"/>
  <c r="DJ172" i="2"/>
  <c r="DL172" i="2" s="1"/>
  <c r="DJ169" i="2"/>
  <c r="DL169" i="2" s="1"/>
  <c r="DJ168" i="2"/>
  <c r="DL168" i="2" s="1"/>
  <c r="DJ167" i="2"/>
  <c r="DL167" i="2" s="1"/>
  <c r="DJ166" i="2"/>
  <c r="DL166" i="2" s="1"/>
  <c r="DJ165" i="2"/>
  <c r="DL165" i="2" s="1"/>
  <c r="DJ164" i="2"/>
  <c r="DL164" i="2" s="1"/>
  <c r="DJ163" i="2"/>
  <c r="DL163" i="2" s="1"/>
  <c r="DJ162" i="2"/>
  <c r="DL162" i="2" s="1"/>
  <c r="DJ161" i="2"/>
  <c r="DL161" i="2" s="1"/>
  <c r="DJ160" i="2"/>
  <c r="DL160" i="2" s="1"/>
  <c r="DJ159" i="2"/>
  <c r="DL159" i="2" s="1"/>
  <c r="DJ158" i="2"/>
  <c r="DL158" i="2" s="1"/>
  <c r="DJ157" i="2"/>
  <c r="DL157" i="2" s="1"/>
  <c r="DJ156" i="2"/>
  <c r="DL156" i="2" s="1"/>
  <c r="DJ155" i="2"/>
  <c r="DL155" i="2" s="1"/>
  <c r="DJ154" i="2"/>
  <c r="DL154" i="2" s="1"/>
  <c r="DJ153" i="2"/>
  <c r="DL153" i="2" s="1"/>
  <c r="DJ152" i="2"/>
  <c r="DL152" i="2" s="1"/>
  <c r="DJ151" i="2"/>
  <c r="DL151" i="2" s="1"/>
  <c r="DJ150" i="2"/>
  <c r="DL150" i="2" s="1"/>
  <c r="DJ147" i="2"/>
  <c r="DL147" i="2" s="1"/>
  <c r="DJ146" i="2"/>
  <c r="DL146" i="2" s="1"/>
  <c r="DJ145" i="2"/>
  <c r="DL145" i="2" s="1"/>
  <c r="DJ144" i="2"/>
  <c r="DL144" i="2" s="1"/>
  <c r="DJ143" i="2"/>
  <c r="DL143" i="2" s="1"/>
  <c r="DJ142" i="2"/>
  <c r="DL142" i="2" s="1"/>
  <c r="DJ140" i="2"/>
  <c r="DL140" i="2" s="1"/>
  <c r="DJ139" i="2"/>
  <c r="DL139" i="2" s="1"/>
  <c r="DJ138" i="2"/>
  <c r="DL138" i="2" s="1"/>
  <c r="DJ137" i="2"/>
  <c r="DL137" i="2" s="1"/>
  <c r="DJ136" i="2"/>
  <c r="DL136" i="2" s="1"/>
  <c r="DJ135" i="2"/>
  <c r="DL135" i="2" s="1"/>
  <c r="DJ131" i="2"/>
  <c r="DL131" i="2" s="1"/>
  <c r="DJ130" i="2"/>
  <c r="DL130" i="2" s="1"/>
  <c r="DJ128" i="2"/>
  <c r="DL128" i="2" s="1"/>
  <c r="DJ127" i="2"/>
  <c r="DL127" i="2" s="1"/>
  <c r="DJ126" i="2"/>
  <c r="DL126" i="2" s="1"/>
  <c r="DJ125" i="2"/>
  <c r="DL125" i="2" s="1"/>
  <c r="DJ124" i="2"/>
  <c r="DL124" i="2" s="1"/>
  <c r="DJ123" i="2"/>
  <c r="DL123" i="2" s="1"/>
  <c r="DJ122" i="2"/>
  <c r="DL122" i="2" s="1"/>
  <c r="DJ121" i="2"/>
  <c r="DL121" i="2" s="1"/>
  <c r="DJ120" i="2"/>
  <c r="DL120" i="2" s="1"/>
  <c r="DJ119" i="2"/>
  <c r="DL119" i="2" s="1"/>
  <c r="DJ117" i="2"/>
  <c r="DL117" i="2" s="1"/>
  <c r="DJ116" i="2"/>
  <c r="DL116" i="2" s="1"/>
  <c r="DJ115" i="2"/>
  <c r="DL115" i="2" s="1"/>
  <c r="DJ114" i="2"/>
  <c r="DL114" i="2" s="1"/>
  <c r="DJ113" i="2"/>
  <c r="DL113" i="2" s="1"/>
  <c r="DJ111" i="2"/>
  <c r="DL111" i="2" s="1"/>
  <c r="DJ110" i="2"/>
  <c r="DL110" i="2" s="1"/>
  <c r="DJ109" i="2"/>
  <c r="DL109" i="2" s="1"/>
  <c r="DJ108" i="2"/>
  <c r="DL108" i="2" s="1"/>
  <c r="DJ107" i="2"/>
  <c r="DL107" i="2" s="1"/>
  <c r="DJ106" i="2"/>
  <c r="DL106" i="2" s="1"/>
  <c r="DJ105" i="2"/>
  <c r="DL105" i="2" s="1"/>
  <c r="DJ104" i="2"/>
  <c r="DL104" i="2" s="1"/>
  <c r="DJ102" i="2"/>
  <c r="DL102" i="2" s="1"/>
  <c r="DJ101" i="2"/>
  <c r="DL101" i="2" s="1"/>
  <c r="DJ100" i="2"/>
  <c r="DL100" i="2" s="1"/>
  <c r="DJ99" i="2"/>
  <c r="DL99" i="2" s="1"/>
  <c r="DL327" i="2" s="1"/>
  <c r="J46" i="10" s="1"/>
  <c r="J91" i="10" s="1"/>
  <c r="T19" i="15" s="1"/>
  <c r="DJ98" i="2"/>
  <c r="DL98" i="2" s="1"/>
  <c r="DJ97" i="2"/>
  <c r="DL97" i="2" s="1"/>
  <c r="DJ96" i="2"/>
  <c r="DL96" i="2" s="1"/>
  <c r="DJ95" i="2"/>
  <c r="DL95" i="2" s="1"/>
  <c r="DJ94" i="2"/>
  <c r="DL94" i="2" s="1"/>
  <c r="DJ93" i="2"/>
  <c r="DL93" i="2" s="1"/>
  <c r="DJ92" i="2"/>
  <c r="DL92" i="2" s="1"/>
  <c r="DJ91" i="2"/>
  <c r="DL91" i="2" s="1"/>
  <c r="DJ90" i="2"/>
  <c r="DL90" i="2" s="1"/>
  <c r="DJ89" i="2"/>
  <c r="DL89" i="2" s="1"/>
  <c r="DJ88" i="2"/>
  <c r="DJ87" i="2"/>
  <c r="DL87" i="2" s="1"/>
  <c r="DJ86" i="2"/>
  <c r="DL86" i="2" s="1"/>
  <c r="DJ85" i="2"/>
  <c r="DL85" i="2" s="1"/>
  <c r="DJ84" i="2"/>
  <c r="DL84" i="2" s="1"/>
  <c r="DJ83" i="2"/>
  <c r="DL83" i="2" s="1"/>
  <c r="DJ82" i="2"/>
  <c r="DL82" i="2" s="1"/>
  <c r="DJ81" i="2"/>
  <c r="DL81" i="2" s="1"/>
  <c r="DJ80" i="2"/>
  <c r="DL80" i="2" s="1"/>
  <c r="DJ79" i="2"/>
  <c r="DL79" i="2" s="1"/>
  <c r="DJ78" i="2"/>
  <c r="DL78" i="2" s="1"/>
  <c r="DJ77" i="2"/>
  <c r="DL77" i="2" s="1"/>
  <c r="DJ75" i="2"/>
  <c r="DL75" i="2" s="1"/>
  <c r="DJ74" i="2"/>
  <c r="DL74" i="2" s="1"/>
  <c r="DJ73" i="2"/>
  <c r="DL73" i="2" s="1"/>
  <c r="DJ72" i="2"/>
  <c r="DL72" i="2" s="1"/>
  <c r="DJ71" i="2"/>
  <c r="DL71" i="2" s="1"/>
  <c r="DJ70" i="2"/>
  <c r="DL70" i="2" s="1"/>
  <c r="DJ69" i="2"/>
  <c r="DL69" i="2" s="1"/>
  <c r="DJ68" i="2"/>
  <c r="DL68" i="2" s="1"/>
  <c r="DJ67" i="2"/>
  <c r="DL67" i="2" s="1"/>
  <c r="DJ66" i="2"/>
  <c r="DL66" i="2" s="1"/>
  <c r="DJ65" i="2"/>
  <c r="DL65" i="2" s="1"/>
  <c r="DJ64" i="2"/>
  <c r="DL64" i="2" s="1"/>
  <c r="DJ63" i="2"/>
  <c r="DL63" i="2" s="1"/>
  <c r="DJ62" i="2"/>
  <c r="DL62" i="2" s="1"/>
  <c r="DJ61" i="2"/>
  <c r="DL61" i="2" s="1"/>
  <c r="DJ60" i="2"/>
  <c r="DL60" i="2" s="1"/>
  <c r="DJ59" i="2"/>
  <c r="DL59" i="2" s="1"/>
  <c r="DJ58" i="2"/>
  <c r="DL58" i="2" s="1"/>
  <c r="DJ57" i="2"/>
  <c r="DL57" i="2" s="1"/>
  <c r="DJ56" i="2"/>
  <c r="DL56" i="2" s="1"/>
  <c r="DJ55" i="2"/>
  <c r="DL55" i="2" s="1"/>
  <c r="DJ54" i="2"/>
  <c r="DL54" i="2" s="1"/>
  <c r="DJ53" i="2"/>
  <c r="DL53" i="2" s="1"/>
  <c r="DJ52" i="2"/>
  <c r="DL52" i="2" s="1"/>
  <c r="DJ51" i="2"/>
  <c r="DL51" i="2" s="1"/>
  <c r="DJ50" i="2"/>
  <c r="DL50" i="2" s="1"/>
  <c r="DJ49" i="2"/>
  <c r="DL49" i="2" s="1"/>
  <c r="DJ48" i="2"/>
  <c r="DL48" i="2" s="1"/>
  <c r="DJ46" i="2"/>
  <c r="DL46" i="2" s="1"/>
  <c r="DJ45" i="2"/>
  <c r="DL45" i="2" s="1"/>
  <c r="DJ44" i="2"/>
  <c r="DL44" i="2" s="1"/>
  <c r="DJ43" i="2"/>
  <c r="DL43" i="2" s="1"/>
  <c r="DJ42" i="2"/>
  <c r="DL42" i="2" s="1"/>
  <c r="DJ41" i="2"/>
  <c r="DL41" i="2" s="1"/>
  <c r="DJ40" i="2"/>
  <c r="DL40" i="2" s="1"/>
  <c r="DJ39" i="2"/>
  <c r="DL39" i="2" s="1"/>
  <c r="DJ38" i="2"/>
  <c r="DL38" i="2" s="1"/>
  <c r="DJ37" i="2"/>
  <c r="DL37" i="2" s="1"/>
  <c r="DJ36" i="2"/>
  <c r="DL36" i="2" s="1"/>
  <c r="DJ35" i="2"/>
  <c r="DL35" i="2" s="1"/>
  <c r="DJ34" i="2"/>
  <c r="DL34" i="2" s="1"/>
  <c r="DJ33" i="2"/>
  <c r="DL33" i="2" s="1"/>
  <c r="DJ32" i="2"/>
  <c r="DL32" i="2" s="1"/>
  <c r="DJ31" i="2"/>
  <c r="DL31" i="2" s="1"/>
  <c r="DJ30" i="2"/>
  <c r="DL30" i="2" s="1"/>
  <c r="DJ28" i="2"/>
  <c r="DL28" i="2" s="1"/>
  <c r="DJ27" i="2"/>
  <c r="DL27" i="2" s="1"/>
  <c r="DJ26" i="2"/>
  <c r="DL26" i="2" s="1"/>
  <c r="DJ25" i="2"/>
  <c r="DL25" i="2" s="1"/>
  <c r="DJ24" i="2"/>
  <c r="DL24" i="2" s="1"/>
  <c r="DJ23" i="2"/>
  <c r="DL23" i="2" s="1"/>
  <c r="DJ22" i="2"/>
  <c r="DL22" i="2" s="1"/>
  <c r="DJ20" i="2"/>
  <c r="DL20" i="2" s="1"/>
  <c r="DJ19" i="2"/>
  <c r="DL19" i="2" s="1"/>
  <c r="DJ18" i="2"/>
  <c r="DL18" i="2" s="1"/>
  <c r="DJ17" i="2"/>
  <c r="DL17" i="2" s="1"/>
  <c r="DJ16" i="2"/>
  <c r="DL16" i="2" s="1"/>
  <c r="DJ15" i="2"/>
  <c r="DL15" i="2" s="1"/>
  <c r="DJ14" i="2"/>
  <c r="DL14" i="2" s="1"/>
  <c r="DJ13" i="2"/>
  <c r="DL13" i="2" s="1"/>
  <c r="DJ12" i="2"/>
  <c r="DL12" i="2" s="1"/>
  <c r="DJ11" i="2"/>
  <c r="DL11" i="2" s="1"/>
  <c r="DJ10" i="2"/>
  <c r="DL10" i="2" s="1"/>
  <c r="DJ9" i="2"/>
  <c r="DL9" i="2" s="1"/>
  <c r="DJ8" i="2"/>
  <c r="DL8" i="2" s="1"/>
  <c r="DJ7" i="2"/>
  <c r="DL7" i="2" s="1"/>
  <c r="DJ6" i="2"/>
  <c r="DE280" i="2"/>
  <c r="DE275" i="2"/>
  <c r="DE273" i="2"/>
  <c r="DE272" i="2"/>
  <c r="DE271" i="2"/>
  <c r="DE267" i="2"/>
  <c r="DE266" i="2"/>
  <c r="DE265" i="2"/>
  <c r="DG263" i="2"/>
  <c r="DH263" i="2" s="1"/>
  <c r="EY263" i="2" s="1"/>
  <c r="DE262" i="2"/>
  <c r="DE261" i="2"/>
  <c r="DE260" i="2"/>
  <c r="DE259" i="2"/>
  <c r="DE258" i="2"/>
  <c r="DE257" i="2"/>
  <c r="DE256" i="2"/>
  <c r="DE254" i="2"/>
  <c r="DE252" i="2"/>
  <c r="DE251" i="2"/>
  <c r="DE250" i="2"/>
  <c r="DE249" i="2"/>
  <c r="DE247" i="2"/>
  <c r="DE246" i="2"/>
  <c r="DE244" i="2"/>
  <c r="DE243" i="2"/>
  <c r="DE242" i="2"/>
  <c r="DE241" i="2"/>
  <c r="DE240" i="2"/>
  <c r="DE234" i="2"/>
  <c r="DE233" i="2"/>
  <c r="DE232" i="2"/>
  <c r="DE231" i="2"/>
  <c r="DE230" i="2"/>
  <c r="DE229" i="2"/>
  <c r="DE228" i="2"/>
  <c r="DE227" i="2"/>
  <c r="DE226" i="2"/>
  <c r="DE225" i="2"/>
  <c r="DE224" i="2"/>
  <c r="DE221" i="2"/>
  <c r="DE220" i="2"/>
  <c r="DE219" i="2"/>
  <c r="DE218" i="2"/>
  <c r="DE216" i="2"/>
  <c r="DE215" i="2"/>
  <c r="DE213" i="2"/>
  <c r="DE212" i="2"/>
  <c r="DE210" i="2"/>
  <c r="DE209" i="2"/>
  <c r="DE204" i="2"/>
  <c r="DE203" i="2"/>
  <c r="DE202" i="2"/>
  <c r="DE200" i="2"/>
  <c r="DE199" i="2"/>
  <c r="DE198" i="2"/>
  <c r="DE197" i="2"/>
  <c r="DE196" i="2"/>
  <c r="DE194" i="2"/>
  <c r="DE193" i="2"/>
  <c r="DE192" i="2"/>
  <c r="DE191" i="2"/>
  <c r="DE190" i="2"/>
  <c r="DE189" i="2"/>
  <c r="DE188" i="2"/>
  <c r="DE186" i="2"/>
  <c r="DE185" i="2"/>
  <c r="DE184" i="2"/>
  <c r="DE183" i="2"/>
  <c r="DE182" i="2"/>
  <c r="DE180" i="2"/>
  <c r="DE175" i="2"/>
  <c r="DE174" i="2"/>
  <c r="DE172" i="2"/>
  <c r="DE169" i="2"/>
  <c r="DE168" i="2"/>
  <c r="DE167" i="2"/>
  <c r="DE166" i="2"/>
  <c r="DE165" i="2"/>
  <c r="DE164" i="2"/>
  <c r="DE163" i="2"/>
  <c r="DE162" i="2"/>
  <c r="DE161" i="2"/>
  <c r="DE160" i="2"/>
  <c r="DE159" i="2"/>
  <c r="DE158" i="2"/>
  <c r="DE157" i="2"/>
  <c r="DE156" i="2"/>
  <c r="DE155" i="2"/>
  <c r="DE154" i="2"/>
  <c r="DE153" i="2"/>
  <c r="DE152" i="2"/>
  <c r="DE151" i="2"/>
  <c r="DE150" i="2"/>
  <c r="DE147" i="2"/>
  <c r="DE146" i="2"/>
  <c r="DE145" i="2"/>
  <c r="DE144" i="2"/>
  <c r="DE143" i="2"/>
  <c r="DE142" i="2"/>
  <c r="DE140" i="2"/>
  <c r="DE139" i="2"/>
  <c r="DE138" i="2"/>
  <c r="DE137" i="2"/>
  <c r="DE136" i="2"/>
  <c r="DE135" i="2"/>
  <c r="DE131" i="2"/>
  <c r="DE130" i="2"/>
  <c r="DE128" i="2"/>
  <c r="DE127" i="2"/>
  <c r="DE126" i="2"/>
  <c r="DE125" i="2"/>
  <c r="DE124" i="2"/>
  <c r="DE123" i="2"/>
  <c r="DE122" i="2"/>
  <c r="DE121" i="2"/>
  <c r="DE120" i="2"/>
  <c r="DE119" i="2"/>
  <c r="DE117" i="2"/>
  <c r="DE116" i="2"/>
  <c r="DE115" i="2"/>
  <c r="DE114" i="2"/>
  <c r="DE113" i="2"/>
  <c r="DE111" i="2"/>
  <c r="DE110" i="2"/>
  <c r="DE109" i="2"/>
  <c r="DE108" i="2"/>
  <c r="DE107" i="2"/>
  <c r="DE106" i="2"/>
  <c r="DE105" i="2"/>
  <c r="DE104" i="2"/>
  <c r="DE102" i="2"/>
  <c r="DE101" i="2"/>
  <c r="DE100" i="2"/>
  <c r="DE99" i="2"/>
  <c r="DE98" i="2"/>
  <c r="DE97" i="2"/>
  <c r="DE96" i="2"/>
  <c r="DE95" i="2"/>
  <c r="DE94" i="2"/>
  <c r="DE93" i="2"/>
  <c r="DE92" i="2"/>
  <c r="DE91" i="2"/>
  <c r="DE90" i="2"/>
  <c r="DE89" i="2"/>
  <c r="DE88" i="2"/>
  <c r="DE87" i="2"/>
  <c r="DE86" i="2"/>
  <c r="DE85" i="2"/>
  <c r="DE84" i="2"/>
  <c r="DE83" i="2"/>
  <c r="DE82" i="2"/>
  <c r="DE81" i="2"/>
  <c r="DE80" i="2"/>
  <c r="DE79" i="2"/>
  <c r="DE78" i="2"/>
  <c r="DE77" i="2"/>
  <c r="DE75" i="2"/>
  <c r="DE74" i="2"/>
  <c r="DE73" i="2"/>
  <c r="DE72" i="2"/>
  <c r="DE71" i="2"/>
  <c r="DE70" i="2"/>
  <c r="DE69" i="2"/>
  <c r="DE68" i="2"/>
  <c r="DE67" i="2"/>
  <c r="DE66" i="2"/>
  <c r="DE65" i="2"/>
  <c r="DE64" i="2"/>
  <c r="DE63" i="2"/>
  <c r="DE62" i="2"/>
  <c r="DE61" i="2"/>
  <c r="DE60" i="2"/>
  <c r="DE59" i="2"/>
  <c r="DE58" i="2"/>
  <c r="DE57" i="2"/>
  <c r="DE56" i="2"/>
  <c r="DE55" i="2"/>
  <c r="DE54" i="2"/>
  <c r="DE53" i="2"/>
  <c r="DE52" i="2"/>
  <c r="DE51" i="2"/>
  <c r="DE50" i="2"/>
  <c r="DE49" i="2"/>
  <c r="DE48" i="2"/>
  <c r="DE46" i="2"/>
  <c r="DE45" i="2"/>
  <c r="DE44" i="2"/>
  <c r="DE43" i="2"/>
  <c r="DE42" i="2"/>
  <c r="DE41" i="2"/>
  <c r="DE40" i="2"/>
  <c r="DE39" i="2"/>
  <c r="DE38" i="2"/>
  <c r="DE37" i="2"/>
  <c r="DE36" i="2"/>
  <c r="DE35" i="2"/>
  <c r="DE34" i="2"/>
  <c r="DE33" i="2"/>
  <c r="DE32" i="2"/>
  <c r="DE31" i="2"/>
  <c r="DE30" i="2"/>
  <c r="DE28" i="2"/>
  <c r="DE27" i="2"/>
  <c r="DE26" i="2"/>
  <c r="DE25" i="2"/>
  <c r="DE24" i="2"/>
  <c r="DE23" i="2"/>
  <c r="DE22" i="2"/>
  <c r="DE20" i="2"/>
  <c r="DE19" i="2"/>
  <c r="DE18" i="2"/>
  <c r="DE17" i="2"/>
  <c r="DE16" i="2"/>
  <c r="DE15" i="2"/>
  <c r="DE14" i="2"/>
  <c r="DE13" i="2"/>
  <c r="DE12" i="2"/>
  <c r="DE11" i="2"/>
  <c r="DE10" i="2"/>
  <c r="DE9" i="2"/>
  <c r="DE8" i="2"/>
  <c r="DE7" i="2"/>
  <c r="DE6" i="2"/>
  <c r="DD280" i="2"/>
  <c r="DD275" i="2"/>
  <c r="DD273" i="2"/>
  <c r="DD272" i="2"/>
  <c r="DD271" i="2"/>
  <c r="DD267" i="2"/>
  <c r="DD266" i="2"/>
  <c r="DD265" i="2"/>
  <c r="DD264" i="2"/>
  <c r="DH264" i="2" s="1"/>
  <c r="EY264" i="2" s="1"/>
  <c r="DD262" i="2"/>
  <c r="DD261" i="2"/>
  <c r="DD260" i="2"/>
  <c r="DD259" i="2"/>
  <c r="DD258" i="2"/>
  <c r="DD257" i="2"/>
  <c r="DD256" i="2"/>
  <c r="DD254" i="2"/>
  <c r="DD252" i="2"/>
  <c r="DD251" i="2"/>
  <c r="DD250" i="2"/>
  <c r="DD249" i="2"/>
  <c r="DD247" i="2"/>
  <c r="DD246" i="2"/>
  <c r="DD244" i="2"/>
  <c r="DD243" i="2"/>
  <c r="DD242" i="2"/>
  <c r="DD241" i="2"/>
  <c r="DD240" i="2"/>
  <c r="DD234" i="2"/>
  <c r="DD233" i="2"/>
  <c r="DD232" i="2"/>
  <c r="DD231" i="2"/>
  <c r="DD230" i="2"/>
  <c r="DD229" i="2"/>
  <c r="DD228" i="2"/>
  <c r="DD227" i="2"/>
  <c r="DD226" i="2"/>
  <c r="DD225" i="2"/>
  <c r="DD224" i="2"/>
  <c r="DD221" i="2"/>
  <c r="DD220" i="2"/>
  <c r="DD219" i="2"/>
  <c r="DD218" i="2"/>
  <c r="DD216" i="2"/>
  <c r="DD215" i="2"/>
  <c r="DD213" i="2"/>
  <c r="DD212" i="2"/>
  <c r="DD210" i="2"/>
  <c r="DD209" i="2"/>
  <c r="DD204" i="2"/>
  <c r="DD203" i="2"/>
  <c r="DD202" i="2"/>
  <c r="DD200" i="2"/>
  <c r="DD199" i="2"/>
  <c r="DD198" i="2"/>
  <c r="DD197" i="2"/>
  <c r="DD196" i="2"/>
  <c r="DD194" i="2"/>
  <c r="DD193" i="2"/>
  <c r="DD192" i="2"/>
  <c r="DD191" i="2"/>
  <c r="DD190" i="2"/>
  <c r="DD189" i="2"/>
  <c r="DD188" i="2"/>
  <c r="DD186" i="2"/>
  <c r="DD185" i="2"/>
  <c r="DD184" i="2"/>
  <c r="DD183" i="2"/>
  <c r="DD182" i="2"/>
  <c r="DD180" i="2"/>
  <c r="DD175" i="2"/>
  <c r="DD174" i="2"/>
  <c r="DD172" i="2"/>
  <c r="DD169" i="2"/>
  <c r="DD168" i="2"/>
  <c r="DD167" i="2"/>
  <c r="DD166" i="2"/>
  <c r="DD165" i="2"/>
  <c r="DD164" i="2"/>
  <c r="DD163" i="2"/>
  <c r="DD162" i="2"/>
  <c r="DD161" i="2"/>
  <c r="DD160" i="2"/>
  <c r="DD159" i="2"/>
  <c r="DD158" i="2"/>
  <c r="DD157" i="2"/>
  <c r="DD156" i="2"/>
  <c r="DD155" i="2"/>
  <c r="DD154" i="2"/>
  <c r="DD153" i="2"/>
  <c r="DD152" i="2"/>
  <c r="DD151" i="2"/>
  <c r="DD150" i="2"/>
  <c r="DD147" i="2"/>
  <c r="DD146" i="2"/>
  <c r="DD145" i="2"/>
  <c r="DD144" i="2"/>
  <c r="DD143" i="2"/>
  <c r="DD142" i="2"/>
  <c r="DD140" i="2"/>
  <c r="DD139" i="2"/>
  <c r="DD138" i="2"/>
  <c r="DD137" i="2"/>
  <c r="DD136" i="2"/>
  <c r="DD135" i="2"/>
  <c r="DD131" i="2"/>
  <c r="DD130" i="2"/>
  <c r="DD128" i="2"/>
  <c r="DD127" i="2"/>
  <c r="DD126" i="2"/>
  <c r="DD125" i="2"/>
  <c r="DD124" i="2"/>
  <c r="DD123" i="2"/>
  <c r="DD122" i="2"/>
  <c r="DD121" i="2"/>
  <c r="DD120" i="2"/>
  <c r="DD119" i="2"/>
  <c r="DD117" i="2"/>
  <c r="DD116" i="2"/>
  <c r="DD115" i="2"/>
  <c r="DD114" i="2"/>
  <c r="DD113" i="2"/>
  <c r="DD111" i="2"/>
  <c r="DD110" i="2"/>
  <c r="DD109" i="2"/>
  <c r="DD108" i="2"/>
  <c r="DD107" i="2"/>
  <c r="DD106" i="2"/>
  <c r="DD105" i="2"/>
  <c r="DD104" i="2"/>
  <c r="DD102" i="2"/>
  <c r="DD101" i="2"/>
  <c r="DD100" i="2"/>
  <c r="DD99" i="2"/>
  <c r="DD98" i="2"/>
  <c r="DD97" i="2"/>
  <c r="DD96" i="2"/>
  <c r="DD95" i="2"/>
  <c r="DD94" i="2"/>
  <c r="DD93" i="2"/>
  <c r="DD92" i="2"/>
  <c r="DD91" i="2"/>
  <c r="DD90" i="2"/>
  <c r="DD89" i="2"/>
  <c r="DD88" i="2"/>
  <c r="DD87" i="2"/>
  <c r="DD86" i="2"/>
  <c r="DD85" i="2"/>
  <c r="DD84" i="2"/>
  <c r="DD83" i="2"/>
  <c r="DD82" i="2"/>
  <c r="DD81" i="2"/>
  <c r="DD80" i="2"/>
  <c r="DD79" i="2"/>
  <c r="DD78" i="2"/>
  <c r="DD77" i="2"/>
  <c r="DD75" i="2"/>
  <c r="DD74" i="2"/>
  <c r="DD73" i="2"/>
  <c r="DD72" i="2"/>
  <c r="DD71" i="2"/>
  <c r="DD70" i="2"/>
  <c r="DD69" i="2"/>
  <c r="DD68" i="2"/>
  <c r="DD67" i="2"/>
  <c r="DD66" i="2"/>
  <c r="DD65" i="2"/>
  <c r="DD64" i="2"/>
  <c r="DD63" i="2"/>
  <c r="DD62" i="2"/>
  <c r="DD61" i="2"/>
  <c r="DD60" i="2"/>
  <c r="DD59" i="2"/>
  <c r="DD58" i="2"/>
  <c r="DD57" i="2"/>
  <c r="DD56" i="2"/>
  <c r="DD55" i="2"/>
  <c r="DD54" i="2"/>
  <c r="DD53" i="2"/>
  <c r="DD52" i="2"/>
  <c r="DD51" i="2"/>
  <c r="DD50" i="2"/>
  <c r="DD49" i="2"/>
  <c r="DD48" i="2"/>
  <c r="DD46" i="2"/>
  <c r="DD45" i="2"/>
  <c r="DD44" i="2"/>
  <c r="DD43" i="2"/>
  <c r="DD42" i="2"/>
  <c r="DD41" i="2"/>
  <c r="DD40" i="2"/>
  <c r="DD39" i="2"/>
  <c r="DD38" i="2"/>
  <c r="DD37" i="2"/>
  <c r="DD36" i="2"/>
  <c r="DD35" i="2"/>
  <c r="DD34" i="2"/>
  <c r="DD33" i="2"/>
  <c r="DD32" i="2"/>
  <c r="DD31" i="2"/>
  <c r="DD30" i="2"/>
  <c r="DD28" i="2"/>
  <c r="DD27" i="2"/>
  <c r="DD26" i="2"/>
  <c r="DD25" i="2"/>
  <c r="DD24" i="2"/>
  <c r="DD23" i="2"/>
  <c r="DD22" i="2"/>
  <c r="DD20" i="2"/>
  <c r="DD19" i="2"/>
  <c r="DD18" i="2"/>
  <c r="DD17" i="2"/>
  <c r="DD16" i="2"/>
  <c r="DD15" i="2"/>
  <c r="DD14" i="2"/>
  <c r="DD13" i="2"/>
  <c r="DD12" i="2"/>
  <c r="DD11" i="2"/>
  <c r="DD10" i="2"/>
  <c r="DD9" i="2"/>
  <c r="DD8" i="2"/>
  <c r="DD7" i="2"/>
  <c r="DD6" i="2"/>
  <c r="CY280" i="2"/>
  <c r="CY275" i="2"/>
  <c r="CY273" i="2"/>
  <c r="CY272" i="2"/>
  <c r="CY271" i="2"/>
  <c r="CY267" i="2"/>
  <c r="CY266" i="2"/>
  <c r="CY265" i="2"/>
  <c r="CY264" i="2"/>
  <c r="CY263" i="2"/>
  <c r="CY262" i="2"/>
  <c r="CY261" i="2"/>
  <c r="CY260" i="2"/>
  <c r="CY259" i="2"/>
  <c r="CY258" i="2"/>
  <c r="CY257" i="2"/>
  <c r="CY256" i="2"/>
  <c r="CY254" i="2"/>
  <c r="CY252" i="2"/>
  <c r="CY251" i="2"/>
  <c r="CY250" i="2"/>
  <c r="CY249" i="2"/>
  <c r="CY247" i="2"/>
  <c r="CY246" i="2"/>
  <c r="CY244" i="2"/>
  <c r="CY243" i="2"/>
  <c r="CY242" i="2"/>
  <c r="CY241" i="2"/>
  <c r="CY240" i="2"/>
  <c r="CY234" i="2"/>
  <c r="CY233" i="2"/>
  <c r="CY232" i="2"/>
  <c r="CY231" i="2"/>
  <c r="CY230" i="2"/>
  <c r="CY229" i="2"/>
  <c r="CY228" i="2"/>
  <c r="CY227" i="2"/>
  <c r="CY226" i="2"/>
  <c r="CY225" i="2"/>
  <c r="CY224" i="2"/>
  <c r="CY221" i="2"/>
  <c r="CY220" i="2"/>
  <c r="CY219" i="2"/>
  <c r="CY218" i="2"/>
  <c r="CY216" i="2"/>
  <c r="CY215" i="2"/>
  <c r="CY213" i="2"/>
  <c r="CY212" i="2"/>
  <c r="CY210" i="2"/>
  <c r="CY209" i="2"/>
  <c r="CY204" i="2"/>
  <c r="CY203" i="2"/>
  <c r="CY202" i="2"/>
  <c r="CY200" i="2"/>
  <c r="CY199" i="2"/>
  <c r="CY198" i="2"/>
  <c r="CY197" i="2"/>
  <c r="CY196" i="2"/>
  <c r="CY194" i="2"/>
  <c r="CY193" i="2"/>
  <c r="CY192" i="2"/>
  <c r="CY191" i="2"/>
  <c r="CY190" i="2"/>
  <c r="CY189" i="2"/>
  <c r="CY188" i="2"/>
  <c r="CY186" i="2"/>
  <c r="CY185" i="2"/>
  <c r="CY184" i="2"/>
  <c r="CY183" i="2"/>
  <c r="CY182" i="2"/>
  <c r="CY180" i="2"/>
  <c r="CY175" i="2"/>
  <c r="CY174" i="2"/>
  <c r="CY172" i="2"/>
  <c r="CY169" i="2"/>
  <c r="CY168" i="2"/>
  <c r="CY167" i="2"/>
  <c r="CY166" i="2"/>
  <c r="CY165" i="2"/>
  <c r="CY164" i="2"/>
  <c r="CY163" i="2"/>
  <c r="CY162" i="2"/>
  <c r="CY161" i="2"/>
  <c r="CY160" i="2"/>
  <c r="CY159" i="2"/>
  <c r="CY158" i="2"/>
  <c r="CY157" i="2"/>
  <c r="CY156" i="2"/>
  <c r="CY155" i="2"/>
  <c r="CY154" i="2"/>
  <c r="CY153" i="2"/>
  <c r="CY152" i="2"/>
  <c r="CY151" i="2"/>
  <c r="CY150" i="2"/>
  <c r="CY147" i="2"/>
  <c r="CY146" i="2"/>
  <c r="CY145" i="2"/>
  <c r="CY144" i="2"/>
  <c r="CY143" i="2"/>
  <c r="CY142" i="2"/>
  <c r="CY140" i="2"/>
  <c r="CY139" i="2"/>
  <c r="CY138" i="2"/>
  <c r="CY137" i="2"/>
  <c r="CY136" i="2"/>
  <c r="CY135" i="2"/>
  <c r="CY131" i="2"/>
  <c r="CY130" i="2"/>
  <c r="CY128" i="2"/>
  <c r="CY127" i="2"/>
  <c r="CY126" i="2"/>
  <c r="CY125" i="2"/>
  <c r="CY124" i="2"/>
  <c r="CY123" i="2"/>
  <c r="CY122" i="2"/>
  <c r="CY121" i="2"/>
  <c r="CY120" i="2"/>
  <c r="CY119" i="2"/>
  <c r="CY117" i="2"/>
  <c r="CY116" i="2"/>
  <c r="CY115" i="2"/>
  <c r="CY114" i="2"/>
  <c r="CY113" i="2"/>
  <c r="CY111" i="2"/>
  <c r="CY110" i="2"/>
  <c r="CY109" i="2"/>
  <c r="CY108" i="2"/>
  <c r="CY107" i="2"/>
  <c r="CY106" i="2"/>
  <c r="CY105" i="2"/>
  <c r="CY104" i="2"/>
  <c r="CY102" i="2"/>
  <c r="CY101" i="2"/>
  <c r="CY100" i="2"/>
  <c r="CY99" i="2"/>
  <c r="CY98" i="2"/>
  <c r="CY97" i="2"/>
  <c r="CY96" i="2"/>
  <c r="CY95" i="2"/>
  <c r="CY94" i="2"/>
  <c r="CY93" i="2"/>
  <c r="CY92" i="2"/>
  <c r="CY91" i="2"/>
  <c r="CY90" i="2"/>
  <c r="CY89" i="2"/>
  <c r="CY88" i="2"/>
  <c r="CY87" i="2"/>
  <c r="CY86" i="2"/>
  <c r="CY85" i="2"/>
  <c r="CY84" i="2"/>
  <c r="CY83" i="2"/>
  <c r="CY82" i="2"/>
  <c r="CY81" i="2"/>
  <c r="CY80" i="2"/>
  <c r="CY79" i="2"/>
  <c r="CY78" i="2"/>
  <c r="CY77" i="2"/>
  <c r="CY75" i="2"/>
  <c r="CY74" i="2"/>
  <c r="CY73" i="2"/>
  <c r="CY72" i="2"/>
  <c r="CY71" i="2"/>
  <c r="CY70" i="2"/>
  <c r="CY69" i="2"/>
  <c r="CY68" i="2"/>
  <c r="CY67" i="2"/>
  <c r="CY66" i="2"/>
  <c r="CY65" i="2"/>
  <c r="CY64" i="2"/>
  <c r="CY63" i="2"/>
  <c r="CY62" i="2"/>
  <c r="CY61" i="2"/>
  <c r="CY60" i="2"/>
  <c r="CY59" i="2"/>
  <c r="CY58" i="2"/>
  <c r="CY57" i="2"/>
  <c r="CY56" i="2"/>
  <c r="CY55" i="2"/>
  <c r="CY54" i="2"/>
  <c r="CY53" i="2"/>
  <c r="CY52" i="2"/>
  <c r="CY51" i="2"/>
  <c r="CY50" i="2"/>
  <c r="CY49" i="2"/>
  <c r="CY48" i="2"/>
  <c r="CY46" i="2"/>
  <c r="CY45" i="2"/>
  <c r="CY44" i="2"/>
  <c r="CY43" i="2"/>
  <c r="CY42" i="2"/>
  <c r="CY41" i="2"/>
  <c r="CY40" i="2"/>
  <c r="CY39" i="2"/>
  <c r="CY38" i="2"/>
  <c r="CY37" i="2"/>
  <c r="CY36" i="2"/>
  <c r="CY35" i="2"/>
  <c r="CY34" i="2"/>
  <c r="CY33" i="2"/>
  <c r="CY32" i="2"/>
  <c r="CY31" i="2"/>
  <c r="CY30" i="2"/>
  <c r="CY28" i="2"/>
  <c r="CY27" i="2"/>
  <c r="CY26" i="2"/>
  <c r="CY25" i="2"/>
  <c r="CY24" i="2"/>
  <c r="CY23" i="2"/>
  <c r="CY22" i="2"/>
  <c r="CY20" i="2"/>
  <c r="CY19" i="2"/>
  <c r="CY18" i="2"/>
  <c r="CY17" i="2"/>
  <c r="CY16" i="2"/>
  <c r="CY15" i="2"/>
  <c r="CY14" i="2"/>
  <c r="CY13" i="2"/>
  <c r="CY12" i="2"/>
  <c r="CY11" i="2"/>
  <c r="CY10" i="2"/>
  <c r="CY9" i="2"/>
  <c r="CY8" i="2"/>
  <c r="CY7" i="2"/>
  <c r="CW280" i="2"/>
  <c r="CW275" i="2"/>
  <c r="CW273" i="2"/>
  <c r="CW272" i="2"/>
  <c r="CW271" i="2"/>
  <c r="CW267" i="2"/>
  <c r="CW266" i="2"/>
  <c r="CW265" i="2"/>
  <c r="CW264" i="2"/>
  <c r="CW263" i="2"/>
  <c r="CW262" i="2"/>
  <c r="CW261" i="2"/>
  <c r="CW260" i="2"/>
  <c r="CW259" i="2"/>
  <c r="CW258" i="2"/>
  <c r="CW257" i="2"/>
  <c r="CW256" i="2"/>
  <c r="CW254" i="2"/>
  <c r="CW252" i="2"/>
  <c r="CW251" i="2"/>
  <c r="CW250" i="2"/>
  <c r="CW249" i="2"/>
  <c r="CW247" i="2"/>
  <c r="CW246" i="2"/>
  <c r="CW244" i="2"/>
  <c r="CW243" i="2"/>
  <c r="CW242" i="2"/>
  <c r="CW241" i="2"/>
  <c r="CW240" i="2"/>
  <c r="CW234" i="2"/>
  <c r="CW233" i="2"/>
  <c r="CW232" i="2"/>
  <c r="CW231" i="2"/>
  <c r="CW230" i="2"/>
  <c r="CW229" i="2"/>
  <c r="CW228" i="2"/>
  <c r="CW227" i="2"/>
  <c r="CW226" i="2"/>
  <c r="CW225" i="2"/>
  <c r="CW224" i="2"/>
  <c r="CW221" i="2"/>
  <c r="CW220" i="2"/>
  <c r="CW219" i="2"/>
  <c r="CW218" i="2"/>
  <c r="CW216" i="2"/>
  <c r="CW215" i="2"/>
  <c r="CW213" i="2"/>
  <c r="CW212" i="2"/>
  <c r="CW210" i="2"/>
  <c r="CW209" i="2"/>
  <c r="CW204" i="2"/>
  <c r="CW203" i="2"/>
  <c r="CW202" i="2"/>
  <c r="CW200" i="2"/>
  <c r="CW199" i="2"/>
  <c r="CW198" i="2"/>
  <c r="CW197" i="2"/>
  <c r="CW196" i="2"/>
  <c r="CW194" i="2"/>
  <c r="CW193" i="2"/>
  <c r="CW192" i="2"/>
  <c r="CW191" i="2"/>
  <c r="CW190" i="2"/>
  <c r="CW189" i="2"/>
  <c r="CW188" i="2"/>
  <c r="CW186" i="2"/>
  <c r="CW185" i="2"/>
  <c r="CW184" i="2"/>
  <c r="CW183" i="2"/>
  <c r="CW182" i="2"/>
  <c r="CW180" i="2"/>
  <c r="CW175" i="2"/>
  <c r="CW174" i="2"/>
  <c r="CW172" i="2"/>
  <c r="CW169" i="2"/>
  <c r="CW168" i="2"/>
  <c r="CW167" i="2"/>
  <c r="CW166" i="2"/>
  <c r="CW165" i="2"/>
  <c r="CW164" i="2"/>
  <c r="CW163" i="2"/>
  <c r="CW162" i="2"/>
  <c r="CW161" i="2"/>
  <c r="CW160" i="2"/>
  <c r="CW159" i="2"/>
  <c r="CW158" i="2"/>
  <c r="CW157" i="2"/>
  <c r="CW156" i="2"/>
  <c r="CW155" i="2"/>
  <c r="CW154" i="2"/>
  <c r="CW153" i="2"/>
  <c r="CW152" i="2"/>
  <c r="CW151" i="2"/>
  <c r="CW150" i="2"/>
  <c r="CW147" i="2"/>
  <c r="CW146" i="2"/>
  <c r="CW145" i="2"/>
  <c r="CW144" i="2"/>
  <c r="CW143" i="2"/>
  <c r="CW142" i="2"/>
  <c r="CW140" i="2"/>
  <c r="CW139" i="2"/>
  <c r="CW138" i="2"/>
  <c r="CW137" i="2"/>
  <c r="CW136" i="2"/>
  <c r="CW135" i="2"/>
  <c r="CW131" i="2"/>
  <c r="CW130" i="2"/>
  <c r="CW128" i="2"/>
  <c r="CW127" i="2"/>
  <c r="CW126" i="2"/>
  <c r="CW125" i="2"/>
  <c r="CW124" i="2"/>
  <c r="CW123" i="2"/>
  <c r="CW122" i="2"/>
  <c r="CW121" i="2"/>
  <c r="CW120" i="2"/>
  <c r="CW119" i="2"/>
  <c r="CW117" i="2"/>
  <c r="CW116" i="2"/>
  <c r="CW115" i="2"/>
  <c r="CW114" i="2"/>
  <c r="CW113" i="2"/>
  <c r="CW111" i="2"/>
  <c r="CW110" i="2"/>
  <c r="CW109" i="2"/>
  <c r="CW108" i="2"/>
  <c r="CW107" i="2"/>
  <c r="CW106" i="2"/>
  <c r="CW105" i="2"/>
  <c r="CW104" i="2"/>
  <c r="CW102" i="2"/>
  <c r="CW101" i="2"/>
  <c r="CW100" i="2"/>
  <c r="CW99" i="2"/>
  <c r="CW98" i="2"/>
  <c r="CW97" i="2"/>
  <c r="CW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W83" i="2"/>
  <c r="CW82" i="2"/>
  <c r="CW81" i="2"/>
  <c r="CW80" i="2"/>
  <c r="CW79" i="2"/>
  <c r="CW78" i="2"/>
  <c r="CW77" i="2"/>
  <c r="CW75" i="2"/>
  <c r="CW74" i="2"/>
  <c r="CW73" i="2"/>
  <c r="CW72" i="2"/>
  <c r="CW71" i="2"/>
  <c r="CW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W57" i="2"/>
  <c r="CW56" i="2"/>
  <c r="CW55" i="2"/>
  <c r="CW54" i="2"/>
  <c r="CW53" i="2"/>
  <c r="CW52" i="2"/>
  <c r="CW51" i="2"/>
  <c r="CW50" i="2"/>
  <c r="CW49" i="2"/>
  <c r="CW48" i="2"/>
  <c r="CW46" i="2"/>
  <c r="CW45" i="2"/>
  <c r="CW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W31" i="2"/>
  <c r="CW30" i="2"/>
  <c r="CW28" i="2"/>
  <c r="CW27" i="2"/>
  <c r="CW26" i="2"/>
  <c r="CW25" i="2"/>
  <c r="CW24" i="2"/>
  <c r="CW23" i="2"/>
  <c r="CW22" i="2"/>
  <c r="CW20" i="2"/>
  <c r="CW19" i="2"/>
  <c r="CW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Y6" i="2"/>
  <c r="CV280" i="2"/>
  <c r="CU280" i="2"/>
  <c r="CT280" i="2"/>
  <c r="CV275" i="2"/>
  <c r="CU275" i="2"/>
  <c r="CT275" i="2"/>
  <c r="CV273" i="2"/>
  <c r="CU273" i="2"/>
  <c r="CT273" i="2"/>
  <c r="CV272" i="2"/>
  <c r="CU272" i="2"/>
  <c r="CT272" i="2"/>
  <c r="CV271" i="2"/>
  <c r="CU271" i="2"/>
  <c r="CT271" i="2"/>
  <c r="CV267" i="2"/>
  <c r="CU267" i="2"/>
  <c r="CT267" i="2"/>
  <c r="CV266" i="2"/>
  <c r="CU266" i="2"/>
  <c r="CT266" i="2"/>
  <c r="CV265" i="2"/>
  <c r="CU265" i="2"/>
  <c r="CT265" i="2"/>
  <c r="CV264" i="2"/>
  <c r="CU264" i="2"/>
  <c r="CT264" i="2"/>
  <c r="CV263" i="2"/>
  <c r="CU263" i="2"/>
  <c r="CT263" i="2"/>
  <c r="CV262" i="2"/>
  <c r="CU262" i="2"/>
  <c r="CT262" i="2"/>
  <c r="CV261" i="2"/>
  <c r="CU261" i="2"/>
  <c r="CT261" i="2"/>
  <c r="CV260" i="2"/>
  <c r="CU260" i="2"/>
  <c r="CT260" i="2"/>
  <c r="CV259" i="2"/>
  <c r="CU259" i="2"/>
  <c r="CT259" i="2"/>
  <c r="CV258" i="2"/>
  <c r="CU258" i="2"/>
  <c r="CT258" i="2"/>
  <c r="CV257" i="2"/>
  <c r="CU257" i="2"/>
  <c r="CT257" i="2"/>
  <c r="CV256" i="2"/>
  <c r="CU256" i="2"/>
  <c r="CT256" i="2"/>
  <c r="CV254" i="2"/>
  <c r="CU254" i="2"/>
  <c r="CT254" i="2"/>
  <c r="CV252" i="2"/>
  <c r="CU252" i="2"/>
  <c r="CT252" i="2"/>
  <c r="CV251" i="2"/>
  <c r="CU251" i="2"/>
  <c r="CT251" i="2"/>
  <c r="CV250" i="2"/>
  <c r="CU250" i="2"/>
  <c r="CT250" i="2"/>
  <c r="CV249" i="2"/>
  <c r="CU249" i="2"/>
  <c r="CT249" i="2"/>
  <c r="CV247" i="2"/>
  <c r="CU247" i="2"/>
  <c r="CT247" i="2"/>
  <c r="CV246" i="2"/>
  <c r="CU246" i="2"/>
  <c r="CT246" i="2"/>
  <c r="CV244" i="2"/>
  <c r="CU244" i="2"/>
  <c r="CT244" i="2"/>
  <c r="CV243" i="2"/>
  <c r="CU243" i="2"/>
  <c r="CT243" i="2"/>
  <c r="CV242" i="2"/>
  <c r="CZ344" i="2" s="1"/>
  <c r="CU242" i="2"/>
  <c r="CT242" i="2"/>
  <c r="CV241" i="2"/>
  <c r="CU241" i="2"/>
  <c r="CT241" i="2"/>
  <c r="CV240" i="2"/>
  <c r="CU240" i="2"/>
  <c r="CT240" i="2"/>
  <c r="CV234" i="2"/>
  <c r="CU234" i="2"/>
  <c r="CT234" i="2"/>
  <c r="CV233" i="2"/>
  <c r="CU233" i="2"/>
  <c r="CT233" i="2"/>
  <c r="CV232" i="2"/>
  <c r="CU232" i="2"/>
  <c r="CT232" i="2"/>
  <c r="CV231" i="2"/>
  <c r="CU231" i="2"/>
  <c r="CT231" i="2"/>
  <c r="CV230" i="2"/>
  <c r="CU230" i="2"/>
  <c r="CT230" i="2"/>
  <c r="CV229" i="2"/>
  <c r="CU229" i="2"/>
  <c r="CT229" i="2"/>
  <c r="CV228" i="2"/>
  <c r="CU228" i="2"/>
  <c r="CT228" i="2"/>
  <c r="CV227" i="2"/>
  <c r="CU227" i="2"/>
  <c r="CT227" i="2"/>
  <c r="CV226" i="2"/>
  <c r="CU226" i="2"/>
  <c r="CT226" i="2"/>
  <c r="CV225" i="2"/>
  <c r="CU225" i="2"/>
  <c r="CT225" i="2"/>
  <c r="CV224" i="2"/>
  <c r="CU224" i="2"/>
  <c r="CT224" i="2"/>
  <c r="CV221" i="2"/>
  <c r="CU221" i="2"/>
  <c r="CT221" i="2"/>
  <c r="CV220" i="2"/>
  <c r="CU220" i="2"/>
  <c r="CT220" i="2"/>
  <c r="CV219" i="2"/>
  <c r="CU219" i="2"/>
  <c r="CT219" i="2"/>
  <c r="CV218" i="2"/>
  <c r="CU218" i="2"/>
  <c r="CT218" i="2"/>
  <c r="CV216" i="2"/>
  <c r="CU216" i="2"/>
  <c r="CT216" i="2"/>
  <c r="CV215" i="2"/>
  <c r="CU215" i="2"/>
  <c r="CT215" i="2"/>
  <c r="CV213" i="2"/>
  <c r="CU213" i="2"/>
  <c r="CT213" i="2"/>
  <c r="CV212" i="2"/>
  <c r="CU212" i="2"/>
  <c r="CT212" i="2"/>
  <c r="CV210" i="2"/>
  <c r="CU210" i="2"/>
  <c r="CT210" i="2"/>
  <c r="CV209" i="2"/>
  <c r="CU209" i="2"/>
  <c r="CT209" i="2"/>
  <c r="CV204" i="2"/>
  <c r="CU204" i="2"/>
  <c r="CT204" i="2"/>
  <c r="CV203" i="2"/>
  <c r="CU203" i="2"/>
  <c r="CT203" i="2"/>
  <c r="CV202" i="2"/>
  <c r="CU202" i="2"/>
  <c r="CT202" i="2"/>
  <c r="CV200" i="2"/>
  <c r="CU200" i="2"/>
  <c r="CT200" i="2"/>
  <c r="CV199" i="2"/>
  <c r="CU199" i="2"/>
  <c r="CT199" i="2"/>
  <c r="CV198" i="2"/>
  <c r="CU198" i="2"/>
  <c r="CT198" i="2"/>
  <c r="CV197" i="2"/>
  <c r="CU197" i="2"/>
  <c r="CT197" i="2"/>
  <c r="CV196" i="2"/>
  <c r="CU196" i="2"/>
  <c r="CT196" i="2"/>
  <c r="CV194" i="2"/>
  <c r="CU194" i="2"/>
  <c r="CT194" i="2"/>
  <c r="CV193" i="2"/>
  <c r="CU193" i="2"/>
  <c r="CT193" i="2"/>
  <c r="CV192" i="2"/>
  <c r="CU192" i="2"/>
  <c r="CT192" i="2"/>
  <c r="CV191" i="2"/>
  <c r="CU191" i="2"/>
  <c r="CT191" i="2"/>
  <c r="CV190" i="2"/>
  <c r="CU190" i="2"/>
  <c r="CT190" i="2"/>
  <c r="CV189" i="2"/>
  <c r="CU189" i="2"/>
  <c r="CT189" i="2"/>
  <c r="CV188" i="2"/>
  <c r="CU188" i="2"/>
  <c r="CT188" i="2"/>
  <c r="CV186" i="2"/>
  <c r="CU186" i="2"/>
  <c r="CT186" i="2"/>
  <c r="CV185" i="2"/>
  <c r="CU185" i="2"/>
  <c r="CT185" i="2"/>
  <c r="CV184" i="2"/>
  <c r="CU184" i="2"/>
  <c r="CT184" i="2"/>
  <c r="CV183" i="2"/>
  <c r="CU183" i="2"/>
  <c r="CT183" i="2"/>
  <c r="CV182" i="2"/>
  <c r="CU182" i="2"/>
  <c r="CT182" i="2"/>
  <c r="CV180" i="2"/>
  <c r="CU180" i="2"/>
  <c r="CT180" i="2"/>
  <c r="CV175" i="2"/>
  <c r="CU175" i="2"/>
  <c r="CT175" i="2"/>
  <c r="CV174" i="2"/>
  <c r="CU174" i="2"/>
  <c r="CT174" i="2"/>
  <c r="CV172" i="2"/>
  <c r="CU172" i="2"/>
  <c r="CT172" i="2"/>
  <c r="CV169" i="2"/>
  <c r="CU169" i="2"/>
  <c r="CT169" i="2"/>
  <c r="CV168" i="2"/>
  <c r="CU168" i="2"/>
  <c r="CT168" i="2"/>
  <c r="CV167" i="2"/>
  <c r="CU167" i="2"/>
  <c r="CT167" i="2"/>
  <c r="CV166" i="2"/>
  <c r="CU166" i="2"/>
  <c r="CT166" i="2"/>
  <c r="CV165" i="2"/>
  <c r="CU165" i="2"/>
  <c r="CT165" i="2"/>
  <c r="CV164" i="2"/>
  <c r="CU164" i="2"/>
  <c r="CT164" i="2"/>
  <c r="CV163" i="2"/>
  <c r="CU163" i="2"/>
  <c r="CT163" i="2"/>
  <c r="CV162" i="2"/>
  <c r="CU162" i="2"/>
  <c r="CT162" i="2"/>
  <c r="CV161" i="2"/>
  <c r="CU161" i="2"/>
  <c r="CT161" i="2"/>
  <c r="CV160" i="2"/>
  <c r="CU160" i="2"/>
  <c r="CT160" i="2"/>
  <c r="CV159" i="2"/>
  <c r="CU159" i="2"/>
  <c r="CT159" i="2"/>
  <c r="CV158" i="2"/>
  <c r="CU158" i="2"/>
  <c r="CT158" i="2"/>
  <c r="CV157" i="2"/>
  <c r="CU157" i="2"/>
  <c r="CT157" i="2"/>
  <c r="CV156" i="2"/>
  <c r="CU156" i="2"/>
  <c r="CT156" i="2"/>
  <c r="CV155" i="2"/>
  <c r="CU155" i="2"/>
  <c r="CT155" i="2"/>
  <c r="CV154" i="2"/>
  <c r="CU154" i="2"/>
  <c r="CT154" i="2"/>
  <c r="CV153" i="2"/>
  <c r="CU153" i="2"/>
  <c r="CT153" i="2"/>
  <c r="CV152" i="2"/>
  <c r="CU152" i="2"/>
  <c r="CT152" i="2"/>
  <c r="CV151" i="2"/>
  <c r="CU151" i="2"/>
  <c r="CT151" i="2"/>
  <c r="CV150" i="2"/>
  <c r="CU150" i="2"/>
  <c r="CT150" i="2"/>
  <c r="CV147" i="2"/>
  <c r="CU147" i="2"/>
  <c r="CT147" i="2"/>
  <c r="CV146" i="2"/>
  <c r="CU146" i="2"/>
  <c r="CT146" i="2"/>
  <c r="CV145" i="2"/>
  <c r="CU145" i="2"/>
  <c r="CT145" i="2"/>
  <c r="CV144" i="2"/>
  <c r="CU144" i="2"/>
  <c r="CT144" i="2"/>
  <c r="CV143" i="2"/>
  <c r="CU143" i="2"/>
  <c r="CT143" i="2"/>
  <c r="CV142" i="2"/>
  <c r="CU142" i="2"/>
  <c r="CT142" i="2"/>
  <c r="CV140" i="2"/>
  <c r="CU140" i="2"/>
  <c r="CT140" i="2"/>
  <c r="CV139" i="2"/>
  <c r="CU139" i="2"/>
  <c r="CT139" i="2"/>
  <c r="CV138" i="2"/>
  <c r="CU138" i="2"/>
  <c r="CT138" i="2"/>
  <c r="CV137" i="2"/>
  <c r="CU137" i="2"/>
  <c r="CT137" i="2"/>
  <c r="CV136" i="2"/>
  <c r="CU136" i="2"/>
  <c r="CT136" i="2"/>
  <c r="CV135" i="2"/>
  <c r="CU135" i="2"/>
  <c r="CT135" i="2"/>
  <c r="CV131" i="2"/>
  <c r="CU131" i="2"/>
  <c r="CT131" i="2"/>
  <c r="CV130" i="2"/>
  <c r="CU130" i="2"/>
  <c r="CT130" i="2"/>
  <c r="CV128" i="2"/>
  <c r="CU128" i="2"/>
  <c r="CT128" i="2"/>
  <c r="CV127" i="2"/>
  <c r="CU127" i="2"/>
  <c r="CT127" i="2"/>
  <c r="CV126" i="2"/>
  <c r="CU126" i="2"/>
  <c r="CT126" i="2"/>
  <c r="CV125" i="2"/>
  <c r="CU125" i="2"/>
  <c r="CT125" i="2"/>
  <c r="CV124" i="2"/>
  <c r="CU124" i="2"/>
  <c r="CT124" i="2"/>
  <c r="CV123" i="2"/>
  <c r="CU123" i="2"/>
  <c r="CT123" i="2"/>
  <c r="CV122" i="2"/>
  <c r="CU122" i="2"/>
  <c r="CT122" i="2"/>
  <c r="CV121" i="2"/>
  <c r="CU121" i="2"/>
  <c r="CT121" i="2"/>
  <c r="CV120" i="2"/>
  <c r="CU120" i="2"/>
  <c r="CT120" i="2"/>
  <c r="CV119" i="2"/>
  <c r="CU119" i="2"/>
  <c r="CT119" i="2"/>
  <c r="CV117" i="2"/>
  <c r="CU117" i="2"/>
  <c r="CT117" i="2"/>
  <c r="CV116" i="2"/>
  <c r="CU116" i="2"/>
  <c r="CT116" i="2"/>
  <c r="CV115" i="2"/>
  <c r="CU115" i="2"/>
  <c r="CT115" i="2"/>
  <c r="CV114" i="2"/>
  <c r="CU114" i="2"/>
  <c r="CT114" i="2"/>
  <c r="CV113" i="2"/>
  <c r="CU113" i="2"/>
  <c r="CT113" i="2"/>
  <c r="CV111" i="2"/>
  <c r="CU111" i="2"/>
  <c r="CT111" i="2"/>
  <c r="CV110" i="2"/>
  <c r="CU110" i="2"/>
  <c r="CT110" i="2"/>
  <c r="CV109" i="2"/>
  <c r="CU109" i="2"/>
  <c r="CT109" i="2"/>
  <c r="CV108" i="2"/>
  <c r="CU108" i="2"/>
  <c r="CT108" i="2"/>
  <c r="CV107" i="2"/>
  <c r="CU107" i="2"/>
  <c r="CT107" i="2"/>
  <c r="CV106" i="2"/>
  <c r="CU106" i="2"/>
  <c r="CT106" i="2"/>
  <c r="CV105" i="2"/>
  <c r="CU105" i="2"/>
  <c r="CT105" i="2"/>
  <c r="CV104" i="2"/>
  <c r="CU104" i="2"/>
  <c r="CT104" i="2"/>
  <c r="CV102" i="2"/>
  <c r="CU102" i="2"/>
  <c r="CT102" i="2"/>
  <c r="CV101" i="2"/>
  <c r="CU101" i="2"/>
  <c r="CT101" i="2"/>
  <c r="CV100" i="2"/>
  <c r="CU100" i="2"/>
  <c r="CT100" i="2"/>
  <c r="CV99" i="2"/>
  <c r="CU99" i="2"/>
  <c r="CT99" i="2"/>
  <c r="CV98" i="2"/>
  <c r="CU98" i="2"/>
  <c r="CT98" i="2"/>
  <c r="CV97" i="2"/>
  <c r="CU97" i="2"/>
  <c r="CT97" i="2"/>
  <c r="CV96" i="2"/>
  <c r="CU96" i="2"/>
  <c r="CT96" i="2"/>
  <c r="CV95" i="2"/>
  <c r="CU95" i="2"/>
  <c r="CT95" i="2"/>
  <c r="CV94" i="2"/>
  <c r="CU94" i="2"/>
  <c r="CT94" i="2"/>
  <c r="CV93" i="2"/>
  <c r="CU93" i="2"/>
  <c r="CT93" i="2"/>
  <c r="CV92" i="2"/>
  <c r="CU92" i="2"/>
  <c r="CT92" i="2"/>
  <c r="CV91" i="2"/>
  <c r="CU91" i="2"/>
  <c r="CT91" i="2"/>
  <c r="CV90" i="2"/>
  <c r="CU90" i="2"/>
  <c r="CT90" i="2"/>
  <c r="CV89" i="2"/>
  <c r="CU89" i="2"/>
  <c r="CT89" i="2"/>
  <c r="CV88" i="2"/>
  <c r="CU88" i="2"/>
  <c r="CT88" i="2"/>
  <c r="CV87" i="2"/>
  <c r="CU87" i="2"/>
  <c r="CT87" i="2"/>
  <c r="CV86" i="2"/>
  <c r="CU86" i="2"/>
  <c r="CT86" i="2"/>
  <c r="CV85" i="2"/>
  <c r="CU85" i="2"/>
  <c r="CT85" i="2"/>
  <c r="CV84" i="2"/>
  <c r="CU84" i="2"/>
  <c r="CT84" i="2"/>
  <c r="CV83" i="2"/>
  <c r="CU83" i="2"/>
  <c r="CT83" i="2"/>
  <c r="CV82" i="2"/>
  <c r="CU82" i="2"/>
  <c r="CT82" i="2"/>
  <c r="CV81" i="2"/>
  <c r="CU81" i="2"/>
  <c r="CT81" i="2"/>
  <c r="CV80" i="2"/>
  <c r="CU80" i="2"/>
  <c r="CT80" i="2"/>
  <c r="CV79" i="2"/>
  <c r="CU79" i="2"/>
  <c r="CT79" i="2"/>
  <c r="CV78" i="2"/>
  <c r="CU78" i="2"/>
  <c r="CT78" i="2"/>
  <c r="CV77" i="2"/>
  <c r="CU77" i="2"/>
  <c r="CT77" i="2"/>
  <c r="CV75" i="2"/>
  <c r="CU75" i="2"/>
  <c r="CT75" i="2"/>
  <c r="CV74" i="2"/>
  <c r="CU74" i="2"/>
  <c r="CT74" i="2"/>
  <c r="CV73" i="2"/>
  <c r="CU73" i="2"/>
  <c r="CT73" i="2"/>
  <c r="CV72" i="2"/>
  <c r="CU72" i="2"/>
  <c r="CT72" i="2"/>
  <c r="CV71" i="2"/>
  <c r="CU71" i="2"/>
  <c r="CT71" i="2"/>
  <c r="CV70" i="2"/>
  <c r="CU70" i="2"/>
  <c r="CT70" i="2"/>
  <c r="CV69" i="2"/>
  <c r="CU69" i="2"/>
  <c r="CT69" i="2"/>
  <c r="CV68" i="2"/>
  <c r="CU68" i="2"/>
  <c r="CT68" i="2"/>
  <c r="CV67" i="2"/>
  <c r="CU67" i="2"/>
  <c r="CT67" i="2"/>
  <c r="CV66" i="2"/>
  <c r="CU66" i="2"/>
  <c r="CT66" i="2"/>
  <c r="CV65" i="2"/>
  <c r="CU65" i="2"/>
  <c r="CT65" i="2"/>
  <c r="CV64" i="2"/>
  <c r="CU64" i="2"/>
  <c r="CT64" i="2"/>
  <c r="CV63" i="2"/>
  <c r="CU63" i="2"/>
  <c r="CT63" i="2"/>
  <c r="CV62" i="2"/>
  <c r="CU62" i="2"/>
  <c r="CT62" i="2"/>
  <c r="CV61" i="2"/>
  <c r="CU61" i="2"/>
  <c r="CT61" i="2"/>
  <c r="CV60" i="2"/>
  <c r="CU60" i="2"/>
  <c r="CT60" i="2"/>
  <c r="CV59" i="2"/>
  <c r="CU59" i="2"/>
  <c r="CT59" i="2"/>
  <c r="CV58" i="2"/>
  <c r="CU58" i="2"/>
  <c r="CT58" i="2"/>
  <c r="CV57" i="2"/>
  <c r="CU57" i="2"/>
  <c r="CT57" i="2"/>
  <c r="CV56" i="2"/>
  <c r="CU56" i="2"/>
  <c r="CT56" i="2"/>
  <c r="CV55" i="2"/>
  <c r="CU55" i="2"/>
  <c r="CT55" i="2"/>
  <c r="CV54" i="2"/>
  <c r="CU54" i="2"/>
  <c r="CT54" i="2"/>
  <c r="CV53" i="2"/>
  <c r="CU53" i="2"/>
  <c r="CT53" i="2"/>
  <c r="CV52" i="2"/>
  <c r="CU52" i="2"/>
  <c r="CT52" i="2"/>
  <c r="CV51" i="2"/>
  <c r="CU51" i="2"/>
  <c r="CT51" i="2"/>
  <c r="CV50" i="2"/>
  <c r="CU50" i="2"/>
  <c r="CT50" i="2"/>
  <c r="CV49" i="2"/>
  <c r="CU49" i="2"/>
  <c r="CT49" i="2"/>
  <c r="CV48" i="2"/>
  <c r="CU48" i="2"/>
  <c r="CT48" i="2"/>
  <c r="CV46" i="2"/>
  <c r="CU46" i="2"/>
  <c r="CT46" i="2"/>
  <c r="CV45" i="2"/>
  <c r="CU45" i="2"/>
  <c r="CT45" i="2"/>
  <c r="CV44" i="2"/>
  <c r="CU44" i="2"/>
  <c r="CT44" i="2"/>
  <c r="CV43" i="2"/>
  <c r="CU43" i="2"/>
  <c r="CT43" i="2"/>
  <c r="CV42" i="2"/>
  <c r="CU42" i="2"/>
  <c r="CT42" i="2"/>
  <c r="CV41" i="2"/>
  <c r="CU41" i="2"/>
  <c r="CT41" i="2"/>
  <c r="CV40" i="2"/>
  <c r="CU40" i="2"/>
  <c r="CT40" i="2"/>
  <c r="CV39" i="2"/>
  <c r="CU39" i="2"/>
  <c r="CT39" i="2"/>
  <c r="CV38" i="2"/>
  <c r="CU38" i="2"/>
  <c r="CT38" i="2"/>
  <c r="CV37" i="2"/>
  <c r="CU37" i="2"/>
  <c r="CT37" i="2"/>
  <c r="CV36" i="2"/>
  <c r="CU36" i="2"/>
  <c r="CT36" i="2"/>
  <c r="CV35" i="2"/>
  <c r="CU35" i="2"/>
  <c r="CT35" i="2"/>
  <c r="CV34" i="2"/>
  <c r="CU34" i="2"/>
  <c r="CT34" i="2"/>
  <c r="CV33" i="2"/>
  <c r="CU33" i="2"/>
  <c r="CT33" i="2"/>
  <c r="CV32" i="2"/>
  <c r="CU32" i="2"/>
  <c r="CT32" i="2"/>
  <c r="CV31" i="2"/>
  <c r="CU31" i="2"/>
  <c r="CT31" i="2"/>
  <c r="CV30" i="2"/>
  <c r="CU30" i="2"/>
  <c r="CT30" i="2"/>
  <c r="CV28" i="2"/>
  <c r="CU28" i="2"/>
  <c r="CT28" i="2"/>
  <c r="CV27" i="2"/>
  <c r="CU27" i="2"/>
  <c r="CT27" i="2"/>
  <c r="CV26" i="2"/>
  <c r="CU26" i="2"/>
  <c r="CT26" i="2"/>
  <c r="CV25" i="2"/>
  <c r="CU25" i="2"/>
  <c r="CT25" i="2"/>
  <c r="CV24" i="2"/>
  <c r="CU24" i="2"/>
  <c r="CT24" i="2"/>
  <c r="CV23" i="2"/>
  <c r="CU23" i="2"/>
  <c r="CT23" i="2"/>
  <c r="CV22" i="2"/>
  <c r="CU22" i="2"/>
  <c r="CT22" i="2"/>
  <c r="CV20" i="2"/>
  <c r="CU20" i="2"/>
  <c r="CT20" i="2"/>
  <c r="CV19" i="2"/>
  <c r="CU19" i="2"/>
  <c r="CT19" i="2"/>
  <c r="CV18" i="2"/>
  <c r="CU18" i="2"/>
  <c r="CT18" i="2"/>
  <c r="CV17" i="2"/>
  <c r="CU17" i="2"/>
  <c r="CT17" i="2"/>
  <c r="CV16" i="2"/>
  <c r="CU16" i="2"/>
  <c r="CT16" i="2"/>
  <c r="CV15" i="2"/>
  <c r="CU15" i="2"/>
  <c r="CT15" i="2"/>
  <c r="CV14" i="2"/>
  <c r="CU14" i="2"/>
  <c r="CT14" i="2"/>
  <c r="CV13" i="2"/>
  <c r="CU13" i="2"/>
  <c r="CT13" i="2"/>
  <c r="CV12" i="2"/>
  <c r="CU12" i="2"/>
  <c r="CT12" i="2"/>
  <c r="CV11" i="2"/>
  <c r="CU11" i="2"/>
  <c r="CT11" i="2"/>
  <c r="CV10" i="2"/>
  <c r="CU10" i="2"/>
  <c r="CT10" i="2"/>
  <c r="CV9" i="2"/>
  <c r="CU9" i="2"/>
  <c r="CT9" i="2"/>
  <c r="CV8" i="2"/>
  <c r="CU8" i="2"/>
  <c r="CT8" i="2"/>
  <c r="CV7" i="2"/>
  <c r="CU7" i="2"/>
  <c r="CT7" i="2"/>
  <c r="CV6" i="2"/>
  <c r="CU6" i="2"/>
  <c r="CT6" i="2"/>
  <c r="CS280" i="2"/>
  <c r="CS275" i="2"/>
  <c r="CS273" i="2"/>
  <c r="CS272" i="2"/>
  <c r="CS271" i="2"/>
  <c r="CS267" i="2"/>
  <c r="CS266" i="2"/>
  <c r="CS265" i="2"/>
  <c r="CS264" i="2"/>
  <c r="CS263" i="2"/>
  <c r="CS262" i="2"/>
  <c r="CS261" i="2"/>
  <c r="CS260" i="2"/>
  <c r="CS259" i="2"/>
  <c r="CS258" i="2"/>
  <c r="CS257" i="2"/>
  <c r="CS256" i="2"/>
  <c r="CS254" i="2"/>
  <c r="CS252" i="2"/>
  <c r="CS251" i="2"/>
  <c r="CS250" i="2"/>
  <c r="CS249" i="2"/>
  <c r="CS247" i="2"/>
  <c r="CS246" i="2"/>
  <c r="CS244" i="2"/>
  <c r="CS243" i="2"/>
  <c r="CS240" i="2"/>
  <c r="CS234" i="2"/>
  <c r="CS233" i="2"/>
  <c r="CS232" i="2"/>
  <c r="CS231" i="2"/>
  <c r="CS230" i="2"/>
  <c r="CS229" i="2"/>
  <c r="CS228" i="2"/>
  <c r="CS227" i="2"/>
  <c r="CS226" i="2"/>
  <c r="CS225" i="2"/>
  <c r="CS224" i="2"/>
  <c r="CS221" i="2"/>
  <c r="CS220" i="2"/>
  <c r="CS219" i="2"/>
  <c r="CS218" i="2"/>
  <c r="CS216" i="2"/>
  <c r="CS215" i="2"/>
  <c r="CS213" i="2"/>
  <c r="CS212" i="2"/>
  <c r="CS210" i="2"/>
  <c r="CS209" i="2"/>
  <c r="CS204" i="2"/>
  <c r="CS203" i="2"/>
  <c r="CS202" i="2"/>
  <c r="CS200" i="2"/>
  <c r="CS199" i="2"/>
  <c r="CS198" i="2"/>
  <c r="CS197" i="2"/>
  <c r="CS196" i="2"/>
  <c r="CS194" i="2"/>
  <c r="CS193" i="2"/>
  <c r="CS192" i="2"/>
  <c r="CS191" i="2"/>
  <c r="CS190" i="2"/>
  <c r="CS189" i="2"/>
  <c r="CS188" i="2"/>
  <c r="CS186" i="2"/>
  <c r="CS185" i="2"/>
  <c r="CS184" i="2"/>
  <c r="CS183" i="2"/>
  <c r="CS182" i="2"/>
  <c r="CS180" i="2"/>
  <c r="CS175" i="2"/>
  <c r="CS174" i="2"/>
  <c r="CS172" i="2"/>
  <c r="CS169" i="2"/>
  <c r="CS168" i="2"/>
  <c r="CS167" i="2"/>
  <c r="CS166" i="2"/>
  <c r="CS165" i="2"/>
  <c r="CS164" i="2"/>
  <c r="CS163" i="2"/>
  <c r="CS162" i="2"/>
  <c r="CS161" i="2"/>
  <c r="CS160" i="2"/>
  <c r="CS159" i="2"/>
  <c r="CS158" i="2"/>
  <c r="CS157" i="2"/>
  <c r="CS156" i="2"/>
  <c r="CS155" i="2"/>
  <c r="CS154" i="2"/>
  <c r="CS153" i="2"/>
  <c r="CS152" i="2"/>
  <c r="CS151" i="2"/>
  <c r="CS150" i="2"/>
  <c r="CS147" i="2"/>
  <c r="CS146" i="2"/>
  <c r="CS145" i="2"/>
  <c r="CS144" i="2"/>
  <c r="CS143" i="2"/>
  <c r="CS142" i="2"/>
  <c r="CS140" i="2"/>
  <c r="CS139" i="2"/>
  <c r="CS138" i="2"/>
  <c r="CS137" i="2"/>
  <c r="CS136" i="2"/>
  <c r="CS135" i="2"/>
  <c r="CS131" i="2"/>
  <c r="CS130" i="2"/>
  <c r="CS128" i="2"/>
  <c r="CS127" i="2"/>
  <c r="CS126" i="2"/>
  <c r="CS125" i="2"/>
  <c r="CS124" i="2"/>
  <c r="CS123" i="2"/>
  <c r="CS122" i="2"/>
  <c r="CS121" i="2"/>
  <c r="CS120" i="2"/>
  <c r="CS119" i="2"/>
  <c r="CS117" i="2"/>
  <c r="CS116" i="2"/>
  <c r="CS115" i="2"/>
  <c r="CS114" i="2"/>
  <c r="CS113" i="2"/>
  <c r="CS111" i="2"/>
  <c r="CS110" i="2"/>
  <c r="CS109" i="2"/>
  <c r="CS108" i="2"/>
  <c r="CS107" i="2"/>
  <c r="CS106" i="2"/>
  <c r="CS105" i="2"/>
  <c r="CS104" i="2"/>
  <c r="CS102" i="2"/>
  <c r="CS101" i="2"/>
  <c r="CS100" i="2"/>
  <c r="CS99" i="2"/>
  <c r="CS98" i="2"/>
  <c r="CS97" i="2"/>
  <c r="CS96" i="2"/>
  <c r="CS95" i="2"/>
  <c r="CS94" i="2"/>
  <c r="CS93" i="2"/>
  <c r="CS92" i="2"/>
  <c r="CS91" i="2"/>
  <c r="CS90" i="2"/>
  <c r="CS89" i="2"/>
  <c r="CS88" i="2"/>
  <c r="CS87" i="2"/>
  <c r="CS86" i="2"/>
  <c r="CS85" i="2"/>
  <c r="CS84" i="2"/>
  <c r="CS83" i="2"/>
  <c r="CS82" i="2"/>
  <c r="CS81" i="2"/>
  <c r="CS80" i="2"/>
  <c r="CS79" i="2"/>
  <c r="CS78" i="2"/>
  <c r="CS77" i="2"/>
  <c r="CS75" i="2"/>
  <c r="CS74" i="2"/>
  <c r="CS73" i="2"/>
  <c r="CS72" i="2"/>
  <c r="CS71" i="2"/>
  <c r="CS70" i="2"/>
  <c r="CS69" i="2"/>
  <c r="CS68" i="2"/>
  <c r="CS67" i="2"/>
  <c r="CS66" i="2"/>
  <c r="CS65" i="2"/>
  <c r="CS64" i="2"/>
  <c r="CS63" i="2"/>
  <c r="CS62" i="2"/>
  <c r="CS61" i="2"/>
  <c r="CS60" i="2"/>
  <c r="CS59" i="2"/>
  <c r="CS58" i="2"/>
  <c r="CS57" i="2"/>
  <c r="CS56" i="2"/>
  <c r="CS55" i="2"/>
  <c r="CS54" i="2"/>
  <c r="CS53" i="2"/>
  <c r="CS52" i="2"/>
  <c r="CS51" i="2"/>
  <c r="CS50" i="2"/>
  <c r="CS49" i="2"/>
  <c r="CS48" i="2"/>
  <c r="CS46" i="2"/>
  <c r="CS45" i="2"/>
  <c r="CS44" i="2"/>
  <c r="CS43" i="2"/>
  <c r="CS42" i="2"/>
  <c r="CS41" i="2"/>
  <c r="CS40" i="2"/>
  <c r="CS39" i="2"/>
  <c r="CS38" i="2"/>
  <c r="CS37" i="2"/>
  <c r="CS36" i="2"/>
  <c r="CS35" i="2"/>
  <c r="CS34" i="2"/>
  <c r="CS33" i="2"/>
  <c r="CS32" i="2"/>
  <c r="CS31" i="2"/>
  <c r="CS30" i="2"/>
  <c r="CS28" i="2"/>
  <c r="CS27" i="2"/>
  <c r="CS26" i="2"/>
  <c r="CS25" i="2"/>
  <c r="CS24" i="2"/>
  <c r="CS23" i="2"/>
  <c r="CS22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CS7" i="2"/>
  <c r="CS6" i="2"/>
  <c r="CM280" i="2"/>
  <c r="CM275" i="2"/>
  <c r="CM273" i="2"/>
  <c r="CM272" i="2"/>
  <c r="CM271" i="2"/>
  <c r="CM267" i="2"/>
  <c r="CM266" i="2"/>
  <c r="CM265" i="2"/>
  <c r="CM264" i="2"/>
  <c r="CM263" i="2"/>
  <c r="CM262" i="2"/>
  <c r="CM261" i="2"/>
  <c r="CM260" i="2"/>
  <c r="CM259" i="2"/>
  <c r="CM258" i="2"/>
  <c r="CM257" i="2"/>
  <c r="CM256" i="2"/>
  <c r="CM254" i="2"/>
  <c r="CM252" i="2"/>
  <c r="CM251" i="2"/>
  <c r="CM250" i="2"/>
  <c r="CM249" i="2"/>
  <c r="CM247" i="2"/>
  <c r="CM246" i="2"/>
  <c r="CM244" i="2"/>
  <c r="CM243" i="2"/>
  <c r="CM242" i="2"/>
  <c r="CM241" i="2"/>
  <c r="CM240" i="2"/>
  <c r="CM234" i="2"/>
  <c r="CM233" i="2"/>
  <c r="CM232" i="2"/>
  <c r="CM231" i="2"/>
  <c r="CM230" i="2"/>
  <c r="CM229" i="2"/>
  <c r="CM228" i="2"/>
  <c r="CM227" i="2"/>
  <c r="CM226" i="2"/>
  <c r="CM225" i="2"/>
  <c r="CM224" i="2"/>
  <c r="CM221" i="2"/>
  <c r="CM220" i="2"/>
  <c r="CM219" i="2"/>
  <c r="CM218" i="2"/>
  <c r="CM216" i="2"/>
  <c r="CM215" i="2"/>
  <c r="CM213" i="2"/>
  <c r="CM212" i="2"/>
  <c r="CM210" i="2"/>
  <c r="CM209" i="2"/>
  <c r="CM204" i="2"/>
  <c r="CM203" i="2"/>
  <c r="CM202" i="2"/>
  <c r="CM200" i="2"/>
  <c r="CM199" i="2"/>
  <c r="CM198" i="2"/>
  <c r="CM197" i="2"/>
  <c r="CM196" i="2"/>
  <c r="CM194" i="2"/>
  <c r="CM193" i="2"/>
  <c r="CM192" i="2"/>
  <c r="CM191" i="2"/>
  <c r="CM190" i="2"/>
  <c r="CM189" i="2"/>
  <c r="CM188" i="2"/>
  <c r="CM186" i="2"/>
  <c r="CM185" i="2"/>
  <c r="CM184" i="2"/>
  <c r="CM183" i="2"/>
  <c r="CM182" i="2"/>
  <c r="CM180" i="2"/>
  <c r="CM175" i="2"/>
  <c r="CM174" i="2"/>
  <c r="CM172" i="2"/>
  <c r="CM169" i="2"/>
  <c r="CM168" i="2"/>
  <c r="CM167" i="2"/>
  <c r="CM166" i="2"/>
  <c r="CM165" i="2"/>
  <c r="CM164" i="2"/>
  <c r="CM163" i="2"/>
  <c r="CM162" i="2"/>
  <c r="CM161" i="2"/>
  <c r="CM160" i="2"/>
  <c r="CM159" i="2"/>
  <c r="CM158" i="2"/>
  <c r="CM157" i="2"/>
  <c r="CM156" i="2"/>
  <c r="CM155" i="2"/>
  <c r="CM154" i="2"/>
  <c r="CM153" i="2"/>
  <c r="CM152" i="2"/>
  <c r="CM151" i="2"/>
  <c r="CM150" i="2"/>
  <c r="CM147" i="2"/>
  <c r="CM146" i="2"/>
  <c r="CM145" i="2"/>
  <c r="CM144" i="2"/>
  <c r="CM143" i="2"/>
  <c r="CM142" i="2"/>
  <c r="CM140" i="2"/>
  <c r="CM139" i="2"/>
  <c r="CM138" i="2"/>
  <c r="CM137" i="2"/>
  <c r="CM136" i="2"/>
  <c r="CM135" i="2"/>
  <c r="CM131" i="2"/>
  <c r="CM130" i="2"/>
  <c r="CM128" i="2"/>
  <c r="CM127" i="2"/>
  <c r="CM126" i="2"/>
  <c r="CM125" i="2"/>
  <c r="CM124" i="2"/>
  <c r="CM123" i="2"/>
  <c r="CM122" i="2"/>
  <c r="CM121" i="2"/>
  <c r="CM120" i="2"/>
  <c r="CM119" i="2"/>
  <c r="CM117" i="2"/>
  <c r="CM116" i="2"/>
  <c r="CM115" i="2"/>
  <c r="CM114" i="2"/>
  <c r="CM113" i="2"/>
  <c r="CM111" i="2"/>
  <c r="CM110" i="2"/>
  <c r="CM109" i="2"/>
  <c r="CM108" i="2"/>
  <c r="CM107" i="2"/>
  <c r="CM106" i="2"/>
  <c r="CM105" i="2"/>
  <c r="CM104" i="2"/>
  <c r="CM102" i="2"/>
  <c r="CM101" i="2"/>
  <c r="CM100" i="2"/>
  <c r="CM99" i="2"/>
  <c r="CM98" i="2"/>
  <c r="CM97" i="2"/>
  <c r="CM96" i="2"/>
  <c r="CM95" i="2"/>
  <c r="CM94" i="2"/>
  <c r="CM93" i="2"/>
  <c r="CM92" i="2"/>
  <c r="CM91" i="2"/>
  <c r="CM90" i="2"/>
  <c r="CM89" i="2"/>
  <c r="CM88" i="2"/>
  <c r="CM87" i="2"/>
  <c r="CM86" i="2"/>
  <c r="CM85" i="2"/>
  <c r="CM84" i="2"/>
  <c r="CM83" i="2"/>
  <c r="CM82" i="2"/>
  <c r="CM81" i="2"/>
  <c r="CM80" i="2"/>
  <c r="CM79" i="2"/>
  <c r="CM78" i="2"/>
  <c r="CM77" i="2"/>
  <c r="CM75" i="2"/>
  <c r="CM74" i="2"/>
  <c r="CM73" i="2"/>
  <c r="CM72" i="2"/>
  <c r="CM71" i="2"/>
  <c r="CM70" i="2"/>
  <c r="CM69" i="2"/>
  <c r="CM68" i="2"/>
  <c r="CM67" i="2"/>
  <c r="CM66" i="2"/>
  <c r="CM65" i="2"/>
  <c r="CM64" i="2"/>
  <c r="CM63" i="2"/>
  <c r="CM62" i="2"/>
  <c r="CM61" i="2"/>
  <c r="CM60" i="2"/>
  <c r="CM59" i="2"/>
  <c r="CM58" i="2"/>
  <c r="CM57" i="2"/>
  <c r="CM56" i="2"/>
  <c r="CM55" i="2"/>
  <c r="CM54" i="2"/>
  <c r="CM53" i="2"/>
  <c r="CM52" i="2"/>
  <c r="CM51" i="2"/>
  <c r="CM50" i="2"/>
  <c r="CM49" i="2"/>
  <c r="CM48" i="2"/>
  <c r="CM46" i="2"/>
  <c r="CM45" i="2"/>
  <c r="CM44" i="2"/>
  <c r="CM43" i="2"/>
  <c r="CM42" i="2"/>
  <c r="CM41" i="2"/>
  <c r="CM40" i="2"/>
  <c r="CM39" i="2"/>
  <c r="CM38" i="2"/>
  <c r="CM37" i="2"/>
  <c r="CM36" i="2"/>
  <c r="CM35" i="2"/>
  <c r="CM34" i="2"/>
  <c r="CM33" i="2"/>
  <c r="CM32" i="2"/>
  <c r="CM31" i="2"/>
  <c r="CM30" i="2"/>
  <c r="CM28" i="2"/>
  <c r="CM27" i="2"/>
  <c r="CM26" i="2"/>
  <c r="CM25" i="2"/>
  <c r="CM24" i="2"/>
  <c r="CM23" i="2"/>
  <c r="CM22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M6" i="2"/>
  <c r="CH280" i="2"/>
  <c r="CH275" i="2"/>
  <c r="CH273" i="2"/>
  <c r="CH272" i="2"/>
  <c r="CH271" i="2"/>
  <c r="CH267" i="2"/>
  <c r="CH266" i="2"/>
  <c r="CH265" i="2"/>
  <c r="CH264" i="2"/>
  <c r="CH263" i="2"/>
  <c r="CH262" i="2"/>
  <c r="CH261" i="2"/>
  <c r="CH260" i="2"/>
  <c r="CH259" i="2"/>
  <c r="CH258" i="2"/>
  <c r="CH257" i="2"/>
  <c r="CH256" i="2"/>
  <c r="CH254" i="2"/>
  <c r="CH252" i="2"/>
  <c r="CH251" i="2"/>
  <c r="CH250" i="2"/>
  <c r="CH249" i="2"/>
  <c r="CH247" i="2"/>
  <c r="CH246" i="2"/>
  <c r="CH244" i="2"/>
  <c r="CH243" i="2"/>
  <c r="CH242" i="2"/>
  <c r="CH241" i="2"/>
  <c r="CH240" i="2"/>
  <c r="CH234" i="2"/>
  <c r="CH233" i="2"/>
  <c r="CH232" i="2"/>
  <c r="CH231" i="2"/>
  <c r="CH230" i="2"/>
  <c r="CH229" i="2"/>
  <c r="CH228" i="2"/>
  <c r="CH227" i="2"/>
  <c r="CH226" i="2"/>
  <c r="CH225" i="2"/>
  <c r="CH224" i="2"/>
  <c r="CH221" i="2"/>
  <c r="CH220" i="2"/>
  <c r="CH219" i="2"/>
  <c r="CH218" i="2"/>
  <c r="CH216" i="2"/>
  <c r="CH215" i="2"/>
  <c r="CH213" i="2"/>
  <c r="CH212" i="2"/>
  <c r="CH210" i="2"/>
  <c r="CH209" i="2"/>
  <c r="CH204" i="2"/>
  <c r="CH203" i="2"/>
  <c r="CH202" i="2"/>
  <c r="CH200" i="2"/>
  <c r="CH199" i="2"/>
  <c r="CH198" i="2"/>
  <c r="CH197" i="2"/>
  <c r="CH196" i="2"/>
  <c r="CH194" i="2"/>
  <c r="CH193" i="2"/>
  <c r="CH192" i="2"/>
  <c r="CH191" i="2"/>
  <c r="CH190" i="2"/>
  <c r="CH189" i="2"/>
  <c r="CH188" i="2"/>
  <c r="CH186" i="2"/>
  <c r="CH185" i="2"/>
  <c r="CH184" i="2"/>
  <c r="CH183" i="2"/>
  <c r="CH182" i="2"/>
  <c r="CH180" i="2"/>
  <c r="CH175" i="2"/>
  <c r="CH174" i="2"/>
  <c r="CH172" i="2"/>
  <c r="CH169" i="2"/>
  <c r="CH168" i="2"/>
  <c r="CH167" i="2"/>
  <c r="CH166" i="2"/>
  <c r="CH165" i="2"/>
  <c r="CH164" i="2"/>
  <c r="CH163" i="2"/>
  <c r="CH162" i="2"/>
  <c r="CH161" i="2"/>
  <c r="CH160" i="2"/>
  <c r="CH159" i="2"/>
  <c r="CH158" i="2"/>
  <c r="CH157" i="2"/>
  <c r="CH156" i="2"/>
  <c r="CH155" i="2"/>
  <c r="CH154" i="2"/>
  <c r="CH153" i="2"/>
  <c r="CH152" i="2"/>
  <c r="CH151" i="2"/>
  <c r="CH150" i="2"/>
  <c r="CH147" i="2"/>
  <c r="CH146" i="2"/>
  <c r="CH145" i="2"/>
  <c r="CH144" i="2"/>
  <c r="CH143" i="2"/>
  <c r="CH142" i="2"/>
  <c r="CH140" i="2"/>
  <c r="CH139" i="2"/>
  <c r="CH138" i="2"/>
  <c r="CH137" i="2"/>
  <c r="CH136" i="2"/>
  <c r="CH135" i="2"/>
  <c r="CH131" i="2"/>
  <c r="CH130" i="2"/>
  <c r="CH128" i="2"/>
  <c r="CH127" i="2"/>
  <c r="CH126" i="2"/>
  <c r="CH125" i="2"/>
  <c r="CH124" i="2"/>
  <c r="CH123" i="2"/>
  <c r="CH122" i="2"/>
  <c r="CH121" i="2"/>
  <c r="CH120" i="2"/>
  <c r="CH119" i="2"/>
  <c r="CH117" i="2"/>
  <c r="CH116" i="2"/>
  <c r="CH115" i="2"/>
  <c r="CH114" i="2"/>
  <c r="CH113" i="2"/>
  <c r="CH111" i="2"/>
  <c r="CH110" i="2"/>
  <c r="CH109" i="2"/>
  <c r="CH108" i="2"/>
  <c r="CH107" i="2"/>
  <c r="CH106" i="2"/>
  <c r="CH105" i="2"/>
  <c r="CH104" i="2"/>
  <c r="CH102" i="2"/>
  <c r="CH101" i="2"/>
  <c r="CH100" i="2"/>
  <c r="CH99" i="2"/>
  <c r="CH98" i="2"/>
  <c r="CH97" i="2"/>
  <c r="CH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H83" i="2"/>
  <c r="CH82" i="2"/>
  <c r="CH81" i="2"/>
  <c r="CH80" i="2"/>
  <c r="CH79" i="2"/>
  <c r="CH78" i="2"/>
  <c r="CH77" i="2"/>
  <c r="CH75" i="2"/>
  <c r="CH74" i="2"/>
  <c r="CH73" i="2"/>
  <c r="CH72" i="2"/>
  <c r="CH71" i="2"/>
  <c r="CH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H57" i="2"/>
  <c r="CH56" i="2"/>
  <c r="CH55" i="2"/>
  <c r="CH54" i="2"/>
  <c r="CH53" i="2"/>
  <c r="CH52" i="2"/>
  <c r="CH51" i="2"/>
  <c r="CH50" i="2"/>
  <c r="CH49" i="2"/>
  <c r="CH48" i="2"/>
  <c r="CH46" i="2"/>
  <c r="CH45" i="2"/>
  <c r="CH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H31" i="2"/>
  <c r="CH30" i="2"/>
  <c r="CH28" i="2"/>
  <c r="CH27" i="2"/>
  <c r="CH26" i="2"/>
  <c r="CH25" i="2"/>
  <c r="CH24" i="2"/>
  <c r="CH23" i="2"/>
  <c r="CH22" i="2"/>
  <c r="CH20" i="2"/>
  <c r="CH19" i="2"/>
  <c r="CH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CG280" i="2"/>
  <c r="CG275" i="2"/>
  <c r="CG273" i="2"/>
  <c r="CG272" i="2"/>
  <c r="CG271" i="2"/>
  <c r="CG267" i="2"/>
  <c r="CG266" i="2"/>
  <c r="CG265" i="2"/>
  <c r="CG264" i="2"/>
  <c r="CG263" i="2"/>
  <c r="CG262" i="2"/>
  <c r="CG261" i="2"/>
  <c r="CG260" i="2"/>
  <c r="CG259" i="2"/>
  <c r="CG258" i="2"/>
  <c r="CG257" i="2"/>
  <c r="CG256" i="2"/>
  <c r="CG254" i="2"/>
  <c r="CG252" i="2"/>
  <c r="CG251" i="2"/>
  <c r="CG250" i="2"/>
  <c r="CG249" i="2"/>
  <c r="CG247" i="2"/>
  <c r="CG246" i="2"/>
  <c r="CG244" i="2"/>
  <c r="CG243" i="2"/>
  <c r="CG242" i="2"/>
  <c r="CG241" i="2"/>
  <c r="CG240" i="2"/>
  <c r="CG234" i="2"/>
  <c r="CG233" i="2"/>
  <c r="CG232" i="2"/>
  <c r="CG231" i="2"/>
  <c r="CG230" i="2"/>
  <c r="CG229" i="2"/>
  <c r="CG228" i="2"/>
  <c r="CG227" i="2"/>
  <c r="CG226" i="2"/>
  <c r="CG225" i="2"/>
  <c r="CG224" i="2"/>
  <c r="CG221" i="2"/>
  <c r="CG220" i="2"/>
  <c r="CG219" i="2"/>
  <c r="CG218" i="2"/>
  <c r="CG216" i="2"/>
  <c r="CG215" i="2"/>
  <c r="CG213" i="2"/>
  <c r="CG212" i="2"/>
  <c r="CG210" i="2"/>
  <c r="CG209" i="2"/>
  <c r="CG204" i="2"/>
  <c r="CG203" i="2"/>
  <c r="CG202" i="2"/>
  <c r="CG200" i="2"/>
  <c r="CG199" i="2"/>
  <c r="CG198" i="2"/>
  <c r="CG197" i="2"/>
  <c r="CG196" i="2"/>
  <c r="CG194" i="2"/>
  <c r="CG193" i="2"/>
  <c r="CG192" i="2"/>
  <c r="CG191" i="2"/>
  <c r="CG190" i="2"/>
  <c r="CG189" i="2"/>
  <c r="CG188" i="2"/>
  <c r="CG186" i="2"/>
  <c r="CG185" i="2"/>
  <c r="CG184" i="2"/>
  <c r="CG183" i="2"/>
  <c r="CG182" i="2"/>
  <c r="CG180" i="2"/>
  <c r="CG175" i="2"/>
  <c r="CG174" i="2"/>
  <c r="CG172" i="2"/>
  <c r="CG169" i="2"/>
  <c r="CG168" i="2"/>
  <c r="CG167" i="2"/>
  <c r="CG166" i="2"/>
  <c r="CG165" i="2"/>
  <c r="CG164" i="2"/>
  <c r="CG163" i="2"/>
  <c r="CG162" i="2"/>
  <c r="CG161" i="2"/>
  <c r="CG160" i="2"/>
  <c r="CG159" i="2"/>
  <c r="CG158" i="2"/>
  <c r="CG157" i="2"/>
  <c r="CG156" i="2"/>
  <c r="CG155" i="2"/>
  <c r="CG154" i="2"/>
  <c r="CG153" i="2"/>
  <c r="CG152" i="2"/>
  <c r="CG151" i="2"/>
  <c r="CG150" i="2"/>
  <c r="CG147" i="2"/>
  <c r="CG146" i="2"/>
  <c r="CG145" i="2"/>
  <c r="CG144" i="2"/>
  <c r="CG143" i="2"/>
  <c r="CG142" i="2"/>
  <c r="CG140" i="2"/>
  <c r="CG139" i="2"/>
  <c r="CG138" i="2"/>
  <c r="CG137" i="2"/>
  <c r="CG136" i="2"/>
  <c r="CG135" i="2"/>
  <c r="CG131" i="2"/>
  <c r="CG130" i="2"/>
  <c r="CG128" i="2"/>
  <c r="CG127" i="2"/>
  <c r="CG126" i="2"/>
  <c r="CG125" i="2"/>
  <c r="CG124" i="2"/>
  <c r="CG123" i="2"/>
  <c r="CG122" i="2"/>
  <c r="CG121" i="2"/>
  <c r="CG120" i="2"/>
  <c r="CG119" i="2"/>
  <c r="CG117" i="2"/>
  <c r="CG116" i="2"/>
  <c r="CG115" i="2"/>
  <c r="CG114" i="2"/>
  <c r="CG113" i="2"/>
  <c r="CG111" i="2"/>
  <c r="CG110" i="2"/>
  <c r="CG109" i="2"/>
  <c r="CG108" i="2"/>
  <c r="CG107" i="2"/>
  <c r="CG106" i="2"/>
  <c r="CG105" i="2"/>
  <c r="CG104" i="2"/>
  <c r="CG102" i="2"/>
  <c r="CG101" i="2"/>
  <c r="CG100" i="2"/>
  <c r="CG99" i="2"/>
  <c r="CG98" i="2"/>
  <c r="CG97" i="2"/>
  <c r="CG96" i="2"/>
  <c r="CG95" i="2"/>
  <c r="CG94" i="2"/>
  <c r="CG93" i="2"/>
  <c r="CG92" i="2"/>
  <c r="CG91" i="2"/>
  <c r="CG90" i="2"/>
  <c r="CG89" i="2"/>
  <c r="CG88" i="2"/>
  <c r="CG87" i="2"/>
  <c r="CG86" i="2"/>
  <c r="CG85" i="2"/>
  <c r="CG84" i="2"/>
  <c r="CG83" i="2"/>
  <c r="CG82" i="2"/>
  <c r="CG81" i="2"/>
  <c r="CG80" i="2"/>
  <c r="CG79" i="2"/>
  <c r="CG78" i="2"/>
  <c r="CG77" i="2"/>
  <c r="CG75" i="2"/>
  <c r="CG74" i="2"/>
  <c r="CG73" i="2"/>
  <c r="CG72" i="2"/>
  <c r="CG71" i="2"/>
  <c r="CG70" i="2"/>
  <c r="CG69" i="2"/>
  <c r="CG68" i="2"/>
  <c r="CG67" i="2"/>
  <c r="CG66" i="2"/>
  <c r="CG65" i="2"/>
  <c r="CG64" i="2"/>
  <c r="CG63" i="2"/>
  <c r="CG62" i="2"/>
  <c r="CG61" i="2"/>
  <c r="CG60" i="2"/>
  <c r="CG59" i="2"/>
  <c r="CG58" i="2"/>
  <c r="CG57" i="2"/>
  <c r="CG56" i="2"/>
  <c r="CG55" i="2"/>
  <c r="CG54" i="2"/>
  <c r="CG53" i="2"/>
  <c r="CG52" i="2"/>
  <c r="CG51" i="2"/>
  <c r="CG50" i="2"/>
  <c r="CG49" i="2"/>
  <c r="CG48" i="2"/>
  <c r="CG46" i="2"/>
  <c r="CG45" i="2"/>
  <c r="CG44" i="2"/>
  <c r="CG43" i="2"/>
  <c r="CG42" i="2"/>
  <c r="CG41" i="2"/>
  <c r="CG40" i="2"/>
  <c r="CG39" i="2"/>
  <c r="CG38" i="2"/>
  <c r="CG37" i="2"/>
  <c r="CG36" i="2"/>
  <c r="CG35" i="2"/>
  <c r="CG34" i="2"/>
  <c r="CG33" i="2"/>
  <c r="CG32" i="2"/>
  <c r="CG31" i="2"/>
  <c r="CG30" i="2"/>
  <c r="CG28" i="2"/>
  <c r="CG27" i="2"/>
  <c r="CG26" i="2"/>
  <c r="CG25" i="2"/>
  <c r="CG24" i="2"/>
  <c r="CG23" i="2"/>
  <c r="CG22" i="2"/>
  <c r="CG20" i="2"/>
  <c r="CG19" i="2"/>
  <c r="CG18" i="2"/>
  <c r="CG17" i="2"/>
  <c r="CG16" i="2"/>
  <c r="CG15" i="2"/>
  <c r="CG14" i="2"/>
  <c r="CG13" i="2"/>
  <c r="CG12" i="2"/>
  <c r="CG11" i="2"/>
  <c r="CG10" i="2"/>
  <c r="CG9" i="2"/>
  <c r="CG8" i="2"/>
  <c r="CG7" i="2"/>
  <c r="CG6" i="2"/>
  <c r="CE280" i="2"/>
  <c r="CE275" i="2"/>
  <c r="CE273" i="2"/>
  <c r="CE272" i="2"/>
  <c r="CE271" i="2"/>
  <c r="CE267" i="2"/>
  <c r="CE266" i="2"/>
  <c r="CE265" i="2"/>
  <c r="CE264" i="2"/>
  <c r="CE263" i="2"/>
  <c r="CE262" i="2"/>
  <c r="CE261" i="2"/>
  <c r="CE260" i="2"/>
  <c r="CE259" i="2"/>
  <c r="CE258" i="2"/>
  <c r="CE257" i="2"/>
  <c r="CE256" i="2"/>
  <c r="CE254" i="2"/>
  <c r="CE252" i="2"/>
  <c r="CE251" i="2"/>
  <c r="CE250" i="2"/>
  <c r="CE249" i="2"/>
  <c r="CE247" i="2"/>
  <c r="CE246" i="2"/>
  <c r="CE244" i="2"/>
  <c r="CE243" i="2"/>
  <c r="CE242" i="2"/>
  <c r="CE241" i="2"/>
  <c r="CE240" i="2"/>
  <c r="CE234" i="2"/>
  <c r="CE233" i="2"/>
  <c r="CE232" i="2"/>
  <c r="CE231" i="2"/>
  <c r="CE230" i="2"/>
  <c r="CE229" i="2"/>
  <c r="CE228" i="2"/>
  <c r="CE227" i="2"/>
  <c r="CE226" i="2"/>
  <c r="CE225" i="2"/>
  <c r="CE224" i="2"/>
  <c r="CE221" i="2"/>
  <c r="CE220" i="2"/>
  <c r="CE219" i="2"/>
  <c r="CE218" i="2"/>
  <c r="CE216" i="2"/>
  <c r="CE215" i="2"/>
  <c r="CE213" i="2"/>
  <c r="CE212" i="2"/>
  <c r="CE210" i="2"/>
  <c r="CE209" i="2"/>
  <c r="CE204" i="2"/>
  <c r="CE203" i="2"/>
  <c r="CE202" i="2"/>
  <c r="CE200" i="2"/>
  <c r="CE199" i="2"/>
  <c r="CE198" i="2"/>
  <c r="CE197" i="2"/>
  <c r="CE196" i="2"/>
  <c r="CE194" i="2"/>
  <c r="CE193" i="2"/>
  <c r="CE192" i="2"/>
  <c r="CE191" i="2"/>
  <c r="CE190" i="2"/>
  <c r="CE189" i="2"/>
  <c r="CE188" i="2"/>
  <c r="CE186" i="2"/>
  <c r="CE185" i="2"/>
  <c r="CE184" i="2"/>
  <c r="CE183" i="2"/>
  <c r="CE182" i="2"/>
  <c r="CE180" i="2"/>
  <c r="CE175" i="2"/>
  <c r="CE174" i="2"/>
  <c r="CE172" i="2"/>
  <c r="CE169" i="2"/>
  <c r="CE168" i="2"/>
  <c r="CE167" i="2"/>
  <c r="CE166" i="2"/>
  <c r="CE165" i="2"/>
  <c r="CE164" i="2"/>
  <c r="CE163" i="2"/>
  <c r="CE162" i="2"/>
  <c r="CE161" i="2"/>
  <c r="CE160" i="2"/>
  <c r="CE159" i="2"/>
  <c r="CE158" i="2"/>
  <c r="CE157" i="2"/>
  <c r="CE156" i="2"/>
  <c r="CE155" i="2"/>
  <c r="CE154" i="2"/>
  <c r="CE153" i="2"/>
  <c r="CE152" i="2"/>
  <c r="CE151" i="2"/>
  <c r="CE150" i="2"/>
  <c r="CE147" i="2"/>
  <c r="CE146" i="2"/>
  <c r="CE145" i="2"/>
  <c r="CE144" i="2"/>
  <c r="CE143" i="2"/>
  <c r="CE142" i="2"/>
  <c r="CE140" i="2"/>
  <c r="CE139" i="2"/>
  <c r="CE138" i="2"/>
  <c r="CE137" i="2"/>
  <c r="CE136" i="2"/>
  <c r="CE135" i="2"/>
  <c r="CE131" i="2"/>
  <c r="CE130" i="2"/>
  <c r="CE128" i="2"/>
  <c r="CE127" i="2"/>
  <c r="CE126" i="2"/>
  <c r="CE125" i="2"/>
  <c r="CE124" i="2"/>
  <c r="CE123" i="2"/>
  <c r="CE122" i="2"/>
  <c r="CE121" i="2"/>
  <c r="CE120" i="2"/>
  <c r="CE119" i="2"/>
  <c r="CE117" i="2"/>
  <c r="CE116" i="2"/>
  <c r="CE115" i="2"/>
  <c r="CE114" i="2"/>
  <c r="CE113" i="2"/>
  <c r="CE111" i="2"/>
  <c r="CE110" i="2"/>
  <c r="CE109" i="2"/>
  <c r="CE108" i="2"/>
  <c r="CE107" i="2"/>
  <c r="CE106" i="2"/>
  <c r="CE105" i="2"/>
  <c r="CE104" i="2"/>
  <c r="CE102" i="2"/>
  <c r="CE101" i="2"/>
  <c r="CE100" i="2"/>
  <c r="CE99" i="2"/>
  <c r="CE98" i="2"/>
  <c r="CE97" i="2"/>
  <c r="CE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E83" i="2"/>
  <c r="CE82" i="2"/>
  <c r="CE81" i="2"/>
  <c r="CE80" i="2"/>
  <c r="CE79" i="2"/>
  <c r="CE78" i="2"/>
  <c r="CE77" i="2"/>
  <c r="CE75" i="2"/>
  <c r="CE74" i="2"/>
  <c r="CE73" i="2"/>
  <c r="CE72" i="2"/>
  <c r="CE71" i="2"/>
  <c r="CE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E57" i="2"/>
  <c r="CE56" i="2"/>
  <c r="CE55" i="2"/>
  <c r="CE54" i="2"/>
  <c r="CE53" i="2"/>
  <c r="CE52" i="2"/>
  <c r="CE51" i="2"/>
  <c r="CE50" i="2"/>
  <c r="CE49" i="2"/>
  <c r="CE48" i="2"/>
  <c r="CE46" i="2"/>
  <c r="CE45" i="2"/>
  <c r="CE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E31" i="2"/>
  <c r="CE30" i="2"/>
  <c r="CE28" i="2"/>
  <c r="CE27" i="2"/>
  <c r="CE26" i="2"/>
  <c r="CE25" i="2"/>
  <c r="CE24" i="2"/>
  <c r="CE23" i="2"/>
  <c r="CE22" i="2"/>
  <c r="CE20" i="2"/>
  <c r="CE19" i="2"/>
  <c r="CE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BX280" i="2"/>
  <c r="BW280" i="2"/>
  <c r="BV280" i="2"/>
  <c r="BU280" i="2"/>
  <c r="BX275" i="2"/>
  <c r="BW275" i="2"/>
  <c r="BV275" i="2"/>
  <c r="BU275" i="2"/>
  <c r="BX273" i="2"/>
  <c r="BW273" i="2"/>
  <c r="BV273" i="2"/>
  <c r="BU273" i="2"/>
  <c r="BX272" i="2"/>
  <c r="BW272" i="2"/>
  <c r="BV272" i="2"/>
  <c r="BU272" i="2"/>
  <c r="BX271" i="2"/>
  <c r="BW271" i="2"/>
  <c r="BV271" i="2"/>
  <c r="BU271" i="2"/>
  <c r="BX267" i="2"/>
  <c r="BW267" i="2"/>
  <c r="BV267" i="2"/>
  <c r="BU267" i="2"/>
  <c r="BX266" i="2"/>
  <c r="BW266" i="2"/>
  <c r="BV266" i="2"/>
  <c r="BU266" i="2"/>
  <c r="BX265" i="2"/>
  <c r="BW265" i="2"/>
  <c r="BV265" i="2"/>
  <c r="BU265" i="2"/>
  <c r="BX264" i="2"/>
  <c r="BW264" i="2"/>
  <c r="BV264" i="2"/>
  <c r="BU264" i="2"/>
  <c r="BX263" i="2"/>
  <c r="BW263" i="2"/>
  <c r="BV263" i="2"/>
  <c r="BU263" i="2"/>
  <c r="BX262" i="2"/>
  <c r="BW262" i="2"/>
  <c r="BV262" i="2"/>
  <c r="BU262" i="2"/>
  <c r="BX261" i="2"/>
  <c r="BW261" i="2"/>
  <c r="BV261" i="2"/>
  <c r="BU261" i="2"/>
  <c r="BX260" i="2"/>
  <c r="BW260" i="2"/>
  <c r="BV260" i="2"/>
  <c r="BU260" i="2"/>
  <c r="BX259" i="2"/>
  <c r="BW259" i="2"/>
  <c r="BV259" i="2"/>
  <c r="BU259" i="2"/>
  <c r="BX258" i="2"/>
  <c r="BW258" i="2"/>
  <c r="BV258" i="2"/>
  <c r="BU258" i="2"/>
  <c r="BX257" i="2"/>
  <c r="BW257" i="2"/>
  <c r="BV257" i="2"/>
  <c r="BU257" i="2"/>
  <c r="BX256" i="2"/>
  <c r="BW256" i="2"/>
  <c r="BV256" i="2"/>
  <c r="BU256" i="2"/>
  <c r="BX254" i="2"/>
  <c r="BW254" i="2"/>
  <c r="BV254" i="2"/>
  <c r="BU254" i="2"/>
  <c r="BX252" i="2"/>
  <c r="BW252" i="2"/>
  <c r="BV252" i="2"/>
  <c r="BU252" i="2"/>
  <c r="BX251" i="2"/>
  <c r="BW251" i="2"/>
  <c r="BV251" i="2"/>
  <c r="BV344" i="2" s="1"/>
  <c r="BU251" i="2"/>
  <c r="BX250" i="2"/>
  <c r="BW250" i="2"/>
  <c r="BV250" i="2"/>
  <c r="BU250" i="2"/>
  <c r="BX249" i="2"/>
  <c r="BW249" i="2"/>
  <c r="BV249" i="2"/>
  <c r="BU249" i="2"/>
  <c r="BX247" i="2"/>
  <c r="BW247" i="2"/>
  <c r="BV247" i="2"/>
  <c r="BU247" i="2"/>
  <c r="BX246" i="2"/>
  <c r="BW246" i="2"/>
  <c r="BV246" i="2"/>
  <c r="BU246" i="2"/>
  <c r="BX244" i="2"/>
  <c r="BW244" i="2"/>
  <c r="BV244" i="2"/>
  <c r="BU244" i="2"/>
  <c r="BX243" i="2"/>
  <c r="BW243" i="2"/>
  <c r="BV243" i="2"/>
  <c r="BU243" i="2"/>
  <c r="BX242" i="2"/>
  <c r="BW242" i="2"/>
  <c r="BV242" i="2"/>
  <c r="BU242" i="2"/>
  <c r="BX241" i="2"/>
  <c r="BW241" i="2"/>
  <c r="BV241" i="2"/>
  <c r="BU241" i="2"/>
  <c r="BX240" i="2"/>
  <c r="BW240" i="2"/>
  <c r="BV240" i="2"/>
  <c r="BU240" i="2"/>
  <c r="BX234" i="2"/>
  <c r="BW234" i="2"/>
  <c r="BV234" i="2"/>
  <c r="BU234" i="2"/>
  <c r="BX233" i="2"/>
  <c r="BW233" i="2"/>
  <c r="BV233" i="2"/>
  <c r="BU233" i="2"/>
  <c r="BX232" i="2"/>
  <c r="BW232" i="2"/>
  <c r="BV232" i="2"/>
  <c r="BU232" i="2"/>
  <c r="BX231" i="2"/>
  <c r="BW231" i="2"/>
  <c r="BV231" i="2"/>
  <c r="BU231" i="2"/>
  <c r="BX230" i="2"/>
  <c r="BW230" i="2"/>
  <c r="BV230" i="2"/>
  <c r="BU230" i="2"/>
  <c r="BX229" i="2"/>
  <c r="BW229" i="2"/>
  <c r="BV229" i="2"/>
  <c r="BU229" i="2"/>
  <c r="BX228" i="2"/>
  <c r="BW228" i="2"/>
  <c r="BV228" i="2"/>
  <c r="BU228" i="2"/>
  <c r="BX227" i="2"/>
  <c r="BW227" i="2"/>
  <c r="BV227" i="2"/>
  <c r="BU227" i="2"/>
  <c r="BX226" i="2"/>
  <c r="BW226" i="2"/>
  <c r="BV226" i="2"/>
  <c r="BU226" i="2"/>
  <c r="BX225" i="2"/>
  <c r="BW225" i="2"/>
  <c r="BV225" i="2"/>
  <c r="BU225" i="2"/>
  <c r="BX224" i="2"/>
  <c r="BW224" i="2"/>
  <c r="BV224" i="2"/>
  <c r="BU224" i="2"/>
  <c r="BX221" i="2"/>
  <c r="BW221" i="2"/>
  <c r="BV221" i="2"/>
  <c r="BU221" i="2"/>
  <c r="BX220" i="2"/>
  <c r="BW220" i="2"/>
  <c r="BV220" i="2"/>
  <c r="BU220" i="2"/>
  <c r="BX219" i="2"/>
  <c r="BW219" i="2"/>
  <c r="BV219" i="2"/>
  <c r="BU219" i="2"/>
  <c r="BX218" i="2"/>
  <c r="BW218" i="2"/>
  <c r="BV218" i="2"/>
  <c r="BU218" i="2"/>
  <c r="BX216" i="2"/>
  <c r="BW216" i="2"/>
  <c r="BV216" i="2"/>
  <c r="BU216" i="2"/>
  <c r="BX215" i="2"/>
  <c r="BW215" i="2"/>
  <c r="BV215" i="2"/>
  <c r="BU215" i="2"/>
  <c r="BX213" i="2"/>
  <c r="BW213" i="2"/>
  <c r="BV213" i="2"/>
  <c r="BU213" i="2"/>
  <c r="BX212" i="2"/>
  <c r="BW212" i="2"/>
  <c r="BV212" i="2"/>
  <c r="BU212" i="2"/>
  <c r="BX210" i="2"/>
  <c r="BW210" i="2"/>
  <c r="BV210" i="2"/>
  <c r="BU210" i="2"/>
  <c r="BX209" i="2"/>
  <c r="BW209" i="2"/>
  <c r="BV209" i="2"/>
  <c r="BU209" i="2"/>
  <c r="BX204" i="2"/>
  <c r="BW204" i="2"/>
  <c r="BV204" i="2"/>
  <c r="BU204" i="2"/>
  <c r="BX203" i="2"/>
  <c r="BW203" i="2"/>
  <c r="BV203" i="2"/>
  <c r="BU203" i="2"/>
  <c r="BX202" i="2"/>
  <c r="BW202" i="2"/>
  <c r="BV202" i="2"/>
  <c r="BU202" i="2"/>
  <c r="BX200" i="2"/>
  <c r="BW200" i="2"/>
  <c r="BV200" i="2"/>
  <c r="BU200" i="2"/>
  <c r="BX199" i="2"/>
  <c r="BW199" i="2"/>
  <c r="BV199" i="2"/>
  <c r="BU199" i="2"/>
  <c r="BX198" i="2"/>
  <c r="BW198" i="2"/>
  <c r="BV198" i="2"/>
  <c r="BU198" i="2"/>
  <c r="BX197" i="2"/>
  <c r="BW197" i="2"/>
  <c r="BV197" i="2"/>
  <c r="BU197" i="2"/>
  <c r="BX196" i="2"/>
  <c r="BW196" i="2"/>
  <c r="BV196" i="2"/>
  <c r="BU196" i="2"/>
  <c r="BX194" i="2"/>
  <c r="BW194" i="2"/>
  <c r="BV194" i="2"/>
  <c r="BU194" i="2"/>
  <c r="BX193" i="2"/>
  <c r="BW193" i="2"/>
  <c r="BV193" i="2"/>
  <c r="BU193" i="2"/>
  <c r="BX192" i="2"/>
  <c r="BW192" i="2"/>
  <c r="BV192" i="2"/>
  <c r="BU192" i="2"/>
  <c r="BX191" i="2"/>
  <c r="BW191" i="2"/>
  <c r="BV191" i="2"/>
  <c r="BU191" i="2"/>
  <c r="BX190" i="2"/>
  <c r="BW190" i="2"/>
  <c r="BV190" i="2"/>
  <c r="BU190" i="2"/>
  <c r="BX189" i="2"/>
  <c r="BW189" i="2"/>
  <c r="BV189" i="2"/>
  <c r="BU189" i="2"/>
  <c r="BX188" i="2"/>
  <c r="BW188" i="2"/>
  <c r="BV188" i="2"/>
  <c r="BU188" i="2"/>
  <c r="BX186" i="2"/>
  <c r="BW186" i="2"/>
  <c r="BV186" i="2"/>
  <c r="BU186" i="2"/>
  <c r="BX185" i="2"/>
  <c r="BW185" i="2"/>
  <c r="BV185" i="2"/>
  <c r="BU185" i="2"/>
  <c r="BX184" i="2"/>
  <c r="BW184" i="2"/>
  <c r="BV184" i="2"/>
  <c r="BU184" i="2"/>
  <c r="BX183" i="2"/>
  <c r="BW183" i="2"/>
  <c r="BV183" i="2"/>
  <c r="BU183" i="2"/>
  <c r="BX182" i="2"/>
  <c r="BW182" i="2"/>
  <c r="BV182" i="2"/>
  <c r="BU182" i="2"/>
  <c r="BX180" i="2"/>
  <c r="BW180" i="2"/>
  <c r="BV180" i="2"/>
  <c r="BU180" i="2"/>
  <c r="BX175" i="2"/>
  <c r="BW175" i="2"/>
  <c r="BV175" i="2"/>
  <c r="BU175" i="2"/>
  <c r="BX174" i="2"/>
  <c r="BW174" i="2"/>
  <c r="BV174" i="2"/>
  <c r="BU174" i="2"/>
  <c r="BX172" i="2"/>
  <c r="BW172" i="2"/>
  <c r="BV172" i="2"/>
  <c r="BU172" i="2"/>
  <c r="BX169" i="2"/>
  <c r="BW169" i="2"/>
  <c r="BV169" i="2"/>
  <c r="BU169" i="2"/>
  <c r="BX168" i="2"/>
  <c r="BW168" i="2"/>
  <c r="BV168" i="2"/>
  <c r="BU168" i="2"/>
  <c r="BX167" i="2"/>
  <c r="BW167" i="2"/>
  <c r="BV167" i="2"/>
  <c r="BU167" i="2"/>
  <c r="BX166" i="2"/>
  <c r="BW166" i="2"/>
  <c r="BV166" i="2"/>
  <c r="BU166" i="2"/>
  <c r="BX165" i="2"/>
  <c r="BW165" i="2"/>
  <c r="BV165" i="2"/>
  <c r="BU165" i="2"/>
  <c r="BX164" i="2"/>
  <c r="BW164" i="2"/>
  <c r="BV164" i="2"/>
  <c r="BU164" i="2"/>
  <c r="BX163" i="2"/>
  <c r="BW163" i="2"/>
  <c r="BV163" i="2"/>
  <c r="BU163" i="2"/>
  <c r="BX162" i="2"/>
  <c r="BW162" i="2"/>
  <c r="BV162" i="2"/>
  <c r="BU162" i="2"/>
  <c r="BX161" i="2"/>
  <c r="BW161" i="2"/>
  <c r="BV161" i="2"/>
  <c r="BU161" i="2"/>
  <c r="BX160" i="2"/>
  <c r="BW160" i="2"/>
  <c r="BV160" i="2"/>
  <c r="BU160" i="2"/>
  <c r="BX159" i="2"/>
  <c r="BW159" i="2"/>
  <c r="BV159" i="2"/>
  <c r="BU159" i="2"/>
  <c r="BX158" i="2"/>
  <c r="BW158" i="2"/>
  <c r="BV158" i="2"/>
  <c r="BU158" i="2"/>
  <c r="BX157" i="2"/>
  <c r="BW157" i="2"/>
  <c r="BV157" i="2"/>
  <c r="BU157" i="2"/>
  <c r="BX156" i="2"/>
  <c r="BW156" i="2"/>
  <c r="BV156" i="2"/>
  <c r="BU156" i="2"/>
  <c r="BX155" i="2"/>
  <c r="BW155" i="2"/>
  <c r="BV155" i="2"/>
  <c r="BU155" i="2"/>
  <c r="BX154" i="2"/>
  <c r="BW154" i="2"/>
  <c r="BV154" i="2"/>
  <c r="BU154" i="2"/>
  <c r="BX153" i="2"/>
  <c r="BW153" i="2"/>
  <c r="BV153" i="2"/>
  <c r="BU153" i="2"/>
  <c r="BX152" i="2"/>
  <c r="BW152" i="2"/>
  <c r="BV152" i="2"/>
  <c r="BU152" i="2"/>
  <c r="BX151" i="2"/>
  <c r="BW151" i="2"/>
  <c r="BV151" i="2"/>
  <c r="BU151" i="2"/>
  <c r="BX150" i="2"/>
  <c r="BW150" i="2"/>
  <c r="BV150" i="2"/>
  <c r="BU150" i="2"/>
  <c r="BX147" i="2"/>
  <c r="BW147" i="2"/>
  <c r="BV147" i="2"/>
  <c r="BU147" i="2"/>
  <c r="BX146" i="2"/>
  <c r="BW146" i="2"/>
  <c r="BV146" i="2"/>
  <c r="BU146" i="2"/>
  <c r="BX145" i="2"/>
  <c r="BW145" i="2"/>
  <c r="BV145" i="2"/>
  <c r="BU145" i="2"/>
  <c r="BX144" i="2"/>
  <c r="BW144" i="2"/>
  <c r="BV144" i="2"/>
  <c r="BU144" i="2"/>
  <c r="BX143" i="2"/>
  <c r="BW143" i="2"/>
  <c r="BV143" i="2"/>
  <c r="BU143" i="2"/>
  <c r="BX142" i="2"/>
  <c r="BW142" i="2"/>
  <c r="BV142" i="2"/>
  <c r="BU142" i="2"/>
  <c r="BX140" i="2"/>
  <c r="BW140" i="2"/>
  <c r="BV140" i="2"/>
  <c r="BU140" i="2"/>
  <c r="BX139" i="2"/>
  <c r="BW139" i="2"/>
  <c r="BV139" i="2"/>
  <c r="BU139" i="2"/>
  <c r="BX138" i="2"/>
  <c r="BW138" i="2"/>
  <c r="BV138" i="2"/>
  <c r="BU138" i="2"/>
  <c r="BX137" i="2"/>
  <c r="BW137" i="2"/>
  <c r="BV137" i="2"/>
  <c r="BU137" i="2"/>
  <c r="BX136" i="2"/>
  <c r="BW136" i="2"/>
  <c r="BV136" i="2"/>
  <c r="BU136" i="2"/>
  <c r="BX135" i="2"/>
  <c r="BW135" i="2"/>
  <c r="BV135" i="2"/>
  <c r="BU135" i="2"/>
  <c r="BX131" i="2"/>
  <c r="BW131" i="2"/>
  <c r="BV131" i="2"/>
  <c r="BU131" i="2"/>
  <c r="BX130" i="2"/>
  <c r="BW130" i="2"/>
  <c r="BV130" i="2"/>
  <c r="BU130" i="2"/>
  <c r="BX128" i="2"/>
  <c r="BW128" i="2"/>
  <c r="BV128" i="2"/>
  <c r="BU128" i="2"/>
  <c r="BX127" i="2"/>
  <c r="BW127" i="2"/>
  <c r="BV127" i="2"/>
  <c r="BU127" i="2"/>
  <c r="BX126" i="2"/>
  <c r="BW126" i="2"/>
  <c r="BV126" i="2"/>
  <c r="BU126" i="2"/>
  <c r="BX125" i="2"/>
  <c r="BW125" i="2"/>
  <c r="BV125" i="2"/>
  <c r="BU125" i="2"/>
  <c r="BX124" i="2"/>
  <c r="BW124" i="2"/>
  <c r="BV124" i="2"/>
  <c r="BU124" i="2"/>
  <c r="BX123" i="2"/>
  <c r="BW123" i="2"/>
  <c r="BV123" i="2"/>
  <c r="BU123" i="2"/>
  <c r="BX122" i="2"/>
  <c r="BW122" i="2"/>
  <c r="BV122" i="2"/>
  <c r="BU122" i="2"/>
  <c r="BX121" i="2"/>
  <c r="BW121" i="2"/>
  <c r="BV121" i="2"/>
  <c r="BU121" i="2"/>
  <c r="BX120" i="2"/>
  <c r="BW120" i="2"/>
  <c r="BV120" i="2"/>
  <c r="BU120" i="2"/>
  <c r="BX119" i="2"/>
  <c r="BW119" i="2"/>
  <c r="BV119" i="2"/>
  <c r="BU119" i="2"/>
  <c r="BX117" i="2"/>
  <c r="BW117" i="2"/>
  <c r="BV117" i="2"/>
  <c r="BU117" i="2"/>
  <c r="BX116" i="2"/>
  <c r="BW116" i="2"/>
  <c r="BV116" i="2"/>
  <c r="BU116" i="2"/>
  <c r="BX115" i="2"/>
  <c r="BW115" i="2"/>
  <c r="BV115" i="2"/>
  <c r="BU115" i="2"/>
  <c r="BX114" i="2"/>
  <c r="BW114" i="2"/>
  <c r="BV114" i="2"/>
  <c r="BU114" i="2"/>
  <c r="BX113" i="2"/>
  <c r="BW113" i="2"/>
  <c r="BV113" i="2"/>
  <c r="BU113" i="2"/>
  <c r="BX111" i="2"/>
  <c r="BW111" i="2"/>
  <c r="BV111" i="2"/>
  <c r="BU111" i="2"/>
  <c r="BX110" i="2"/>
  <c r="BW110" i="2"/>
  <c r="BV110" i="2"/>
  <c r="BU110" i="2"/>
  <c r="BX109" i="2"/>
  <c r="BW109" i="2"/>
  <c r="BV109" i="2"/>
  <c r="BU109" i="2"/>
  <c r="BX108" i="2"/>
  <c r="BW108" i="2"/>
  <c r="BV108" i="2"/>
  <c r="BU108" i="2"/>
  <c r="BX107" i="2"/>
  <c r="BW107" i="2"/>
  <c r="BV107" i="2"/>
  <c r="BU107" i="2"/>
  <c r="BX106" i="2"/>
  <c r="BW106" i="2"/>
  <c r="BV106" i="2"/>
  <c r="BU106" i="2"/>
  <c r="BX105" i="2"/>
  <c r="BW105" i="2"/>
  <c r="BV105" i="2"/>
  <c r="BU105" i="2"/>
  <c r="BX104" i="2"/>
  <c r="BW104" i="2"/>
  <c r="BV104" i="2"/>
  <c r="BU104" i="2"/>
  <c r="BX102" i="2"/>
  <c r="BW102" i="2"/>
  <c r="BV102" i="2"/>
  <c r="BU102" i="2"/>
  <c r="BX101" i="2"/>
  <c r="BW101" i="2"/>
  <c r="BV101" i="2"/>
  <c r="BU101" i="2"/>
  <c r="BX100" i="2"/>
  <c r="BW100" i="2"/>
  <c r="BV100" i="2"/>
  <c r="BU100" i="2"/>
  <c r="BX99" i="2"/>
  <c r="BW99" i="2"/>
  <c r="BV99" i="2"/>
  <c r="BU99" i="2"/>
  <c r="BX98" i="2"/>
  <c r="BW98" i="2"/>
  <c r="BV98" i="2"/>
  <c r="BU98" i="2"/>
  <c r="BX97" i="2"/>
  <c r="BW97" i="2"/>
  <c r="BV97" i="2"/>
  <c r="BU97" i="2"/>
  <c r="BX96" i="2"/>
  <c r="BW96" i="2"/>
  <c r="BV96" i="2"/>
  <c r="BU96" i="2"/>
  <c r="BX95" i="2"/>
  <c r="BW95" i="2"/>
  <c r="BV95" i="2"/>
  <c r="BU95" i="2"/>
  <c r="BX94" i="2"/>
  <c r="BW94" i="2"/>
  <c r="BV94" i="2"/>
  <c r="BU94" i="2"/>
  <c r="BX93" i="2"/>
  <c r="BW93" i="2"/>
  <c r="BV93" i="2"/>
  <c r="BU93" i="2"/>
  <c r="BX92" i="2"/>
  <c r="BW92" i="2"/>
  <c r="BV92" i="2"/>
  <c r="BU92" i="2"/>
  <c r="BX91" i="2"/>
  <c r="BW91" i="2"/>
  <c r="BV91" i="2"/>
  <c r="BU91" i="2"/>
  <c r="BX90" i="2"/>
  <c r="BW90" i="2"/>
  <c r="BV90" i="2"/>
  <c r="BU90" i="2"/>
  <c r="BX89" i="2"/>
  <c r="BW89" i="2"/>
  <c r="BV89" i="2"/>
  <c r="BU89" i="2"/>
  <c r="BX88" i="2"/>
  <c r="BW88" i="2"/>
  <c r="BV88" i="2"/>
  <c r="BU88" i="2"/>
  <c r="BX87" i="2"/>
  <c r="BW87" i="2"/>
  <c r="BV87" i="2"/>
  <c r="BU87" i="2"/>
  <c r="BX86" i="2"/>
  <c r="BW86" i="2"/>
  <c r="BV86" i="2"/>
  <c r="BU86" i="2"/>
  <c r="BX85" i="2"/>
  <c r="BW85" i="2"/>
  <c r="BV85" i="2"/>
  <c r="BU85" i="2"/>
  <c r="BX84" i="2"/>
  <c r="BW84" i="2"/>
  <c r="BV84" i="2"/>
  <c r="BU84" i="2"/>
  <c r="BX83" i="2"/>
  <c r="BW83" i="2"/>
  <c r="BV83" i="2"/>
  <c r="BU83" i="2"/>
  <c r="BX82" i="2"/>
  <c r="BW82" i="2"/>
  <c r="BV82" i="2"/>
  <c r="BU82" i="2"/>
  <c r="BX81" i="2"/>
  <c r="BW81" i="2"/>
  <c r="BV81" i="2"/>
  <c r="BU81" i="2"/>
  <c r="BX80" i="2"/>
  <c r="BW80" i="2"/>
  <c r="BV80" i="2"/>
  <c r="BU80" i="2"/>
  <c r="BX79" i="2"/>
  <c r="BW79" i="2"/>
  <c r="BV79" i="2"/>
  <c r="BU79" i="2"/>
  <c r="BX78" i="2"/>
  <c r="BW78" i="2"/>
  <c r="BV78" i="2"/>
  <c r="BU78" i="2"/>
  <c r="BX77" i="2"/>
  <c r="BW77" i="2"/>
  <c r="BV77" i="2"/>
  <c r="BU77" i="2"/>
  <c r="BX75" i="2"/>
  <c r="BW75" i="2"/>
  <c r="BV75" i="2"/>
  <c r="BU75" i="2"/>
  <c r="BX74" i="2"/>
  <c r="BW74" i="2"/>
  <c r="BV74" i="2"/>
  <c r="BU74" i="2"/>
  <c r="BX73" i="2"/>
  <c r="BW73" i="2"/>
  <c r="BV73" i="2"/>
  <c r="BU73" i="2"/>
  <c r="BX72" i="2"/>
  <c r="BW72" i="2"/>
  <c r="BV72" i="2"/>
  <c r="BU72" i="2"/>
  <c r="BX71" i="2"/>
  <c r="BW71" i="2"/>
  <c r="BV71" i="2"/>
  <c r="BU71" i="2"/>
  <c r="BX70" i="2"/>
  <c r="BW70" i="2"/>
  <c r="BV70" i="2"/>
  <c r="BU70" i="2"/>
  <c r="BX69" i="2"/>
  <c r="BW69" i="2"/>
  <c r="BV69" i="2"/>
  <c r="BU69" i="2"/>
  <c r="BX68" i="2"/>
  <c r="BW68" i="2"/>
  <c r="BV68" i="2"/>
  <c r="BU68" i="2"/>
  <c r="BX67" i="2"/>
  <c r="BW67" i="2"/>
  <c r="BV67" i="2"/>
  <c r="BU67" i="2"/>
  <c r="BX66" i="2"/>
  <c r="BW66" i="2"/>
  <c r="BV66" i="2"/>
  <c r="BU66" i="2"/>
  <c r="BX65" i="2"/>
  <c r="BW65" i="2"/>
  <c r="BV65" i="2"/>
  <c r="BU65" i="2"/>
  <c r="BX64" i="2"/>
  <c r="BW64" i="2"/>
  <c r="BV64" i="2"/>
  <c r="BU64" i="2"/>
  <c r="BX63" i="2"/>
  <c r="BW63" i="2"/>
  <c r="BV63" i="2"/>
  <c r="BU63" i="2"/>
  <c r="BX62" i="2"/>
  <c r="BW62" i="2"/>
  <c r="BV62" i="2"/>
  <c r="BU62" i="2"/>
  <c r="BX61" i="2"/>
  <c r="BW61" i="2"/>
  <c r="BV61" i="2"/>
  <c r="BU61" i="2"/>
  <c r="BX60" i="2"/>
  <c r="BW60" i="2"/>
  <c r="BV60" i="2"/>
  <c r="BU60" i="2"/>
  <c r="BX59" i="2"/>
  <c r="BW59" i="2"/>
  <c r="BV59" i="2"/>
  <c r="BU59" i="2"/>
  <c r="BX58" i="2"/>
  <c r="BW58" i="2"/>
  <c r="BV58" i="2"/>
  <c r="BU58" i="2"/>
  <c r="BX57" i="2"/>
  <c r="BW57" i="2"/>
  <c r="BV57" i="2"/>
  <c r="BU57" i="2"/>
  <c r="BX56" i="2"/>
  <c r="BW56" i="2"/>
  <c r="BV56" i="2"/>
  <c r="BU56" i="2"/>
  <c r="BX55" i="2"/>
  <c r="BW55" i="2"/>
  <c r="BV55" i="2"/>
  <c r="BU55" i="2"/>
  <c r="BX54" i="2"/>
  <c r="BW54" i="2"/>
  <c r="BV54" i="2"/>
  <c r="BU54" i="2"/>
  <c r="BX53" i="2"/>
  <c r="BW53" i="2"/>
  <c r="BV53" i="2"/>
  <c r="BU53" i="2"/>
  <c r="BX52" i="2"/>
  <c r="BW52" i="2"/>
  <c r="BV52" i="2"/>
  <c r="BU52" i="2"/>
  <c r="BX51" i="2"/>
  <c r="BW51" i="2"/>
  <c r="BV51" i="2"/>
  <c r="BU51" i="2"/>
  <c r="BX50" i="2"/>
  <c r="BW50" i="2"/>
  <c r="BV50" i="2"/>
  <c r="BU50" i="2"/>
  <c r="BX49" i="2"/>
  <c r="BW49" i="2"/>
  <c r="BV49" i="2"/>
  <c r="BU49" i="2"/>
  <c r="BX48" i="2"/>
  <c r="BW48" i="2"/>
  <c r="BV48" i="2"/>
  <c r="BU48" i="2"/>
  <c r="BX46" i="2"/>
  <c r="BW46" i="2"/>
  <c r="BV46" i="2"/>
  <c r="BU46" i="2"/>
  <c r="BX45" i="2"/>
  <c r="BW45" i="2"/>
  <c r="BV45" i="2"/>
  <c r="BU45" i="2"/>
  <c r="BX44" i="2"/>
  <c r="BW44" i="2"/>
  <c r="BV44" i="2"/>
  <c r="BU44" i="2"/>
  <c r="BX43" i="2"/>
  <c r="BW43" i="2"/>
  <c r="BV43" i="2"/>
  <c r="BU43" i="2"/>
  <c r="BX42" i="2"/>
  <c r="BW42" i="2"/>
  <c r="BV42" i="2"/>
  <c r="BU42" i="2"/>
  <c r="BX41" i="2"/>
  <c r="BW41" i="2"/>
  <c r="BV41" i="2"/>
  <c r="BU41" i="2"/>
  <c r="BX40" i="2"/>
  <c r="BW40" i="2"/>
  <c r="BV40" i="2"/>
  <c r="BU40" i="2"/>
  <c r="BX39" i="2"/>
  <c r="BW39" i="2"/>
  <c r="BV39" i="2"/>
  <c r="BU39" i="2"/>
  <c r="BX38" i="2"/>
  <c r="BW38" i="2"/>
  <c r="BV38" i="2"/>
  <c r="BU38" i="2"/>
  <c r="BX37" i="2"/>
  <c r="BW37" i="2"/>
  <c r="BV37" i="2"/>
  <c r="BU37" i="2"/>
  <c r="BX36" i="2"/>
  <c r="BW36" i="2"/>
  <c r="BV36" i="2"/>
  <c r="BU36" i="2"/>
  <c r="BX35" i="2"/>
  <c r="BW35" i="2"/>
  <c r="BV35" i="2"/>
  <c r="BU35" i="2"/>
  <c r="BX34" i="2"/>
  <c r="BW34" i="2"/>
  <c r="BV34" i="2"/>
  <c r="BU34" i="2"/>
  <c r="BX33" i="2"/>
  <c r="BW33" i="2"/>
  <c r="BV33" i="2"/>
  <c r="BU33" i="2"/>
  <c r="BX32" i="2"/>
  <c r="BW32" i="2"/>
  <c r="BV32" i="2"/>
  <c r="BU32" i="2"/>
  <c r="BX31" i="2"/>
  <c r="BW31" i="2"/>
  <c r="BV31" i="2"/>
  <c r="BU31" i="2"/>
  <c r="BX30" i="2"/>
  <c r="BW30" i="2"/>
  <c r="BV30" i="2"/>
  <c r="BU30" i="2"/>
  <c r="BX28" i="2"/>
  <c r="BW28" i="2"/>
  <c r="BV28" i="2"/>
  <c r="BU28" i="2"/>
  <c r="BX27" i="2"/>
  <c r="BW27" i="2"/>
  <c r="BV27" i="2"/>
  <c r="BU27" i="2"/>
  <c r="BX26" i="2"/>
  <c r="BW26" i="2"/>
  <c r="BV26" i="2"/>
  <c r="BU26" i="2"/>
  <c r="BX25" i="2"/>
  <c r="BW25" i="2"/>
  <c r="BV25" i="2"/>
  <c r="BU25" i="2"/>
  <c r="BX24" i="2"/>
  <c r="BW24" i="2"/>
  <c r="BV24" i="2"/>
  <c r="BU24" i="2"/>
  <c r="BX23" i="2"/>
  <c r="BW23" i="2"/>
  <c r="BV23" i="2"/>
  <c r="BU23" i="2"/>
  <c r="BX22" i="2"/>
  <c r="BW22" i="2"/>
  <c r="BV22" i="2"/>
  <c r="BU22" i="2"/>
  <c r="BX20" i="2"/>
  <c r="BW20" i="2"/>
  <c r="BV20" i="2"/>
  <c r="BU20" i="2"/>
  <c r="BX19" i="2"/>
  <c r="BW19" i="2"/>
  <c r="BV19" i="2"/>
  <c r="BU19" i="2"/>
  <c r="BX18" i="2"/>
  <c r="BW18" i="2"/>
  <c r="BV18" i="2"/>
  <c r="BU18" i="2"/>
  <c r="BX17" i="2"/>
  <c r="BW17" i="2"/>
  <c r="BV17" i="2"/>
  <c r="BU17" i="2"/>
  <c r="BX16" i="2"/>
  <c r="BW16" i="2"/>
  <c r="BV16" i="2"/>
  <c r="BU16" i="2"/>
  <c r="BX15" i="2"/>
  <c r="BW15" i="2"/>
  <c r="BV15" i="2"/>
  <c r="BU15" i="2"/>
  <c r="BX14" i="2"/>
  <c r="BW14" i="2"/>
  <c r="BV14" i="2"/>
  <c r="BU14" i="2"/>
  <c r="BX13" i="2"/>
  <c r="BW13" i="2"/>
  <c r="BV13" i="2"/>
  <c r="BU13" i="2"/>
  <c r="BX12" i="2"/>
  <c r="BW12" i="2"/>
  <c r="BV12" i="2"/>
  <c r="BU12" i="2"/>
  <c r="BX11" i="2"/>
  <c r="BW11" i="2"/>
  <c r="BV11" i="2"/>
  <c r="BU11" i="2"/>
  <c r="BX10" i="2"/>
  <c r="BW10" i="2"/>
  <c r="BV10" i="2"/>
  <c r="BU10" i="2"/>
  <c r="BX9" i="2"/>
  <c r="BW9" i="2"/>
  <c r="BV9" i="2"/>
  <c r="BU9" i="2"/>
  <c r="BX8" i="2"/>
  <c r="BW8" i="2"/>
  <c r="BV8" i="2"/>
  <c r="BU8" i="2"/>
  <c r="BX7" i="2"/>
  <c r="BW7" i="2"/>
  <c r="BV7" i="2"/>
  <c r="BU7" i="2"/>
  <c r="BX6" i="2"/>
  <c r="BW6" i="2"/>
  <c r="BV6" i="2"/>
  <c r="BU6" i="2"/>
  <c r="BT280" i="2"/>
  <c r="BT275" i="2"/>
  <c r="BT273" i="2"/>
  <c r="BT272" i="2"/>
  <c r="BT271" i="2"/>
  <c r="BT267" i="2"/>
  <c r="BT266" i="2"/>
  <c r="BT265" i="2"/>
  <c r="BT264" i="2"/>
  <c r="BT263" i="2"/>
  <c r="BT262" i="2"/>
  <c r="BT261" i="2"/>
  <c r="BT260" i="2"/>
  <c r="BT259" i="2"/>
  <c r="BT258" i="2"/>
  <c r="BT257" i="2"/>
  <c r="BT256" i="2"/>
  <c r="BT254" i="2"/>
  <c r="BT252" i="2"/>
  <c r="BT251" i="2"/>
  <c r="BT250" i="2"/>
  <c r="BT249" i="2"/>
  <c r="BT247" i="2"/>
  <c r="BT246" i="2"/>
  <c r="BT244" i="2"/>
  <c r="BT243" i="2"/>
  <c r="BT242" i="2"/>
  <c r="BT241" i="2"/>
  <c r="BT240" i="2"/>
  <c r="BT234" i="2"/>
  <c r="BT233" i="2"/>
  <c r="BT232" i="2"/>
  <c r="BT231" i="2"/>
  <c r="BT230" i="2"/>
  <c r="BT229" i="2"/>
  <c r="BT228" i="2"/>
  <c r="BT227" i="2"/>
  <c r="BT226" i="2"/>
  <c r="BT225" i="2"/>
  <c r="BT224" i="2"/>
  <c r="BT221" i="2"/>
  <c r="BT220" i="2"/>
  <c r="BT219" i="2"/>
  <c r="BT218" i="2"/>
  <c r="BT216" i="2"/>
  <c r="BT215" i="2"/>
  <c r="BT213" i="2"/>
  <c r="BT212" i="2"/>
  <c r="BT210" i="2"/>
  <c r="BT209" i="2"/>
  <c r="BT204" i="2"/>
  <c r="BT203" i="2"/>
  <c r="BT202" i="2"/>
  <c r="BT200" i="2"/>
  <c r="BT199" i="2"/>
  <c r="BT198" i="2"/>
  <c r="BT197" i="2"/>
  <c r="BT196" i="2"/>
  <c r="BT194" i="2"/>
  <c r="BT193" i="2"/>
  <c r="BT192" i="2"/>
  <c r="BT191" i="2"/>
  <c r="BT190" i="2"/>
  <c r="BT189" i="2"/>
  <c r="BT188" i="2"/>
  <c r="BT186" i="2"/>
  <c r="BT185" i="2"/>
  <c r="BT184" i="2"/>
  <c r="BT183" i="2"/>
  <c r="BT182" i="2"/>
  <c r="BT180" i="2"/>
  <c r="BT175" i="2"/>
  <c r="BT174" i="2"/>
  <c r="BT172" i="2"/>
  <c r="BT169" i="2"/>
  <c r="BT168" i="2"/>
  <c r="BT167" i="2"/>
  <c r="BT166" i="2"/>
  <c r="BT165" i="2"/>
  <c r="BT164" i="2"/>
  <c r="BT163" i="2"/>
  <c r="BT162" i="2"/>
  <c r="BT161" i="2"/>
  <c r="BT160" i="2"/>
  <c r="BT159" i="2"/>
  <c r="BT158" i="2"/>
  <c r="BT157" i="2"/>
  <c r="BT156" i="2"/>
  <c r="BT155" i="2"/>
  <c r="BT154" i="2"/>
  <c r="BT153" i="2"/>
  <c r="BT152" i="2"/>
  <c r="BT151" i="2"/>
  <c r="BT150" i="2"/>
  <c r="BT147" i="2"/>
  <c r="BT146" i="2"/>
  <c r="BT145" i="2"/>
  <c r="BT144" i="2"/>
  <c r="BT143" i="2"/>
  <c r="BT142" i="2"/>
  <c r="BT140" i="2"/>
  <c r="BT139" i="2"/>
  <c r="BT138" i="2"/>
  <c r="BT137" i="2"/>
  <c r="BT136" i="2"/>
  <c r="BT135" i="2"/>
  <c r="BT131" i="2"/>
  <c r="BT130" i="2"/>
  <c r="BT128" i="2"/>
  <c r="BT127" i="2"/>
  <c r="BT126" i="2"/>
  <c r="BT125" i="2"/>
  <c r="BT124" i="2"/>
  <c r="BT123" i="2"/>
  <c r="BT122" i="2"/>
  <c r="BT121" i="2"/>
  <c r="BT120" i="2"/>
  <c r="BT119" i="2"/>
  <c r="BT117" i="2"/>
  <c r="BT116" i="2"/>
  <c r="BT115" i="2"/>
  <c r="BT114" i="2"/>
  <c r="BT113" i="2"/>
  <c r="BT111" i="2"/>
  <c r="BT110" i="2"/>
  <c r="BT109" i="2"/>
  <c r="BT108" i="2"/>
  <c r="BT107" i="2"/>
  <c r="BT106" i="2"/>
  <c r="BT105" i="2"/>
  <c r="BT104" i="2"/>
  <c r="BT102" i="2"/>
  <c r="BT101" i="2"/>
  <c r="BT100" i="2"/>
  <c r="BT99" i="2"/>
  <c r="BT98" i="2"/>
  <c r="BT97" i="2"/>
  <c r="BT96" i="2"/>
  <c r="BT95" i="2"/>
  <c r="BT94" i="2"/>
  <c r="BT93" i="2"/>
  <c r="BT92" i="2"/>
  <c r="BT91" i="2"/>
  <c r="BT90" i="2"/>
  <c r="BT89" i="2"/>
  <c r="BT88" i="2"/>
  <c r="BT87" i="2"/>
  <c r="BT86" i="2"/>
  <c r="BT85" i="2"/>
  <c r="BT84" i="2"/>
  <c r="BT83" i="2"/>
  <c r="BT82" i="2"/>
  <c r="BT81" i="2"/>
  <c r="BT80" i="2"/>
  <c r="BT79" i="2"/>
  <c r="BT78" i="2"/>
  <c r="BT77" i="2"/>
  <c r="BT75" i="2"/>
  <c r="BT74" i="2"/>
  <c r="BT73" i="2"/>
  <c r="BT72" i="2"/>
  <c r="BT71" i="2"/>
  <c r="BT70" i="2"/>
  <c r="BT69" i="2"/>
  <c r="BT68" i="2"/>
  <c r="BT67" i="2"/>
  <c r="BT66" i="2"/>
  <c r="BT65" i="2"/>
  <c r="BT64" i="2"/>
  <c r="BT63" i="2"/>
  <c r="BT62" i="2"/>
  <c r="BT61" i="2"/>
  <c r="BT60" i="2"/>
  <c r="BT59" i="2"/>
  <c r="BT58" i="2"/>
  <c r="BT57" i="2"/>
  <c r="BT56" i="2"/>
  <c r="BT55" i="2"/>
  <c r="BT54" i="2"/>
  <c r="BT53" i="2"/>
  <c r="BT52" i="2"/>
  <c r="BT51" i="2"/>
  <c r="BT50" i="2"/>
  <c r="BT49" i="2"/>
  <c r="BT48" i="2"/>
  <c r="BT46" i="2"/>
  <c r="BT45" i="2"/>
  <c r="BT44" i="2"/>
  <c r="BT43" i="2"/>
  <c r="BT42" i="2"/>
  <c r="BT41" i="2"/>
  <c r="BT40" i="2"/>
  <c r="BT39" i="2"/>
  <c r="BT38" i="2"/>
  <c r="BT37" i="2"/>
  <c r="BT36" i="2"/>
  <c r="BT35" i="2"/>
  <c r="BT34" i="2"/>
  <c r="BT33" i="2"/>
  <c r="BT32" i="2"/>
  <c r="BT31" i="2"/>
  <c r="BT30" i="2"/>
  <c r="BT28" i="2"/>
  <c r="BT27" i="2"/>
  <c r="BT26" i="2"/>
  <c r="BT25" i="2"/>
  <c r="BT24" i="2"/>
  <c r="BT23" i="2"/>
  <c r="BT22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K280" i="2"/>
  <c r="BK275" i="2"/>
  <c r="BK273" i="2"/>
  <c r="BK272" i="2"/>
  <c r="BK271" i="2"/>
  <c r="BK267" i="2"/>
  <c r="BK266" i="2"/>
  <c r="BK265" i="2"/>
  <c r="BK264" i="2"/>
  <c r="BK263" i="2"/>
  <c r="BK262" i="2"/>
  <c r="BK261" i="2"/>
  <c r="BK260" i="2"/>
  <c r="BK259" i="2"/>
  <c r="BK258" i="2"/>
  <c r="BK257" i="2"/>
  <c r="BK256" i="2"/>
  <c r="BK254" i="2"/>
  <c r="BK252" i="2"/>
  <c r="BK251" i="2"/>
  <c r="BK250" i="2"/>
  <c r="BK249" i="2"/>
  <c r="BK247" i="2"/>
  <c r="BK246" i="2"/>
  <c r="BK244" i="2"/>
  <c r="BK243" i="2"/>
  <c r="BK242" i="2"/>
  <c r="BK241" i="2"/>
  <c r="BK240" i="2"/>
  <c r="BK234" i="2"/>
  <c r="BK233" i="2"/>
  <c r="BK232" i="2"/>
  <c r="BK231" i="2"/>
  <c r="BK230" i="2"/>
  <c r="BK229" i="2"/>
  <c r="BK228" i="2"/>
  <c r="BK227" i="2"/>
  <c r="BK226" i="2"/>
  <c r="BK225" i="2"/>
  <c r="BK224" i="2"/>
  <c r="BK221" i="2"/>
  <c r="BK220" i="2"/>
  <c r="BK219" i="2"/>
  <c r="BK218" i="2"/>
  <c r="BK216" i="2"/>
  <c r="BK215" i="2"/>
  <c r="BK213" i="2"/>
  <c r="BK212" i="2"/>
  <c r="BK210" i="2"/>
  <c r="BK209" i="2"/>
  <c r="BK204" i="2"/>
  <c r="BK203" i="2"/>
  <c r="BK202" i="2"/>
  <c r="BK200" i="2"/>
  <c r="BK199" i="2"/>
  <c r="BK198" i="2"/>
  <c r="BK197" i="2"/>
  <c r="BK196" i="2"/>
  <c r="BK194" i="2"/>
  <c r="BK193" i="2"/>
  <c r="BK192" i="2"/>
  <c r="BK191" i="2"/>
  <c r="BK190" i="2"/>
  <c r="BK189" i="2"/>
  <c r="BK188" i="2"/>
  <c r="BK186" i="2"/>
  <c r="BK185" i="2"/>
  <c r="BK184" i="2"/>
  <c r="BK183" i="2"/>
  <c r="BK182" i="2"/>
  <c r="BK180" i="2"/>
  <c r="BK175" i="2"/>
  <c r="BK174" i="2"/>
  <c r="BK172" i="2"/>
  <c r="BK169" i="2"/>
  <c r="BK168" i="2"/>
  <c r="BK167" i="2"/>
  <c r="BK166" i="2"/>
  <c r="BK165" i="2"/>
  <c r="BK164" i="2"/>
  <c r="BK163" i="2"/>
  <c r="BK162" i="2"/>
  <c r="BK161" i="2"/>
  <c r="BK160" i="2"/>
  <c r="BK159" i="2"/>
  <c r="BK158" i="2"/>
  <c r="BK157" i="2"/>
  <c r="BK156" i="2"/>
  <c r="BK155" i="2"/>
  <c r="BK154" i="2"/>
  <c r="BK153" i="2"/>
  <c r="BK152" i="2"/>
  <c r="BK151" i="2"/>
  <c r="BK150" i="2"/>
  <c r="BK147" i="2"/>
  <c r="BK146" i="2"/>
  <c r="BK145" i="2"/>
  <c r="BK144" i="2"/>
  <c r="BK143" i="2"/>
  <c r="BK142" i="2"/>
  <c r="BK140" i="2"/>
  <c r="BK139" i="2"/>
  <c r="BK138" i="2"/>
  <c r="BK137" i="2"/>
  <c r="BK136" i="2"/>
  <c r="BK135" i="2"/>
  <c r="BK131" i="2"/>
  <c r="BK130" i="2"/>
  <c r="BK128" i="2"/>
  <c r="BK127" i="2"/>
  <c r="BK126" i="2"/>
  <c r="BK125" i="2"/>
  <c r="BK124" i="2"/>
  <c r="BK123" i="2"/>
  <c r="BK122" i="2"/>
  <c r="BK121" i="2"/>
  <c r="BK120" i="2"/>
  <c r="BK119" i="2"/>
  <c r="BK117" i="2"/>
  <c r="BK116" i="2"/>
  <c r="BK115" i="2"/>
  <c r="BK114" i="2"/>
  <c r="BK113" i="2"/>
  <c r="BK111" i="2"/>
  <c r="BK110" i="2"/>
  <c r="BK109" i="2"/>
  <c r="BK108" i="2"/>
  <c r="BK107" i="2"/>
  <c r="BK106" i="2"/>
  <c r="BK105" i="2"/>
  <c r="BK104" i="2"/>
  <c r="BK102" i="2"/>
  <c r="BK101" i="2"/>
  <c r="BK100" i="2"/>
  <c r="BK99" i="2"/>
  <c r="BK98" i="2"/>
  <c r="BK97" i="2"/>
  <c r="BK96" i="2"/>
  <c r="BK95" i="2"/>
  <c r="BK94" i="2"/>
  <c r="BK93" i="2"/>
  <c r="BK92" i="2"/>
  <c r="BK91" i="2"/>
  <c r="BK90" i="2"/>
  <c r="BK89" i="2"/>
  <c r="BK88" i="2"/>
  <c r="BK87" i="2"/>
  <c r="BK86" i="2"/>
  <c r="BK85" i="2"/>
  <c r="BK84" i="2"/>
  <c r="BK83" i="2"/>
  <c r="BK82" i="2"/>
  <c r="BK81" i="2"/>
  <c r="BK80" i="2"/>
  <c r="BK79" i="2"/>
  <c r="BK78" i="2"/>
  <c r="BK77" i="2"/>
  <c r="BK75" i="2"/>
  <c r="BK74" i="2"/>
  <c r="BK73" i="2"/>
  <c r="BK72" i="2"/>
  <c r="BK71" i="2"/>
  <c r="BK70" i="2"/>
  <c r="BK69" i="2"/>
  <c r="BK68" i="2"/>
  <c r="BK67" i="2"/>
  <c r="BK66" i="2"/>
  <c r="BK65" i="2"/>
  <c r="BK64" i="2"/>
  <c r="BK63" i="2"/>
  <c r="BK62" i="2"/>
  <c r="BK61" i="2"/>
  <c r="BK60" i="2"/>
  <c r="BK59" i="2"/>
  <c r="BK58" i="2"/>
  <c r="BK57" i="2"/>
  <c r="BK56" i="2"/>
  <c r="BK55" i="2"/>
  <c r="BK54" i="2"/>
  <c r="BK53" i="2"/>
  <c r="BK52" i="2"/>
  <c r="BK51" i="2"/>
  <c r="BK50" i="2"/>
  <c r="BK49" i="2"/>
  <c r="BK48" i="2"/>
  <c r="BK46" i="2"/>
  <c r="BK45" i="2"/>
  <c r="BK44" i="2"/>
  <c r="BK43" i="2"/>
  <c r="BK42" i="2"/>
  <c r="BK41" i="2"/>
  <c r="BK40" i="2"/>
  <c r="BK39" i="2"/>
  <c r="BK38" i="2"/>
  <c r="BK37" i="2"/>
  <c r="BK36" i="2"/>
  <c r="BK35" i="2"/>
  <c r="BK34" i="2"/>
  <c r="BK33" i="2"/>
  <c r="BK32" i="2"/>
  <c r="BK31" i="2"/>
  <c r="BK30" i="2"/>
  <c r="BK28" i="2"/>
  <c r="BK27" i="2"/>
  <c r="BK26" i="2"/>
  <c r="BK25" i="2"/>
  <c r="BK24" i="2"/>
  <c r="BK23" i="2"/>
  <c r="BK22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K6" i="2"/>
  <c r="BJ280" i="2"/>
  <c r="BJ275" i="2"/>
  <c r="BJ273" i="2"/>
  <c r="BJ272" i="2"/>
  <c r="BJ271" i="2"/>
  <c r="BJ267" i="2"/>
  <c r="BJ266" i="2"/>
  <c r="BJ265" i="2"/>
  <c r="BJ264" i="2"/>
  <c r="BJ263" i="2"/>
  <c r="BJ262" i="2"/>
  <c r="BJ261" i="2"/>
  <c r="BJ260" i="2"/>
  <c r="BJ259" i="2"/>
  <c r="BJ258" i="2"/>
  <c r="BJ257" i="2"/>
  <c r="BJ256" i="2"/>
  <c r="BJ254" i="2"/>
  <c r="BJ252" i="2"/>
  <c r="BJ251" i="2"/>
  <c r="BJ250" i="2"/>
  <c r="BJ249" i="2"/>
  <c r="BJ247" i="2"/>
  <c r="BJ246" i="2"/>
  <c r="BJ244" i="2"/>
  <c r="BJ243" i="2"/>
  <c r="BJ242" i="2"/>
  <c r="BJ241" i="2"/>
  <c r="BJ240" i="2"/>
  <c r="BJ234" i="2"/>
  <c r="BJ233" i="2"/>
  <c r="BJ232" i="2"/>
  <c r="BJ231" i="2"/>
  <c r="BJ230" i="2"/>
  <c r="BJ229" i="2"/>
  <c r="BJ228" i="2"/>
  <c r="BJ227" i="2"/>
  <c r="BJ226" i="2"/>
  <c r="BJ225" i="2"/>
  <c r="BJ224" i="2"/>
  <c r="BJ221" i="2"/>
  <c r="BJ220" i="2"/>
  <c r="BJ219" i="2"/>
  <c r="BJ218" i="2"/>
  <c r="BJ216" i="2"/>
  <c r="BJ215" i="2"/>
  <c r="BJ213" i="2"/>
  <c r="BJ212" i="2"/>
  <c r="BJ210" i="2"/>
  <c r="BJ209" i="2"/>
  <c r="BJ204" i="2"/>
  <c r="BJ203" i="2"/>
  <c r="BJ202" i="2"/>
  <c r="BJ200" i="2"/>
  <c r="BJ199" i="2"/>
  <c r="BJ198" i="2"/>
  <c r="BJ197" i="2"/>
  <c r="BJ196" i="2"/>
  <c r="BJ194" i="2"/>
  <c r="BJ193" i="2"/>
  <c r="BJ192" i="2"/>
  <c r="BJ191" i="2"/>
  <c r="BJ190" i="2"/>
  <c r="BJ189" i="2"/>
  <c r="BJ188" i="2"/>
  <c r="BJ186" i="2"/>
  <c r="BJ185" i="2"/>
  <c r="BJ184" i="2"/>
  <c r="BJ183" i="2"/>
  <c r="BJ182" i="2"/>
  <c r="BJ180" i="2"/>
  <c r="BJ175" i="2"/>
  <c r="BJ174" i="2"/>
  <c r="BJ172" i="2"/>
  <c r="BJ169" i="2"/>
  <c r="BJ168" i="2"/>
  <c r="BJ167" i="2"/>
  <c r="BJ166" i="2"/>
  <c r="BJ165" i="2"/>
  <c r="BJ164" i="2"/>
  <c r="BJ163" i="2"/>
  <c r="BJ162" i="2"/>
  <c r="BJ161" i="2"/>
  <c r="BJ160" i="2"/>
  <c r="BJ159" i="2"/>
  <c r="BJ158" i="2"/>
  <c r="BJ157" i="2"/>
  <c r="BJ156" i="2"/>
  <c r="BJ155" i="2"/>
  <c r="BJ154" i="2"/>
  <c r="BJ153" i="2"/>
  <c r="BJ152" i="2"/>
  <c r="BJ151" i="2"/>
  <c r="BJ150" i="2"/>
  <c r="BJ147" i="2"/>
  <c r="BJ146" i="2"/>
  <c r="BJ145" i="2"/>
  <c r="BJ144" i="2"/>
  <c r="BJ143" i="2"/>
  <c r="BJ142" i="2"/>
  <c r="BJ140" i="2"/>
  <c r="BJ139" i="2"/>
  <c r="BJ138" i="2"/>
  <c r="BJ137" i="2"/>
  <c r="BJ136" i="2"/>
  <c r="BJ135" i="2"/>
  <c r="BJ131" i="2"/>
  <c r="BJ130" i="2"/>
  <c r="BJ128" i="2"/>
  <c r="BJ127" i="2"/>
  <c r="BJ126" i="2"/>
  <c r="BJ125" i="2"/>
  <c r="BJ124" i="2"/>
  <c r="BJ123" i="2"/>
  <c r="BJ122" i="2"/>
  <c r="BJ121" i="2"/>
  <c r="BJ120" i="2"/>
  <c r="BJ119" i="2"/>
  <c r="BJ117" i="2"/>
  <c r="BJ116" i="2"/>
  <c r="BJ115" i="2"/>
  <c r="BJ114" i="2"/>
  <c r="BJ113" i="2"/>
  <c r="BJ111" i="2"/>
  <c r="BJ110" i="2"/>
  <c r="BJ109" i="2"/>
  <c r="BJ108" i="2"/>
  <c r="BJ107" i="2"/>
  <c r="BJ106" i="2"/>
  <c r="BJ105" i="2"/>
  <c r="BJ104" i="2"/>
  <c r="BJ102" i="2"/>
  <c r="BJ101" i="2"/>
  <c r="BJ100" i="2"/>
  <c r="BJ99" i="2"/>
  <c r="BJ98" i="2"/>
  <c r="BJ97" i="2"/>
  <c r="BJ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J83" i="2"/>
  <c r="BJ82" i="2"/>
  <c r="BJ81" i="2"/>
  <c r="BJ80" i="2"/>
  <c r="BJ79" i="2"/>
  <c r="BJ78" i="2"/>
  <c r="BJ77" i="2"/>
  <c r="BJ75" i="2"/>
  <c r="BJ74" i="2"/>
  <c r="BJ73" i="2"/>
  <c r="BJ72" i="2"/>
  <c r="BJ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J57" i="2"/>
  <c r="BJ56" i="2"/>
  <c r="BJ55" i="2"/>
  <c r="BJ54" i="2"/>
  <c r="BJ53" i="2"/>
  <c r="BJ52" i="2"/>
  <c r="BJ51" i="2"/>
  <c r="BJ50" i="2"/>
  <c r="BJ49" i="2"/>
  <c r="BJ48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J31" i="2"/>
  <c r="BJ30" i="2"/>
  <c r="BJ28" i="2"/>
  <c r="BJ27" i="2"/>
  <c r="BJ26" i="2"/>
  <c r="BJ25" i="2"/>
  <c r="BJ24" i="2"/>
  <c r="BJ23" i="2"/>
  <c r="BJ22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I280" i="2"/>
  <c r="BI275" i="2"/>
  <c r="BI273" i="2"/>
  <c r="BI272" i="2"/>
  <c r="BI271" i="2"/>
  <c r="BI267" i="2"/>
  <c r="BI266" i="2"/>
  <c r="BI265" i="2"/>
  <c r="BI264" i="2"/>
  <c r="BI263" i="2"/>
  <c r="BI262" i="2"/>
  <c r="BI261" i="2"/>
  <c r="BI260" i="2"/>
  <c r="BI259" i="2"/>
  <c r="BI258" i="2"/>
  <c r="BI257" i="2"/>
  <c r="BI256" i="2"/>
  <c r="BI254" i="2"/>
  <c r="BI252" i="2"/>
  <c r="BI251" i="2"/>
  <c r="BI250" i="2"/>
  <c r="BI249" i="2"/>
  <c r="BI247" i="2"/>
  <c r="BI246" i="2"/>
  <c r="BI244" i="2"/>
  <c r="BI243" i="2"/>
  <c r="BI242" i="2"/>
  <c r="BI241" i="2"/>
  <c r="BI240" i="2"/>
  <c r="BI234" i="2"/>
  <c r="BI233" i="2"/>
  <c r="BI232" i="2"/>
  <c r="BI231" i="2"/>
  <c r="BI230" i="2"/>
  <c r="BI229" i="2"/>
  <c r="BI228" i="2"/>
  <c r="BI227" i="2"/>
  <c r="BI226" i="2"/>
  <c r="BI225" i="2"/>
  <c r="BI224" i="2"/>
  <c r="BI221" i="2"/>
  <c r="BI220" i="2"/>
  <c r="BI219" i="2"/>
  <c r="BI218" i="2"/>
  <c r="BI216" i="2"/>
  <c r="BI215" i="2"/>
  <c r="BI213" i="2"/>
  <c r="BI212" i="2"/>
  <c r="BI210" i="2"/>
  <c r="BI209" i="2"/>
  <c r="BI204" i="2"/>
  <c r="BI203" i="2"/>
  <c r="BI202" i="2"/>
  <c r="BI200" i="2"/>
  <c r="BI199" i="2"/>
  <c r="BI198" i="2"/>
  <c r="BI197" i="2"/>
  <c r="BI196" i="2"/>
  <c r="BI194" i="2"/>
  <c r="BI193" i="2"/>
  <c r="BI192" i="2"/>
  <c r="BI191" i="2"/>
  <c r="BI190" i="2"/>
  <c r="BI189" i="2"/>
  <c r="BI188" i="2"/>
  <c r="BI186" i="2"/>
  <c r="BI185" i="2"/>
  <c r="BI184" i="2"/>
  <c r="BI183" i="2"/>
  <c r="BI182" i="2"/>
  <c r="BI180" i="2"/>
  <c r="BI175" i="2"/>
  <c r="BI174" i="2"/>
  <c r="BI172" i="2"/>
  <c r="BI169" i="2"/>
  <c r="BI168" i="2"/>
  <c r="BI167" i="2"/>
  <c r="BI166" i="2"/>
  <c r="BI165" i="2"/>
  <c r="BI164" i="2"/>
  <c r="BI163" i="2"/>
  <c r="BI162" i="2"/>
  <c r="BI161" i="2"/>
  <c r="BI160" i="2"/>
  <c r="BI159" i="2"/>
  <c r="BI158" i="2"/>
  <c r="BI157" i="2"/>
  <c r="BI156" i="2"/>
  <c r="BI155" i="2"/>
  <c r="BI154" i="2"/>
  <c r="BI153" i="2"/>
  <c r="BI152" i="2"/>
  <c r="BI151" i="2"/>
  <c r="BI150" i="2"/>
  <c r="BI147" i="2"/>
  <c r="BI146" i="2"/>
  <c r="BI145" i="2"/>
  <c r="BI144" i="2"/>
  <c r="BI143" i="2"/>
  <c r="BI142" i="2"/>
  <c r="BI140" i="2"/>
  <c r="BI139" i="2"/>
  <c r="BI138" i="2"/>
  <c r="BI137" i="2"/>
  <c r="BI136" i="2"/>
  <c r="BI135" i="2"/>
  <c r="BI131" i="2"/>
  <c r="BI130" i="2"/>
  <c r="BI128" i="2"/>
  <c r="BI127" i="2"/>
  <c r="BI126" i="2"/>
  <c r="BI125" i="2"/>
  <c r="BI124" i="2"/>
  <c r="BI123" i="2"/>
  <c r="BI122" i="2"/>
  <c r="BI121" i="2"/>
  <c r="BI120" i="2"/>
  <c r="BI119" i="2"/>
  <c r="BI117" i="2"/>
  <c r="BI116" i="2"/>
  <c r="BI115" i="2"/>
  <c r="BI114" i="2"/>
  <c r="BI113" i="2"/>
  <c r="BI111" i="2"/>
  <c r="BI110" i="2"/>
  <c r="BI109" i="2"/>
  <c r="BI108" i="2"/>
  <c r="BI107" i="2"/>
  <c r="BI106" i="2"/>
  <c r="BI105" i="2"/>
  <c r="BI104" i="2"/>
  <c r="BI102" i="2"/>
  <c r="BI101" i="2"/>
  <c r="BI100" i="2"/>
  <c r="BI99" i="2"/>
  <c r="BI98" i="2"/>
  <c r="BI97" i="2"/>
  <c r="BI96" i="2"/>
  <c r="BI95" i="2"/>
  <c r="BI94" i="2"/>
  <c r="BI93" i="2"/>
  <c r="BI92" i="2"/>
  <c r="BI91" i="2"/>
  <c r="BI90" i="2"/>
  <c r="BI89" i="2"/>
  <c r="BI88" i="2"/>
  <c r="BI87" i="2"/>
  <c r="BI86" i="2"/>
  <c r="BI85" i="2"/>
  <c r="BI84" i="2"/>
  <c r="BI83" i="2"/>
  <c r="BI82" i="2"/>
  <c r="BI81" i="2"/>
  <c r="BI80" i="2"/>
  <c r="BI79" i="2"/>
  <c r="BI78" i="2"/>
  <c r="BI77" i="2"/>
  <c r="BI75" i="2"/>
  <c r="BI74" i="2"/>
  <c r="BI73" i="2"/>
  <c r="BI72" i="2"/>
  <c r="BI71" i="2"/>
  <c r="BI70" i="2"/>
  <c r="BI69" i="2"/>
  <c r="BI68" i="2"/>
  <c r="BI67" i="2"/>
  <c r="BI66" i="2"/>
  <c r="BI65" i="2"/>
  <c r="BI64" i="2"/>
  <c r="BI63" i="2"/>
  <c r="BI62" i="2"/>
  <c r="BI61" i="2"/>
  <c r="BI60" i="2"/>
  <c r="BI59" i="2"/>
  <c r="BI58" i="2"/>
  <c r="BI57" i="2"/>
  <c r="BI56" i="2"/>
  <c r="BI55" i="2"/>
  <c r="BI54" i="2"/>
  <c r="BI53" i="2"/>
  <c r="BI52" i="2"/>
  <c r="BI51" i="2"/>
  <c r="BI50" i="2"/>
  <c r="BI49" i="2"/>
  <c r="BI48" i="2"/>
  <c r="BI46" i="2"/>
  <c r="BI45" i="2"/>
  <c r="BI44" i="2"/>
  <c r="BI43" i="2"/>
  <c r="BI42" i="2"/>
  <c r="BI41" i="2"/>
  <c r="BI40" i="2"/>
  <c r="BI39" i="2"/>
  <c r="BI38" i="2"/>
  <c r="BI37" i="2"/>
  <c r="BI36" i="2"/>
  <c r="BI35" i="2"/>
  <c r="BI34" i="2"/>
  <c r="BI33" i="2"/>
  <c r="BI32" i="2"/>
  <c r="BI31" i="2"/>
  <c r="BI30" i="2"/>
  <c r="BI28" i="2"/>
  <c r="BI27" i="2"/>
  <c r="BI26" i="2"/>
  <c r="BI25" i="2"/>
  <c r="BI24" i="2"/>
  <c r="BI23" i="2"/>
  <c r="BI22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D280" i="2"/>
  <c r="BD275" i="2"/>
  <c r="BD273" i="2"/>
  <c r="BD272" i="2"/>
  <c r="BD271" i="2"/>
  <c r="BD267" i="2"/>
  <c r="BD266" i="2"/>
  <c r="BD265" i="2"/>
  <c r="BD264" i="2"/>
  <c r="BD263" i="2"/>
  <c r="BD262" i="2"/>
  <c r="BD261" i="2"/>
  <c r="BD260" i="2"/>
  <c r="BD259" i="2"/>
  <c r="BD258" i="2"/>
  <c r="BD257" i="2"/>
  <c r="BD256" i="2"/>
  <c r="BD254" i="2"/>
  <c r="BD252" i="2"/>
  <c r="BD251" i="2"/>
  <c r="BD250" i="2"/>
  <c r="BD249" i="2"/>
  <c r="BD247" i="2"/>
  <c r="BD246" i="2"/>
  <c r="BD244" i="2"/>
  <c r="BD243" i="2"/>
  <c r="BD242" i="2"/>
  <c r="BD241" i="2"/>
  <c r="BD240" i="2"/>
  <c r="BD234" i="2"/>
  <c r="BD233" i="2"/>
  <c r="BD232" i="2"/>
  <c r="BD231" i="2"/>
  <c r="BD230" i="2"/>
  <c r="BD229" i="2"/>
  <c r="BD228" i="2"/>
  <c r="BD227" i="2"/>
  <c r="BD226" i="2"/>
  <c r="BD225" i="2"/>
  <c r="BD224" i="2"/>
  <c r="BD221" i="2"/>
  <c r="BD220" i="2"/>
  <c r="BD219" i="2"/>
  <c r="BD218" i="2"/>
  <c r="BD216" i="2"/>
  <c r="BD215" i="2"/>
  <c r="BD213" i="2"/>
  <c r="BD212" i="2"/>
  <c r="BD210" i="2"/>
  <c r="BD209" i="2"/>
  <c r="BD204" i="2"/>
  <c r="BD203" i="2"/>
  <c r="BD202" i="2"/>
  <c r="BD200" i="2"/>
  <c r="BD199" i="2"/>
  <c r="BD198" i="2"/>
  <c r="BD197" i="2"/>
  <c r="BD196" i="2"/>
  <c r="BD194" i="2"/>
  <c r="BD193" i="2"/>
  <c r="BD192" i="2"/>
  <c r="BD191" i="2"/>
  <c r="BD190" i="2"/>
  <c r="BD189" i="2"/>
  <c r="BD188" i="2"/>
  <c r="BD186" i="2"/>
  <c r="BD185" i="2"/>
  <c r="BD184" i="2"/>
  <c r="BD183" i="2"/>
  <c r="BD182" i="2"/>
  <c r="BD180" i="2"/>
  <c r="BD175" i="2"/>
  <c r="BD174" i="2"/>
  <c r="BD172" i="2"/>
  <c r="BD169" i="2"/>
  <c r="BD168" i="2"/>
  <c r="BD167" i="2"/>
  <c r="BD166" i="2"/>
  <c r="BD165" i="2"/>
  <c r="BD164" i="2"/>
  <c r="BD163" i="2"/>
  <c r="BD162" i="2"/>
  <c r="BD161" i="2"/>
  <c r="BD160" i="2"/>
  <c r="BD159" i="2"/>
  <c r="BD158" i="2"/>
  <c r="BD157" i="2"/>
  <c r="BD156" i="2"/>
  <c r="BD155" i="2"/>
  <c r="BD154" i="2"/>
  <c r="BD153" i="2"/>
  <c r="BD152" i="2"/>
  <c r="BD151" i="2"/>
  <c r="BD150" i="2"/>
  <c r="BD147" i="2"/>
  <c r="BD146" i="2"/>
  <c r="BD145" i="2"/>
  <c r="BD144" i="2"/>
  <c r="BD143" i="2"/>
  <c r="BD142" i="2"/>
  <c r="BD140" i="2"/>
  <c r="BD139" i="2"/>
  <c r="BD138" i="2"/>
  <c r="BD137" i="2"/>
  <c r="BD136" i="2"/>
  <c r="BD135" i="2"/>
  <c r="BD131" i="2"/>
  <c r="BD130" i="2"/>
  <c r="BD128" i="2"/>
  <c r="BD127" i="2"/>
  <c r="BD126" i="2"/>
  <c r="BD125" i="2"/>
  <c r="BD124" i="2"/>
  <c r="BD123" i="2"/>
  <c r="BD122" i="2"/>
  <c r="BD121" i="2"/>
  <c r="BD120" i="2"/>
  <c r="BD119" i="2"/>
  <c r="BD117" i="2"/>
  <c r="BD116" i="2"/>
  <c r="BD115" i="2"/>
  <c r="BD114" i="2"/>
  <c r="BD113" i="2"/>
  <c r="BD111" i="2"/>
  <c r="BD110" i="2"/>
  <c r="BD109" i="2"/>
  <c r="BD108" i="2"/>
  <c r="BD107" i="2"/>
  <c r="BD106" i="2"/>
  <c r="BD105" i="2"/>
  <c r="BD104" i="2"/>
  <c r="BD102" i="2"/>
  <c r="BD101" i="2"/>
  <c r="BD100" i="2"/>
  <c r="BD99" i="2"/>
  <c r="BD98" i="2"/>
  <c r="BD97" i="2"/>
  <c r="BD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D83" i="2"/>
  <c r="BD82" i="2"/>
  <c r="BD81" i="2"/>
  <c r="BD80" i="2"/>
  <c r="BD79" i="2"/>
  <c r="BD78" i="2"/>
  <c r="BD77" i="2"/>
  <c r="BD75" i="2"/>
  <c r="BD74" i="2"/>
  <c r="BD73" i="2"/>
  <c r="BD72" i="2"/>
  <c r="BD71" i="2"/>
  <c r="BD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D57" i="2"/>
  <c r="BD56" i="2"/>
  <c r="BD55" i="2"/>
  <c r="BD54" i="2"/>
  <c r="BD53" i="2"/>
  <c r="BD52" i="2"/>
  <c r="BD51" i="2"/>
  <c r="BD50" i="2"/>
  <c r="BD49" i="2"/>
  <c r="BD48" i="2"/>
  <c r="BD46" i="2"/>
  <c r="BD45" i="2"/>
  <c r="BD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D31" i="2"/>
  <c r="BD30" i="2"/>
  <c r="BD28" i="2"/>
  <c r="BD27" i="2"/>
  <c r="BD26" i="2"/>
  <c r="BD25" i="2"/>
  <c r="BD24" i="2"/>
  <c r="BD23" i="2"/>
  <c r="BD22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AY7" i="2"/>
  <c r="AZ7" i="2"/>
  <c r="BA7" i="2"/>
  <c r="AY8" i="2"/>
  <c r="AZ8" i="2"/>
  <c r="BA8" i="2"/>
  <c r="AY9" i="2"/>
  <c r="AZ9" i="2"/>
  <c r="BA9" i="2"/>
  <c r="AY10" i="2"/>
  <c r="AZ10" i="2"/>
  <c r="BA10" i="2"/>
  <c r="AY11" i="2"/>
  <c r="AZ11" i="2"/>
  <c r="BA11" i="2"/>
  <c r="AY12" i="2"/>
  <c r="AZ12" i="2"/>
  <c r="BA12" i="2"/>
  <c r="AY13" i="2"/>
  <c r="AZ13" i="2"/>
  <c r="BA13" i="2"/>
  <c r="AY14" i="2"/>
  <c r="AZ14" i="2"/>
  <c r="BA14" i="2"/>
  <c r="AY15" i="2"/>
  <c r="AZ15" i="2"/>
  <c r="BA15" i="2"/>
  <c r="AY16" i="2"/>
  <c r="AZ16" i="2"/>
  <c r="BA16" i="2"/>
  <c r="AY17" i="2"/>
  <c r="AZ17" i="2"/>
  <c r="BA17" i="2"/>
  <c r="AY18" i="2"/>
  <c r="AZ18" i="2"/>
  <c r="BA18" i="2"/>
  <c r="AY19" i="2"/>
  <c r="AZ19" i="2"/>
  <c r="BA19" i="2"/>
  <c r="AY20" i="2"/>
  <c r="AZ20" i="2"/>
  <c r="BA20" i="2"/>
  <c r="AY22" i="2"/>
  <c r="AZ22" i="2"/>
  <c r="BA22" i="2"/>
  <c r="AY23" i="2"/>
  <c r="AZ23" i="2"/>
  <c r="BA23" i="2"/>
  <c r="AY24" i="2"/>
  <c r="AZ24" i="2"/>
  <c r="BA24" i="2"/>
  <c r="AY25" i="2"/>
  <c r="AZ25" i="2"/>
  <c r="BA25" i="2"/>
  <c r="AY26" i="2"/>
  <c r="AZ26" i="2"/>
  <c r="BA26" i="2"/>
  <c r="AY27" i="2"/>
  <c r="AZ27" i="2"/>
  <c r="BA27" i="2"/>
  <c r="AY28" i="2"/>
  <c r="AZ28" i="2"/>
  <c r="BA28" i="2"/>
  <c r="AY30" i="2"/>
  <c r="AZ30" i="2"/>
  <c r="BA30" i="2"/>
  <c r="AY31" i="2"/>
  <c r="AZ31" i="2"/>
  <c r="BA31" i="2"/>
  <c r="AY32" i="2"/>
  <c r="AZ32" i="2"/>
  <c r="BA32" i="2"/>
  <c r="AY33" i="2"/>
  <c r="AZ33" i="2"/>
  <c r="BA33" i="2"/>
  <c r="AY34" i="2"/>
  <c r="AZ34" i="2"/>
  <c r="BA34" i="2"/>
  <c r="AY35" i="2"/>
  <c r="AZ35" i="2"/>
  <c r="BA35" i="2"/>
  <c r="AY36" i="2"/>
  <c r="AZ36" i="2"/>
  <c r="BA36" i="2"/>
  <c r="AY37" i="2"/>
  <c r="AZ37" i="2"/>
  <c r="BA37" i="2"/>
  <c r="AY38" i="2"/>
  <c r="AZ38" i="2"/>
  <c r="BA38" i="2"/>
  <c r="AY39" i="2"/>
  <c r="AZ39" i="2"/>
  <c r="BA39" i="2"/>
  <c r="AY40" i="2"/>
  <c r="AZ40" i="2"/>
  <c r="BA40" i="2"/>
  <c r="AY41" i="2"/>
  <c r="AZ41" i="2"/>
  <c r="BA41" i="2"/>
  <c r="AY42" i="2"/>
  <c r="AZ42" i="2"/>
  <c r="BA42" i="2"/>
  <c r="AY43" i="2"/>
  <c r="AZ43" i="2"/>
  <c r="BA43" i="2"/>
  <c r="AY44" i="2"/>
  <c r="AZ44" i="2"/>
  <c r="BA44" i="2"/>
  <c r="AY45" i="2"/>
  <c r="AZ45" i="2"/>
  <c r="BA45" i="2"/>
  <c r="AY46" i="2"/>
  <c r="AZ46" i="2"/>
  <c r="BA46" i="2"/>
  <c r="AY48" i="2"/>
  <c r="AZ48" i="2"/>
  <c r="BA48" i="2"/>
  <c r="AY49" i="2"/>
  <c r="AZ49" i="2"/>
  <c r="BA49" i="2"/>
  <c r="AY50" i="2"/>
  <c r="AZ50" i="2"/>
  <c r="BA50" i="2"/>
  <c r="AY51" i="2"/>
  <c r="AZ51" i="2"/>
  <c r="BA51" i="2"/>
  <c r="AY52" i="2"/>
  <c r="AZ52" i="2"/>
  <c r="BA52" i="2"/>
  <c r="AY53" i="2"/>
  <c r="AZ53" i="2"/>
  <c r="BA53" i="2"/>
  <c r="AY54" i="2"/>
  <c r="AZ54" i="2"/>
  <c r="BA54" i="2"/>
  <c r="AY55" i="2"/>
  <c r="AZ55" i="2"/>
  <c r="BA55" i="2"/>
  <c r="AY56" i="2"/>
  <c r="AZ56" i="2"/>
  <c r="BA56" i="2"/>
  <c r="AY57" i="2"/>
  <c r="AZ57" i="2"/>
  <c r="BA57" i="2"/>
  <c r="AY58" i="2"/>
  <c r="AZ58" i="2"/>
  <c r="BA58" i="2"/>
  <c r="AY59" i="2"/>
  <c r="AZ59" i="2"/>
  <c r="BA59" i="2"/>
  <c r="AY60" i="2"/>
  <c r="AZ60" i="2"/>
  <c r="BA60" i="2"/>
  <c r="AY61" i="2"/>
  <c r="AZ61" i="2"/>
  <c r="BA61" i="2"/>
  <c r="AY62" i="2"/>
  <c r="AZ62" i="2"/>
  <c r="BA62" i="2"/>
  <c r="AY63" i="2"/>
  <c r="AZ63" i="2"/>
  <c r="BA63" i="2"/>
  <c r="AY64" i="2"/>
  <c r="AZ64" i="2"/>
  <c r="BA64" i="2"/>
  <c r="AY65" i="2"/>
  <c r="AZ65" i="2"/>
  <c r="BA65" i="2"/>
  <c r="AY66" i="2"/>
  <c r="AZ66" i="2"/>
  <c r="BA66" i="2"/>
  <c r="AY67" i="2"/>
  <c r="AZ67" i="2"/>
  <c r="BA67" i="2"/>
  <c r="AY68" i="2"/>
  <c r="AZ68" i="2"/>
  <c r="BA68" i="2"/>
  <c r="AY69" i="2"/>
  <c r="AZ69" i="2"/>
  <c r="BA69" i="2"/>
  <c r="AY70" i="2"/>
  <c r="AZ70" i="2"/>
  <c r="BA70" i="2"/>
  <c r="AY71" i="2"/>
  <c r="AZ71" i="2"/>
  <c r="BA71" i="2"/>
  <c r="AY72" i="2"/>
  <c r="AZ72" i="2"/>
  <c r="BA72" i="2"/>
  <c r="AY73" i="2"/>
  <c r="AZ73" i="2"/>
  <c r="BA73" i="2"/>
  <c r="AY74" i="2"/>
  <c r="AZ74" i="2"/>
  <c r="BA74" i="2"/>
  <c r="AY75" i="2"/>
  <c r="AZ75" i="2"/>
  <c r="BA75" i="2"/>
  <c r="AY77" i="2"/>
  <c r="AZ77" i="2"/>
  <c r="BA77" i="2"/>
  <c r="AY78" i="2"/>
  <c r="AZ78" i="2"/>
  <c r="BA78" i="2"/>
  <c r="AY79" i="2"/>
  <c r="AZ79" i="2"/>
  <c r="BA79" i="2"/>
  <c r="AY80" i="2"/>
  <c r="AZ80" i="2"/>
  <c r="BA80" i="2"/>
  <c r="AY81" i="2"/>
  <c r="AZ81" i="2"/>
  <c r="BA81" i="2"/>
  <c r="AY82" i="2"/>
  <c r="AZ82" i="2"/>
  <c r="BA82" i="2"/>
  <c r="AY83" i="2"/>
  <c r="AZ83" i="2"/>
  <c r="BA83" i="2"/>
  <c r="AY84" i="2"/>
  <c r="AZ84" i="2"/>
  <c r="BA84" i="2"/>
  <c r="AY85" i="2"/>
  <c r="AZ85" i="2"/>
  <c r="BA85" i="2"/>
  <c r="AY86" i="2"/>
  <c r="AZ86" i="2"/>
  <c r="BA86" i="2"/>
  <c r="AY87" i="2"/>
  <c r="AZ87" i="2"/>
  <c r="BA87" i="2"/>
  <c r="AY88" i="2"/>
  <c r="AZ88" i="2"/>
  <c r="BA88" i="2"/>
  <c r="AY89" i="2"/>
  <c r="AZ89" i="2"/>
  <c r="BA89" i="2"/>
  <c r="AY90" i="2"/>
  <c r="AZ90" i="2"/>
  <c r="BA90" i="2"/>
  <c r="AY91" i="2"/>
  <c r="AZ91" i="2"/>
  <c r="BA91" i="2"/>
  <c r="AY92" i="2"/>
  <c r="AZ92" i="2"/>
  <c r="BA92" i="2"/>
  <c r="AY93" i="2"/>
  <c r="AZ93" i="2"/>
  <c r="BA93" i="2"/>
  <c r="AY94" i="2"/>
  <c r="AZ94" i="2"/>
  <c r="BA94" i="2"/>
  <c r="AY95" i="2"/>
  <c r="AZ95" i="2"/>
  <c r="BA95" i="2"/>
  <c r="AY96" i="2"/>
  <c r="AZ96" i="2"/>
  <c r="BA96" i="2"/>
  <c r="AY97" i="2"/>
  <c r="AZ97" i="2"/>
  <c r="BA97" i="2"/>
  <c r="AY98" i="2"/>
  <c r="AZ98" i="2"/>
  <c r="BA98" i="2"/>
  <c r="AY99" i="2"/>
  <c r="AZ99" i="2"/>
  <c r="BA99" i="2"/>
  <c r="AY100" i="2"/>
  <c r="AZ100" i="2"/>
  <c r="BA100" i="2"/>
  <c r="AY101" i="2"/>
  <c r="AZ101" i="2"/>
  <c r="BA101" i="2"/>
  <c r="AY102" i="2"/>
  <c r="AZ102" i="2"/>
  <c r="BA102" i="2"/>
  <c r="AY104" i="2"/>
  <c r="AZ104" i="2"/>
  <c r="BA104" i="2"/>
  <c r="AY105" i="2"/>
  <c r="AZ105" i="2"/>
  <c r="BA105" i="2"/>
  <c r="AY106" i="2"/>
  <c r="AZ106" i="2"/>
  <c r="BA106" i="2"/>
  <c r="AY107" i="2"/>
  <c r="AZ107" i="2"/>
  <c r="BA107" i="2"/>
  <c r="AY108" i="2"/>
  <c r="AZ108" i="2"/>
  <c r="BA108" i="2"/>
  <c r="AY109" i="2"/>
  <c r="AZ109" i="2"/>
  <c r="BA109" i="2"/>
  <c r="AY110" i="2"/>
  <c r="AZ110" i="2"/>
  <c r="BA110" i="2"/>
  <c r="AY111" i="2"/>
  <c r="AZ111" i="2"/>
  <c r="BA111" i="2"/>
  <c r="AY113" i="2"/>
  <c r="AZ113" i="2"/>
  <c r="BA113" i="2"/>
  <c r="AY114" i="2"/>
  <c r="AZ114" i="2"/>
  <c r="BA114" i="2"/>
  <c r="AY115" i="2"/>
  <c r="AZ115" i="2"/>
  <c r="BA115" i="2"/>
  <c r="AY116" i="2"/>
  <c r="AZ116" i="2"/>
  <c r="BA116" i="2"/>
  <c r="AY117" i="2"/>
  <c r="AZ117" i="2"/>
  <c r="BA117" i="2"/>
  <c r="AY119" i="2"/>
  <c r="AZ119" i="2"/>
  <c r="BA119" i="2"/>
  <c r="AY120" i="2"/>
  <c r="AZ120" i="2"/>
  <c r="BA120" i="2"/>
  <c r="AY121" i="2"/>
  <c r="AZ121" i="2"/>
  <c r="BA121" i="2"/>
  <c r="AY122" i="2"/>
  <c r="AZ122" i="2"/>
  <c r="BA122" i="2"/>
  <c r="AY123" i="2"/>
  <c r="AZ123" i="2"/>
  <c r="BA123" i="2"/>
  <c r="AY124" i="2"/>
  <c r="AZ124" i="2"/>
  <c r="BA124" i="2"/>
  <c r="AY125" i="2"/>
  <c r="AZ125" i="2"/>
  <c r="BA125" i="2"/>
  <c r="AY126" i="2"/>
  <c r="AZ126" i="2"/>
  <c r="BA126" i="2"/>
  <c r="AY127" i="2"/>
  <c r="AZ127" i="2"/>
  <c r="BA127" i="2"/>
  <c r="AY128" i="2"/>
  <c r="AZ128" i="2"/>
  <c r="BA128" i="2"/>
  <c r="AY130" i="2"/>
  <c r="AZ130" i="2"/>
  <c r="BA130" i="2"/>
  <c r="AY131" i="2"/>
  <c r="AZ131" i="2"/>
  <c r="BA131" i="2"/>
  <c r="AY135" i="2"/>
  <c r="AZ135" i="2"/>
  <c r="BA135" i="2"/>
  <c r="AY136" i="2"/>
  <c r="AZ136" i="2"/>
  <c r="BA136" i="2"/>
  <c r="AY137" i="2"/>
  <c r="AZ137" i="2"/>
  <c r="BA137" i="2"/>
  <c r="AY138" i="2"/>
  <c r="AZ138" i="2"/>
  <c r="BA138" i="2"/>
  <c r="AY139" i="2"/>
  <c r="AZ139" i="2"/>
  <c r="BA139" i="2"/>
  <c r="AY140" i="2"/>
  <c r="AZ140" i="2"/>
  <c r="BA140" i="2"/>
  <c r="AY142" i="2"/>
  <c r="AZ142" i="2"/>
  <c r="BA142" i="2"/>
  <c r="AY143" i="2"/>
  <c r="AZ143" i="2"/>
  <c r="BA143" i="2"/>
  <c r="AY144" i="2"/>
  <c r="AZ144" i="2"/>
  <c r="BA144" i="2"/>
  <c r="AY145" i="2"/>
  <c r="AZ145" i="2"/>
  <c r="BA145" i="2"/>
  <c r="AY146" i="2"/>
  <c r="AZ146" i="2"/>
  <c r="BA146" i="2"/>
  <c r="AY147" i="2"/>
  <c r="AZ147" i="2"/>
  <c r="BA147" i="2"/>
  <c r="AY150" i="2"/>
  <c r="AZ150" i="2"/>
  <c r="BA150" i="2"/>
  <c r="AY151" i="2"/>
  <c r="AZ151" i="2"/>
  <c r="BA151" i="2"/>
  <c r="AY152" i="2"/>
  <c r="AZ152" i="2"/>
  <c r="BA152" i="2"/>
  <c r="AY153" i="2"/>
  <c r="AZ153" i="2"/>
  <c r="BA153" i="2"/>
  <c r="AY154" i="2"/>
  <c r="AZ154" i="2"/>
  <c r="BA154" i="2"/>
  <c r="AY155" i="2"/>
  <c r="AZ155" i="2"/>
  <c r="BA155" i="2"/>
  <c r="AY156" i="2"/>
  <c r="AZ156" i="2"/>
  <c r="BA156" i="2"/>
  <c r="AY157" i="2"/>
  <c r="AZ157" i="2"/>
  <c r="BA157" i="2"/>
  <c r="AY158" i="2"/>
  <c r="AZ158" i="2"/>
  <c r="BA158" i="2"/>
  <c r="AY159" i="2"/>
  <c r="AZ159" i="2"/>
  <c r="BA159" i="2"/>
  <c r="AY160" i="2"/>
  <c r="AZ160" i="2"/>
  <c r="BA160" i="2"/>
  <c r="AY161" i="2"/>
  <c r="AZ161" i="2"/>
  <c r="BA161" i="2"/>
  <c r="AY162" i="2"/>
  <c r="AZ162" i="2"/>
  <c r="BA162" i="2"/>
  <c r="AY163" i="2"/>
  <c r="AZ163" i="2"/>
  <c r="BA163" i="2"/>
  <c r="AY164" i="2"/>
  <c r="AZ164" i="2"/>
  <c r="BA164" i="2"/>
  <c r="AY165" i="2"/>
  <c r="AZ165" i="2"/>
  <c r="BA165" i="2"/>
  <c r="AY166" i="2"/>
  <c r="AZ166" i="2"/>
  <c r="BA166" i="2"/>
  <c r="AY167" i="2"/>
  <c r="AZ167" i="2"/>
  <c r="BA167" i="2"/>
  <c r="AY168" i="2"/>
  <c r="AZ168" i="2"/>
  <c r="BA168" i="2"/>
  <c r="AY169" i="2"/>
  <c r="AZ169" i="2"/>
  <c r="BA169" i="2"/>
  <c r="AY172" i="2"/>
  <c r="AZ172" i="2"/>
  <c r="BA172" i="2"/>
  <c r="AY174" i="2"/>
  <c r="AZ174" i="2"/>
  <c r="BA174" i="2"/>
  <c r="AY175" i="2"/>
  <c r="AZ175" i="2"/>
  <c r="BA175" i="2"/>
  <c r="AY180" i="2"/>
  <c r="AZ180" i="2"/>
  <c r="BA180" i="2"/>
  <c r="AY182" i="2"/>
  <c r="AZ182" i="2"/>
  <c r="BA182" i="2"/>
  <c r="AY183" i="2"/>
  <c r="AZ183" i="2"/>
  <c r="BA183" i="2"/>
  <c r="AY184" i="2"/>
  <c r="AZ184" i="2"/>
  <c r="BA184" i="2"/>
  <c r="AY185" i="2"/>
  <c r="AZ185" i="2"/>
  <c r="BA185" i="2"/>
  <c r="AY186" i="2"/>
  <c r="AZ186" i="2"/>
  <c r="BA186" i="2"/>
  <c r="AY188" i="2"/>
  <c r="AZ188" i="2"/>
  <c r="BA188" i="2"/>
  <c r="AY189" i="2"/>
  <c r="AZ189" i="2"/>
  <c r="BA189" i="2"/>
  <c r="AY190" i="2"/>
  <c r="AZ190" i="2"/>
  <c r="BA190" i="2"/>
  <c r="AY191" i="2"/>
  <c r="AZ191" i="2"/>
  <c r="BA191" i="2"/>
  <c r="AY192" i="2"/>
  <c r="AZ192" i="2"/>
  <c r="BA192" i="2"/>
  <c r="AY193" i="2"/>
  <c r="AZ193" i="2"/>
  <c r="BA193" i="2"/>
  <c r="AY194" i="2"/>
  <c r="AZ194" i="2"/>
  <c r="BA194" i="2"/>
  <c r="AY196" i="2"/>
  <c r="AZ196" i="2"/>
  <c r="BA196" i="2"/>
  <c r="AY197" i="2"/>
  <c r="AZ197" i="2"/>
  <c r="BA197" i="2"/>
  <c r="AY198" i="2"/>
  <c r="AZ198" i="2"/>
  <c r="BA198" i="2"/>
  <c r="AY199" i="2"/>
  <c r="AZ199" i="2"/>
  <c r="BA199" i="2"/>
  <c r="AY200" i="2"/>
  <c r="AZ200" i="2"/>
  <c r="BA200" i="2"/>
  <c r="AY202" i="2"/>
  <c r="AZ202" i="2"/>
  <c r="BA202" i="2"/>
  <c r="AY203" i="2"/>
  <c r="AZ203" i="2"/>
  <c r="BA203" i="2"/>
  <c r="AY204" i="2"/>
  <c r="AZ204" i="2"/>
  <c r="BA204" i="2"/>
  <c r="AY209" i="2"/>
  <c r="AZ209" i="2"/>
  <c r="BA209" i="2"/>
  <c r="AY210" i="2"/>
  <c r="AZ210" i="2"/>
  <c r="BA210" i="2"/>
  <c r="AY212" i="2"/>
  <c r="AZ212" i="2"/>
  <c r="BA212" i="2"/>
  <c r="AY213" i="2"/>
  <c r="AZ213" i="2"/>
  <c r="BA213" i="2"/>
  <c r="AY215" i="2"/>
  <c r="AZ215" i="2"/>
  <c r="BA215" i="2"/>
  <c r="AY216" i="2"/>
  <c r="AZ216" i="2"/>
  <c r="BA216" i="2"/>
  <c r="AY218" i="2"/>
  <c r="AZ218" i="2"/>
  <c r="BA218" i="2"/>
  <c r="AY219" i="2"/>
  <c r="AZ219" i="2"/>
  <c r="BA219" i="2"/>
  <c r="AY220" i="2"/>
  <c r="AZ220" i="2"/>
  <c r="BA220" i="2"/>
  <c r="AY221" i="2"/>
  <c r="AZ221" i="2"/>
  <c r="BA221" i="2"/>
  <c r="AY224" i="2"/>
  <c r="AZ224" i="2"/>
  <c r="BA224" i="2"/>
  <c r="AY225" i="2"/>
  <c r="AZ225" i="2"/>
  <c r="BA225" i="2"/>
  <c r="AY226" i="2"/>
  <c r="AZ226" i="2"/>
  <c r="BA226" i="2"/>
  <c r="AY227" i="2"/>
  <c r="AZ227" i="2"/>
  <c r="BA227" i="2"/>
  <c r="AY228" i="2"/>
  <c r="AZ228" i="2"/>
  <c r="BA228" i="2"/>
  <c r="AY229" i="2"/>
  <c r="AZ229" i="2"/>
  <c r="BA229" i="2"/>
  <c r="AY230" i="2"/>
  <c r="AZ230" i="2"/>
  <c r="BA230" i="2"/>
  <c r="AY231" i="2"/>
  <c r="AZ231" i="2"/>
  <c r="BA231" i="2"/>
  <c r="AY232" i="2"/>
  <c r="AZ232" i="2"/>
  <c r="BA232" i="2"/>
  <c r="AY233" i="2"/>
  <c r="AZ233" i="2"/>
  <c r="BA233" i="2"/>
  <c r="AY234" i="2"/>
  <c r="AZ234" i="2"/>
  <c r="BA234" i="2"/>
  <c r="AY240" i="2"/>
  <c r="AZ240" i="2"/>
  <c r="BA240" i="2"/>
  <c r="AY241" i="2"/>
  <c r="AZ241" i="2"/>
  <c r="BA241" i="2"/>
  <c r="AY242" i="2"/>
  <c r="AZ242" i="2"/>
  <c r="BA242" i="2"/>
  <c r="AY243" i="2"/>
  <c r="AZ243" i="2"/>
  <c r="BA243" i="2"/>
  <c r="AY244" i="2"/>
  <c r="AZ244" i="2"/>
  <c r="BA244" i="2"/>
  <c r="AY246" i="2"/>
  <c r="AZ246" i="2"/>
  <c r="BA246" i="2"/>
  <c r="AY247" i="2"/>
  <c r="AZ247" i="2"/>
  <c r="BA247" i="2"/>
  <c r="AY249" i="2"/>
  <c r="AZ249" i="2"/>
  <c r="BA249" i="2"/>
  <c r="AY250" i="2"/>
  <c r="AZ250" i="2"/>
  <c r="BA250" i="2"/>
  <c r="AY251" i="2"/>
  <c r="AZ251" i="2"/>
  <c r="BA251" i="2"/>
  <c r="AY252" i="2"/>
  <c r="AZ252" i="2"/>
  <c r="BA252" i="2"/>
  <c r="AY254" i="2"/>
  <c r="AZ254" i="2"/>
  <c r="BA254" i="2"/>
  <c r="AY256" i="2"/>
  <c r="AZ256" i="2"/>
  <c r="BA256" i="2"/>
  <c r="AY257" i="2"/>
  <c r="AZ257" i="2"/>
  <c r="BA257" i="2"/>
  <c r="AY258" i="2"/>
  <c r="AZ258" i="2"/>
  <c r="BA258" i="2"/>
  <c r="AY259" i="2"/>
  <c r="AZ259" i="2"/>
  <c r="BA259" i="2"/>
  <c r="AY260" i="2"/>
  <c r="AZ260" i="2"/>
  <c r="BA260" i="2"/>
  <c r="AY261" i="2"/>
  <c r="AZ261" i="2"/>
  <c r="BA261" i="2"/>
  <c r="AY262" i="2"/>
  <c r="AZ262" i="2"/>
  <c r="BA262" i="2"/>
  <c r="AY263" i="2"/>
  <c r="AZ263" i="2"/>
  <c r="BA263" i="2"/>
  <c r="AY264" i="2"/>
  <c r="AZ264" i="2"/>
  <c r="BA264" i="2"/>
  <c r="AY265" i="2"/>
  <c r="AZ265" i="2"/>
  <c r="BA265" i="2"/>
  <c r="AY266" i="2"/>
  <c r="AZ266" i="2"/>
  <c r="BA266" i="2"/>
  <c r="AY267" i="2"/>
  <c r="AZ267" i="2"/>
  <c r="BA267" i="2"/>
  <c r="AY271" i="2"/>
  <c r="AZ271" i="2"/>
  <c r="BA271" i="2"/>
  <c r="AY272" i="2"/>
  <c r="AZ272" i="2"/>
  <c r="BA272" i="2"/>
  <c r="AY273" i="2"/>
  <c r="AZ273" i="2"/>
  <c r="BA273" i="2"/>
  <c r="AY275" i="2"/>
  <c r="AZ275" i="2"/>
  <c r="BA275" i="2"/>
  <c r="AY280" i="2"/>
  <c r="AZ280" i="2"/>
  <c r="BA280" i="2"/>
  <c r="BA6" i="2"/>
  <c r="AZ6" i="2"/>
  <c r="AY6" i="2"/>
  <c r="AX280" i="2"/>
  <c r="AX275" i="2"/>
  <c r="AX273" i="2"/>
  <c r="AX272" i="2"/>
  <c r="AX271" i="2"/>
  <c r="AX267" i="2"/>
  <c r="AX266" i="2"/>
  <c r="AX265" i="2"/>
  <c r="AX264" i="2"/>
  <c r="AX263" i="2"/>
  <c r="AX262" i="2"/>
  <c r="AX261" i="2"/>
  <c r="AX260" i="2"/>
  <c r="AX259" i="2"/>
  <c r="AX258" i="2"/>
  <c r="AX257" i="2"/>
  <c r="AX256" i="2"/>
  <c r="AX254" i="2"/>
  <c r="AX252" i="2"/>
  <c r="AX251" i="2"/>
  <c r="AX250" i="2"/>
  <c r="AX249" i="2"/>
  <c r="AX247" i="2"/>
  <c r="AX246" i="2"/>
  <c r="AX244" i="2"/>
  <c r="AX243" i="2"/>
  <c r="AX242" i="2"/>
  <c r="AX241" i="2"/>
  <c r="AX240" i="2"/>
  <c r="AX234" i="2"/>
  <c r="AX233" i="2"/>
  <c r="AX232" i="2"/>
  <c r="AX231" i="2"/>
  <c r="AX230" i="2"/>
  <c r="AX229" i="2"/>
  <c r="AX228" i="2"/>
  <c r="AX227" i="2"/>
  <c r="AX226" i="2"/>
  <c r="AX225" i="2"/>
  <c r="AX224" i="2"/>
  <c r="AX221" i="2"/>
  <c r="AX220" i="2"/>
  <c r="AX219" i="2"/>
  <c r="AX218" i="2"/>
  <c r="AX216" i="2"/>
  <c r="AX215" i="2"/>
  <c r="AX213" i="2"/>
  <c r="AX212" i="2"/>
  <c r="AX210" i="2"/>
  <c r="AX209" i="2"/>
  <c r="AX204" i="2"/>
  <c r="AX203" i="2"/>
  <c r="AX202" i="2"/>
  <c r="AX200" i="2"/>
  <c r="AX199" i="2"/>
  <c r="AX198" i="2"/>
  <c r="AX197" i="2"/>
  <c r="AX196" i="2"/>
  <c r="AX194" i="2"/>
  <c r="AX193" i="2"/>
  <c r="AX192" i="2"/>
  <c r="AX191" i="2"/>
  <c r="AX190" i="2"/>
  <c r="AX189" i="2"/>
  <c r="AX188" i="2"/>
  <c r="AX186" i="2"/>
  <c r="AX185" i="2"/>
  <c r="AX184" i="2"/>
  <c r="AX183" i="2"/>
  <c r="AX182" i="2"/>
  <c r="AX180" i="2"/>
  <c r="AX175" i="2"/>
  <c r="AX174" i="2"/>
  <c r="AX172" i="2"/>
  <c r="AX169" i="2"/>
  <c r="AX168" i="2"/>
  <c r="AX167" i="2"/>
  <c r="AX166" i="2"/>
  <c r="AX165" i="2"/>
  <c r="AX164" i="2"/>
  <c r="AX163" i="2"/>
  <c r="AX162" i="2"/>
  <c r="AX161" i="2"/>
  <c r="AX160" i="2"/>
  <c r="AX159" i="2"/>
  <c r="AX158" i="2"/>
  <c r="AX157" i="2"/>
  <c r="AX156" i="2"/>
  <c r="AX155" i="2"/>
  <c r="AX154" i="2"/>
  <c r="AX153" i="2"/>
  <c r="AX152" i="2"/>
  <c r="AX151" i="2"/>
  <c r="AX150" i="2"/>
  <c r="AX147" i="2"/>
  <c r="AX146" i="2"/>
  <c r="AX145" i="2"/>
  <c r="AX144" i="2"/>
  <c r="AX143" i="2"/>
  <c r="AX142" i="2"/>
  <c r="AX140" i="2"/>
  <c r="AX139" i="2"/>
  <c r="AX138" i="2"/>
  <c r="AX137" i="2"/>
  <c r="AX136" i="2"/>
  <c r="AX135" i="2"/>
  <c r="AX131" i="2"/>
  <c r="AX130" i="2"/>
  <c r="AX128" i="2"/>
  <c r="AX127" i="2"/>
  <c r="AX126" i="2"/>
  <c r="AX125" i="2"/>
  <c r="AX124" i="2"/>
  <c r="AX123" i="2"/>
  <c r="AX122" i="2"/>
  <c r="AX121" i="2"/>
  <c r="AX120" i="2"/>
  <c r="AX119" i="2"/>
  <c r="AX117" i="2"/>
  <c r="AX116" i="2"/>
  <c r="AX115" i="2"/>
  <c r="AX114" i="2"/>
  <c r="AX113" i="2"/>
  <c r="AX111" i="2"/>
  <c r="AX110" i="2"/>
  <c r="AX109" i="2"/>
  <c r="AX108" i="2"/>
  <c r="AX107" i="2"/>
  <c r="AX106" i="2"/>
  <c r="AX105" i="2"/>
  <c r="AX104" i="2"/>
  <c r="AX102" i="2"/>
  <c r="AX101" i="2"/>
  <c r="AX100" i="2"/>
  <c r="AX99" i="2"/>
  <c r="AX98" i="2"/>
  <c r="AX97" i="2"/>
  <c r="AX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X83" i="2"/>
  <c r="AX82" i="2"/>
  <c r="AX81" i="2"/>
  <c r="AX80" i="2"/>
  <c r="AX79" i="2"/>
  <c r="AX78" i="2"/>
  <c r="AX77" i="2"/>
  <c r="AX75" i="2"/>
  <c r="AX74" i="2"/>
  <c r="AX73" i="2"/>
  <c r="AX72" i="2"/>
  <c r="AX71" i="2"/>
  <c r="AX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X57" i="2"/>
  <c r="AX56" i="2"/>
  <c r="AX55" i="2"/>
  <c r="AX54" i="2"/>
  <c r="AX53" i="2"/>
  <c r="AX52" i="2"/>
  <c r="AX51" i="2"/>
  <c r="AX50" i="2"/>
  <c r="AX49" i="2"/>
  <c r="AX48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8" i="2"/>
  <c r="AX27" i="2"/>
  <c r="AX26" i="2"/>
  <c r="AX25" i="2"/>
  <c r="AX24" i="2"/>
  <c r="AX23" i="2"/>
  <c r="AX22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80" i="2"/>
  <c r="AW275" i="2"/>
  <c r="AW273" i="2"/>
  <c r="AW272" i="2"/>
  <c r="AW271" i="2"/>
  <c r="AW267" i="2"/>
  <c r="AW266" i="2"/>
  <c r="AW265" i="2"/>
  <c r="AW264" i="2"/>
  <c r="AW263" i="2"/>
  <c r="AW262" i="2"/>
  <c r="AW261" i="2"/>
  <c r="AW260" i="2"/>
  <c r="AW259" i="2"/>
  <c r="AW258" i="2"/>
  <c r="AW257" i="2"/>
  <c r="AW256" i="2"/>
  <c r="AW254" i="2"/>
  <c r="AW252" i="2"/>
  <c r="AW251" i="2"/>
  <c r="AW250" i="2"/>
  <c r="AW249" i="2"/>
  <c r="AW247" i="2"/>
  <c r="AW246" i="2"/>
  <c r="AW244" i="2"/>
  <c r="AW243" i="2"/>
  <c r="AW242" i="2"/>
  <c r="AW241" i="2"/>
  <c r="AW240" i="2"/>
  <c r="AW234" i="2"/>
  <c r="AW233" i="2"/>
  <c r="AW232" i="2"/>
  <c r="AW231" i="2"/>
  <c r="AW230" i="2"/>
  <c r="AW229" i="2"/>
  <c r="AW228" i="2"/>
  <c r="AW227" i="2"/>
  <c r="AW226" i="2"/>
  <c r="AW225" i="2"/>
  <c r="AW224" i="2"/>
  <c r="AW221" i="2"/>
  <c r="AW220" i="2"/>
  <c r="AW219" i="2"/>
  <c r="AW218" i="2"/>
  <c r="AW216" i="2"/>
  <c r="AW215" i="2"/>
  <c r="AW213" i="2"/>
  <c r="AW212" i="2"/>
  <c r="AW210" i="2"/>
  <c r="AW209" i="2"/>
  <c r="AW204" i="2"/>
  <c r="AW203" i="2"/>
  <c r="AW202" i="2"/>
  <c r="AW200" i="2"/>
  <c r="AW199" i="2"/>
  <c r="AW198" i="2"/>
  <c r="AW197" i="2"/>
  <c r="AW196" i="2"/>
  <c r="AW194" i="2"/>
  <c r="AW193" i="2"/>
  <c r="AW192" i="2"/>
  <c r="AW191" i="2"/>
  <c r="AW190" i="2"/>
  <c r="AW189" i="2"/>
  <c r="AW188" i="2"/>
  <c r="AW186" i="2"/>
  <c r="AW185" i="2"/>
  <c r="AW184" i="2"/>
  <c r="AW183" i="2"/>
  <c r="AW182" i="2"/>
  <c r="AW180" i="2"/>
  <c r="AW175" i="2"/>
  <c r="AW174" i="2"/>
  <c r="AW172" i="2"/>
  <c r="AW169" i="2"/>
  <c r="AW168" i="2"/>
  <c r="AW167" i="2"/>
  <c r="AW166" i="2"/>
  <c r="AW165" i="2"/>
  <c r="AW164" i="2"/>
  <c r="AW163" i="2"/>
  <c r="AW162" i="2"/>
  <c r="AW161" i="2"/>
  <c r="AW160" i="2"/>
  <c r="AW159" i="2"/>
  <c r="AW158" i="2"/>
  <c r="AW157" i="2"/>
  <c r="AW156" i="2"/>
  <c r="AW155" i="2"/>
  <c r="AW154" i="2"/>
  <c r="AW153" i="2"/>
  <c r="AW152" i="2"/>
  <c r="AW151" i="2"/>
  <c r="AW150" i="2"/>
  <c r="AW147" i="2"/>
  <c r="AW146" i="2"/>
  <c r="AW145" i="2"/>
  <c r="AW144" i="2"/>
  <c r="AW143" i="2"/>
  <c r="AW142" i="2"/>
  <c r="AW140" i="2"/>
  <c r="AW139" i="2"/>
  <c r="AW138" i="2"/>
  <c r="AW137" i="2"/>
  <c r="AW136" i="2"/>
  <c r="AW135" i="2"/>
  <c r="AW131" i="2"/>
  <c r="AW130" i="2"/>
  <c r="AW128" i="2"/>
  <c r="AW127" i="2"/>
  <c r="AW126" i="2"/>
  <c r="AW125" i="2"/>
  <c r="AW124" i="2"/>
  <c r="AW123" i="2"/>
  <c r="AW122" i="2"/>
  <c r="AW121" i="2"/>
  <c r="AW120" i="2"/>
  <c r="AW119" i="2"/>
  <c r="AW117" i="2"/>
  <c r="AW116" i="2"/>
  <c r="AW115" i="2"/>
  <c r="AW114" i="2"/>
  <c r="AW113" i="2"/>
  <c r="AW111" i="2"/>
  <c r="AW110" i="2"/>
  <c r="AW109" i="2"/>
  <c r="AW108" i="2"/>
  <c r="AW107" i="2"/>
  <c r="AW106" i="2"/>
  <c r="AW105" i="2"/>
  <c r="AW104" i="2"/>
  <c r="AW102" i="2"/>
  <c r="AW101" i="2"/>
  <c r="AW100" i="2"/>
  <c r="AW99" i="2"/>
  <c r="AW98" i="2"/>
  <c r="AW97" i="2"/>
  <c r="AW96" i="2"/>
  <c r="AW95" i="2"/>
  <c r="AW94" i="2"/>
  <c r="AW93" i="2"/>
  <c r="AW92" i="2"/>
  <c r="AW91" i="2"/>
  <c r="AW90" i="2"/>
  <c r="AW89" i="2"/>
  <c r="AW88" i="2"/>
  <c r="AW87" i="2"/>
  <c r="AW86" i="2"/>
  <c r="AW85" i="2"/>
  <c r="AW84" i="2"/>
  <c r="AW83" i="2"/>
  <c r="AW82" i="2"/>
  <c r="AW81" i="2"/>
  <c r="AW80" i="2"/>
  <c r="AW79" i="2"/>
  <c r="AW78" i="2"/>
  <c r="AW77" i="2"/>
  <c r="AW75" i="2"/>
  <c r="AW74" i="2"/>
  <c r="AW73" i="2"/>
  <c r="AW72" i="2"/>
  <c r="AW71" i="2"/>
  <c r="AW70" i="2"/>
  <c r="AW69" i="2"/>
  <c r="AW68" i="2"/>
  <c r="AW67" i="2"/>
  <c r="AW66" i="2"/>
  <c r="AW65" i="2"/>
  <c r="AW64" i="2"/>
  <c r="AW63" i="2"/>
  <c r="AW62" i="2"/>
  <c r="AW61" i="2"/>
  <c r="AW60" i="2"/>
  <c r="AW59" i="2"/>
  <c r="AW58" i="2"/>
  <c r="AW57" i="2"/>
  <c r="AW56" i="2"/>
  <c r="AW55" i="2"/>
  <c r="AW54" i="2"/>
  <c r="AW53" i="2"/>
  <c r="AW52" i="2"/>
  <c r="AW51" i="2"/>
  <c r="AW50" i="2"/>
  <c r="AW49" i="2"/>
  <c r="AW48" i="2"/>
  <c r="AW46" i="2"/>
  <c r="AW45" i="2"/>
  <c r="AW44" i="2"/>
  <c r="AW43" i="2"/>
  <c r="AW42" i="2"/>
  <c r="AW41" i="2"/>
  <c r="AW40" i="2"/>
  <c r="AW39" i="2"/>
  <c r="AW38" i="2"/>
  <c r="AW37" i="2"/>
  <c r="AW36" i="2"/>
  <c r="AW35" i="2"/>
  <c r="AW34" i="2"/>
  <c r="AW33" i="2"/>
  <c r="AW32" i="2"/>
  <c r="AW31" i="2"/>
  <c r="AW30" i="2"/>
  <c r="AW28" i="2"/>
  <c r="AW27" i="2"/>
  <c r="AW26" i="2"/>
  <c r="AW25" i="2"/>
  <c r="AW24" i="2"/>
  <c r="AW23" i="2"/>
  <c r="AW22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V280" i="2"/>
  <c r="AV275" i="2"/>
  <c r="AV273" i="2"/>
  <c r="AV272" i="2"/>
  <c r="AV271" i="2"/>
  <c r="AV267" i="2"/>
  <c r="AV266" i="2"/>
  <c r="AV265" i="2"/>
  <c r="AV264" i="2"/>
  <c r="AV263" i="2"/>
  <c r="AV262" i="2"/>
  <c r="AV261" i="2"/>
  <c r="AV260" i="2"/>
  <c r="AV259" i="2"/>
  <c r="AV258" i="2"/>
  <c r="AV257" i="2"/>
  <c r="AV256" i="2"/>
  <c r="AV254" i="2"/>
  <c r="AV252" i="2"/>
  <c r="AV251" i="2"/>
  <c r="AV250" i="2"/>
  <c r="AV249" i="2"/>
  <c r="AV247" i="2"/>
  <c r="AV246" i="2"/>
  <c r="AV244" i="2"/>
  <c r="AV243" i="2"/>
  <c r="AV242" i="2"/>
  <c r="AV241" i="2"/>
  <c r="AV240" i="2"/>
  <c r="AV234" i="2"/>
  <c r="AV233" i="2"/>
  <c r="AV232" i="2"/>
  <c r="AV231" i="2"/>
  <c r="AV230" i="2"/>
  <c r="AV229" i="2"/>
  <c r="AV228" i="2"/>
  <c r="AV227" i="2"/>
  <c r="AV226" i="2"/>
  <c r="AV225" i="2"/>
  <c r="AV224" i="2"/>
  <c r="AV221" i="2"/>
  <c r="AV220" i="2"/>
  <c r="AV219" i="2"/>
  <c r="AV218" i="2"/>
  <c r="AV216" i="2"/>
  <c r="AV215" i="2"/>
  <c r="AV213" i="2"/>
  <c r="AV212" i="2"/>
  <c r="AV210" i="2"/>
  <c r="AV209" i="2"/>
  <c r="AV204" i="2"/>
  <c r="AV203" i="2"/>
  <c r="AV202" i="2"/>
  <c r="AV200" i="2"/>
  <c r="AV199" i="2"/>
  <c r="AV198" i="2"/>
  <c r="AV197" i="2"/>
  <c r="AV196" i="2"/>
  <c r="AV194" i="2"/>
  <c r="AV193" i="2"/>
  <c r="AV192" i="2"/>
  <c r="AV191" i="2"/>
  <c r="AV190" i="2"/>
  <c r="AV189" i="2"/>
  <c r="AV188" i="2"/>
  <c r="AV186" i="2"/>
  <c r="AV185" i="2"/>
  <c r="AV184" i="2"/>
  <c r="AV183" i="2"/>
  <c r="AV182" i="2"/>
  <c r="AV180" i="2"/>
  <c r="AV175" i="2"/>
  <c r="AV174" i="2"/>
  <c r="AV172" i="2"/>
  <c r="AV169" i="2"/>
  <c r="AV168" i="2"/>
  <c r="AV167" i="2"/>
  <c r="AV166" i="2"/>
  <c r="AV165" i="2"/>
  <c r="AV164" i="2"/>
  <c r="AV163" i="2"/>
  <c r="AV162" i="2"/>
  <c r="AV161" i="2"/>
  <c r="AV160" i="2"/>
  <c r="AV159" i="2"/>
  <c r="AV158" i="2"/>
  <c r="AV157" i="2"/>
  <c r="AV156" i="2"/>
  <c r="AV155" i="2"/>
  <c r="AV154" i="2"/>
  <c r="AV153" i="2"/>
  <c r="AV152" i="2"/>
  <c r="AV151" i="2"/>
  <c r="AV150" i="2"/>
  <c r="AV147" i="2"/>
  <c r="AV146" i="2"/>
  <c r="AV145" i="2"/>
  <c r="AV144" i="2"/>
  <c r="AV143" i="2"/>
  <c r="AV142" i="2"/>
  <c r="AV140" i="2"/>
  <c r="AV139" i="2"/>
  <c r="AV138" i="2"/>
  <c r="AV137" i="2"/>
  <c r="AV136" i="2"/>
  <c r="AV135" i="2"/>
  <c r="AV131" i="2"/>
  <c r="AV130" i="2"/>
  <c r="AV128" i="2"/>
  <c r="AV127" i="2"/>
  <c r="AV126" i="2"/>
  <c r="AV125" i="2"/>
  <c r="AV124" i="2"/>
  <c r="AV123" i="2"/>
  <c r="AV122" i="2"/>
  <c r="AV121" i="2"/>
  <c r="AV120" i="2"/>
  <c r="AV119" i="2"/>
  <c r="AV117" i="2"/>
  <c r="AV116" i="2"/>
  <c r="AV115" i="2"/>
  <c r="AV114" i="2"/>
  <c r="AV113" i="2"/>
  <c r="AV111" i="2"/>
  <c r="AV110" i="2"/>
  <c r="AV109" i="2"/>
  <c r="AV108" i="2"/>
  <c r="AV107" i="2"/>
  <c r="AV106" i="2"/>
  <c r="AV105" i="2"/>
  <c r="AV104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83" i="2"/>
  <c r="AV82" i="2"/>
  <c r="AV81" i="2"/>
  <c r="AV80" i="2"/>
  <c r="AV79" i="2"/>
  <c r="AV78" i="2"/>
  <c r="AV77" i="2"/>
  <c r="AV75" i="2"/>
  <c r="AV74" i="2"/>
  <c r="AV73" i="2"/>
  <c r="AV72" i="2"/>
  <c r="AV71" i="2"/>
  <c r="AV70" i="2"/>
  <c r="AV69" i="2"/>
  <c r="AV68" i="2"/>
  <c r="AV67" i="2"/>
  <c r="AV66" i="2"/>
  <c r="AV65" i="2"/>
  <c r="AV64" i="2"/>
  <c r="AV63" i="2"/>
  <c r="AV62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8" i="2"/>
  <c r="AV27" i="2"/>
  <c r="AV26" i="2"/>
  <c r="AV25" i="2"/>
  <c r="AV24" i="2"/>
  <c r="AV23" i="2"/>
  <c r="AV22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R280" i="2"/>
  <c r="AR275" i="2"/>
  <c r="AR273" i="2"/>
  <c r="AR272" i="2"/>
  <c r="AR271" i="2"/>
  <c r="AR267" i="2"/>
  <c r="AR266" i="2"/>
  <c r="AR265" i="2"/>
  <c r="AR264" i="2"/>
  <c r="AR263" i="2"/>
  <c r="AR262" i="2"/>
  <c r="AR261" i="2"/>
  <c r="AR260" i="2"/>
  <c r="AR259" i="2"/>
  <c r="AR258" i="2"/>
  <c r="AR257" i="2"/>
  <c r="AR256" i="2"/>
  <c r="AR254" i="2"/>
  <c r="AR252" i="2"/>
  <c r="AR251" i="2"/>
  <c r="AR250" i="2"/>
  <c r="AR249" i="2"/>
  <c r="AR247" i="2"/>
  <c r="AR246" i="2"/>
  <c r="AR244" i="2"/>
  <c r="AR243" i="2"/>
  <c r="AR242" i="2"/>
  <c r="AR241" i="2"/>
  <c r="AR240" i="2"/>
  <c r="AR234" i="2"/>
  <c r="AR233" i="2"/>
  <c r="AR232" i="2"/>
  <c r="AR231" i="2"/>
  <c r="AR230" i="2"/>
  <c r="AR229" i="2"/>
  <c r="AR228" i="2"/>
  <c r="AR227" i="2"/>
  <c r="AR226" i="2"/>
  <c r="AR225" i="2"/>
  <c r="AR224" i="2"/>
  <c r="AR221" i="2"/>
  <c r="AR220" i="2"/>
  <c r="AR219" i="2"/>
  <c r="AR218" i="2"/>
  <c r="AR216" i="2"/>
  <c r="AR215" i="2"/>
  <c r="AR213" i="2"/>
  <c r="AR212" i="2"/>
  <c r="AR210" i="2"/>
  <c r="AR209" i="2"/>
  <c r="AR204" i="2"/>
  <c r="AR203" i="2"/>
  <c r="AR202" i="2"/>
  <c r="AR200" i="2"/>
  <c r="AR199" i="2"/>
  <c r="AR198" i="2"/>
  <c r="AR197" i="2"/>
  <c r="AR196" i="2"/>
  <c r="AR194" i="2"/>
  <c r="AR193" i="2"/>
  <c r="AR192" i="2"/>
  <c r="AR191" i="2"/>
  <c r="AR190" i="2"/>
  <c r="AR189" i="2"/>
  <c r="AR188" i="2"/>
  <c r="AR186" i="2"/>
  <c r="AR185" i="2"/>
  <c r="AR184" i="2"/>
  <c r="AR183" i="2"/>
  <c r="AR182" i="2"/>
  <c r="AR180" i="2"/>
  <c r="AR175" i="2"/>
  <c r="AR174" i="2"/>
  <c r="AR172" i="2"/>
  <c r="AR169" i="2"/>
  <c r="AR168" i="2"/>
  <c r="AR167" i="2"/>
  <c r="AR166" i="2"/>
  <c r="AR165" i="2"/>
  <c r="AR164" i="2"/>
  <c r="AR163" i="2"/>
  <c r="AR162" i="2"/>
  <c r="AR161" i="2"/>
  <c r="AR160" i="2"/>
  <c r="AR159" i="2"/>
  <c r="AR158" i="2"/>
  <c r="AR157" i="2"/>
  <c r="AR156" i="2"/>
  <c r="AR155" i="2"/>
  <c r="AR154" i="2"/>
  <c r="AR153" i="2"/>
  <c r="AR152" i="2"/>
  <c r="AR151" i="2"/>
  <c r="AR150" i="2"/>
  <c r="AR147" i="2"/>
  <c r="AR146" i="2"/>
  <c r="AR145" i="2"/>
  <c r="AR144" i="2"/>
  <c r="AR143" i="2"/>
  <c r="AR142" i="2"/>
  <c r="AR140" i="2"/>
  <c r="AR139" i="2"/>
  <c r="AR138" i="2"/>
  <c r="AR137" i="2"/>
  <c r="AR136" i="2"/>
  <c r="AR135" i="2"/>
  <c r="AR131" i="2"/>
  <c r="AR130" i="2"/>
  <c r="AR128" i="2"/>
  <c r="AR127" i="2"/>
  <c r="AR126" i="2"/>
  <c r="AR125" i="2"/>
  <c r="AR124" i="2"/>
  <c r="AR123" i="2"/>
  <c r="AR122" i="2"/>
  <c r="AR121" i="2"/>
  <c r="AR120" i="2"/>
  <c r="AR119" i="2"/>
  <c r="AR117" i="2"/>
  <c r="AR116" i="2"/>
  <c r="AR115" i="2"/>
  <c r="AR114" i="2"/>
  <c r="AR113" i="2"/>
  <c r="AR111" i="2"/>
  <c r="AR110" i="2"/>
  <c r="AR109" i="2"/>
  <c r="AR108" i="2"/>
  <c r="AR107" i="2"/>
  <c r="AR106" i="2"/>
  <c r="AR105" i="2"/>
  <c r="AR104" i="2"/>
  <c r="AR102" i="2"/>
  <c r="AR101" i="2"/>
  <c r="AR100" i="2"/>
  <c r="AR99" i="2"/>
  <c r="AR98" i="2"/>
  <c r="AR97" i="2"/>
  <c r="AR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75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3" i="2"/>
  <c r="AR52" i="2"/>
  <c r="AR51" i="2"/>
  <c r="AR50" i="2"/>
  <c r="AR49" i="2"/>
  <c r="AR48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8" i="2"/>
  <c r="AR27" i="2"/>
  <c r="AR26" i="2"/>
  <c r="AR25" i="2"/>
  <c r="AR24" i="2"/>
  <c r="AR23" i="2"/>
  <c r="AR22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Q280" i="2"/>
  <c r="AQ275" i="2"/>
  <c r="AQ273" i="2"/>
  <c r="AQ272" i="2"/>
  <c r="AQ271" i="2"/>
  <c r="AQ267" i="2"/>
  <c r="AQ266" i="2"/>
  <c r="AQ265" i="2"/>
  <c r="AQ264" i="2"/>
  <c r="AQ263" i="2"/>
  <c r="AQ262" i="2"/>
  <c r="AQ261" i="2"/>
  <c r="AQ260" i="2"/>
  <c r="AQ259" i="2"/>
  <c r="AQ258" i="2"/>
  <c r="AQ257" i="2"/>
  <c r="AQ256" i="2"/>
  <c r="AQ254" i="2"/>
  <c r="AQ252" i="2"/>
  <c r="AQ251" i="2"/>
  <c r="AQ250" i="2"/>
  <c r="AQ249" i="2"/>
  <c r="AQ247" i="2"/>
  <c r="AQ246" i="2"/>
  <c r="AQ244" i="2"/>
  <c r="AQ243" i="2"/>
  <c r="AQ242" i="2"/>
  <c r="AQ241" i="2"/>
  <c r="AQ240" i="2"/>
  <c r="AQ234" i="2"/>
  <c r="AQ233" i="2"/>
  <c r="AQ232" i="2"/>
  <c r="AQ231" i="2"/>
  <c r="AQ230" i="2"/>
  <c r="AQ229" i="2"/>
  <c r="AQ228" i="2"/>
  <c r="AQ227" i="2"/>
  <c r="AQ226" i="2"/>
  <c r="AQ225" i="2"/>
  <c r="AQ224" i="2"/>
  <c r="AQ221" i="2"/>
  <c r="AQ220" i="2"/>
  <c r="AQ219" i="2"/>
  <c r="AQ218" i="2"/>
  <c r="AQ216" i="2"/>
  <c r="AQ215" i="2"/>
  <c r="AQ213" i="2"/>
  <c r="AQ212" i="2"/>
  <c r="AQ210" i="2"/>
  <c r="AQ209" i="2"/>
  <c r="AQ204" i="2"/>
  <c r="AQ203" i="2"/>
  <c r="AQ202" i="2"/>
  <c r="AQ200" i="2"/>
  <c r="AQ199" i="2"/>
  <c r="AQ198" i="2"/>
  <c r="AQ197" i="2"/>
  <c r="AQ196" i="2"/>
  <c r="AQ194" i="2"/>
  <c r="AQ193" i="2"/>
  <c r="AQ192" i="2"/>
  <c r="AQ191" i="2"/>
  <c r="AQ190" i="2"/>
  <c r="AQ189" i="2"/>
  <c r="AQ188" i="2"/>
  <c r="AQ186" i="2"/>
  <c r="AQ185" i="2"/>
  <c r="AQ184" i="2"/>
  <c r="AQ183" i="2"/>
  <c r="AQ182" i="2"/>
  <c r="AQ180" i="2"/>
  <c r="AQ175" i="2"/>
  <c r="AQ174" i="2"/>
  <c r="AQ172" i="2"/>
  <c r="AQ169" i="2"/>
  <c r="AQ168" i="2"/>
  <c r="AQ167" i="2"/>
  <c r="AQ166" i="2"/>
  <c r="AQ165" i="2"/>
  <c r="AQ164" i="2"/>
  <c r="AQ163" i="2"/>
  <c r="AQ162" i="2"/>
  <c r="AQ161" i="2"/>
  <c r="AQ160" i="2"/>
  <c r="AQ159" i="2"/>
  <c r="AQ158" i="2"/>
  <c r="AQ157" i="2"/>
  <c r="AQ156" i="2"/>
  <c r="AQ155" i="2"/>
  <c r="AQ154" i="2"/>
  <c r="AQ153" i="2"/>
  <c r="AQ152" i="2"/>
  <c r="AQ151" i="2"/>
  <c r="AQ150" i="2"/>
  <c r="AQ147" i="2"/>
  <c r="AQ146" i="2"/>
  <c r="AQ145" i="2"/>
  <c r="AQ144" i="2"/>
  <c r="AQ143" i="2"/>
  <c r="AQ142" i="2"/>
  <c r="AQ140" i="2"/>
  <c r="AQ139" i="2"/>
  <c r="AQ138" i="2"/>
  <c r="AQ137" i="2"/>
  <c r="AQ136" i="2"/>
  <c r="AQ135" i="2"/>
  <c r="AQ131" i="2"/>
  <c r="AQ130" i="2"/>
  <c r="AQ128" i="2"/>
  <c r="AQ127" i="2"/>
  <c r="AQ126" i="2"/>
  <c r="AQ125" i="2"/>
  <c r="AQ124" i="2"/>
  <c r="AQ123" i="2"/>
  <c r="AQ122" i="2"/>
  <c r="AQ121" i="2"/>
  <c r="AQ120" i="2"/>
  <c r="AQ119" i="2"/>
  <c r="AQ117" i="2"/>
  <c r="AQ116" i="2"/>
  <c r="AQ115" i="2"/>
  <c r="AQ114" i="2"/>
  <c r="AQ113" i="2"/>
  <c r="AQ111" i="2"/>
  <c r="AQ110" i="2"/>
  <c r="AQ109" i="2"/>
  <c r="AQ108" i="2"/>
  <c r="AQ107" i="2"/>
  <c r="AQ106" i="2"/>
  <c r="AQ105" i="2"/>
  <c r="AQ104" i="2"/>
  <c r="AQ102" i="2"/>
  <c r="AQ101" i="2"/>
  <c r="AQ100" i="2"/>
  <c r="AQ99" i="2"/>
  <c r="AQ98" i="2"/>
  <c r="AQ97" i="2"/>
  <c r="AQ96" i="2"/>
  <c r="AQ95" i="2"/>
  <c r="AQ94" i="2"/>
  <c r="AQ93" i="2"/>
  <c r="AQ92" i="2"/>
  <c r="AQ91" i="2"/>
  <c r="AQ90" i="2"/>
  <c r="AQ89" i="2"/>
  <c r="AQ88" i="2"/>
  <c r="AQ87" i="2"/>
  <c r="AQ86" i="2"/>
  <c r="AQ85" i="2"/>
  <c r="AQ84" i="2"/>
  <c r="AQ83" i="2"/>
  <c r="AQ82" i="2"/>
  <c r="AQ81" i="2"/>
  <c r="AQ80" i="2"/>
  <c r="AQ79" i="2"/>
  <c r="AQ78" i="2"/>
  <c r="AQ77" i="2"/>
  <c r="AQ75" i="2"/>
  <c r="AQ74" i="2"/>
  <c r="AQ73" i="2"/>
  <c r="AQ72" i="2"/>
  <c r="AQ71" i="2"/>
  <c r="AQ70" i="2"/>
  <c r="AQ69" i="2"/>
  <c r="AQ68" i="2"/>
  <c r="AQ67" i="2"/>
  <c r="AQ66" i="2"/>
  <c r="AQ65" i="2"/>
  <c r="AQ64" i="2"/>
  <c r="AQ63" i="2"/>
  <c r="AQ62" i="2"/>
  <c r="AQ61" i="2"/>
  <c r="AQ60" i="2"/>
  <c r="AQ59" i="2"/>
  <c r="AQ58" i="2"/>
  <c r="AQ57" i="2"/>
  <c r="AQ56" i="2"/>
  <c r="AQ55" i="2"/>
  <c r="AQ54" i="2"/>
  <c r="AQ53" i="2"/>
  <c r="AQ52" i="2"/>
  <c r="AQ51" i="2"/>
  <c r="AQ50" i="2"/>
  <c r="AQ49" i="2"/>
  <c r="AQ48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8" i="2"/>
  <c r="AQ27" i="2"/>
  <c r="AQ26" i="2"/>
  <c r="AQ25" i="2"/>
  <c r="AQ24" i="2"/>
  <c r="AQ23" i="2"/>
  <c r="AQ22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P280" i="2"/>
  <c r="AP275" i="2"/>
  <c r="AP273" i="2"/>
  <c r="AP272" i="2"/>
  <c r="AP271" i="2"/>
  <c r="AP267" i="2"/>
  <c r="AP266" i="2"/>
  <c r="AP265" i="2"/>
  <c r="AP264" i="2"/>
  <c r="AP263" i="2"/>
  <c r="AP262" i="2"/>
  <c r="AP261" i="2"/>
  <c r="AP260" i="2"/>
  <c r="AP259" i="2"/>
  <c r="AP258" i="2"/>
  <c r="AP257" i="2"/>
  <c r="AP256" i="2"/>
  <c r="AP254" i="2"/>
  <c r="AP252" i="2"/>
  <c r="AP251" i="2"/>
  <c r="AP250" i="2"/>
  <c r="AP249" i="2"/>
  <c r="AP247" i="2"/>
  <c r="AP246" i="2"/>
  <c r="AP244" i="2"/>
  <c r="AP243" i="2"/>
  <c r="AP242" i="2"/>
  <c r="AP241" i="2"/>
  <c r="AP240" i="2"/>
  <c r="AP234" i="2"/>
  <c r="AP233" i="2"/>
  <c r="AP232" i="2"/>
  <c r="AP231" i="2"/>
  <c r="AP230" i="2"/>
  <c r="AP229" i="2"/>
  <c r="AP228" i="2"/>
  <c r="AP227" i="2"/>
  <c r="AP226" i="2"/>
  <c r="AP225" i="2"/>
  <c r="AP224" i="2"/>
  <c r="AP221" i="2"/>
  <c r="AP220" i="2"/>
  <c r="AP219" i="2"/>
  <c r="AP218" i="2"/>
  <c r="AP216" i="2"/>
  <c r="AP215" i="2"/>
  <c r="AP213" i="2"/>
  <c r="AP212" i="2"/>
  <c r="AP210" i="2"/>
  <c r="AP209" i="2"/>
  <c r="AP204" i="2"/>
  <c r="AP203" i="2"/>
  <c r="AP202" i="2"/>
  <c r="AP200" i="2"/>
  <c r="AP199" i="2"/>
  <c r="AP198" i="2"/>
  <c r="AP197" i="2"/>
  <c r="AP196" i="2"/>
  <c r="AP194" i="2"/>
  <c r="AP193" i="2"/>
  <c r="AP192" i="2"/>
  <c r="AP191" i="2"/>
  <c r="AP190" i="2"/>
  <c r="AP189" i="2"/>
  <c r="AP188" i="2"/>
  <c r="AP186" i="2"/>
  <c r="AP185" i="2"/>
  <c r="AP184" i="2"/>
  <c r="AP183" i="2"/>
  <c r="AP182" i="2"/>
  <c r="AP180" i="2"/>
  <c r="AP175" i="2"/>
  <c r="AP174" i="2"/>
  <c r="AP172" i="2"/>
  <c r="AP169" i="2"/>
  <c r="AP168" i="2"/>
  <c r="AP167" i="2"/>
  <c r="AP166" i="2"/>
  <c r="AP165" i="2"/>
  <c r="AP164" i="2"/>
  <c r="AP163" i="2"/>
  <c r="AP162" i="2"/>
  <c r="AP161" i="2"/>
  <c r="AP160" i="2"/>
  <c r="AP159" i="2"/>
  <c r="AP158" i="2"/>
  <c r="AP157" i="2"/>
  <c r="AP156" i="2"/>
  <c r="AP155" i="2"/>
  <c r="AP154" i="2"/>
  <c r="AP153" i="2"/>
  <c r="AP152" i="2"/>
  <c r="AP151" i="2"/>
  <c r="AP150" i="2"/>
  <c r="AP147" i="2"/>
  <c r="AP146" i="2"/>
  <c r="AP145" i="2"/>
  <c r="AP144" i="2"/>
  <c r="AP143" i="2"/>
  <c r="AP142" i="2"/>
  <c r="AP140" i="2"/>
  <c r="AP139" i="2"/>
  <c r="AP138" i="2"/>
  <c r="AP137" i="2"/>
  <c r="AP136" i="2"/>
  <c r="AP135" i="2"/>
  <c r="AP131" i="2"/>
  <c r="AP130" i="2"/>
  <c r="AP128" i="2"/>
  <c r="AP127" i="2"/>
  <c r="AP126" i="2"/>
  <c r="AP125" i="2"/>
  <c r="AP124" i="2"/>
  <c r="AP123" i="2"/>
  <c r="AP122" i="2"/>
  <c r="AP121" i="2"/>
  <c r="AP120" i="2"/>
  <c r="AP119" i="2"/>
  <c r="AP117" i="2"/>
  <c r="AP116" i="2"/>
  <c r="AP115" i="2"/>
  <c r="AP114" i="2"/>
  <c r="AP113" i="2"/>
  <c r="AP111" i="2"/>
  <c r="AP110" i="2"/>
  <c r="AP109" i="2"/>
  <c r="AP108" i="2"/>
  <c r="AP107" i="2"/>
  <c r="AP106" i="2"/>
  <c r="AP105" i="2"/>
  <c r="AP104" i="2"/>
  <c r="AP102" i="2"/>
  <c r="AP101" i="2"/>
  <c r="AP100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8" i="2"/>
  <c r="AP27" i="2"/>
  <c r="AP26" i="2"/>
  <c r="AP25" i="2"/>
  <c r="AP24" i="2"/>
  <c r="AP23" i="2"/>
  <c r="AP22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J280" i="2"/>
  <c r="AJ275" i="2"/>
  <c r="AJ273" i="2"/>
  <c r="AJ272" i="2"/>
  <c r="AJ271" i="2"/>
  <c r="AJ267" i="2"/>
  <c r="AJ266" i="2"/>
  <c r="AJ265" i="2"/>
  <c r="AJ264" i="2"/>
  <c r="AJ263" i="2"/>
  <c r="AJ262" i="2"/>
  <c r="AJ261" i="2"/>
  <c r="AJ260" i="2"/>
  <c r="AJ259" i="2"/>
  <c r="AJ258" i="2"/>
  <c r="AJ257" i="2"/>
  <c r="AJ256" i="2"/>
  <c r="AJ254" i="2"/>
  <c r="AJ252" i="2"/>
  <c r="AJ251" i="2"/>
  <c r="AJ250" i="2"/>
  <c r="AJ249" i="2"/>
  <c r="AJ247" i="2"/>
  <c r="AJ246" i="2"/>
  <c r="AJ244" i="2"/>
  <c r="AJ243" i="2"/>
  <c r="AJ242" i="2"/>
  <c r="AJ241" i="2"/>
  <c r="AJ240" i="2"/>
  <c r="AJ234" i="2"/>
  <c r="AJ233" i="2"/>
  <c r="AJ232" i="2"/>
  <c r="AJ231" i="2"/>
  <c r="AJ230" i="2"/>
  <c r="AJ229" i="2"/>
  <c r="AJ228" i="2"/>
  <c r="AJ227" i="2"/>
  <c r="AJ226" i="2"/>
  <c r="AJ225" i="2"/>
  <c r="AJ224" i="2"/>
  <c r="AJ221" i="2"/>
  <c r="AJ220" i="2"/>
  <c r="AJ219" i="2"/>
  <c r="AJ218" i="2"/>
  <c r="AJ216" i="2"/>
  <c r="AJ215" i="2"/>
  <c r="AJ213" i="2"/>
  <c r="AJ212" i="2"/>
  <c r="AJ210" i="2"/>
  <c r="AJ209" i="2"/>
  <c r="AJ204" i="2"/>
  <c r="AJ203" i="2"/>
  <c r="AJ202" i="2"/>
  <c r="AJ200" i="2"/>
  <c r="AJ199" i="2"/>
  <c r="AJ198" i="2"/>
  <c r="AJ197" i="2"/>
  <c r="AJ196" i="2"/>
  <c r="AJ194" i="2"/>
  <c r="AJ193" i="2"/>
  <c r="AJ192" i="2"/>
  <c r="AJ191" i="2"/>
  <c r="AJ190" i="2"/>
  <c r="AJ189" i="2"/>
  <c r="AJ188" i="2"/>
  <c r="AJ186" i="2"/>
  <c r="AJ185" i="2"/>
  <c r="AJ184" i="2"/>
  <c r="AJ183" i="2"/>
  <c r="AJ182" i="2"/>
  <c r="AJ180" i="2"/>
  <c r="AJ175" i="2"/>
  <c r="AJ174" i="2"/>
  <c r="AJ172" i="2"/>
  <c r="AJ169" i="2"/>
  <c r="AJ168" i="2"/>
  <c r="AJ167" i="2"/>
  <c r="AJ166" i="2"/>
  <c r="AJ165" i="2"/>
  <c r="AJ164" i="2"/>
  <c r="AJ163" i="2"/>
  <c r="AJ162" i="2"/>
  <c r="AJ161" i="2"/>
  <c r="AJ160" i="2"/>
  <c r="AJ159" i="2"/>
  <c r="AJ158" i="2"/>
  <c r="AJ157" i="2"/>
  <c r="AJ156" i="2"/>
  <c r="AJ155" i="2"/>
  <c r="AJ154" i="2"/>
  <c r="AJ153" i="2"/>
  <c r="AJ152" i="2"/>
  <c r="AJ151" i="2"/>
  <c r="AJ150" i="2"/>
  <c r="AJ147" i="2"/>
  <c r="AJ146" i="2"/>
  <c r="AJ145" i="2"/>
  <c r="AJ144" i="2"/>
  <c r="AJ143" i="2"/>
  <c r="AJ142" i="2"/>
  <c r="AJ140" i="2"/>
  <c r="AJ139" i="2"/>
  <c r="AJ138" i="2"/>
  <c r="AJ137" i="2"/>
  <c r="AJ136" i="2"/>
  <c r="AJ135" i="2"/>
  <c r="AJ131" i="2"/>
  <c r="AJ130" i="2"/>
  <c r="AJ128" i="2"/>
  <c r="AJ127" i="2"/>
  <c r="AJ126" i="2"/>
  <c r="AJ125" i="2"/>
  <c r="AJ124" i="2"/>
  <c r="AJ123" i="2"/>
  <c r="AJ122" i="2"/>
  <c r="AJ121" i="2"/>
  <c r="AJ120" i="2"/>
  <c r="AJ119" i="2"/>
  <c r="AJ117" i="2"/>
  <c r="AJ116" i="2"/>
  <c r="AJ115" i="2"/>
  <c r="AJ114" i="2"/>
  <c r="AJ113" i="2"/>
  <c r="AJ111" i="2"/>
  <c r="AJ110" i="2"/>
  <c r="AJ109" i="2"/>
  <c r="AJ108" i="2"/>
  <c r="AJ107" i="2"/>
  <c r="AJ106" i="2"/>
  <c r="AJ105" i="2"/>
  <c r="AJ104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8" i="2"/>
  <c r="AJ27" i="2"/>
  <c r="AJ26" i="2"/>
  <c r="AJ25" i="2"/>
  <c r="AJ24" i="2"/>
  <c r="AJ23" i="2"/>
  <c r="AJ22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O280" i="2"/>
  <c r="BH280" i="2" s="1"/>
  <c r="AO275" i="2"/>
  <c r="BH275" i="2" s="1"/>
  <c r="AO273" i="2"/>
  <c r="BH273" i="2" s="1"/>
  <c r="AO272" i="2"/>
  <c r="BH272" i="2" s="1"/>
  <c r="AO271" i="2"/>
  <c r="BH271" i="2" s="1"/>
  <c r="AO267" i="2"/>
  <c r="BH267" i="2" s="1"/>
  <c r="AO266" i="2"/>
  <c r="BH266" i="2" s="1"/>
  <c r="AO265" i="2"/>
  <c r="BH265" i="2" s="1"/>
  <c r="AO264" i="2"/>
  <c r="BH264" i="2" s="1"/>
  <c r="AO263" i="2"/>
  <c r="BH263" i="2" s="1"/>
  <c r="AO262" i="2"/>
  <c r="BH262" i="2" s="1"/>
  <c r="AO261" i="2"/>
  <c r="BH261" i="2" s="1"/>
  <c r="AO260" i="2"/>
  <c r="BH260" i="2" s="1"/>
  <c r="AO259" i="2"/>
  <c r="BH259" i="2" s="1"/>
  <c r="AO258" i="2"/>
  <c r="BH258" i="2" s="1"/>
  <c r="AO257" i="2"/>
  <c r="BH257" i="2" s="1"/>
  <c r="AO256" i="2"/>
  <c r="BH256" i="2" s="1"/>
  <c r="AO254" i="2"/>
  <c r="BH254" i="2" s="1"/>
  <c r="AO252" i="2"/>
  <c r="BH252" i="2" s="1"/>
  <c r="AO251" i="2"/>
  <c r="BH251" i="2" s="1"/>
  <c r="AO250" i="2"/>
  <c r="BH250" i="2" s="1"/>
  <c r="AO249" i="2"/>
  <c r="BH249" i="2" s="1"/>
  <c r="AO247" i="2"/>
  <c r="BH247" i="2" s="1"/>
  <c r="AO246" i="2"/>
  <c r="BH246" i="2" s="1"/>
  <c r="AO244" i="2"/>
  <c r="BH244" i="2" s="1"/>
  <c r="AO243" i="2"/>
  <c r="BH243" i="2" s="1"/>
  <c r="AO242" i="2"/>
  <c r="BH242" i="2" s="1"/>
  <c r="AO241" i="2"/>
  <c r="BH241" i="2" s="1"/>
  <c r="AO240" i="2"/>
  <c r="BH240" i="2" s="1"/>
  <c r="AO234" i="2"/>
  <c r="BH234" i="2" s="1"/>
  <c r="AO233" i="2"/>
  <c r="BH233" i="2" s="1"/>
  <c r="AO232" i="2"/>
  <c r="BH232" i="2" s="1"/>
  <c r="AO231" i="2"/>
  <c r="BH231" i="2" s="1"/>
  <c r="AO230" i="2"/>
  <c r="BH230" i="2" s="1"/>
  <c r="AO229" i="2"/>
  <c r="BH229" i="2" s="1"/>
  <c r="AO228" i="2"/>
  <c r="BH228" i="2" s="1"/>
  <c r="AO227" i="2"/>
  <c r="BH227" i="2" s="1"/>
  <c r="AO226" i="2"/>
  <c r="BH226" i="2" s="1"/>
  <c r="AO225" i="2"/>
  <c r="BH225" i="2" s="1"/>
  <c r="AO224" i="2"/>
  <c r="BH224" i="2" s="1"/>
  <c r="AO221" i="2"/>
  <c r="BH221" i="2" s="1"/>
  <c r="AO220" i="2"/>
  <c r="BH220" i="2" s="1"/>
  <c r="AO219" i="2"/>
  <c r="BH219" i="2" s="1"/>
  <c r="AO218" i="2"/>
  <c r="BH218" i="2" s="1"/>
  <c r="AO216" i="2"/>
  <c r="BH216" i="2" s="1"/>
  <c r="AO215" i="2"/>
  <c r="BH215" i="2" s="1"/>
  <c r="AO213" i="2"/>
  <c r="BH213" i="2" s="1"/>
  <c r="AO212" i="2"/>
  <c r="BH212" i="2" s="1"/>
  <c r="AO210" i="2"/>
  <c r="BH210" i="2" s="1"/>
  <c r="AO209" i="2"/>
  <c r="BH209" i="2" s="1"/>
  <c r="AO204" i="2"/>
  <c r="BH204" i="2" s="1"/>
  <c r="AO203" i="2"/>
  <c r="BH203" i="2" s="1"/>
  <c r="AO202" i="2"/>
  <c r="BH202" i="2" s="1"/>
  <c r="AO200" i="2"/>
  <c r="BH200" i="2" s="1"/>
  <c r="AO199" i="2"/>
  <c r="BH199" i="2" s="1"/>
  <c r="AO198" i="2"/>
  <c r="BH198" i="2" s="1"/>
  <c r="AO197" i="2"/>
  <c r="BH197" i="2" s="1"/>
  <c r="AO196" i="2"/>
  <c r="BH196" i="2" s="1"/>
  <c r="AO194" i="2"/>
  <c r="BH194" i="2" s="1"/>
  <c r="AO193" i="2"/>
  <c r="BH193" i="2" s="1"/>
  <c r="AO192" i="2"/>
  <c r="BH192" i="2" s="1"/>
  <c r="AO191" i="2"/>
  <c r="BH191" i="2" s="1"/>
  <c r="AO190" i="2"/>
  <c r="BH190" i="2" s="1"/>
  <c r="AO189" i="2"/>
  <c r="BH189" i="2" s="1"/>
  <c r="AO188" i="2"/>
  <c r="BH188" i="2" s="1"/>
  <c r="AO186" i="2"/>
  <c r="BH186" i="2" s="1"/>
  <c r="AO185" i="2"/>
  <c r="BH185" i="2" s="1"/>
  <c r="AO184" i="2"/>
  <c r="BH184" i="2" s="1"/>
  <c r="AO183" i="2"/>
  <c r="BH183" i="2" s="1"/>
  <c r="AO182" i="2"/>
  <c r="BH182" i="2" s="1"/>
  <c r="AO180" i="2"/>
  <c r="BH180" i="2" s="1"/>
  <c r="AO175" i="2"/>
  <c r="BH175" i="2" s="1"/>
  <c r="AO174" i="2"/>
  <c r="BH174" i="2" s="1"/>
  <c r="AO172" i="2"/>
  <c r="BH172" i="2" s="1"/>
  <c r="AO169" i="2"/>
  <c r="BH169" i="2" s="1"/>
  <c r="AO168" i="2"/>
  <c r="BH168" i="2" s="1"/>
  <c r="AO167" i="2"/>
  <c r="BH167" i="2" s="1"/>
  <c r="AO166" i="2"/>
  <c r="BH166" i="2" s="1"/>
  <c r="AO165" i="2"/>
  <c r="BH165" i="2" s="1"/>
  <c r="AO164" i="2"/>
  <c r="BH164" i="2" s="1"/>
  <c r="AO163" i="2"/>
  <c r="BH163" i="2" s="1"/>
  <c r="AO162" i="2"/>
  <c r="BH162" i="2" s="1"/>
  <c r="AO161" i="2"/>
  <c r="BH161" i="2" s="1"/>
  <c r="AO160" i="2"/>
  <c r="BH160" i="2" s="1"/>
  <c r="AO159" i="2"/>
  <c r="BH159" i="2" s="1"/>
  <c r="AO158" i="2"/>
  <c r="BH158" i="2" s="1"/>
  <c r="AO157" i="2"/>
  <c r="BH157" i="2" s="1"/>
  <c r="AO156" i="2"/>
  <c r="BH156" i="2" s="1"/>
  <c r="AO155" i="2"/>
  <c r="BH155" i="2" s="1"/>
  <c r="AO154" i="2"/>
  <c r="BH154" i="2" s="1"/>
  <c r="AO153" i="2"/>
  <c r="BH153" i="2" s="1"/>
  <c r="AO152" i="2"/>
  <c r="BH152" i="2" s="1"/>
  <c r="AO151" i="2"/>
  <c r="BH151" i="2" s="1"/>
  <c r="AO150" i="2"/>
  <c r="BH150" i="2" s="1"/>
  <c r="AO147" i="2"/>
  <c r="BH147" i="2" s="1"/>
  <c r="AO146" i="2"/>
  <c r="BH146" i="2" s="1"/>
  <c r="AO145" i="2"/>
  <c r="BH145" i="2" s="1"/>
  <c r="AO144" i="2"/>
  <c r="BH144" i="2" s="1"/>
  <c r="AO143" i="2"/>
  <c r="BH143" i="2" s="1"/>
  <c r="AO142" i="2"/>
  <c r="BH142" i="2" s="1"/>
  <c r="AO140" i="2"/>
  <c r="BH140" i="2" s="1"/>
  <c r="AO139" i="2"/>
  <c r="BH139" i="2" s="1"/>
  <c r="AO138" i="2"/>
  <c r="BH138" i="2" s="1"/>
  <c r="AO137" i="2"/>
  <c r="BH137" i="2" s="1"/>
  <c r="AO136" i="2"/>
  <c r="BH136" i="2" s="1"/>
  <c r="AO135" i="2"/>
  <c r="BH135" i="2" s="1"/>
  <c r="AO131" i="2"/>
  <c r="BH131" i="2" s="1"/>
  <c r="AO130" i="2"/>
  <c r="BH130" i="2" s="1"/>
  <c r="AO128" i="2"/>
  <c r="BH128" i="2" s="1"/>
  <c r="AO127" i="2"/>
  <c r="BH127" i="2" s="1"/>
  <c r="AO126" i="2"/>
  <c r="BH126" i="2" s="1"/>
  <c r="AO125" i="2"/>
  <c r="BH125" i="2" s="1"/>
  <c r="AO124" i="2"/>
  <c r="BH124" i="2" s="1"/>
  <c r="AO123" i="2"/>
  <c r="BH123" i="2" s="1"/>
  <c r="AO122" i="2"/>
  <c r="BH122" i="2" s="1"/>
  <c r="AO121" i="2"/>
  <c r="BH121" i="2" s="1"/>
  <c r="AO120" i="2"/>
  <c r="BH120" i="2" s="1"/>
  <c r="AO119" i="2"/>
  <c r="BH119" i="2" s="1"/>
  <c r="AO117" i="2"/>
  <c r="BH117" i="2" s="1"/>
  <c r="AO116" i="2"/>
  <c r="BH116" i="2" s="1"/>
  <c r="AO115" i="2"/>
  <c r="BH115" i="2" s="1"/>
  <c r="AO114" i="2"/>
  <c r="BH114" i="2" s="1"/>
  <c r="AO113" i="2"/>
  <c r="BH113" i="2" s="1"/>
  <c r="AO111" i="2"/>
  <c r="BH111" i="2" s="1"/>
  <c r="AO110" i="2"/>
  <c r="BH110" i="2" s="1"/>
  <c r="AO109" i="2"/>
  <c r="BH109" i="2" s="1"/>
  <c r="AO108" i="2"/>
  <c r="BH108" i="2" s="1"/>
  <c r="AO107" i="2"/>
  <c r="BH107" i="2" s="1"/>
  <c r="AO106" i="2"/>
  <c r="BH106" i="2" s="1"/>
  <c r="AO105" i="2"/>
  <c r="BH105" i="2" s="1"/>
  <c r="AO104" i="2"/>
  <c r="BH104" i="2" s="1"/>
  <c r="AO102" i="2"/>
  <c r="BH102" i="2" s="1"/>
  <c r="AO101" i="2"/>
  <c r="BH101" i="2" s="1"/>
  <c r="AO100" i="2"/>
  <c r="BH100" i="2" s="1"/>
  <c r="AO99" i="2"/>
  <c r="BH99" i="2" s="1"/>
  <c r="AO98" i="2"/>
  <c r="BH98" i="2" s="1"/>
  <c r="AO97" i="2"/>
  <c r="BH97" i="2" s="1"/>
  <c r="AO96" i="2"/>
  <c r="BH96" i="2" s="1"/>
  <c r="AO95" i="2"/>
  <c r="BH95" i="2" s="1"/>
  <c r="AO94" i="2"/>
  <c r="BH94" i="2" s="1"/>
  <c r="AO93" i="2"/>
  <c r="BH93" i="2" s="1"/>
  <c r="AO92" i="2"/>
  <c r="BH92" i="2" s="1"/>
  <c r="AO91" i="2"/>
  <c r="BH91" i="2" s="1"/>
  <c r="AO90" i="2"/>
  <c r="BH90" i="2" s="1"/>
  <c r="AO89" i="2"/>
  <c r="BH89" i="2" s="1"/>
  <c r="AO88" i="2"/>
  <c r="AO87" i="2"/>
  <c r="BH87" i="2" s="1"/>
  <c r="AO86" i="2"/>
  <c r="BH86" i="2" s="1"/>
  <c r="AO85" i="2"/>
  <c r="BH85" i="2" s="1"/>
  <c r="AO84" i="2"/>
  <c r="BH84" i="2" s="1"/>
  <c r="AO83" i="2"/>
  <c r="BH83" i="2" s="1"/>
  <c r="AO82" i="2"/>
  <c r="BH82" i="2" s="1"/>
  <c r="AO81" i="2"/>
  <c r="BH81" i="2" s="1"/>
  <c r="AO80" i="2"/>
  <c r="BH80" i="2" s="1"/>
  <c r="AO79" i="2"/>
  <c r="BH79" i="2" s="1"/>
  <c r="AO78" i="2"/>
  <c r="BH78" i="2" s="1"/>
  <c r="AO77" i="2"/>
  <c r="BH77" i="2" s="1"/>
  <c r="AO75" i="2"/>
  <c r="BH75" i="2" s="1"/>
  <c r="AO74" i="2"/>
  <c r="BH74" i="2" s="1"/>
  <c r="AO73" i="2"/>
  <c r="BH73" i="2" s="1"/>
  <c r="AO72" i="2"/>
  <c r="BH72" i="2" s="1"/>
  <c r="AO71" i="2"/>
  <c r="BH71" i="2" s="1"/>
  <c r="AO70" i="2"/>
  <c r="BH70" i="2" s="1"/>
  <c r="AO69" i="2"/>
  <c r="BH69" i="2" s="1"/>
  <c r="AO68" i="2"/>
  <c r="BH68" i="2" s="1"/>
  <c r="AO67" i="2"/>
  <c r="BH67" i="2" s="1"/>
  <c r="AO66" i="2"/>
  <c r="BH66" i="2" s="1"/>
  <c r="AO65" i="2"/>
  <c r="BH65" i="2" s="1"/>
  <c r="AO64" i="2"/>
  <c r="BH64" i="2" s="1"/>
  <c r="AO63" i="2"/>
  <c r="BH63" i="2" s="1"/>
  <c r="AO62" i="2"/>
  <c r="BH62" i="2" s="1"/>
  <c r="AO61" i="2"/>
  <c r="BH61" i="2" s="1"/>
  <c r="AO60" i="2"/>
  <c r="BH60" i="2" s="1"/>
  <c r="AO59" i="2"/>
  <c r="BH59" i="2" s="1"/>
  <c r="AO58" i="2"/>
  <c r="BH58" i="2" s="1"/>
  <c r="AO57" i="2"/>
  <c r="BH57" i="2" s="1"/>
  <c r="AO56" i="2"/>
  <c r="BH56" i="2" s="1"/>
  <c r="AO55" i="2"/>
  <c r="BH55" i="2" s="1"/>
  <c r="AO54" i="2"/>
  <c r="BH54" i="2" s="1"/>
  <c r="AO53" i="2"/>
  <c r="BH53" i="2" s="1"/>
  <c r="AO52" i="2"/>
  <c r="BH52" i="2" s="1"/>
  <c r="AO51" i="2"/>
  <c r="BH51" i="2" s="1"/>
  <c r="AO50" i="2"/>
  <c r="BH50" i="2" s="1"/>
  <c r="AO49" i="2"/>
  <c r="BH49" i="2" s="1"/>
  <c r="AO48" i="2"/>
  <c r="BH48" i="2" s="1"/>
  <c r="AO46" i="2"/>
  <c r="BH46" i="2" s="1"/>
  <c r="AO45" i="2"/>
  <c r="BH45" i="2" s="1"/>
  <c r="AO44" i="2"/>
  <c r="BH44" i="2" s="1"/>
  <c r="AO43" i="2"/>
  <c r="BH43" i="2" s="1"/>
  <c r="AO42" i="2"/>
  <c r="BH42" i="2" s="1"/>
  <c r="AO41" i="2"/>
  <c r="BH41" i="2" s="1"/>
  <c r="AO40" i="2"/>
  <c r="BH40" i="2" s="1"/>
  <c r="AO39" i="2"/>
  <c r="BH39" i="2" s="1"/>
  <c r="AO38" i="2"/>
  <c r="BH38" i="2" s="1"/>
  <c r="AO37" i="2"/>
  <c r="BH37" i="2" s="1"/>
  <c r="AO36" i="2"/>
  <c r="BH36" i="2" s="1"/>
  <c r="AO35" i="2"/>
  <c r="BH35" i="2" s="1"/>
  <c r="AO34" i="2"/>
  <c r="BH34" i="2" s="1"/>
  <c r="AO33" i="2"/>
  <c r="BH33" i="2" s="1"/>
  <c r="AO32" i="2"/>
  <c r="BH32" i="2" s="1"/>
  <c r="AO31" i="2"/>
  <c r="BH31" i="2" s="1"/>
  <c r="AO30" i="2"/>
  <c r="BH30" i="2" s="1"/>
  <c r="AO28" i="2"/>
  <c r="BH28" i="2" s="1"/>
  <c r="AO27" i="2"/>
  <c r="BH27" i="2" s="1"/>
  <c r="AO26" i="2"/>
  <c r="BH26" i="2" s="1"/>
  <c r="AO25" i="2"/>
  <c r="BH25" i="2" s="1"/>
  <c r="AO24" i="2"/>
  <c r="BH24" i="2" s="1"/>
  <c r="AO23" i="2"/>
  <c r="BH23" i="2" s="1"/>
  <c r="AO22" i="2"/>
  <c r="BH22" i="2" s="1"/>
  <c r="AO20" i="2"/>
  <c r="BH20" i="2" s="1"/>
  <c r="AO19" i="2"/>
  <c r="BH19" i="2" s="1"/>
  <c r="AO18" i="2"/>
  <c r="BH18" i="2" s="1"/>
  <c r="AO17" i="2"/>
  <c r="BH17" i="2" s="1"/>
  <c r="AO16" i="2"/>
  <c r="BH16" i="2" s="1"/>
  <c r="AO15" i="2"/>
  <c r="BH15" i="2" s="1"/>
  <c r="AO14" i="2"/>
  <c r="BH14" i="2" s="1"/>
  <c r="AO13" i="2"/>
  <c r="BH13" i="2" s="1"/>
  <c r="AO12" i="2"/>
  <c r="BH12" i="2" s="1"/>
  <c r="AO11" i="2"/>
  <c r="BH11" i="2" s="1"/>
  <c r="AO10" i="2"/>
  <c r="BH10" i="2" s="1"/>
  <c r="AO9" i="2"/>
  <c r="BH9" i="2" s="1"/>
  <c r="AO8" i="2"/>
  <c r="BH8" i="2" s="1"/>
  <c r="AO7" i="2"/>
  <c r="BH7" i="2" s="1"/>
  <c r="AO6" i="2"/>
  <c r="AC280" i="2"/>
  <c r="AC275" i="2"/>
  <c r="AC273" i="2"/>
  <c r="AC272" i="2"/>
  <c r="AC271" i="2"/>
  <c r="AC267" i="2"/>
  <c r="AC266" i="2"/>
  <c r="AC265" i="2"/>
  <c r="AC264" i="2"/>
  <c r="AC263" i="2"/>
  <c r="AC262" i="2"/>
  <c r="AC261" i="2"/>
  <c r="AC260" i="2"/>
  <c r="AC259" i="2"/>
  <c r="AC258" i="2"/>
  <c r="AC257" i="2"/>
  <c r="AC256" i="2"/>
  <c r="AC254" i="2"/>
  <c r="AC252" i="2"/>
  <c r="AC251" i="2"/>
  <c r="AC250" i="2"/>
  <c r="AC249" i="2"/>
  <c r="AC247" i="2"/>
  <c r="AC246" i="2"/>
  <c r="AC244" i="2"/>
  <c r="AC243" i="2"/>
  <c r="AC242" i="2"/>
  <c r="AC241" i="2"/>
  <c r="AC240" i="2"/>
  <c r="AC234" i="2"/>
  <c r="AC233" i="2"/>
  <c r="AC232" i="2"/>
  <c r="AC231" i="2"/>
  <c r="AC230" i="2"/>
  <c r="AC229" i="2"/>
  <c r="AC228" i="2"/>
  <c r="AC227" i="2"/>
  <c r="AC226" i="2"/>
  <c r="AC225" i="2"/>
  <c r="AC224" i="2"/>
  <c r="AC221" i="2"/>
  <c r="AC220" i="2"/>
  <c r="AC219" i="2"/>
  <c r="AC218" i="2"/>
  <c r="AC216" i="2"/>
  <c r="AC215" i="2"/>
  <c r="AC213" i="2"/>
  <c r="AC212" i="2"/>
  <c r="AC210" i="2"/>
  <c r="AC209" i="2"/>
  <c r="AC204" i="2"/>
  <c r="AC203" i="2"/>
  <c r="AC202" i="2"/>
  <c r="AC200" i="2"/>
  <c r="AC199" i="2"/>
  <c r="AC198" i="2"/>
  <c r="AC197" i="2"/>
  <c r="AC196" i="2"/>
  <c r="AC194" i="2"/>
  <c r="AC193" i="2"/>
  <c r="AC192" i="2"/>
  <c r="AC191" i="2"/>
  <c r="AC190" i="2"/>
  <c r="AC189" i="2"/>
  <c r="AC188" i="2"/>
  <c r="AC186" i="2"/>
  <c r="AC185" i="2"/>
  <c r="AC184" i="2"/>
  <c r="AC183" i="2"/>
  <c r="AC182" i="2"/>
  <c r="AC180" i="2"/>
  <c r="AC175" i="2"/>
  <c r="AC174" i="2"/>
  <c r="AC172" i="2"/>
  <c r="AC169" i="2"/>
  <c r="AC168" i="2"/>
  <c r="AC167" i="2"/>
  <c r="AC166" i="2"/>
  <c r="AC165" i="2"/>
  <c r="AC164" i="2"/>
  <c r="AC163" i="2"/>
  <c r="AC162" i="2"/>
  <c r="AC161" i="2"/>
  <c r="AC160" i="2"/>
  <c r="AC159" i="2"/>
  <c r="AC158" i="2"/>
  <c r="AC157" i="2"/>
  <c r="AC156" i="2"/>
  <c r="AC155" i="2"/>
  <c r="AC154" i="2"/>
  <c r="AC153" i="2"/>
  <c r="AC152" i="2"/>
  <c r="AC151" i="2"/>
  <c r="AC150" i="2"/>
  <c r="AC147" i="2"/>
  <c r="AC146" i="2"/>
  <c r="AC145" i="2"/>
  <c r="AC144" i="2"/>
  <c r="AC143" i="2"/>
  <c r="AC142" i="2"/>
  <c r="AC140" i="2"/>
  <c r="AC139" i="2"/>
  <c r="AC138" i="2"/>
  <c r="AC137" i="2"/>
  <c r="AC136" i="2"/>
  <c r="AC135" i="2"/>
  <c r="AC131" i="2"/>
  <c r="AC130" i="2"/>
  <c r="AC128" i="2"/>
  <c r="AC127" i="2"/>
  <c r="AC126" i="2"/>
  <c r="AC125" i="2"/>
  <c r="AC124" i="2"/>
  <c r="AC123" i="2"/>
  <c r="AC122" i="2"/>
  <c r="AC121" i="2"/>
  <c r="AC120" i="2"/>
  <c r="AC119" i="2"/>
  <c r="AC117" i="2"/>
  <c r="AC116" i="2"/>
  <c r="AC115" i="2"/>
  <c r="AC114" i="2"/>
  <c r="AC113" i="2"/>
  <c r="AC111" i="2"/>
  <c r="AC110" i="2"/>
  <c r="AC109" i="2"/>
  <c r="AC108" i="2"/>
  <c r="AC107" i="2"/>
  <c r="AC106" i="2"/>
  <c r="AC105" i="2"/>
  <c r="AC104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8" i="2"/>
  <c r="AC27" i="2"/>
  <c r="AC26" i="2"/>
  <c r="AC25" i="2"/>
  <c r="AC24" i="2"/>
  <c r="AC23" i="2"/>
  <c r="AC22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B280" i="2"/>
  <c r="AB275" i="2"/>
  <c r="AB273" i="2"/>
  <c r="AB272" i="2"/>
  <c r="AB271" i="2"/>
  <c r="AD271" i="2" s="1"/>
  <c r="AB267" i="2"/>
  <c r="AB266" i="2"/>
  <c r="AB265" i="2"/>
  <c r="AB264" i="2"/>
  <c r="AB263" i="2"/>
  <c r="AB262" i="2"/>
  <c r="AB261" i="2"/>
  <c r="AB260" i="2"/>
  <c r="AB259" i="2"/>
  <c r="AB258" i="2"/>
  <c r="AB257" i="2"/>
  <c r="AB256" i="2"/>
  <c r="AB254" i="2"/>
  <c r="AB252" i="2"/>
  <c r="AB251" i="2"/>
  <c r="AB250" i="2"/>
  <c r="AB249" i="2"/>
  <c r="AB247" i="2"/>
  <c r="AB246" i="2"/>
  <c r="AB244" i="2"/>
  <c r="AB243" i="2"/>
  <c r="AB242" i="2"/>
  <c r="AB241" i="2"/>
  <c r="AB240" i="2"/>
  <c r="AB234" i="2"/>
  <c r="AB233" i="2"/>
  <c r="AB232" i="2"/>
  <c r="AB231" i="2"/>
  <c r="AB230" i="2"/>
  <c r="AB229" i="2"/>
  <c r="AB228" i="2"/>
  <c r="AB227" i="2"/>
  <c r="AB226" i="2"/>
  <c r="AB225" i="2"/>
  <c r="AB224" i="2"/>
  <c r="AB221" i="2"/>
  <c r="AB220" i="2"/>
  <c r="AB219" i="2"/>
  <c r="AB218" i="2"/>
  <c r="AB216" i="2"/>
  <c r="AB215" i="2"/>
  <c r="AB213" i="2"/>
  <c r="AB212" i="2"/>
  <c r="AB210" i="2"/>
  <c r="AB209" i="2"/>
  <c r="AB204" i="2"/>
  <c r="AB203" i="2"/>
  <c r="AB202" i="2"/>
  <c r="AB200" i="2"/>
  <c r="AB199" i="2"/>
  <c r="AB198" i="2"/>
  <c r="AB197" i="2"/>
  <c r="AB196" i="2"/>
  <c r="AB194" i="2"/>
  <c r="AB193" i="2"/>
  <c r="AB192" i="2"/>
  <c r="AB191" i="2"/>
  <c r="AB190" i="2"/>
  <c r="AB189" i="2"/>
  <c r="AB188" i="2"/>
  <c r="AB186" i="2"/>
  <c r="AB185" i="2"/>
  <c r="AB184" i="2"/>
  <c r="AB183" i="2"/>
  <c r="AB182" i="2"/>
  <c r="AB180" i="2"/>
  <c r="AB175" i="2"/>
  <c r="AB174" i="2"/>
  <c r="AB172" i="2"/>
  <c r="AB169" i="2"/>
  <c r="AB168" i="2"/>
  <c r="AB167" i="2"/>
  <c r="AB166" i="2"/>
  <c r="AB165" i="2"/>
  <c r="AB164" i="2"/>
  <c r="AB163" i="2"/>
  <c r="AB162" i="2"/>
  <c r="AB161" i="2"/>
  <c r="AB160" i="2"/>
  <c r="AB159" i="2"/>
  <c r="AB158" i="2"/>
  <c r="AB157" i="2"/>
  <c r="AB156" i="2"/>
  <c r="AB155" i="2"/>
  <c r="AB154" i="2"/>
  <c r="AB153" i="2"/>
  <c r="AB152" i="2"/>
  <c r="AB151" i="2"/>
  <c r="AB150" i="2"/>
  <c r="AB147" i="2"/>
  <c r="AB146" i="2"/>
  <c r="AB145" i="2"/>
  <c r="AB144" i="2"/>
  <c r="AB143" i="2"/>
  <c r="AB142" i="2"/>
  <c r="AB140" i="2"/>
  <c r="AB139" i="2"/>
  <c r="AB138" i="2"/>
  <c r="AB137" i="2"/>
  <c r="AB136" i="2"/>
  <c r="AB135" i="2"/>
  <c r="AB131" i="2"/>
  <c r="AB130" i="2"/>
  <c r="AB128" i="2"/>
  <c r="AB127" i="2"/>
  <c r="AB126" i="2"/>
  <c r="AB125" i="2"/>
  <c r="AB124" i="2"/>
  <c r="AB123" i="2"/>
  <c r="AB122" i="2"/>
  <c r="AB121" i="2"/>
  <c r="AB120" i="2"/>
  <c r="AB119" i="2"/>
  <c r="AB117" i="2"/>
  <c r="AB116" i="2"/>
  <c r="AB115" i="2"/>
  <c r="AB114" i="2"/>
  <c r="AB113" i="2"/>
  <c r="AB111" i="2"/>
  <c r="AB110" i="2"/>
  <c r="AB109" i="2"/>
  <c r="AB108" i="2"/>
  <c r="AB107" i="2"/>
  <c r="AB106" i="2"/>
  <c r="AB105" i="2"/>
  <c r="AB104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8" i="2"/>
  <c r="AB27" i="2"/>
  <c r="AB26" i="2"/>
  <c r="AB25" i="2"/>
  <c r="AB24" i="2"/>
  <c r="AB23" i="2"/>
  <c r="AB22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Z280" i="2"/>
  <c r="Z275" i="2"/>
  <c r="Z273" i="2"/>
  <c r="AD273" i="2" s="1"/>
  <c r="Z272" i="2"/>
  <c r="Z271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4" i="2"/>
  <c r="Z252" i="2"/>
  <c r="Z251" i="2"/>
  <c r="Z250" i="2"/>
  <c r="Z249" i="2"/>
  <c r="Z247" i="2"/>
  <c r="Z246" i="2"/>
  <c r="Z244" i="2"/>
  <c r="Z243" i="2"/>
  <c r="Z242" i="2"/>
  <c r="Z241" i="2"/>
  <c r="Z240" i="2"/>
  <c r="Z232" i="2"/>
  <c r="Z231" i="2"/>
  <c r="Z230" i="2"/>
  <c r="Z229" i="2"/>
  <c r="Z228" i="2"/>
  <c r="Z227" i="2"/>
  <c r="Z226" i="2"/>
  <c r="Z225" i="2"/>
  <c r="Z224" i="2"/>
  <c r="Z221" i="2"/>
  <c r="Z220" i="2"/>
  <c r="Z219" i="2"/>
  <c r="Z218" i="2"/>
  <c r="Z216" i="2"/>
  <c r="Z215" i="2"/>
  <c r="Z213" i="2"/>
  <c r="Z212" i="2"/>
  <c r="Z210" i="2"/>
  <c r="Z209" i="2"/>
  <c r="Z204" i="2"/>
  <c r="Z203" i="2"/>
  <c r="Z202" i="2"/>
  <c r="Z200" i="2"/>
  <c r="Z199" i="2"/>
  <c r="Z198" i="2"/>
  <c r="Z197" i="2"/>
  <c r="Z196" i="2"/>
  <c r="Z194" i="2"/>
  <c r="Z193" i="2"/>
  <c r="Z192" i="2"/>
  <c r="Z191" i="2"/>
  <c r="Z190" i="2"/>
  <c r="Z189" i="2"/>
  <c r="Z188" i="2"/>
  <c r="Z186" i="2"/>
  <c r="Z185" i="2"/>
  <c r="Z184" i="2"/>
  <c r="Z183" i="2"/>
  <c r="Z182" i="2"/>
  <c r="Z180" i="2"/>
  <c r="Z175" i="2"/>
  <c r="Z174" i="2"/>
  <c r="Z172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7" i="2"/>
  <c r="Z146" i="2"/>
  <c r="Z145" i="2"/>
  <c r="Z144" i="2"/>
  <c r="Z143" i="2"/>
  <c r="Z142" i="2"/>
  <c r="Z140" i="2"/>
  <c r="Z139" i="2"/>
  <c r="Z138" i="2"/>
  <c r="Z137" i="2"/>
  <c r="Z136" i="2"/>
  <c r="Z135" i="2"/>
  <c r="Z131" i="2"/>
  <c r="Z130" i="2"/>
  <c r="Z128" i="2"/>
  <c r="Z127" i="2"/>
  <c r="Z126" i="2"/>
  <c r="Z125" i="2"/>
  <c r="Z124" i="2"/>
  <c r="Z123" i="2"/>
  <c r="Z122" i="2"/>
  <c r="Z121" i="2"/>
  <c r="Z120" i="2"/>
  <c r="Z119" i="2"/>
  <c r="Z117" i="2"/>
  <c r="Z116" i="2"/>
  <c r="Z115" i="2"/>
  <c r="Z114" i="2"/>
  <c r="Z113" i="2"/>
  <c r="Z111" i="2"/>
  <c r="Z110" i="2"/>
  <c r="Z109" i="2"/>
  <c r="Z108" i="2"/>
  <c r="Z107" i="2"/>
  <c r="Z106" i="2"/>
  <c r="Z105" i="2"/>
  <c r="Z104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8" i="2"/>
  <c r="Z27" i="2"/>
  <c r="Z26" i="2"/>
  <c r="Z25" i="2"/>
  <c r="Z24" i="2"/>
  <c r="Z23" i="2"/>
  <c r="Z22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V6" i="2"/>
  <c r="V281" i="2" s="1"/>
  <c r="T280" i="2"/>
  <c r="T275" i="2"/>
  <c r="T273" i="2"/>
  <c r="T272" i="2"/>
  <c r="T271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4" i="2"/>
  <c r="T252" i="2"/>
  <c r="T251" i="2"/>
  <c r="T250" i="2"/>
  <c r="T249" i="2"/>
  <c r="T247" i="2"/>
  <c r="T246" i="2"/>
  <c r="T244" i="2"/>
  <c r="T243" i="2"/>
  <c r="T242" i="2"/>
  <c r="T241" i="2"/>
  <c r="T240" i="2"/>
  <c r="T234" i="2"/>
  <c r="T233" i="2"/>
  <c r="T232" i="2"/>
  <c r="T231" i="2"/>
  <c r="T230" i="2"/>
  <c r="T229" i="2"/>
  <c r="T228" i="2"/>
  <c r="T227" i="2"/>
  <c r="T226" i="2"/>
  <c r="T225" i="2"/>
  <c r="T224" i="2"/>
  <c r="T221" i="2"/>
  <c r="T220" i="2"/>
  <c r="T219" i="2"/>
  <c r="T218" i="2"/>
  <c r="T216" i="2"/>
  <c r="T215" i="2"/>
  <c r="T213" i="2"/>
  <c r="T212" i="2"/>
  <c r="T210" i="2"/>
  <c r="T209" i="2"/>
  <c r="T204" i="2"/>
  <c r="T203" i="2"/>
  <c r="T202" i="2"/>
  <c r="T200" i="2"/>
  <c r="T199" i="2"/>
  <c r="T198" i="2"/>
  <c r="T197" i="2"/>
  <c r="T196" i="2"/>
  <c r="T194" i="2"/>
  <c r="T193" i="2"/>
  <c r="T192" i="2"/>
  <c r="T191" i="2"/>
  <c r="T190" i="2"/>
  <c r="T189" i="2"/>
  <c r="T188" i="2"/>
  <c r="T186" i="2"/>
  <c r="T185" i="2"/>
  <c r="T184" i="2"/>
  <c r="T183" i="2"/>
  <c r="T182" i="2"/>
  <c r="T180" i="2"/>
  <c r="T175" i="2"/>
  <c r="T174" i="2"/>
  <c r="T172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7" i="2"/>
  <c r="T146" i="2"/>
  <c r="T145" i="2"/>
  <c r="T144" i="2"/>
  <c r="T143" i="2"/>
  <c r="T142" i="2"/>
  <c r="T140" i="2"/>
  <c r="T139" i="2"/>
  <c r="T138" i="2"/>
  <c r="T137" i="2"/>
  <c r="T136" i="2"/>
  <c r="T135" i="2"/>
  <c r="T131" i="2"/>
  <c r="T130" i="2"/>
  <c r="T128" i="2"/>
  <c r="T127" i="2"/>
  <c r="T126" i="2"/>
  <c r="T125" i="2"/>
  <c r="T124" i="2"/>
  <c r="T123" i="2"/>
  <c r="T122" i="2"/>
  <c r="T121" i="2"/>
  <c r="T120" i="2"/>
  <c r="T119" i="2"/>
  <c r="T117" i="2"/>
  <c r="T116" i="2"/>
  <c r="T115" i="2"/>
  <c r="T114" i="2"/>
  <c r="T113" i="2"/>
  <c r="T111" i="2"/>
  <c r="T110" i="2"/>
  <c r="T109" i="2"/>
  <c r="T108" i="2"/>
  <c r="T107" i="2"/>
  <c r="T106" i="2"/>
  <c r="T105" i="2"/>
  <c r="T104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8" i="2"/>
  <c r="T27" i="2"/>
  <c r="T26" i="2"/>
  <c r="T25" i="2"/>
  <c r="T24" i="2"/>
  <c r="T23" i="2"/>
  <c r="T22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S280" i="2"/>
  <c r="S275" i="2"/>
  <c r="S273" i="2"/>
  <c r="S272" i="2"/>
  <c r="S271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4" i="2"/>
  <c r="S252" i="2"/>
  <c r="S251" i="2"/>
  <c r="S250" i="2"/>
  <c r="S249" i="2"/>
  <c r="S247" i="2"/>
  <c r="S246" i="2"/>
  <c r="S244" i="2"/>
  <c r="S243" i="2"/>
  <c r="S242" i="2"/>
  <c r="S241" i="2"/>
  <c r="S240" i="2"/>
  <c r="S234" i="2"/>
  <c r="S233" i="2"/>
  <c r="S232" i="2"/>
  <c r="S231" i="2"/>
  <c r="S230" i="2"/>
  <c r="S229" i="2"/>
  <c r="S228" i="2"/>
  <c r="S227" i="2"/>
  <c r="S226" i="2"/>
  <c r="S225" i="2"/>
  <c r="S224" i="2"/>
  <c r="S221" i="2"/>
  <c r="S220" i="2"/>
  <c r="S219" i="2"/>
  <c r="S218" i="2"/>
  <c r="S216" i="2"/>
  <c r="S215" i="2"/>
  <c r="S213" i="2"/>
  <c r="S212" i="2"/>
  <c r="S210" i="2"/>
  <c r="S209" i="2"/>
  <c r="S204" i="2"/>
  <c r="S203" i="2"/>
  <c r="S202" i="2"/>
  <c r="S200" i="2"/>
  <c r="S199" i="2"/>
  <c r="S198" i="2"/>
  <c r="S197" i="2"/>
  <c r="S196" i="2"/>
  <c r="S194" i="2"/>
  <c r="S193" i="2"/>
  <c r="S192" i="2"/>
  <c r="S191" i="2"/>
  <c r="S190" i="2"/>
  <c r="S189" i="2"/>
  <c r="S188" i="2"/>
  <c r="S186" i="2"/>
  <c r="S185" i="2"/>
  <c r="S184" i="2"/>
  <c r="S183" i="2"/>
  <c r="S182" i="2"/>
  <c r="S180" i="2"/>
  <c r="S175" i="2"/>
  <c r="S174" i="2"/>
  <c r="S172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7" i="2"/>
  <c r="S146" i="2"/>
  <c r="S145" i="2"/>
  <c r="S144" i="2"/>
  <c r="S143" i="2"/>
  <c r="S142" i="2"/>
  <c r="S140" i="2"/>
  <c r="S139" i="2"/>
  <c r="S138" i="2"/>
  <c r="S137" i="2"/>
  <c r="S136" i="2"/>
  <c r="S135" i="2"/>
  <c r="S131" i="2"/>
  <c r="S130" i="2"/>
  <c r="S128" i="2"/>
  <c r="S127" i="2"/>
  <c r="S126" i="2"/>
  <c r="S125" i="2"/>
  <c r="S124" i="2"/>
  <c r="S123" i="2"/>
  <c r="S122" i="2"/>
  <c r="S121" i="2"/>
  <c r="S120" i="2"/>
  <c r="S119" i="2"/>
  <c r="S117" i="2"/>
  <c r="S116" i="2"/>
  <c r="S115" i="2"/>
  <c r="S114" i="2"/>
  <c r="S113" i="2"/>
  <c r="S111" i="2"/>
  <c r="S110" i="2"/>
  <c r="S109" i="2"/>
  <c r="S108" i="2"/>
  <c r="S107" i="2"/>
  <c r="S106" i="2"/>
  <c r="S105" i="2"/>
  <c r="S104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8" i="2"/>
  <c r="S27" i="2"/>
  <c r="S26" i="2"/>
  <c r="S25" i="2"/>
  <c r="S24" i="2"/>
  <c r="S23" i="2"/>
  <c r="S22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R280" i="2"/>
  <c r="R275" i="2"/>
  <c r="R273" i="2"/>
  <c r="R272" i="2"/>
  <c r="R271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4" i="2"/>
  <c r="R252" i="2"/>
  <c r="R251" i="2"/>
  <c r="R250" i="2"/>
  <c r="R249" i="2"/>
  <c r="R247" i="2"/>
  <c r="R246" i="2"/>
  <c r="R244" i="2"/>
  <c r="R243" i="2"/>
  <c r="R242" i="2"/>
  <c r="R241" i="2"/>
  <c r="R240" i="2"/>
  <c r="R234" i="2"/>
  <c r="R233" i="2"/>
  <c r="R232" i="2"/>
  <c r="R231" i="2"/>
  <c r="R230" i="2"/>
  <c r="R229" i="2"/>
  <c r="R228" i="2"/>
  <c r="R227" i="2"/>
  <c r="R226" i="2"/>
  <c r="R225" i="2"/>
  <c r="R224" i="2"/>
  <c r="R221" i="2"/>
  <c r="R220" i="2"/>
  <c r="R219" i="2"/>
  <c r="R218" i="2"/>
  <c r="R216" i="2"/>
  <c r="R215" i="2"/>
  <c r="R213" i="2"/>
  <c r="R212" i="2"/>
  <c r="R210" i="2"/>
  <c r="R209" i="2"/>
  <c r="R204" i="2"/>
  <c r="R203" i="2"/>
  <c r="R202" i="2"/>
  <c r="R200" i="2"/>
  <c r="R199" i="2"/>
  <c r="R198" i="2"/>
  <c r="R197" i="2"/>
  <c r="R196" i="2"/>
  <c r="R194" i="2"/>
  <c r="R193" i="2"/>
  <c r="R192" i="2"/>
  <c r="R191" i="2"/>
  <c r="R190" i="2"/>
  <c r="R189" i="2"/>
  <c r="R188" i="2"/>
  <c r="R186" i="2"/>
  <c r="R185" i="2"/>
  <c r="R184" i="2"/>
  <c r="R183" i="2"/>
  <c r="R182" i="2"/>
  <c r="R180" i="2"/>
  <c r="R175" i="2"/>
  <c r="R174" i="2"/>
  <c r="R172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7" i="2"/>
  <c r="R146" i="2"/>
  <c r="R145" i="2"/>
  <c r="R144" i="2"/>
  <c r="R143" i="2"/>
  <c r="R142" i="2"/>
  <c r="R140" i="2"/>
  <c r="R139" i="2"/>
  <c r="R138" i="2"/>
  <c r="R137" i="2"/>
  <c r="R136" i="2"/>
  <c r="R135" i="2"/>
  <c r="R131" i="2"/>
  <c r="R130" i="2"/>
  <c r="R128" i="2"/>
  <c r="R127" i="2"/>
  <c r="R126" i="2"/>
  <c r="R125" i="2"/>
  <c r="R124" i="2"/>
  <c r="R123" i="2"/>
  <c r="R122" i="2"/>
  <c r="R121" i="2"/>
  <c r="R120" i="2"/>
  <c r="R119" i="2"/>
  <c r="R117" i="2"/>
  <c r="R116" i="2"/>
  <c r="R115" i="2"/>
  <c r="R114" i="2"/>
  <c r="R113" i="2"/>
  <c r="R111" i="2"/>
  <c r="R110" i="2"/>
  <c r="R109" i="2"/>
  <c r="R108" i="2"/>
  <c r="R107" i="2"/>
  <c r="R106" i="2"/>
  <c r="R105" i="2"/>
  <c r="R104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8" i="2"/>
  <c r="R27" i="2"/>
  <c r="R26" i="2"/>
  <c r="R25" i="2"/>
  <c r="R24" i="2"/>
  <c r="R23" i="2"/>
  <c r="R22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Q280" i="2"/>
  <c r="Q275" i="2"/>
  <c r="Q273" i="2"/>
  <c r="Q272" i="2"/>
  <c r="Q271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4" i="2"/>
  <c r="Q252" i="2"/>
  <c r="Q251" i="2"/>
  <c r="Q250" i="2"/>
  <c r="Q249" i="2"/>
  <c r="Q247" i="2"/>
  <c r="Q246" i="2"/>
  <c r="Q244" i="2"/>
  <c r="Q243" i="2"/>
  <c r="Q242" i="2"/>
  <c r="Q241" i="2"/>
  <c r="Q240" i="2"/>
  <c r="Q234" i="2"/>
  <c r="Q233" i="2"/>
  <c r="Q232" i="2"/>
  <c r="Q231" i="2"/>
  <c r="Q230" i="2"/>
  <c r="Q229" i="2"/>
  <c r="Q228" i="2"/>
  <c r="Q227" i="2"/>
  <c r="Q226" i="2"/>
  <c r="Q225" i="2"/>
  <c r="Q224" i="2"/>
  <c r="Q221" i="2"/>
  <c r="Q220" i="2"/>
  <c r="Q219" i="2"/>
  <c r="Q218" i="2"/>
  <c r="Q216" i="2"/>
  <c r="Q215" i="2"/>
  <c r="Q213" i="2"/>
  <c r="Q212" i="2"/>
  <c r="Q210" i="2"/>
  <c r="Q209" i="2"/>
  <c r="Q204" i="2"/>
  <c r="Q203" i="2"/>
  <c r="Q202" i="2"/>
  <c r="Q200" i="2"/>
  <c r="Q199" i="2"/>
  <c r="Q198" i="2"/>
  <c r="Q197" i="2"/>
  <c r="Q196" i="2"/>
  <c r="Q194" i="2"/>
  <c r="Q193" i="2"/>
  <c r="Q192" i="2"/>
  <c r="Q191" i="2"/>
  <c r="Q190" i="2"/>
  <c r="Q189" i="2"/>
  <c r="Q188" i="2"/>
  <c r="Q186" i="2"/>
  <c r="Q185" i="2"/>
  <c r="Q184" i="2"/>
  <c r="Q183" i="2"/>
  <c r="Q182" i="2"/>
  <c r="Q180" i="2"/>
  <c r="Q175" i="2"/>
  <c r="Q174" i="2"/>
  <c r="Q172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7" i="2"/>
  <c r="Q146" i="2"/>
  <c r="Q145" i="2"/>
  <c r="Q144" i="2"/>
  <c r="Q143" i="2"/>
  <c r="Q142" i="2"/>
  <c r="Q140" i="2"/>
  <c r="Q139" i="2"/>
  <c r="Q138" i="2"/>
  <c r="Q137" i="2"/>
  <c r="Q136" i="2"/>
  <c r="Q135" i="2"/>
  <c r="Q131" i="2"/>
  <c r="Q130" i="2"/>
  <c r="Q128" i="2"/>
  <c r="Q127" i="2"/>
  <c r="Q126" i="2"/>
  <c r="Q125" i="2"/>
  <c r="Q124" i="2"/>
  <c r="Q123" i="2"/>
  <c r="Q122" i="2"/>
  <c r="Q121" i="2"/>
  <c r="Q120" i="2"/>
  <c r="Q119" i="2"/>
  <c r="Q117" i="2"/>
  <c r="Q116" i="2"/>
  <c r="Q115" i="2"/>
  <c r="Q114" i="2"/>
  <c r="Q113" i="2"/>
  <c r="Q111" i="2"/>
  <c r="Q110" i="2"/>
  <c r="Q109" i="2"/>
  <c r="Q108" i="2"/>
  <c r="Q107" i="2"/>
  <c r="Q106" i="2"/>
  <c r="Q105" i="2"/>
  <c r="Q104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8" i="2"/>
  <c r="Q27" i="2"/>
  <c r="Q26" i="2"/>
  <c r="Q25" i="2"/>
  <c r="Q24" i="2"/>
  <c r="Q23" i="2"/>
  <c r="Q22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P280" i="2"/>
  <c r="P275" i="2"/>
  <c r="P273" i="2"/>
  <c r="P272" i="2"/>
  <c r="P271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4" i="2"/>
  <c r="P252" i="2"/>
  <c r="P251" i="2"/>
  <c r="P250" i="2"/>
  <c r="P249" i="2"/>
  <c r="P247" i="2"/>
  <c r="P246" i="2"/>
  <c r="P244" i="2"/>
  <c r="P243" i="2"/>
  <c r="P242" i="2"/>
  <c r="P241" i="2"/>
  <c r="P240" i="2"/>
  <c r="P234" i="2"/>
  <c r="P233" i="2"/>
  <c r="P232" i="2"/>
  <c r="P231" i="2"/>
  <c r="P230" i="2"/>
  <c r="P229" i="2"/>
  <c r="P228" i="2"/>
  <c r="P227" i="2"/>
  <c r="P226" i="2"/>
  <c r="P225" i="2"/>
  <c r="P224" i="2"/>
  <c r="P221" i="2"/>
  <c r="P220" i="2"/>
  <c r="P219" i="2"/>
  <c r="P218" i="2"/>
  <c r="P216" i="2"/>
  <c r="P215" i="2"/>
  <c r="P213" i="2"/>
  <c r="P212" i="2"/>
  <c r="P210" i="2"/>
  <c r="P209" i="2"/>
  <c r="P204" i="2"/>
  <c r="P203" i="2"/>
  <c r="P202" i="2"/>
  <c r="P200" i="2"/>
  <c r="P199" i="2"/>
  <c r="P198" i="2"/>
  <c r="P197" i="2"/>
  <c r="P196" i="2"/>
  <c r="P194" i="2"/>
  <c r="P193" i="2"/>
  <c r="P192" i="2"/>
  <c r="P191" i="2"/>
  <c r="P190" i="2"/>
  <c r="P189" i="2"/>
  <c r="P188" i="2"/>
  <c r="P186" i="2"/>
  <c r="P185" i="2"/>
  <c r="P184" i="2"/>
  <c r="P183" i="2"/>
  <c r="P182" i="2"/>
  <c r="P180" i="2"/>
  <c r="P175" i="2"/>
  <c r="P174" i="2"/>
  <c r="P172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7" i="2"/>
  <c r="P146" i="2"/>
  <c r="P145" i="2"/>
  <c r="P144" i="2"/>
  <c r="P143" i="2"/>
  <c r="P142" i="2"/>
  <c r="P140" i="2"/>
  <c r="P139" i="2"/>
  <c r="P138" i="2"/>
  <c r="P137" i="2"/>
  <c r="P136" i="2"/>
  <c r="P135" i="2"/>
  <c r="P131" i="2"/>
  <c r="P130" i="2"/>
  <c r="P128" i="2"/>
  <c r="P127" i="2"/>
  <c r="P126" i="2"/>
  <c r="P125" i="2"/>
  <c r="P124" i="2"/>
  <c r="P123" i="2"/>
  <c r="P122" i="2"/>
  <c r="P121" i="2"/>
  <c r="P120" i="2"/>
  <c r="P119" i="2"/>
  <c r="P117" i="2"/>
  <c r="P116" i="2"/>
  <c r="P115" i="2"/>
  <c r="P114" i="2"/>
  <c r="P113" i="2"/>
  <c r="P111" i="2"/>
  <c r="P110" i="2"/>
  <c r="P109" i="2"/>
  <c r="P108" i="2"/>
  <c r="P107" i="2"/>
  <c r="P106" i="2"/>
  <c r="P105" i="2"/>
  <c r="P104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8" i="2"/>
  <c r="P27" i="2"/>
  <c r="P26" i="2"/>
  <c r="P25" i="2"/>
  <c r="P24" i="2"/>
  <c r="P23" i="2"/>
  <c r="P22" i="2"/>
  <c r="P20" i="2"/>
  <c r="P19" i="2"/>
  <c r="P18" i="2"/>
  <c r="P17" i="2"/>
  <c r="P16" i="2"/>
  <c r="P15" i="2"/>
  <c r="P14" i="2"/>
  <c r="P13" i="2"/>
  <c r="P11" i="2"/>
  <c r="P10" i="2"/>
  <c r="P9" i="2"/>
  <c r="P8" i="2"/>
  <c r="P7" i="2"/>
  <c r="P6" i="2"/>
  <c r="O280" i="2"/>
  <c r="O275" i="2"/>
  <c r="O273" i="2"/>
  <c r="O272" i="2"/>
  <c r="O271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4" i="2"/>
  <c r="O252" i="2"/>
  <c r="O251" i="2"/>
  <c r="O250" i="2"/>
  <c r="O249" i="2"/>
  <c r="O247" i="2"/>
  <c r="O246" i="2"/>
  <c r="O244" i="2"/>
  <c r="O243" i="2"/>
  <c r="O242" i="2"/>
  <c r="O241" i="2"/>
  <c r="O240" i="2"/>
  <c r="O234" i="2"/>
  <c r="O233" i="2"/>
  <c r="O232" i="2"/>
  <c r="O231" i="2"/>
  <c r="O230" i="2"/>
  <c r="O229" i="2"/>
  <c r="O228" i="2"/>
  <c r="O227" i="2"/>
  <c r="O226" i="2"/>
  <c r="O225" i="2"/>
  <c r="O224" i="2"/>
  <c r="O221" i="2"/>
  <c r="O220" i="2"/>
  <c r="O219" i="2"/>
  <c r="O218" i="2"/>
  <c r="O216" i="2"/>
  <c r="O215" i="2"/>
  <c r="O213" i="2"/>
  <c r="O212" i="2"/>
  <c r="O210" i="2"/>
  <c r="O209" i="2"/>
  <c r="O204" i="2"/>
  <c r="O203" i="2"/>
  <c r="O202" i="2"/>
  <c r="O200" i="2"/>
  <c r="O199" i="2"/>
  <c r="O198" i="2"/>
  <c r="O197" i="2"/>
  <c r="O196" i="2"/>
  <c r="O194" i="2"/>
  <c r="O193" i="2"/>
  <c r="O192" i="2"/>
  <c r="O191" i="2"/>
  <c r="O190" i="2"/>
  <c r="O189" i="2"/>
  <c r="O188" i="2"/>
  <c r="O186" i="2"/>
  <c r="O185" i="2"/>
  <c r="O184" i="2"/>
  <c r="O183" i="2"/>
  <c r="O182" i="2"/>
  <c r="O180" i="2"/>
  <c r="O175" i="2"/>
  <c r="O174" i="2"/>
  <c r="O172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7" i="2"/>
  <c r="O146" i="2"/>
  <c r="O145" i="2"/>
  <c r="O144" i="2"/>
  <c r="O143" i="2"/>
  <c r="O142" i="2"/>
  <c r="O140" i="2"/>
  <c r="O139" i="2"/>
  <c r="O138" i="2"/>
  <c r="O137" i="2"/>
  <c r="O136" i="2"/>
  <c r="O135" i="2"/>
  <c r="O131" i="2"/>
  <c r="O130" i="2"/>
  <c r="O128" i="2"/>
  <c r="O127" i="2"/>
  <c r="O126" i="2"/>
  <c r="O125" i="2"/>
  <c r="O124" i="2"/>
  <c r="O123" i="2"/>
  <c r="O122" i="2"/>
  <c r="O121" i="2"/>
  <c r="O120" i="2"/>
  <c r="O119" i="2"/>
  <c r="O117" i="2"/>
  <c r="O116" i="2"/>
  <c r="O115" i="2"/>
  <c r="O114" i="2"/>
  <c r="O113" i="2"/>
  <c r="O111" i="2"/>
  <c r="O110" i="2"/>
  <c r="O109" i="2"/>
  <c r="O108" i="2"/>
  <c r="O107" i="2"/>
  <c r="O106" i="2"/>
  <c r="O105" i="2"/>
  <c r="O104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8" i="2"/>
  <c r="O27" i="2"/>
  <c r="O26" i="2"/>
  <c r="O25" i="2"/>
  <c r="O24" i="2"/>
  <c r="O23" i="2"/>
  <c r="O22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N280" i="2"/>
  <c r="N275" i="2"/>
  <c r="N273" i="2"/>
  <c r="N272" i="2"/>
  <c r="N271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4" i="2"/>
  <c r="N252" i="2"/>
  <c r="N251" i="2"/>
  <c r="N250" i="2"/>
  <c r="N249" i="2"/>
  <c r="N247" i="2"/>
  <c r="N246" i="2"/>
  <c r="N244" i="2"/>
  <c r="N243" i="2"/>
  <c r="N242" i="2"/>
  <c r="N241" i="2"/>
  <c r="N240" i="2"/>
  <c r="N234" i="2"/>
  <c r="N233" i="2"/>
  <c r="N232" i="2"/>
  <c r="N231" i="2"/>
  <c r="N230" i="2"/>
  <c r="N229" i="2"/>
  <c r="N228" i="2"/>
  <c r="N227" i="2"/>
  <c r="N226" i="2"/>
  <c r="N225" i="2"/>
  <c r="N224" i="2"/>
  <c r="N221" i="2"/>
  <c r="N220" i="2"/>
  <c r="N219" i="2"/>
  <c r="N218" i="2"/>
  <c r="N216" i="2"/>
  <c r="N215" i="2"/>
  <c r="N213" i="2"/>
  <c r="N212" i="2"/>
  <c r="N210" i="2"/>
  <c r="N209" i="2"/>
  <c r="N204" i="2"/>
  <c r="N203" i="2"/>
  <c r="N202" i="2"/>
  <c r="N200" i="2"/>
  <c r="N199" i="2"/>
  <c r="N198" i="2"/>
  <c r="N197" i="2"/>
  <c r="N196" i="2"/>
  <c r="N194" i="2"/>
  <c r="N193" i="2"/>
  <c r="N192" i="2"/>
  <c r="N191" i="2"/>
  <c r="N190" i="2"/>
  <c r="N189" i="2"/>
  <c r="N188" i="2"/>
  <c r="N186" i="2"/>
  <c r="N185" i="2"/>
  <c r="N184" i="2"/>
  <c r="N183" i="2"/>
  <c r="N182" i="2"/>
  <c r="N180" i="2"/>
  <c r="N175" i="2"/>
  <c r="N174" i="2"/>
  <c r="N172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7" i="2"/>
  <c r="N146" i="2"/>
  <c r="N145" i="2"/>
  <c r="N144" i="2"/>
  <c r="N143" i="2"/>
  <c r="N142" i="2"/>
  <c r="N140" i="2"/>
  <c r="N139" i="2"/>
  <c r="N138" i="2"/>
  <c r="N137" i="2"/>
  <c r="N136" i="2"/>
  <c r="N135" i="2"/>
  <c r="N131" i="2"/>
  <c r="N130" i="2"/>
  <c r="N128" i="2"/>
  <c r="N127" i="2"/>
  <c r="N126" i="2"/>
  <c r="N125" i="2"/>
  <c r="N124" i="2"/>
  <c r="N123" i="2"/>
  <c r="N122" i="2"/>
  <c r="N121" i="2"/>
  <c r="N120" i="2"/>
  <c r="N119" i="2"/>
  <c r="N117" i="2"/>
  <c r="N116" i="2"/>
  <c r="N115" i="2"/>
  <c r="N114" i="2"/>
  <c r="N113" i="2"/>
  <c r="N111" i="2"/>
  <c r="N110" i="2"/>
  <c r="N109" i="2"/>
  <c r="N108" i="2"/>
  <c r="N107" i="2"/>
  <c r="N106" i="2"/>
  <c r="N105" i="2"/>
  <c r="N104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8" i="2"/>
  <c r="N27" i="2"/>
  <c r="N26" i="2"/>
  <c r="N25" i="2"/>
  <c r="N24" i="2"/>
  <c r="N23" i="2"/>
  <c r="N22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M280" i="2"/>
  <c r="M275" i="2"/>
  <c r="M273" i="2"/>
  <c r="M272" i="2"/>
  <c r="M271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4" i="2"/>
  <c r="M252" i="2"/>
  <c r="M251" i="2"/>
  <c r="M250" i="2"/>
  <c r="M249" i="2"/>
  <c r="M247" i="2"/>
  <c r="M246" i="2"/>
  <c r="M244" i="2"/>
  <c r="M243" i="2"/>
  <c r="M242" i="2"/>
  <c r="M241" i="2"/>
  <c r="M240" i="2"/>
  <c r="M234" i="2"/>
  <c r="M233" i="2"/>
  <c r="M232" i="2"/>
  <c r="M231" i="2"/>
  <c r="M230" i="2"/>
  <c r="M229" i="2"/>
  <c r="M228" i="2"/>
  <c r="M227" i="2"/>
  <c r="M226" i="2"/>
  <c r="M225" i="2"/>
  <c r="M224" i="2"/>
  <c r="M221" i="2"/>
  <c r="M220" i="2"/>
  <c r="M219" i="2"/>
  <c r="M218" i="2"/>
  <c r="M216" i="2"/>
  <c r="M215" i="2"/>
  <c r="M213" i="2"/>
  <c r="M212" i="2"/>
  <c r="M210" i="2"/>
  <c r="M209" i="2"/>
  <c r="M204" i="2"/>
  <c r="M203" i="2"/>
  <c r="M202" i="2"/>
  <c r="M200" i="2"/>
  <c r="M199" i="2"/>
  <c r="M198" i="2"/>
  <c r="M197" i="2"/>
  <c r="M196" i="2"/>
  <c r="M194" i="2"/>
  <c r="M193" i="2"/>
  <c r="M192" i="2"/>
  <c r="M191" i="2"/>
  <c r="M190" i="2"/>
  <c r="M189" i="2"/>
  <c r="M188" i="2"/>
  <c r="M186" i="2"/>
  <c r="M185" i="2"/>
  <c r="M184" i="2"/>
  <c r="M183" i="2"/>
  <c r="M182" i="2"/>
  <c r="M180" i="2"/>
  <c r="M175" i="2"/>
  <c r="M174" i="2"/>
  <c r="M172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7" i="2"/>
  <c r="M146" i="2"/>
  <c r="M145" i="2"/>
  <c r="M144" i="2"/>
  <c r="M143" i="2"/>
  <c r="M142" i="2"/>
  <c r="M140" i="2"/>
  <c r="M139" i="2"/>
  <c r="M138" i="2"/>
  <c r="M137" i="2"/>
  <c r="M136" i="2"/>
  <c r="M135" i="2"/>
  <c r="M131" i="2"/>
  <c r="M130" i="2"/>
  <c r="M128" i="2"/>
  <c r="M127" i="2"/>
  <c r="M126" i="2"/>
  <c r="M125" i="2"/>
  <c r="M124" i="2"/>
  <c r="M123" i="2"/>
  <c r="M122" i="2"/>
  <c r="M121" i="2"/>
  <c r="M120" i="2"/>
  <c r="M119" i="2"/>
  <c r="M117" i="2"/>
  <c r="M116" i="2"/>
  <c r="M115" i="2"/>
  <c r="M114" i="2"/>
  <c r="M113" i="2"/>
  <c r="M111" i="2"/>
  <c r="M110" i="2"/>
  <c r="M109" i="2"/>
  <c r="M108" i="2"/>
  <c r="M107" i="2"/>
  <c r="M106" i="2"/>
  <c r="M105" i="2"/>
  <c r="M104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8" i="2"/>
  <c r="M27" i="2"/>
  <c r="M26" i="2"/>
  <c r="M25" i="2"/>
  <c r="M24" i="2"/>
  <c r="M23" i="2"/>
  <c r="M22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K280" i="2"/>
  <c r="K275" i="2"/>
  <c r="K273" i="2"/>
  <c r="K272" i="2"/>
  <c r="K271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4" i="2"/>
  <c r="K252" i="2"/>
  <c r="K251" i="2"/>
  <c r="K250" i="2"/>
  <c r="K249" i="2"/>
  <c r="K247" i="2"/>
  <c r="K246" i="2"/>
  <c r="K244" i="2"/>
  <c r="K243" i="2"/>
  <c r="K242" i="2"/>
  <c r="K241" i="2"/>
  <c r="K240" i="2"/>
  <c r="K234" i="2"/>
  <c r="K233" i="2"/>
  <c r="K232" i="2"/>
  <c r="K231" i="2"/>
  <c r="K230" i="2"/>
  <c r="K229" i="2"/>
  <c r="K228" i="2"/>
  <c r="K227" i="2"/>
  <c r="K226" i="2"/>
  <c r="K225" i="2"/>
  <c r="K224" i="2"/>
  <c r="K221" i="2"/>
  <c r="K220" i="2"/>
  <c r="K219" i="2"/>
  <c r="K218" i="2"/>
  <c r="K216" i="2"/>
  <c r="K215" i="2"/>
  <c r="K213" i="2"/>
  <c r="K212" i="2"/>
  <c r="K210" i="2"/>
  <c r="K209" i="2"/>
  <c r="K204" i="2"/>
  <c r="K203" i="2"/>
  <c r="K202" i="2"/>
  <c r="K200" i="2"/>
  <c r="K199" i="2"/>
  <c r="K198" i="2"/>
  <c r="K197" i="2"/>
  <c r="K196" i="2"/>
  <c r="K194" i="2"/>
  <c r="K193" i="2"/>
  <c r="K192" i="2"/>
  <c r="K191" i="2"/>
  <c r="K190" i="2"/>
  <c r="K189" i="2"/>
  <c r="K188" i="2"/>
  <c r="K186" i="2"/>
  <c r="K185" i="2"/>
  <c r="K184" i="2"/>
  <c r="K183" i="2"/>
  <c r="K182" i="2"/>
  <c r="K180" i="2"/>
  <c r="K175" i="2"/>
  <c r="K174" i="2"/>
  <c r="K172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7" i="2"/>
  <c r="K146" i="2"/>
  <c r="K145" i="2"/>
  <c r="K144" i="2"/>
  <c r="K143" i="2"/>
  <c r="K142" i="2"/>
  <c r="K140" i="2"/>
  <c r="K139" i="2"/>
  <c r="K138" i="2"/>
  <c r="K137" i="2"/>
  <c r="K136" i="2"/>
  <c r="K135" i="2"/>
  <c r="K131" i="2"/>
  <c r="K130" i="2"/>
  <c r="K128" i="2"/>
  <c r="K127" i="2"/>
  <c r="K126" i="2"/>
  <c r="K125" i="2"/>
  <c r="K124" i="2"/>
  <c r="K123" i="2"/>
  <c r="K122" i="2"/>
  <c r="K121" i="2"/>
  <c r="K120" i="2"/>
  <c r="K119" i="2"/>
  <c r="K117" i="2"/>
  <c r="K116" i="2"/>
  <c r="K115" i="2"/>
  <c r="K114" i="2"/>
  <c r="K113" i="2"/>
  <c r="K111" i="2"/>
  <c r="K110" i="2"/>
  <c r="K109" i="2"/>
  <c r="K108" i="2"/>
  <c r="K107" i="2"/>
  <c r="K106" i="2"/>
  <c r="K105" i="2"/>
  <c r="K104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7" i="2"/>
  <c r="K26" i="2"/>
  <c r="K25" i="2"/>
  <c r="K24" i="2"/>
  <c r="K23" i="2"/>
  <c r="K22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J280" i="2"/>
  <c r="J275" i="2"/>
  <c r="J273" i="2"/>
  <c r="J272" i="2"/>
  <c r="J271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4" i="2"/>
  <c r="J252" i="2"/>
  <c r="J251" i="2"/>
  <c r="J250" i="2"/>
  <c r="J249" i="2"/>
  <c r="J247" i="2"/>
  <c r="J246" i="2"/>
  <c r="J244" i="2"/>
  <c r="J243" i="2"/>
  <c r="J242" i="2"/>
  <c r="J241" i="2"/>
  <c r="J240" i="2"/>
  <c r="J234" i="2"/>
  <c r="J233" i="2"/>
  <c r="J232" i="2"/>
  <c r="J231" i="2"/>
  <c r="J230" i="2"/>
  <c r="J229" i="2"/>
  <c r="J228" i="2"/>
  <c r="J227" i="2"/>
  <c r="J226" i="2"/>
  <c r="J225" i="2"/>
  <c r="J224" i="2"/>
  <c r="J221" i="2"/>
  <c r="J220" i="2"/>
  <c r="J219" i="2"/>
  <c r="J218" i="2"/>
  <c r="J216" i="2"/>
  <c r="J215" i="2"/>
  <c r="J213" i="2"/>
  <c r="J212" i="2"/>
  <c r="J210" i="2"/>
  <c r="J209" i="2"/>
  <c r="J204" i="2"/>
  <c r="J203" i="2"/>
  <c r="J202" i="2"/>
  <c r="J200" i="2"/>
  <c r="J199" i="2"/>
  <c r="J198" i="2"/>
  <c r="J197" i="2"/>
  <c r="J196" i="2"/>
  <c r="J194" i="2"/>
  <c r="J193" i="2"/>
  <c r="J192" i="2"/>
  <c r="J191" i="2"/>
  <c r="J190" i="2"/>
  <c r="J189" i="2"/>
  <c r="J188" i="2"/>
  <c r="J186" i="2"/>
  <c r="J185" i="2"/>
  <c r="J184" i="2"/>
  <c r="J183" i="2"/>
  <c r="J182" i="2"/>
  <c r="J180" i="2"/>
  <c r="J175" i="2"/>
  <c r="J174" i="2"/>
  <c r="J172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7" i="2"/>
  <c r="J146" i="2"/>
  <c r="J145" i="2"/>
  <c r="J144" i="2"/>
  <c r="J143" i="2"/>
  <c r="J142" i="2"/>
  <c r="J140" i="2"/>
  <c r="J139" i="2"/>
  <c r="J138" i="2"/>
  <c r="J137" i="2"/>
  <c r="J136" i="2"/>
  <c r="J135" i="2"/>
  <c r="J131" i="2"/>
  <c r="J130" i="2"/>
  <c r="J128" i="2"/>
  <c r="J127" i="2"/>
  <c r="J126" i="2"/>
  <c r="J125" i="2"/>
  <c r="J124" i="2"/>
  <c r="J123" i="2"/>
  <c r="J122" i="2"/>
  <c r="J121" i="2"/>
  <c r="J120" i="2"/>
  <c r="J119" i="2"/>
  <c r="J117" i="2"/>
  <c r="J116" i="2"/>
  <c r="J115" i="2"/>
  <c r="J114" i="2"/>
  <c r="J113" i="2"/>
  <c r="J111" i="2"/>
  <c r="J110" i="2"/>
  <c r="J109" i="2"/>
  <c r="J108" i="2"/>
  <c r="J107" i="2"/>
  <c r="J106" i="2"/>
  <c r="J105" i="2"/>
  <c r="J104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7" i="2"/>
  <c r="J26" i="2"/>
  <c r="J25" i="2"/>
  <c r="J24" i="2"/>
  <c r="J23" i="2"/>
  <c r="J22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I280" i="2"/>
  <c r="I275" i="2"/>
  <c r="I273" i="2"/>
  <c r="I272" i="2"/>
  <c r="I271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4" i="2"/>
  <c r="I252" i="2"/>
  <c r="I251" i="2"/>
  <c r="I250" i="2"/>
  <c r="I249" i="2"/>
  <c r="I247" i="2"/>
  <c r="I246" i="2"/>
  <c r="I244" i="2"/>
  <c r="I243" i="2"/>
  <c r="I242" i="2"/>
  <c r="I241" i="2"/>
  <c r="I240" i="2"/>
  <c r="I234" i="2"/>
  <c r="I233" i="2"/>
  <c r="I232" i="2"/>
  <c r="I231" i="2"/>
  <c r="I230" i="2"/>
  <c r="I229" i="2"/>
  <c r="I228" i="2"/>
  <c r="I227" i="2"/>
  <c r="I226" i="2"/>
  <c r="I225" i="2"/>
  <c r="I224" i="2"/>
  <c r="I221" i="2"/>
  <c r="I220" i="2"/>
  <c r="I219" i="2"/>
  <c r="I218" i="2"/>
  <c r="I216" i="2"/>
  <c r="I215" i="2"/>
  <c r="I213" i="2"/>
  <c r="I212" i="2"/>
  <c r="I210" i="2"/>
  <c r="I209" i="2"/>
  <c r="I204" i="2"/>
  <c r="I203" i="2"/>
  <c r="I202" i="2"/>
  <c r="I200" i="2"/>
  <c r="I199" i="2"/>
  <c r="I198" i="2"/>
  <c r="I197" i="2"/>
  <c r="I196" i="2"/>
  <c r="I194" i="2"/>
  <c r="I193" i="2"/>
  <c r="I192" i="2"/>
  <c r="I191" i="2"/>
  <c r="I190" i="2"/>
  <c r="I189" i="2"/>
  <c r="I188" i="2"/>
  <c r="I186" i="2"/>
  <c r="I185" i="2"/>
  <c r="I184" i="2"/>
  <c r="I183" i="2"/>
  <c r="I182" i="2"/>
  <c r="I180" i="2"/>
  <c r="I175" i="2"/>
  <c r="I174" i="2"/>
  <c r="I172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7" i="2"/>
  <c r="I146" i="2"/>
  <c r="I145" i="2"/>
  <c r="I144" i="2"/>
  <c r="I143" i="2"/>
  <c r="I142" i="2"/>
  <c r="I140" i="2"/>
  <c r="I139" i="2"/>
  <c r="I138" i="2"/>
  <c r="I137" i="2"/>
  <c r="I136" i="2"/>
  <c r="I135" i="2"/>
  <c r="I131" i="2"/>
  <c r="I130" i="2"/>
  <c r="I128" i="2"/>
  <c r="I127" i="2"/>
  <c r="I126" i="2"/>
  <c r="I125" i="2"/>
  <c r="I124" i="2"/>
  <c r="I123" i="2"/>
  <c r="I122" i="2"/>
  <c r="I121" i="2"/>
  <c r="I120" i="2"/>
  <c r="I119" i="2"/>
  <c r="I117" i="2"/>
  <c r="I116" i="2"/>
  <c r="I115" i="2"/>
  <c r="I114" i="2"/>
  <c r="I113" i="2"/>
  <c r="I111" i="2"/>
  <c r="I110" i="2"/>
  <c r="I109" i="2"/>
  <c r="I108" i="2"/>
  <c r="I107" i="2"/>
  <c r="I106" i="2"/>
  <c r="I105" i="2"/>
  <c r="I104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4" i="2"/>
  <c r="G105" i="2"/>
  <c r="G106" i="2"/>
  <c r="G107" i="2"/>
  <c r="G108" i="2"/>
  <c r="G109" i="2"/>
  <c r="G110" i="2"/>
  <c r="G111" i="2"/>
  <c r="G113" i="2"/>
  <c r="G114" i="2"/>
  <c r="G115" i="2"/>
  <c r="G116" i="2"/>
  <c r="G117" i="2"/>
  <c r="G119" i="2"/>
  <c r="G120" i="2"/>
  <c r="G121" i="2"/>
  <c r="G122" i="2"/>
  <c r="G123" i="2"/>
  <c r="G124" i="2"/>
  <c r="G125" i="2"/>
  <c r="G126" i="2"/>
  <c r="G127" i="2"/>
  <c r="G128" i="2"/>
  <c r="G130" i="2"/>
  <c r="G131" i="2"/>
  <c r="G135" i="2"/>
  <c r="G136" i="2"/>
  <c r="G137" i="2"/>
  <c r="G138" i="2"/>
  <c r="G139" i="2"/>
  <c r="G140" i="2"/>
  <c r="G142" i="2"/>
  <c r="G143" i="2"/>
  <c r="G144" i="2"/>
  <c r="G145" i="2"/>
  <c r="G146" i="2"/>
  <c r="G147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2" i="2"/>
  <c r="G174" i="2"/>
  <c r="G175" i="2"/>
  <c r="G180" i="2"/>
  <c r="G182" i="2"/>
  <c r="G183" i="2"/>
  <c r="G184" i="2"/>
  <c r="G185" i="2"/>
  <c r="G186" i="2"/>
  <c r="G188" i="2"/>
  <c r="G189" i="2"/>
  <c r="G190" i="2"/>
  <c r="G191" i="2"/>
  <c r="G192" i="2"/>
  <c r="G193" i="2"/>
  <c r="G194" i="2"/>
  <c r="G196" i="2"/>
  <c r="G197" i="2"/>
  <c r="G198" i="2"/>
  <c r="G199" i="2"/>
  <c r="G200" i="2"/>
  <c r="G202" i="2"/>
  <c r="G203" i="2"/>
  <c r="G204" i="2"/>
  <c r="G209" i="2"/>
  <c r="G210" i="2"/>
  <c r="G212" i="2"/>
  <c r="G213" i="2"/>
  <c r="G215" i="2"/>
  <c r="G216" i="2"/>
  <c r="G218" i="2"/>
  <c r="G219" i="2"/>
  <c r="G220" i="2"/>
  <c r="G221" i="2"/>
  <c r="G224" i="2"/>
  <c r="G225" i="2"/>
  <c r="G226" i="2"/>
  <c r="G227" i="2"/>
  <c r="G228" i="2"/>
  <c r="G229" i="2"/>
  <c r="G230" i="2"/>
  <c r="G231" i="2"/>
  <c r="G232" i="2"/>
  <c r="G233" i="2"/>
  <c r="G234" i="2"/>
  <c r="G240" i="2"/>
  <c r="G241" i="2"/>
  <c r="G242" i="2"/>
  <c r="G243" i="2"/>
  <c r="G244" i="2"/>
  <c r="G246" i="2"/>
  <c r="G247" i="2"/>
  <c r="G249" i="2"/>
  <c r="G250" i="2"/>
  <c r="G251" i="2"/>
  <c r="G252" i="2"/>
  <c r="G254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71" i="2"/>
  <c r="G272" i="2"/>
  <c r="G273" i="2"/>
  <c r="G275" i="2"/>
  <c r="G280" i="2"/>
  <c r="G6" i="2"/>
  <c r="F280" i="2"/>
  <c r="F275" i="2"/>
  <c r="F273" i="2"/>
  <c r="F272" i="2"/>
  <c r="F271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4" i="2"/>
  <c r="F252" i="2"/>
  <c r="F251" i="2"/>
  <c r="F250" i="2"/>
  <c r="F249" i="2"/>
  <c r="F247" i="2"/>
  <c r="F246" i="2"/>
  <c r="F244" i="2"/>
  <c r="F243" i="2"/>
  <c r="F242" i="2"/>
  <c r="F241" i="2"/>
  <c r="F240" i="2"/>
  <c r="F234" i="2"/>
  <c r="F233" i="2"/>
  <c r="F232" i="2"/>
  <c r="F231" i="2"/>
  <c r="F230" i="2"/>
  <c r="F229" i="2"/>
  <c r="F228" i="2"/>
  <c r="F227" i="2"/>
  <c r="F226" i="2"/>
  <c r="F225" i="2"/>
  <c r="F224" i="2"/>
  <c r="F221" i="2"/>
  <c r="F220" i="2"/>
  <c r="F219" i="2"/>
  <c r="F218" i="2"/>
  <c r="F216" i="2"/>
  <c r="F215" i="2"/>
  <c r="F213" i="2"/>
  <c r="F212" i="2"/>
  <c r="F210" i="2"/>
  <c r="F209" i="2"/>
  <c r="F204" i="2"/>
  <c r="F203" i="2"/>
  <c r="F202" i="2"/>
  <c r="F200" i="2"/>
  <c r="F199" i="2"/>
  <c r="F198" i="2"/>
  <c r="F197" i="2"/>
  <c r="F196" i="2"/>
  <c r="F194" i="2"/>
  <c r="F193" i="2"/>
  <c r="F192" i="2"/>
  <c r="F191" i="2"/>
  <c r="F190" i="2"/>
  <c r="F189" i="2"/>
  <c r="F188" i="2"/>
  <c r="F186" i="2"/>
  <c r="F185" i="2"/>
  <c r="F184" i="2"/>
  <c r="F183" i="2"/>
  <c r="F182" i="2"/>
  <c r="F180" i="2"/>
  <c r="F175" i="2"/>
  <c r="F174" i="2"/>
  <c r="F172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7" i="2"/>
  <c r="F146" i="2"/>
  <c r="F145" i="2"/>
  <c r="F144" i="2"/>
  <c r="F143" i="2"/>
  <c r="F142" i="2"/>
  <c r="F140" i="2"/>
  <c r="F139" i="2"/>
  <c r="F138" i="2"/>
  <c r="F137" i="2"/>
  <c r="F136" i="2"/>
  <c r="F135" i="2"/>
  <c r="F131" i="2"/>
  <c r="F130" i="2"/>
  <c r="F128" i="2"/>
  <c r="F127" i="2"/>
  <c r="F126" i="2"/>
  <c r="F125" i="2"/>
  <c r="F124" i="2"/>
  <c r="F123" i="2"/>
  <c r="F122" i="2"/>
  <c r="F121" i="2"/>
  <c r="F120" i="2"/>
  <c r="F119" i="2"/>
  <c r="F117" i="2"/>
  <c r="F116" i="2"/>
  <c r="F115" i="2"/>
  <c r="F114" i="2"/>
  <c r="F113" i="2"/>
  <c r="F111" i="2"/>
  <c r="F110" i="2"/>
  <c r="F109" i="2"/>
  <c r="F108" i="2"/>
  <c r="F107" i="2"/>
  <c r="F106" i="2"/>
  <c r="F105" i="2"/>
  <c r="F104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7" i="2"/>
  <c r="F26" i="2"/>
  <c r="F25" i="2"/>
  <c r="F24" i="2"/>
  <c r="F23" i="2"/>
  <c r="F22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280" i="2"/>
  <c r="E273" i="2"/>
  <c r="E272" i="2"/>
  <c r="E271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4" i="2"/>
  <c r="E252" i="2"/>
  <c r="E251" i="2"/>
  <c r="E250" i="2"/>
  <c r="E249" i="2"/>
  <c r="E247" i="2"/>
  <c r="E246" i="2"/>
  <c r="E244" i="2"/>
  <c r="E243" i="2"/>
  <c r="E242" i="2"/>
  <c r="E241" i="2"/>
  <c r="E240" i="2"/>
  <c r="E234" i="2"/>
  <c r="E233" i="2"/>
  <c r="E232" i="2"/>
  <c r="E231" i="2"/>
  <c r="E230" i="2"/>
  <c r="E229" i="2"/>
  <c r="E228" i="2"/>
  <c r="E227" i="2"/>
  <c r="E226" i="2"/>
  <c r="E224" i="2"/>
  <c r="E221" i="2"/>
  <c r="E220" i="2"/>
  <c r="E219" i="2"/>
  <c r="E212" i="2"/>
  <c r="E209" i="2"/>
  <c r="E204" i="2"/>
  <c r="E203" i="2"/>
  <c r="E202" i="2"/>
  <c r="E200" i="2"/>
  <c r="E199" i="2"/>
  <c r="E198" i="2"/>
  <c r="E197" i="2"/>
  <c r="E196" i="2"/>
  <c r="E194" i="2"/>
  <c r="E193" i="2"/>
  <c r="E192" i="2"/>
  <c r="E191" i="2"/>
  <c r="E190" i="2"/>
  <c r="E189" i="2"/>
  <c r="E188" i="2"/>
  <c r="E186" i="2"/>
  <c r="E185" i="2"/>
  <c r="E184" i="2"/>
  <c r="E183" i="2"/>
  <c r="E182" i="2"/>
  <c r="E180" i="2"/>
  <c r="E175" i="2"/>
  <c r="E174" i="2"/>
  <c r="E172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7" i="2"/>
  <c r="E146" i="2"/>
  <c r="E145" i="2"/>
  <c r="E144" i="2"/>
  <c r="E143" i="2"/>
  <c r="E142" i="2"/>
  <c r="E140" i="2"/>
  <c r="E138" i="2"/>
  <c r="E137" i="2"/>
  <c r="E135" i="2"/>
  <c r="E131" i="2"/>
  <c r="E130" i="2"/>
  <c r="E128" i="2"/>
  <c r="E127" i="2"/>
  <c r="E126" i="2"/>
  <c r="E124" i="2"/>
  <c r="E123" i="2"/>
  <c r="E122" i="2"/>
  <c r="E121" i="2"/>
  <c r="E120" i="2"/>
  <c r="E119" i="2"/>
  <c r="E117" i="2"/>
  <c r="E116" i="2"/>
  <c r="E115" i="2"/>
  <c r="E114" i="2"/>
  <c r="E113" i="2"/>
  <c r="E111" i="2"/>
  <c r="E110" i="2"/>
  <c r="E109" i="2"/>
  <c r="E108" i="2"/>
  <c r="E107" i="2"/>
  <c r="E106" i="2"/>
  <c r="E105" i="2"/>
  <c r="E104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6" i="2"/>
  <c r="E83" i="2"/>
  <c r="E82" i="2"/>
  <c r="E81" i="2"/>
  <c r="E80" i="2"/>
  <c r="E79" i="2"/>
  <c r="E78" i="2"/>
  <c r="E77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8" i="2"/>
  <c r="E27" i="2"/>
  <c r="E26" i="2"/>
  <c r="E25" i="2"/>
  <c r="E24" i="2"/>
  <c r="E23" i="2"/>
  <c r="E22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U280" i="2"/>
  <c r="U275" i="2"/>
  <c r="U273" i="2"/>
  <c r="U272" i="2"/>
  <c r="U271" i="2"/>
  <c r="U267" i="2"/>
  <c r="U266" i="2"/>
  <c r="U265" i="2"/>
  <c r="U263" i="2"/>
  <c r="U262" i="2"/>
  <c r="U261" i="2"/>
  <c r="U260" i="2"/>
  <c r="U259" i="2"/>
  <c r="U258" i="2"/>
  <c r="U257" i="2"/>
  <c r="U256" i="2"/>
  <c r="U254" i="2"/>
  <c r="U252" i="2"/>
  <c r="U251" i="2"/>
  <c r="U250" i="2"/>
  <c r="U249" i="2"/>
  <c r="U247" i="2"/>
  <c r="U246" i="2"/>
  <c r="U244" i="2"/>
  <c r="U243" i="2"/>
  <c r="U242" i="2"/>
  <c r="U241" i="2"/>
  <c r="U240" i="2"/>
  <c r="U234" i="2"/>
  <c r="U233" i="2"/>
  <c r="U232" i="2"/>
  <c r="U231" i="2"/>
  <c r="U230" i="2"/>
  <c r="U229" i="2"/>
  <c r="U228" i="2"/>
  <c r="U227" i="2"/>
  <c r="U226" i="2"/>
  <c r="U225" i="2"/>
  <c r="U221" i="2"/>
  <c r="U220" i="2"/>
  <c r="U219" i="2"/>
  <c r="U218" i="2"/>
  <c r="U216" i="2"/>
  <c r="U215" i="2"/>
  <c r="U212" i="2"/>
  <c r="U210" i="2"/>
  <c r="U209" i="2"/>
  <c r="U204" i="2"/>
  <c r="U203" i="2"/>
  <c r="U202" i="2"/>
  <c r="U200" i="2"/>
  <c r="U199" i="2"/>
  <c r="U198" i="2"/>
  <c r="U197" i="2"/>
  <c r="U196" i="2"/>
  <c r="U194" i="2"/>
  <c r="U193" i="2"/>
  <c r="U192" i="2"/>
  <c r="U191" i="2"/>
  <c r="U190" i="2"/>
  <c r="U189" i="2"/>
  <c r="U188" i="2"/>
  <c r="U186" i="2"/>
  <c r="U185" i="2"/>
  <c r="U184" i="2"/>
  <c r="U183" i="2"/>
  <c r="U182" i="2"/>
  <c r="U180" i="2"/>
  <c r="U175" i="2"/>
  <c r="U174" i="2"/>
  <c r="U172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7" i="2"/>
  <c r="U146" i="2"/>
  <c r="U145" i="2"/>
  <c r="U144" i="2"/>
  <c r="U143" i="2"/>
  <c r="U142" i="2"/>
  <c r="U140" i="2"/>
  <c r="U139" i="2"/>
  <c r="U138" i="2"/>
  <c r="U137" i="2"/>
  <c r="U136" i="2"/>
  <c r="U135" i="2"/>
  <c r="U131" i="2"/>
  <c r="U130" i="2"/>
  <c r="U128" i="2"/>
  <c r="U127" i="2"/>
  <c r="U126" i="2"/>
  <c r="U125" i="2"/>
  <c r="U124" i="2"/>
  <c r="U122" i="2"/>
  <c r="U121" i="2"/>
  <c r="U120" i="2"/>
  <c r="U119" i="2"/>
  <c r="U117" i="2"/>
  <c r="U116" i="2"/>
  <c r="U114" i="2"/>
  <c r="U113" i="2"/>
  <c r="U111" i="2"/>
  <c r="U110" i="2"/>
  <c r="U109" i="2"/>
  <c r="U108" i="2"/>
  <c r="U107" i="2"/>
  <c r="U106" i="2"/>
  <c r="U105" i="2"/>
  <c r="U104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2" i="2"/>
  <c r="U81" i="2"/>
  <c r="U80" i="2"/>
  <c r="U79" i="2"/>
  <c r="U78" i="2"/>
  <c r="U77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8" i="2"/>
  <c r="U27" i="2"/>
  <c r="U26" i="2"/>
  <c r="U25" i="2"/>
  <c r="U24" i="2"/>
  <c r="U23" i="2"/>
  <c r="U22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D280" i="2"/>
  <c r="D275" i="2"/>
  <c r="D273" i="2"/>
  <c r="D272" i="2"/>
  <c r="D271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4" i="2"/>
  <c r="D252" i="2"/>
  <c r="D251" i="2"/>
  <c r="D250" i="2"/>
  <c r="D249" i="2"/>
  <c r="D247" i="2"/>
  <c r="D246" i="2"/>
  <c r="D244" i="2"/>
  <c r="D243" i="2"/>
  <c r="D242" i="2"/>
  <c r="D241" i="2"/>
  <c r="D240" i="2"/>
  <c r="D234" i="2"/>
  <c r="D233" i="2"/>
  <c r="D232" i="2"/>
  <c r="D231" i="2"/>
  <c r="D230" i="2"/>
  <c r="D229" i="2"/>
  <c r="D228" i="2"/>
  <c r="D227" i="2"/>
  <c r="D226" i="2"/>
  <c r="D225" i="2"/>
  <c r="D224" i="2"/>
  <c r="D221" i="2"/>
  <c r="D220" i="2"/>
  <c r="D219" i="2"/>
  <c r="D218" i="2"/>
  <c r="D216" i="2"/>
  <c r="D215" i="2"/>
  <c r="D213" i="2"/>
  <c r="D212" i="2"/>
  <c r="D210" i="2"/>
  <c r="D209" i="2"/>
  <c r="D204" i="2"/>
  <c r="D203" i="2"/>
  <c r="D202" i="2"/>
  <c r="D200" i="2"/>
  <c r="D199" i="2"/>
  <c r="D198" i="2"/>
  <c r="D197" i="2"/>
  <c r="D196" i="2"/>
  <c r="D194" i="2"/>
  <c r="D193" i="2"/>
  <c r="D192" i="2"/>
  <c r="D191" i="2"/>
  <c r="D190" i="2"/>
  <c r="D189" i="2"/>
  <c r="D188" i="2"/>
  <c r="D186" i="2"/>
  <c r="D185" i="2"/>
  <c r="D184" i="2"/>
  <c r="D183" i="2"/>
  <c r="D182" i="2"/>
  <c r="D180" i="2"/>
  <c r="D175" i="2"/>
  <c r="D174" i="2"/>
  <c r="D172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7" i="2"/>
  <c r="D146" i="2"/>
  <c r="D145" i="2"/>
  <c r="D144" i="2"/>
  <c r="D143" i="2"/>
  <c r="D142" i="2"/>
  <c r="D140" i="2"/>
  <c r="D139" i="2"/>
  <c r="D138" i="2"/>
  <c r="D137" i="2"/>
  <c r="D136" i="2"/>
  <c r="D135" i="2"/>
  <c r="D131" i="2"/>
  <c r="D130" i="2"/>
  <c r="D128" i="2"/>
  <c r="D127" i="2"/>
  <c r="D126" i="2"/>
  <c r="D125" i="2"/>
  <c r="D124" i="2"/>
  <c r="D123" i="2"/>
  <c r="D122" i="2"/>
  <c r="D121" i="2"/>
  <c r="D120" i="2"/>
  <c r="D119" i="2"/>
  <c r="D117" i="2"/>
  <c r="D116" i="2"/>
  <c r="D115" i="2"/>
  <c r="D114" i="2"/>
  <c r="D113" i="2"/>
  <c r="D111" i="2"/>
  <c r="D110" i="2"/>
  <c r="D109" i="2"/>
  <c r="D108" i="2"/>
  <c r="D107" i="2"/>
  <c r="D106" i="2"/>
  <c r="D105" i="2"/>
  <c r="D104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P54" i="9" l="1"/>
  <c r="P59" i="9" s="1"/>
  <c r="P64" i="9" s="1"/>
  <c r="GD344" i="2"/>
  <c r="GD358" i="2" s="1"/>
  <c r="GD360" i="2" s="1"/>
  <c r="BU281" i="2"/>
  <c r="BU310" i="2"/>
  <c r="DL330" i="2"/>
  <c r="J52" i="10" s="1"/>
  <c r="FP358" i="2"/>
  <c r="FP360" i="2" s="1"/>
  <c r="DP326" i="2"/>
  <c r="DQ326" i="2"/>
  <c r="FH330" i="2"/>
  <c r="CY330" i="2"/>
  <c r="H64" i="11" s="1"/>
  <c r="FH331" i="2"/>
  <c r="FH326" i="2"/>
  <c r="GE358" i="2"/>
  <c r="GE360" i="2" s="1"/>
  <c r="CY331" i="2"/>
  <c r="H59" i="11" s="1"/>
  <c r="CY326" i="2"/>
  <c r="DL333" i="2"/>
  <c r="DM333" i="2"/>
  <c r="DM332" i="2" s="1"/>
  <c r="DP333" i="2"/>
  <c r="DP332" i="2" s="1"/>
  <c r="F51" i="10" s="1"/>
  <c r="DQ333" i="2"/>
  <c r="DQ332" i="2" s="1"/>
  <c r="FP364" i="2"/>
  <c r="P81" i="6" s="1"/>
  <c r="FP362" i="2"/>
  <c r="DM330" i="2"/>
  <c r="DP330" i="2"/>
  <c r="DQ330" i="2"/>
  <c r="FH333" i="2"/>
  <c r="FH332" i="2" s="1"/>
  <c r="BV358" i="2"/>
  <c r="BV360" i="2" s="1"/>
  <c r="R69" i="7"/>
  <c r="CY333" i="2"/>
  <c r="CY332" i="2" s="1"/>
  <c r="DL331" i="2"/>
  <c r="DL326" i="2"/>
  <c r="DM331" i="2"/>
  <c r="DM326" i="2"/>
  <c r="DP331" i="2"/>
  <c r="DQ331" i="2"/>
  <c r="BV281" i="2"/>
  <c r="BV310" i="2"/>
  <c r="BW281" i="2"/>
  <c r="BW310" i="2"/>
  <c r="BX281" i="2"/>
  <c r="BX310" i="2"/>
  <c r="GX281" i="2"/>
  <c r="D281" i="2"/>
  <c r="U281" i="2"/>
  <c r="U283" i="2" s="1"/>
  <c r="GY281" i="2"/>
  <c r="FD281" i="2"/>
  <c r="FW281" i="2"/>
  <c r="HA281" i="2"/>
  <c r="E281" i="2"/>
  <c r="CU281" i="2"/>
  <c r="CW281" i="2"/>
  <c r="GE281" i="2"/>
  <c r="AB281" i="2"/>
  <c r="AC281" i="2"/>
  <c r="AO281" i="2"/>
  <c r="AJ281" i="2"/>
  <c r="AP281" i="2"/>
  <c r="AQ281" i="2"/>
  <c r="AR281" i="2"/>
  <c r="AV281" i="2"/>
  <c r="AW281" i="2"/>
  <c r="AX281" i="2"/>
  <c r="AY281" i="2"/>
  <c r="BD281" i="2"/>
  <c r="BI281" i="2"/>
  <c r="BJ281" i="2"/>
  <c r="BK281" i="2"/>
  <c r="BT281" i="2"/>
  <c r="CE281" i="2"/>
  <c r="CG281" i="2"/>
  <c r="CH281" i="2"/>
  <c r="CM281" i="2"/>
  <c r="CS281" i="2"/>
  <c r="DJ281" i="2"/>
  <c r="DM281" i="2"/>
  <c r="DP281" i="2"/>
  <c r="DQ281" i="2"/>
  <c r="DU281" i="2"/>
  <c r="EE281" i="2"/>
  <c r="EF281" i="2"/>
  <c r="FY281" i="2"/>
  <c r="CY281" i="2"/>
  <c r="H58" i="6" s="1"/>
  <c r="CV281" i="2"/>
  <c r="Q281" i="2"/>
  <c r="R281" i="2"/>
  <c r="S281" i="2"/>
  <c r="T281" i="2"/>
  <c r="AZ281" i="2"/>
  <c r="DE281" i="2"/>
  <c r="FE281" i="2"/>
  <c r="FH281" i="2"/>
  <c r="GM281" i="2"/>
  <c r="F281" i="2"/>
  <c r="G281" i="2"/>
  <c r="I281" i="2"/>
  <c r="J281" i="2"/>
  <c r="K281" i="2"/>
  <c r="M281" i="2"/>
  <c r="N281" i="2"/>
  <c r="O281" i="2"/>
  <c r="P281" i="2"/>
  <c r="Z281" i="2"/>
  <c r="BA281" i="2"/>
  <c r="CT281" i="2"/>
  <c r="DD281" i="2"/>
  <c r="FC281" i="2"/>
  <c r="FZ281" i="2"/>
  <c r="GN281" i="2"/>
  <c r="FP281" i="2"/>
  <c r="FX281" i="2"/>
  <c r="CY334" i="2"/>
  <c r="H57" i="11" s="1"/>
  <c r="CY325" i="2"/>
  <c r="H67" i="11"/>
  <c r="CY327" i="2"/>
  <c r="CY328" i="2"/>
  <c r="AD143" i="2"/>
  <c r="BH6" i="2"/>
  <c r="DL6" i="2"/>
  <c r="DL334" i="2" s="1"/>
  <c r="J49" i="10" s="1"/>
  <c r="C22" i="17"/>
  <c r="F15" i="16"/>
  <c r="DL328" i="2"/>
  <c r="DM328" i="2"/>
  <c r="DP328" i="2"/>
  <c r="DQ328" i="2"/>
  <c r="FH328" i="2"/>
  <c r="X273" i="2"/>
  <c r="X271" i="2"/>
  <c r="X272" i="2"/>
  <c r="HA310" i="2"/>
  <c r="DU310" i="2"/>
  <c r="FC310" i="2"/>
  <c r="FX310" i="2"/>
  <c r="GD310" i="2"/>
  <c r="GM310" i="2"/>
  <c r="AB310" i="2"/>
  <c r="AC310" i="2"/>
  <c r="AJ310" i="2"/>
  <c r="AP310" i="2"/>
  <c r="AQ310" i="2"/>
  <c r="AR310" i="2"/>
  <c r="AV310" i="2"/>
  <c r="AW310" i="2"/>
  <c r="AX310" i="2"/>
  <c r="BD310" i="2"/>
  <c r="BI310" i="2"/>
  <c r="BJ310" i="2"/>
  <c r="BK310" i="2"/>
  <c r="BT310" i="2"/>
  <c r="CE310" i="2"/>
  <c r="CV310" i="2"/>
  <c r="CG310" i="2"/>
  <c r="CH310" i="2"/>
  <c r="CM310" i="2"/>
  <c r="CS310" i="2"/>
  <c r="EE310" i="2"/>
  <c r="EF310" i="2"/>
  <c r="V310" i="2"/>
  <c r="BH88" i="2"/>
  <c r="BH310" i="2" s="1"/>
  <c r="AO310" i="2"/>
  <c r="BA310" i="2"/>
  <c r="DL88" i="2"/>
  <c r="DL325" i="2" s="1"/>
  <c r="DJ310" i="2"/>
  <c r="DM325" i="2"/>
  <c r="DM310" i="2"/>
  <c r="DP310" i="2"/>
  <c r="DP325" i="2"/>
  <c r="DQ325" i="2"/>
  <c r="DQ310" i="2"/>
  <c r="F310" i="2"/>
  <c r="G310" i="2"/>
  <c r="I310" i="2"/>
  <c r="J310" i="2"/>
  <c r="J315" i="2" s="1"/>
  <c r="K310" i="2"/>
  <c r="K315" i="2" s="1"/>
  <c r="M310" i="2"/>
  <c r="N310" i="2"/>
  <c r="N315" i="2" s="1"/>
  <c r="O310" i="2"/>
  <c r="O315" i="2" s="1"/>
  <c r="P310" i="2"/>
  <c r="Q310" i="2"/>
  <c r="R310" i="2"/>
  <c r="S310" i="2"/>
  <c r="T310" i="2"/>
  <c r="AZ310" i="2"/>
  <c r="DE310" i="2"/>
  <c r="FD310" i="2"/>
  <c r="FH325" i="2"/>
  <c r="FH310" i="2"/>
  <c r="FY310" i="2"/>
  <c r="GN310" i="2"/>
  <c r="U310" i="2"/>
  <c r="Z310" i="2"/>
  <c r="AY310" i="2"/>
  <c r="CT310" i="2"/>
  <c r="CY310" i="2"/>
  <c r="DD310" i="2"/>
  <c r="FE310" i="2"/>
  <c r="E310" i="2"/>
  <c r="CU310" i="2"/>
  <c r="CW310" i="2"/>
  <c r="FL310" i="2"/>
  <c r="FP310" i="2"/>
  <c r="FW310" i="2"/>
  <c r="FZ310" i="2"/>
  <c r="GY310" i="2"/>
  <c r="DH271" i="2"/>
  <c r="EY271" i="2" s="1"/>
  <c r="DH280" i="2"/>
  <c r="EY280" i="2" s="1"/>
  <c r="DH265" i="2"/>
  <c r="EY265" i="2" s="1"/>
  <c r="DH272" i="2"/>
  <c r="EY272" i="2" s="1"/>
  <c r="DH266" i="2"/>
  <c r="EY266" i="2" s="1"/>
  <c r="DH273" i="2"/>
  <c r="EY273" i="2" s="1"/>
  <c r="DH267" i="2"/>
  <c r="EY267" i="2" s="1"/>
  <c r="DH275" i="2"/>
  <c r="EY275" i="2" s="1"/>
  <c r="X280" i="2"/>
  <c r="DH12" i="2"/>
  <c r="EY12" i="2" s="1"/>
  <c r="DH20" i="2"/>
  <c r="EY20" i="2" s="1"/>
  <c r="DH30" i="2"/>
  <c r="EY30" i="2" s="1"/>
  <c r="DH38" i="2"/>
  <c r="EY38" i="2" s="1"/>
  <c r="DH46" i="2"/>
  <c r="EY46" i="2" s="1"/>
  <c r="DH55" i="2"/>
  <c r="EY55" i="2" s="1"/>
  <c r="DH63" i="2"/>
  <c r="EY63" i="2" s="1"/>
  <c r="DH71" i="2"/>
  <c r="EY71" i="2" s="1"/>
  <c r="DH80" i="2"/>
  <c r="EY80" i="2" s="1"/>
  <c r="DH88" i="2"/>
  <c r="EY88" i="2" s="1"/>
  <c r="DH96" i="2"/>
  <c r="EY96" i="2" s="1"/>
  <c r="DH105" i="2"/>
  <c r="EY105" i="2" s="1"/>
  <c r="DH114" i="2"/>
  <c r="EY114" i="2" s="1"/>
  <c r="DH123" i="2"/>
  <c r="EY123" i="2" s="1"/>
  <c r="DH135" i="2"/>
  <c r="EY135" i="2" s="1"/>
  <c r="DH144" i="2"/>
  <c r="EY144" i="2" s="1"/>
  <c r="DH154" i="2"/>
  <c r="EY154" i="2" s="1"/>
  <c r="DH162" i="2"/>
  <c r="EY162" i="2" s="1"/>
  <c r="DH172" i="2"/>
  <c r="EY172" i="2" s="1"/>
  <c r="DH186" i="2"/>
  <c r="EY186" i="2" s="1"/>
  <c r="DH196" i="2"/>
  <c r="EY196" i="2" s="1"/>
  <c r="DH209" i="2"/>
  <c r="EY209" i="2" s="1"/>
  <c r="DH220" i="2"/>
  <c r="EY220" i="2" s="1"/>
  <c r="DH230" i="2"/>
  <c r="EY230" i="2" s="1"/>
  <c r="DH243" i="2"/>
  <c r="EY243" i="2" s="1"/>
  <c r="DH254" i="2"/>
  <c r="EY254" i="2" s="1"/>
  <c r="DH8" i="2"/>
  <c r="EY8" i="2" s="1"/>
  <c r="DH16" i="2"/>
  <c r="EY16" i="2" s="1"/>
  <c r="DH25" i="2"/>
  <c r="EY25" i="2" s="1"/>
  <c r="DH34" i="2"/>
  <c r="EY34" i="2" s="1"/>
  <c r="DH42" i="2"/>
  <c r="EY42" i="2" s="1"/>
  <c r="DH51" i="2"/>
  <c r="EY51" i="2" s="1"/>
  <c r="DH59" i="2"/>
  <c r="EY59" i="2" s="1"/>
  <c r="DH67" i="2"/>
  <c r="EY67" i="2" s="1"/>
  <c r="DH75" i="2"/>
  <c r="EY75" i="2" s="1"/>
  <c r="DH84" i="2"/>
  <c r="EY84" i="2" s="1"/>
  <c r="DH92" i="2"/>
  <c r="EY92" i="2" s="1"/>
  <c r="DH100" i="2"/>
  <c r="EY100" i="2" s="1"/>
  <c r="DH109" i="2"/>
  <c r="EY109" i="2" s="1"/>
  <c r="DH119" i="2"/>
  <c r="EY119" i="2" s="1"/>
  <c r="DH127" i="2"/>
  <c r="EY127" i="2" s="1"/>
  <c r="DH139" i="2"/>
  <c r="EY139" i="2" s="1"/>
  <c r="DH150" i="2"/>
  <c r="EY150" i="2" s="1"/>
  <c r="DH158" i="2"/>
  <c r="EY158" i="2" s="1"/>
  <c r="DH166" i="2"/>
  <c r="EY166" i="2" s="1"/>
  <c r="DH182" i="2"/>
  <c r="EY182" i="2" s="1"/>
  <c r="DH191" i="2"/>
  <c r="EY191" i="2" s="1"/>
  <c r="DH200" i="2"/>
  <c r="EY200" i="2" s="1"/>
  <c r="DH215" i="2"/>
  <c r="EY215" i="2" s="1"/>
  <c r="DH226" i="2"/>
  <c r="EY226" i="2" s="1"/>
  <c r="DH234" i="2"/>
  <c r="EY234" i="2" s="1"/>
  <c r="DH249" i="2"/>
  <c r="EY249" i="2" s="1"/>
  <c r="DH259" i="2"/>
  <c r="EY259" i="2" s="1"/>
  <c r="DH11" i="2"/>
  <c r="EY11" i="2" s="1"/>
  <c r="DH19" i="2"/>
  <c r="EY19" i="2" s="1"/>
  <c r="DH28" i="2"/>
  <c r="EY28" i="2" s="1"/>
  <c r="DH37" i="2"/>
  <c r="EY37" i="2" s="1"/>
  <c r="DH45" i="2"/>
  <c r="EY45" i="2" s="1"/>
  <c r="DH54" i="2"/>
  <c r="EY54" i="2" s="1"/>
  <c r="DH62" i="2"/>
  <c r="EY62" i="2" s="1"/>
  <c r="DH70" i="2"/>
  <c r="EY70" i="2" s="1"/>
  <c r="DH79" i="2"/>
  <c r="EY79" i="2" s="1"/>
  <c r="DH87" i="2"/>
  <c r="EY87" i="2" s="1"/>
  <c r="DH95" i="2"/>
  <c r="EY95" i="2" s="1"/>
  <c r="DH104" i="2"/>
  <c r="EY104" i="2" s="1"/>
  <c r="DH113" i="2"/>
  <c r="EY113" i="2" s="1"/>
  <c r="DH122" i="2"/>
  <c r="EY122" i="2" s="1"/>
  <c r="DH131" i="2"/>
  <c r="EY131" i="2" s="1"/>
  <c r="DH143" i="2"/>
  <c r="EY143" i="2" s="1"/>
  <c r="DH153" i="2"/>
  <c r="EY153" i="2" s="1"/>
  <c r="DH161" i="2"/>
  <c r="EY161" i="2" s="1"/>
  <c r="DH169" i="2"/>
  <c r="EY169" i="2" s="1"/>
  <c r="DH185" i="2"/>
  <c r="EY185" i="2" s="1"/>
  <c r="DH194" i="2"/>
  <c r="EY194" i="2" s="1"/>
  <c r="DH204" i="2"/>
  <c r="EY204" i="2" s="1"/>
  <c r="DH219" i="2"/>
  <c r="EY219" i="2" s="1"/>
  <c r="DH229" i="2"/>
  <c r="EY229" i="2" s="1"/>
  <c r="DH242" i="2"/>
  <c r="EY242" i="2" s="1"/>
  <c r="DH252" i="2"/>
  <c r="EY252" i="2" s="1"/>
  <c r="DH262" i="2"/>
  <c r="EY262" i="2" s="1"/>
  <c r="DH7" i="2"/>
  <c r="EY7" i="2" s="1"/>
  <c r="DH15" i="2"/>
  <c r="EY15" i="2" s="1"/>
  <c r="DH24" i="2"/>
  <c r="EY24" i="2" s="1"/>
  <c r="DH33" i="2"/>
  <c r="EY33" i="2" s="1"/>
  <c r="DH41" i="2"/>
  <c r="EY41" i="2" s="1"/>
  <c r="DH50" i="2"/>
  <c r="EY50" i="2" s="1"/>
  <c r="DH58" i="2"/>
  <c r="EY58" i="2" s="1"/>
  <c r="DH66" i="2"/>
  <c r="EY66" i="2" s="1"/>
  <c r="DH74" i="2"/>
  <c r="EY74" i="2" s="1"/>
  <c r="DH83" i="2"/>
  <c r="EY83" i="2" s="1"/>
  <c r="DH91" i="2"/>
  <c r="EY91" i="2" s="1"/>
  <c r="DH99" i="2"/>
  <c r="EY99" i="2" s="1"/>
  <c r="DH108" i="2"/>
  <c r="EY108" i="2" s="1"/>
  <c r="DH117" i="2"/>
  <c r="EY117" i="2" s="1"/>
  <c r="DH126" i="2"/>
  <c r="EY126" i="2" s="1"/>
  <c r="DH138" i="2"/>
  <c r="EY138" i="2" s="1"/>
  <c r="DH147" i="2"/>
  <c r="EY147" i="2" s="1"/>
  <c r="DH157" i="2"/>
  <c r="EY157" i="2" s="1"/>
  <c r="DH165" i="2"/>
  <c r="EY165" i="2" s="1"/>
  <c r="DH180" i="2"/>
  <c r="EY180" i="2" s="1"/>
  <c r="DH190" i="2"/>
  <c r="EY190" i="2" s="1"/>
  <c r="DH199" i="2"/>
  <c r="EY199" i="2" s="1"/>
  <c r="DH213" i="2"/>
  <c r="EY213" i="2" s="1"/>
  <c r="DH225" i="2"/>
  <c r="EY225" i="2" s="1"/>
  <c r="DH233" i="2"/>
  <c r="EY233" i="2" s="1"/>
  <c r="DH247" i="2"/>
  <c r="EY247" i="2" s="1"/>
  <c r="DH258" i="2"/>
  <c r="EY258" i="2" s="1"/>
  <c r="DM334" i="2"/>
  <c r="FH334" i="2"/>
  <c r="DQ334" i="2"/>
  <c r="DP334" i="2"/>
  <c r="F49" i="10" s="1"/>
  <c r="DH10" i="2"/>
  <c r="EY10" i="2" s="1"/>
  <c r="DH14" i="2"/>
  <c r="EY14" i="2" s="1"/>
  <c r="DH18" i="2"/>
  <c r="EY18" i="2" s="1"/>
  <c r="DH23" i="2"/>
  <c r="EY23" i="2" s="1"/>
  <c r="DH27" i="2"/>
  <c r="EY27" i="2" s="1"/>
  <c r="DH32" i="2"/>
  <c r="EY32" i="2" s="1"/>
  <c r="DH36" i="2"/>
  <c r="EY36" i="2" s="1"/>
  <c r="DH40" i="2"/>
  <c r="EY40" i="2" s="1"/>
  <c r="DH44" i="2"/>
  <c r="EY44" i="2" s="1"/>
  <c r="DH49" i="2"/>
  <c r="EY49" i="2" s="1"/>
  <c r="DH53" i="2"/>
  <c r="EY53" i="2" s="1"/>
  <c r="DH57" i="2"/>
  <c r="EY57" i="2" s="1"/>
  <c r="DH61" i="2"/>
  <c r="EY61" i="2" s="1"/>
  <c r="DH65" i="2"/>
  <c r="EY65" i="2" s="1"/>
  <c r="DH69" i="2"/>
  <c r="EY69" i="2" s="1"/>
  <c r="DH73" i="2"/>
  <c r="EY73" i="2" s="1"/>
  <c r="DH78" i="2"/>
  <c r="EY78" i="2" s="1"/>
  <c r="DH82" i="2"/>
  <c r="EY82" i="2" s="1"/>
  <c r="DH86" i="2"/>
  <c r="EY86" i="2" s="1"/>
  <c r="DH90" i="2"/>
  <c r="EY90" i="2" s="1"/>
  <c r="DH94" i="2"/>
  <c r="EY94" i="2" s="1"/>
  <c r="DH98" i="2"/>
  <c r="EY98" i="2" s="1"/>
  <c r="DH102" i="2"/>
  <c r="EY102" i="2" s="1"/>
  <c r="DH107" i="2"/>
  <c r="EY107" i="2" s="1"/>
  <c r="DH111" i="2"/>
  <c r="EY111" i="2" s="1"/>
  <c r="DH116" i="2"/>
  <c r="EY116" i="2" s="1"/>
  <c r="DH121" i="2"/>
  <c r="EY121" i="2" s="1"/>
  <c r="DH125" i="2"/>
  <c r="EY125" i="2" s="1"/>
  <c r="DH130" i="2"/>
  <c r="EY130" i="2" s="1"/>
  <c r="DH137" i="2"/>
  <c r="EY137" i="2" s="1"/>
  <c r="DH142" i="2"/>
  <c r="EY142" i="2" s="1"/>
  <c r="DH146" i="2"/>
  <c r="EY146" i="2" s="1"/>
  <c r="DH152" i="2"/>
  <c r="EY152" i="2" s="1"/>
  <c r="DH156" i="2"/>
  <c r="EY156" i="2" s="1"/>
  <c r="DH160" i="2"/>
  <c r="EY160" i="2" s="1"/>
  <c r="DH164" i="2"/>
  <c r="EY164" i="2" s="1"/>
  <c r="DH168" i="2"/>
  <c r="EY168" i="2" s="1"/>
  <c r="DH175" i="2"/>
  <c r="EY175" i="2" s="1"/>
  <c r="DH184" i="2"/>
  <c r="EY184" i="2" s="1"/>
  <c r="DH189" i="2"/>
  <c r="EY189" i="2" s="1"/>
  <c r="DH193" i="2"/>
  <c r="EY193" i="2" s="1"/>
  <c r="DH198" i="2"/>
  <c r="EY198" i="2" s="1"/>
  <c r="DH203" i="2"/>
  <c r="EY203" i="2" s="1"/>
  <c r="DH212" i="2"/>
  <c r="EY212" i="2" s="1"/>
  <c r="DH218" i="2"/>
  <c r="EY218" i="2" s="1"/>
  <c r="DH224" i="2"/>
  <c r="EY224" i="2" s="1"/>
  <c r="DH228" i="2"/>
  <c r="EY228" i="2" s="1"/>
  <c r="DH232" i="2"/>
  <c r="EY232" i="2" s="1"/>
  <c r="DH241" i="2"/>
  <c r="EY241" i="2" s="1"/>
  <c r="DH246" i="2"/>
  <c r="EY246" i="2" s="1"/>
  <c r="DH251" i="2"/>
  <c r="EY251" i="2" s="1"/>
  <c r="DH257" i="2"/>
  <c r="EY257" i="2" s="1"/>
  <c r="DH261" i="2"/>
  <c r="EY261" i="2" s="1"/>
  <c r="DH9" i="2"/>
  <c r="EY9" i="2" s="1"/>
  <c r="DH13" i="2"/>
  <c r="EY13" i="2" s="1"/>
  <c r="DH17" i="2"/>
  <c r="EY17" i="2" s="1"/>
  <c r="DH22" i="2"/>
  <c r="EY22" i="2" s="1"/>
  <c r="DH26" i="2"/>
  <c r="EY26" i="2" s="1"/>
  <c r="DH31" i="2"/>
  <c r="EY31" i="2" s="1"/>
  <c r="DH35" i="2"/>
  <c r="EY35" i="2" s="1"/>
  <c r="DH39" i="2"/>
  <c r="EY39" i="2" s="1"/>
  <c r="DH43" i="2"/>
  <c r="EY43" i="2" s="1"/>
  <c r="DH48" i="2"/>
  <c r="EY48" i="2" s="1"/>
  <c r="DH52" i="2"/>
  <c r="EY52" i="2" s="1"/>
  <c r="DH56" i="2"/>
  <c r="EY56" i="2" s="1"/>
  <c r="DH60" i="2"/>
  <c r="EY60" i="2" s="1"/>
  <c r="DH64" i="2"/>
  <c r="EY64" i="2" s="1"/>
  <c r="DH68" i="2"/>
  <c r="EY68" i="2" s="1"/>
  <c r="DH72" i="2"/>
  <c r="EY72" i="2" s="1"/>
  <c r="DH77" i="2"/>
  <c r="EY77" i="2" s="1"/>
  <c r="DH81" i="2"/>
  <c r="EY81" i="2" s="1"/>
  <c r="DH85" i="2"/>
  <c r="EY85" i="2" s="1"/>
  <c r="DH89" i="2"/>
  <c r="EY89" i="2" s="1"/>
  <c r="DH93" i="2"/>
  <c r="EY93" i="2" s="1"/>
  <c r="DH97" i="2"/>
  <c r="EY97" i="2" s="1"/>
  <c r="DH101" i="2"/>
  <c r="EY101" i="2" s="1"/>
  <c r="DH106" i="2"/>
  <c r="EY106" i="2" s="1"/>
  <c r="DH110" i="2"/>
  <c r="DH115" i="2"/>
  <c r="EY115" i="2" s="1"/>
  <c r="DH120" i="2"/>
  <c r="EY120" i="2" s="1"/>
  <c r="DH124" i="2"/>
  <c r="EY124" i="2" s="1"/>
  <c r="DH128" i="2"/>
  <c r="EY128" i="2" s="1"/>
  <c r="DH136" i="2"/>
  <c r="EY136" i="2" s="1"/>
  <c r="DH140" i="2"/>
  <c r="EY140" i="2" s="1"/>
  <c r="DH145" i="2"/>
  <c r="EY145" i="2" s="1"/>
  <c r="DH151" i="2"/>
  <c r="EY151" i="2" s="1"/>
  <c r="DH155" i="2"/>
  <c r="EY155" i="2" s="1"/>
  <c r="DH159" i="2"/>
  <c r="EY159" i="2" s="1"/>
  <c r="DH163" i="2"/>
  <c r="EY163" i="2" s="1"/>
  <c r="DH167" i="2"/>
  <c r="EY167" i="2" s="1"/>
  <c r="DH174" i="2"/>
  <c r="EY174" i="2" s="1"/>
  <c r="DH183" i="2"/>
  <c r="EY183" i="2" s="1"/>
  <c r="DH188" i="2"/>
  <c r="EY188" i="2" s="1"/>
  <c r="DH192" i="2"/>
  <c r="EY192" i="2" s="1"/>
  <c r="DH197" i="2"/>
  <c r="EY197" i="2" s="1"/>
  <c r="DH202" i="2"/>
  <c r="EY202" i="2" s="1"/>
  <c r="DH210" i="2"/>
  <c r="EY210" i="2" s="1"/>
  <c r="DH216" i="2"/>
  <c r="EY216" i="2" s="1"/>
  <c r="DH221" i="2"/>
  <c r="EY221" i="2" s="1"/>
  <c r="DH227" i="2"/>
  <c r="EY227" i="2" s="1"/>
  <c r="DH231" i="2"/>
  <c r="EY231" i="2" s="1"/>
  <c r="DH240" i="2"/>
  <c r="EY240" i="2" s="1"/>
  <c r="DH244" i="2"/>
  <c r="EY244" i="2" s="1"/>
  <c r="DH250" i="2"/>
  <c r="EY250" i="2" s="1"/>
  <c r="DH256" i="2"/>
  <c r="EY256" i="2" s="1"/>
  <c r="DH260" i="2"/>
  <c r="EY260" i="2" s="1"/>
  <c r="DH171" i="2"/>
  <c r="EY171" i="2" s="1"/>
  <c r="DL171" i="2"/>
  <c r="AN7" i="2"/>
  <c r="AN11" i="2"/>
  <c r="AN15" i="2"/>
  <c r="AN19" i="2"/>
  <c r="AN24" i="2"/>
  <c r="AN28" i="2"/>
  <c r="AN33" i="2"/>
  <c r="AN37" i="2"/>
  <c r="AN41" i="2"/>
  <c r="AN45" i="2"/>
  <c r="AN50" i="2"/>
  <c r="AN54" i="2"/>
  <c r="AN58" i="2"/>
  <c r="AN62" i="2"/>
  <c r="AN66" i="2"/>
  <c r="AN70" i="2"/>
  <c r="AN74" i="2"/>
  <c r="AN79" i="2"/>
  <c r="AN83" i="2"/>
  <c r="AN87" i="2"/>
  <c r="AN91" i="2"/>
  <c r="AN95" i="2"/>
  <c r="AN99" i="2"/>
  <c r="AN327" i="2" s="1"/>
  <c r="AN104" i="2"/>
  <c r="AN108" i="2"/>
  <c r="AN113" i="2"/>
  <c r="AN117" i="2"/>
  <c r="AN122" i="2"/>
  <c r="AN126" i="2"/>
  <c r="AN131" i="2"/>
  <c r="AN138" i="2"/>
  <c r="AN143" i="2"/>
  <c r="AN147" i="2"/>
  <c r="AN153" i="2"/>
  <c r="AN157" i="2"/>
  <c r="AN161" i="2"/>
  <c r="AN165" i="2"/>
  <c r="AN169" i="2"/>
  <c r="AN180" i="2"/>
  <c r="AN185" i="2"/>
  <c r="AN190" i="2"/>
  <c r="AN194" i="2"/>
  <c r="AN199" i="2"/>
  <c r="AN204" i="2"/>
  <c r="AN213" i="2"/>
  <c r="AN219" i="2"/>
  <c r="AN225" i="2"/>
  <c r="AN229" i="2"/>
  <c r="AN233" i="2"/>
  <c r="AN242" i="2"/>
  <c r="AN247" i="2"/>
  <c r="AN252" i="2"/>
  <c r="AN258" i="2"/>
  <c r="AN262" i="2"/>
  <c r="AN266" i="2"/>
  <c r="AN273" i="2"/>
  <c r="AN8" i="2"/>
  <c r="AN12" i="2"/>
  <c r="AN16" i="2"/>
  <c r="AN20" i="2"/>
  <c r="AN25" i="2"/>
  <c r="AN30" i="2"/>
  <c r="AN34" i="2"/>
  <c r="AN38" i="2"/>
  <c r="AN42" i="2"/>
  <c r="AN46" i="2"/>
  <c r="AN51" i="2"/>
  <c r="AN55" i="2"/>
  <c r="AN59" i="2"/>
  <c r="AN63" i="2"/>
  <c r="AN67" i="2"/>
  <c r="AN71" i="2"/>
  <c r="AN75" i="2"/>
  <c r="AN80" i="2"/>
  <c r="AN84" i="2"/>
  <c r="AN88" i="2"/>
  <c r="AN92" i="2"/>
  <c r="AN96" i="2"/>
  <c r="AN100" i="2"/>
  <c r="AN105" i="2"/>
  <c r="AN109" i="2"/>
  <c r="AN114" i="2"/>
  <c r="AN119" i="2"/>
  <c r="AN123" i="2"/>
  <c r="AN127" i="2"/>
  <c r="AN135" i="2"/>
  <c r="AN139" i="2"/>
  <c r="AN144" i="2"/>
  <c r="AN150" i="2"/>
  <c r="AN154" i="2"/>
  <c r="AN158" i="2"/>
  <c r="AN162" i="2"/>
  <c r="AN166" i="2"/>
  <c r="AN172" i="2"/>
  <c r="AN182" i="2"/>
  <c r="AN186" i="2"/>
  <c r="AN191" i="2"/>
  <c r="AN196" i="2"/>
  <c r="AN200" i="2"/>
  <c r="AN209" i="2"/>
  <c r="AN215" i="2"/>
  <c r="AN220" i="2"/>
  <c r="AN226" i="2"/>
  <c r="AN230" i="2"/>
  <c r="AN234" i="2"/>
  <c r="AN243" i="2"/>
  <c r="AN249" i="2"/>
  <c r="AN254" i="2"/>
  <c r="AN259" i="2"/>
  <c r="AN263" i="2"/>
  <c r="AN267" i="2"/>
  <c r="AN275" i="2"/>
  <c r="AN171" i="2"/>
  <c r="AN9" i="2"/>
  <c r="AN13" i="2"/>
  <c r="AN17" i="2"/>
  <c r="AN22" i="2"/>
  <c r="AN26" i="2"/>
  <c r="AN31" i="2"/>
  <c r="AN35" i="2"/>
  <c r="AN39" i="2"/>
  <c r="AN43" i="2"/>
  <c r="AN48" i="2"/>
  <c r="AN52" i="2"/>
  <c r="AN56" i="2"/>
  <c r="AN60" i="2"/>
  <c r="AN64" i="2"/>
  <c r="AN68" i="2"/>
  <c r="AN72" i="2"/>
  <c r="AN77" i="2"/>
  <c r="AN81" i="2"/>
  <c r="AN85" i="2"/>
  <c r="AN89" i="2"/>
  <c r="AN93" i="2"/>
  <c r="AN97" i="2"/>
  <c r="AN101" i="2"/>
  <c r="AN106" i="2"/>
  <c r="AN110" i="2"/>
  <c r="AN115" i="2"/>
  <c r="AN120" i="2"/>
  <c r="AN124" i="2"/>
  <c r="AN128" i="2"/>
  <c r="AN136" i="2"/>
  <c r="AN140" i="2"/>
  <c r="AN145" i="2"/>
  <c r="AN151" i="2"/>
  <c r="AN155" i="2"/>
  <c r="AN159" i="2"/>
  <c r="AN163" i="2"/>
  <c r="AN167" i="2"/>
  <c r="AN174" i="2"/>
  <c r="AN183" i="2"/>
  <c r="AN188" i="2"/>
  <c r="AN192" i="2"/>
  <c r="AN197" i="2"/>
  <c r="AN202" i="2"/>
  <c r="AN210" i="2"/>
  <c r="AN216" i="2"/>
  <c r="AN221" i="2"/>
  <c r="AN227" i="2"/>
  <c r="AN231" i="2"/>
  <c r="AN240" i="2"/>
  <c r="AN244" i="2"/>
  <c r="AN250" i="2"/>
  <c r="AN256" i="2"/>
  <c r="AN260" i="2"/>
  <c r="AN264" i="2"/>
  <c r="AN271" i="2"/>
  <c r="AN280" i="2"/>
  <c r="AN6" i="2"/>
  <c r="AN10" i="2"/>
  <c r="AN14" i="2"/>
  <c r="AN18" i="2"/>
  <c r="AN23" i="2"/>
  <c r="AN27" i="2"/>
  <c r="AN32" i="2"/>
  <c r="AN36" i="2"/>
  <c r="AN40" i="2"/>
  <c r="AN44" i="2"/>
  <c r="AN49" i="2"/>
  <c r="AN53" i="2"/>
  <c r="AN57" i="2"/>
  <c r="AN61" i="2"/>
  <c r="AN65" i="2"/>
  <c r="AN69" i="2"/>
  <c r="AN73" i="2"/>
  <c r="AN78" i="2"/>
  <c r="AN82" i="2"/>
  <c r="AN86" i="2"/>
  <c r="AN90" i="2"/>
  <c r="AN94" i="2"/>
  <c r="AN98" i="2"/>
  <c r="AN102" i="2"/>
  <c r="AN107" i="2"/>
  <c r="AN111" i="2"/>
  <c r="AN116" i="2"/>
  <c r="AN121" i="2"/>
  <c r="AN125" i="2"/>
  <c r="AN130" i="2"/>
  <c r="AN137" i="2"/>
  <c r="AN142" i="2"/>
  <c r="AN146" i="2"/>
  <c r="AN152" i="2"/>
  <c r="AN156" i="2"/>
  <c r="AN160" i="2"/>
  <c r="AN164" i="2"/>
  <c r="AN168" i="2"/>
  <c r="AN175" i="2"/>
  <c r="AN184" i="2"/>
  <c r="AN189" i="2"/>
  <c r="AN193" i="2"/>
  <c r="AN198" i="2"/>
  <c r="AN203" i="2"/>
  <c r="AN212" i="2"/>
  <c r="AN218" i="2"/>
  <c r="AN224" i="2"/>
  <c r="AN228" i="2"/>
  <c r="AN232" i="2"/>
  <c r="AN241" i="2"/>
  <c r="AN246" i="2"/>
  <c r="AN251" i="2"/>
  <c r="AN257" i="2"/>
  <c r="AN261" i="2"/>
  <c r="AN265" i="2"/>
  <c r="AN272" i="2"/>
  <c r="FG171" i="2"/>
  <c r="GR171" i="2"/>
  <c r="X171" i="2"/>
  <c r="EW171" i="2"/>
  <c r="EX171" i="2"/>
  <c r="HB171" i="2"/>
  <c r="AE171" i="2"/>
  <c r="CX171" i="2"/>
  <c r="DA171" i="2" s="1"/>
  <c r="CF171" i="2"/>
  <c r="GD80" i="2"/>
  <c r="GD281" i="2" s="1"/>
  <c r="HB31" i="2"/>
  <c r="GR31" i="2"/>
  <c r="FG31" i="2"/>
  <c r="EX31" i="2"/>
  <c r="EW31" i="2"/>
  <c r="CX31" i="2"/>
  <c r="DA31" i="2" s="1"/>
  <c r="CL31" i="2"/>
  <c r="CF31" i="2"/>
  <c r="AE31" i="2"/>
  <c r="EY333" i="2" l="1"/>
  <c r="P70" i="9"/>
  <c r="P71" i="9" s="1"/>
  <c r="P72" i="9" s="1"/>
  <c r="P73" i="9" s="1"/>
  <c r="GD362" i="2"/>
  <c r="GD364" i="2"/>
  <c r="H121" i="11"/>
  <c r="DL332" i="2"/>
  <c r="J51" i="10" s="1"/>
  <c r="EY332" i="2"/>
  <c r="AN326" i="2"/>
  <c r="AN333" i="2"/>
  <c r="AN332" i="2" s="1"/>
  <c r="EY330" i="2"/>
  <c r="D52" i="10" s="1"/>
  <c r="EY331" i="2"/>
  <c r="AN330" i="2"/>
  <c r="AN331" i="2"/>
  <c r="R70" i="7"/>
  <c r="R71" i="7" s="1"/>
  <c r="R72" i="7" s="1"/>
  <c r="GE362" i="2"/>
  <c r="GE364" i="2"/>
  <c r="P79" i="6"/>
  <c r="P25" i="6" s="1"/>
  <c r="P74" i="9" s="1"/>
  <c r="BV362" i="2"/>
  <c r="BV364" i="2"/>
  <c r="P45" i="6" s="1"/>
  <c r="P7" i="6" s="1"/>
  <c r="R73" i="7" s="1"/>
  <c r="H61" i="11"/>
  <c r="H62" i="11"/>
  <c r="H52" i="11"/>
  <c r="H77" i="11"/>
  <c r="BH281" i="2"/>
  <c r="AN281" i="2"/>
  <c r="AN334" i="2"/>
  <c r="EY110" i="2"/>
  <c r="EZ110" i="2" s="1"/>
  <c r="EY326" i="2"/>
  <c r="J97" i="10"/>
  <c r="F94" i="10"/>
  <c r="F96" i="10"/>
  <c r="J94" i="10"/>
  <c r="D22" i="17"/>
  <c r="AN328" i="2"/>
  <c r="AN310" i="2"/>
  <c r="AN325" i="2"/>
  <c r="EZ171" i="2"/>
  <c r="FA171" i="2" s="1"/>
  <c r="EZ31" i="2"/>
  <c r="FA31" i="2" s="1"/>
  <c r="X31" i="2"/>
  <c r="P76" i="9" l="1"/>
  <c r="P81" i="9" s="1"/>
  <c r="P84" i="9" s="1"/>
  <c r="R75" i="7"/>
  <c r="R78" i="7" s="1"/>
  <c r="M52" i="10"/>
  <c r="M97" i="10" s="1"/>
  <c r="D97" i="10"/>
  <c r="F93" i="10"/>
  <c r="F98" i="10" s="1"/>
  <c r="F103" i="10" s="1"/>
  <c r="J96" i="10"/>
  <c r="J93" i="10" s="1"/>
  <c r="H115" i="11"/>
  <c r="R85" i="7" l="1"/>
  <c r="W193" i="2"/>
  <c r="X193" i="2" s="1"/>
  <c r="W191" i="2"/>
  <c r="X191" i="2" s="1"/>
  <c r="W160" i="2"/>
  <c r="X160" i="2" s="1"/>
  <c r="GE283" i="2"/>
  <c r="BX283" i="2"/>
  <c r="HB193" i="2"/>
  <c r="GR193" i="2"/>
  <c r="FG193" i="2"/>
  <c r="EX193" i="2"/>
  <c r="EW193" i="2"/>
  <c r="CX193" i="2"/>
  <c r="DA193" i="2" s="1"/>
  <c r="CL193" i="2"/>
  <c r="CF193" i="2"/>
  <c r="AE193" i="2"/>
  <c r="HB191" i="2"/>
  <c r="GR191" i="2"/>
  <c r="FG191" i="2"/>
  <c r="EX191" i="2"/>
  <c r="EW191" i="2"/>
  <c r="CX191" i="2"/>
  <c r="DA191" i="2" s="1"/>
  <c r="CL191" i="2"/>
  <c r="CF191" i="2"/>
  <c r="AE191" i="2"/>
  <c r="HB160" i="2"/>
  <c r="GR160" i="2"/>
  <c r="FG160" i="2"/>
  <c r="EX160" i="2"/>
  <c r="EW160" i="2"/>
  <c r="CX160" i="2"/>
  <c r="DA160" i="2" s="1"/>
  <c r="CL160" i="2"/>
  <c r="CF160" i="2"/>
  <c r="AE160" i="2"/>
  <c r="HB120" i="2"/>
  <c r="GR120" i="2"/>
  <c r="FG120" i="2"/>
  <c r="EX120" i="2"/>
  <c r="EW120" i="2"/>
  <c r="CX120" i="2"/>
  <c r="DA120" i="2" s="1"/>
  <c r="CL120" i="2"/>
  <c r="CF120" i="2"/>
  <c r="AE120" i="2"/>
  <c r="X120" i="2"/>
  <c r="HB111" i="2"/>
  <c r="GR111" i="2"/>
  <c r="FG111" i="2"/>
  <c r="EX111" i="2"/>
  <c r="EW111" i="2"/>
  <c r="CX111" i="2"/>
  <c r="DA111" i="2" s="1"/>
  <c r="CL111" i="2"/>
  <c r="CF111" i="2"/>
  <c r="AE111" i="2"/>
  <c r="X111" i="2"/>
  <c r="HB35" i="2"/>
  <c r="GR35" i="2"/>
  <c r="FG35" i="2"/>
  <c r="EX35" i="2"/>
  <c r="EW35" i="2"/>
  <c r="CX35" i="2"/>
  <c r="DA35" i="2" s="1"/>
  <c r="CL35" i="2"/>
  <c r="CF35" i="2"/>
  <c r="AE35" i="2"/>
  <c r="X35" i="2"/>
  <c r="EZ191" i="2" l="1"/>
  <c r="FA191" i="2" s="1"/>
  <c r="EZ193" i="2"/>
  <c r="FA193" i="2" s="1"/>
  <c r="EZ160" i="2"/>
  <c r="FA160" i="2" s="1"/>
  <c r="EZ35" i="2"/>
  <c r="FA35" i="2" s="1"/>
  <c r="EZ120" i="2"/>
  <c r="FA120" i="2" s="1"/>
  <c r="EZ111" i="2"/>
  <c r="FA111" i="2" s="1"/>
  <c r="N15" i="7"/>
  <c r="N17" i="7"/>
  <c r="N16" i="7"/>
  <c r="N18" i="7"/>
  <c r="N13" i="7"/>
  <c r="N12" i="7"/>
  <c r="N11" i="7"/>
  <c r="K15" i="7"/>
  <c r="K17" i="7"/>
  <c r="K16" i="7"/>
  <c r="K18" i="7"/>
  <c r="K13" i="7"/>
  <c r="K12" i="7"/>
  <c r="K11" i="7"/>
  <c r="G15" i="7"/>
  <c r="G17" i="7"/>
  <c r="G16" i="7"/>
  <c r="G18" i="7"/>
  <c r="G13" i="7"/>
  <c r="G11" i="7"/>
  <c r="N14" i="7" l="1"/>
  <c r="K14" i="7"/>
  <c r="G14" i="7"/>
  <c r="G51" i="10"/>
  <c r="G96" i="10" l="1"/>
  <c r="G93" i="10" s="1"/>
  <c r="G98" i="10" s="1"/>
  <c r="G103" i="10" s="1"/>
  <c r="G112" i="10" s="1"/>
  <c r="K33" i="6"/>
  <c r="L33" i="6" s="1"/>
  <c r="X19" i="6"/>
  <c r="S28" i="7" l="1"/>
  <c r="S29" i="7" s="1"/>
  <c r="P28" i="7"/>
  <c r="O28" i="7"/>
  <c r="K28" i="7"/>
  <c r="K29" i="7" s="1"/>
  <c r="J28" i="7"/>
  <c r="I28" i="7"/>
  <c r="I29" i="7" s="1"/>
  <c r="G28" i="7"/>
  <c r="G29" i="7" s="1"/>
  <c r="F28" i="7"/>
  <c r="E28" i="7"/>
  <c r="E29" i="7" s="1"/>
  <c r="N28" i="7"/>
  <c r="N29" i="7" s="1"/>
  <c r="M28" i="7"/>
  <c r="L28" i="7"/>
  <c r="S23" i="7"/>
  <c r="Q23" i="7"/>
  <c r="P23" i="7"/>
  <c r="O23" i="7"/>
  <c r="K23" i="7"/>
  <c r="J23" i="7"/>
  <c r="I23" i="7"/>
  <c r="G23" i="7"/>
  <c r="F23" i="7"/>
  <c r="E23" i="7"/>
  <c r="N23" i="7"/>
  <c r="M23" i="7"/>
  <c r="L23" i="7"/>
  <c r="G10" i="7"/>
  <c r="F10" i="7"/>
  <c r="E10" i="7"/>
  <c r="N10" i="7"/>
  <c r="M10" i="7"/>
  <c r="L10" i="7"/>
  <c r="S10" i="7"/>
  <c r="Q10" i="7"/>
  <c r="P10" i="7"/>
  <c r="O10" i="7"/>
  <c r="K10" i="7"/>
  <c r="J10" i="7"/>
  <c r="I10" i="7"/>
  <c r="H28" i="7"/>
  <c r="H29" i="7" s="1"/>
  <c r="H23" i="7"/>
  <c r="H10" i="7"/>
  <c r="F29" i="7" l="1"/>
  <c r="U28" i="7"/>
  <c r="U23" i="7"/>
  <c r="T28" i="7"/>
  <c r="T23" i="7"/>
  <c r="U14" i="7"/>
  <c r="M29" i="7"/>
  <c r="L29" i="7"/>
  <c r="P29" i="7"/>
  <c r="J29" i="7"/>
  <c r="O29" i="7"/>
  <c r="Q28" i="7"/>
  <c r="Q29" i="7" s="1"/>
  <c r="V15" i="7"/>
  <c r="V22" i="7"/>
  <c r="V103" i="7" s="1"/>
  <c r="M19" i="7"/>
  <c r="M24" i="7" s="1"/>
  <c r="K19" i="7"/>
  <c r="V27" i="7"/>
  <c r="V17" i="7"/>
  <c r="V12" i="7"/>
  <c r="V21" i="7"/>
  <c r="L19" i="7"/>
  <c r="F19" i="7"/>
  <c r="S19" i="7"/>
  <c r="V16" i="7"/>
  <c r="G19" i="7"/>
  <c r="V26" i="7"/>
  <c r="V107" i="7" s="1"/>
  <c r="H19" i="7"/>
  <c r="O19" i="7"/>
  <c r="I19" i="7"/>
  <c r="E19" i="7"/>
  <c r="V13" i="7"/>
  <c r="J19" i="7"/>
  <c r="Q19" i="7"/>
  <c r="T10" i="7"/>
  <c r="V18" i="7"/>
  <c r="P19" i="7"/>
  <c r="V25" i="7"/>
  <c r="V106" i="7" s="1"/>
  <c r="N19" i="7"/>
  <c r="V11" i="7"/>
  <c r="V20" i="7"/>
  <c r="V101" i="7" s="1"/>
  <c r="U10" i="7"/>
  <c r="Q10" i="6" l="1"/>
  <c r="T10" i="6"/>
  <c r="X10" i="6" s="1"/>
  <c r="U29" i="7"/>
  <c r="M30" i="7"/>
  <c r="M35" i="7" s="1"/>
  <c r="M36" i="7" s="1"/>
  <c r="M43" i="7" s="1"/>
  <c r="T29" i="7"/>
  <c r="H24" i="7"/>
  <c r="H30" i="7" s="1"/>
  <c r="H35" i="7" s="1"/>
  <c r="H36" i="7" s="1"/>
  <c r="H43" i="7" s="1"/>
  <c r="F24" i="7"/>
  <c r="F30" i="7" s="1"/>
  <c r="F35" i="7" s="1"/>
  <c r="F36" i="7" s="1"/>
  <c r="F43" i="7" s="1"/>
  <c r="L24" i="7"/>
  <c r="L30" i="7" s="1"/>
  <c r="L35" i="7" s="1"/>
  <c r="L36" i="7" s="1"/>
  <c r="L43" i="7" s="1"/>
  <c r="P24" i="7"/>
  <c r="P30" i="7" s="1"/>
  <c r="P35" i="7" s="1"/>
  <c r="P36" i="7" s="1"/>
  <c r="P43" i="7" s="1"/>
  <c r="E24" i="7"/>
  <c r="E30" i="7" s="1"/>
  <c r="E35" i="7" s="1"/>
  <c r="E36" i="7" s="1"/>
  <c r="E43" i="7" s="1"/>
  <c r="I24" i="7"/>
  <c r="I30" i="7" s="1"/>
  <c r="I35" i="7" s="1"/>
  <c r="I36" i="7" s="1"/>
  <c r="I43" i="7" s="1"/>
  <c r="N24" i="7"/>
  <c r="N30" i="7" s="1"/>
  <c r="N35" i="7" s="1"/>
  <c r="N36" i="7" s="1"/>
  <c r="N43" i="7" s="1"/>
  <c r="G24" i="7"/>
  <c r="G30" i="7" s="1"/>
  <c r="G35" i="7" s="1"/>
  <c r="G36" i="7" s="1"/>
  <c r="G43" i="7" s="1"/>
  <c r="Q24" i="7"/>
  <c r="Q30" i="7" s="1"/>
  <c r="Q35" i="7" s="1"/>
  <c r="Q36" i="7" s="1"/>
  <c r="Q43" i="7" s="1"/>
  <c r="O24" i="7"/>
  <c r="O30" i="7" s="1"/>
  <c r="O35" i="7" s="1"/>
  <c r="O36" i="7" s="1"/>
  <c r="O43" i="7" s="1"/>
  <c r="K24" i="7"/>
  <c r="K30" i="7" s="1"/>
  <c r="K35" i="7" s="1"/>
  <c r="K36" i="7" s="1"/>
  <c r="K43" i="7" s="1"/>
  <c r="J24" i="7"/>
  <c r="J30" i="7" s="1"/>
  <c r="J35" i="7" s="1"/>
  <c r="J36" i="7" s="1"/>
  <c r="J43" i="7" s="1"/>
  <c r="S24" i="7"/>
  <c r="S30" i="7" s="1"/>
  <c r="S35" i="7" s="1"/>
  <c r="S36" i="7" s="1"/>
  <c r="S43" i="7" s="1"/>
  <c r="V33" i="7"/>
  <c r="V23" i="7"/>
  <c r="U19" i="7"/>
  <c r="V14" i="7"/>
  <c r="V28" i="7"/>
  <c r="V10" i="7"/>
  <c r="T19" i="7"/>
  <c r="Z10" i="6" l="1"/>
  <c r="AB10" i="6" s="1"/>
  <c r="D9" i="17"/>
  <c r="V10" i="6"/>
  <c r="W10" i="6" s="1"/>
  <c r="K9" i="17"/>
  <c r="O9" i="17" s="1"/>
  <c r="T36" i="7"/>
  <c r="T43" i="7" s="1"/>
  <c r="V29" i="7"/>
  <c r="V31" i="7"/>
  <c r="T24" i="7"/>
  <c r="U24" i="7"/>
  <c r="V19" i="7"/>
  <c r="V36" i="7" l="1"/>
  <c r="V43" i="7" s="1"/>
  <c r="U30" i="7"/>
  <c r="T30" i="7"/>
  <c r="V24" i="7"/>
  <c r="HJ275" i="2"/>
  <c r="HJ258" i="2"/>
  <c r="BO283" i="2"/>
  <c r="X36" i="7" l="1"/>
  <c r="V30" i="7"/>
  <c r="E7" i="6"/>
  <c r="C7" i="6"/>
  <c r="AE280" i="2" l="1"/>
  <c r="AE275" i="2"/>
  <c r="AE273" i="2"/>
  <c r="AE272" i="2"/>
  <c r="AE271" i="2"/>
  <c r="AE267" i="2"/>
  <c r="AE266" i="2"/>
  <c r="AE265" i="2"/>
  <c r="AE264" i="2"/>
  <c r="AE263" i="2"/>
  <c r="AE262" i="2"/>
  <c r="AE261" i="2"/>
  <c r="AE260" i="2"/>
  <c r="AE259" i="2"/>
  <c r="AE258" i="2"/>
  <c r="AE257" i="2"/>
  <c r="AE256" i="2"/>
  <c r="AE254" i="2"/>
  <c r="AE252" i="2"/>
  <c r="AE251" i="2"/>
  <c r="AE250" i="2"/>
  <c r="AE249" i="2"/>
  <c r="AE247" i="2"/>
  <c r="AE246" i="2"/>
  <c r="AE244" i="2"/>
  <c r="AE243" i="2"/>
  <c r="AE242" i="2"/>
  <c r="AE241" i="2"/>
  <c r="AE240" i="2"/>
  <c r="AE232" i="2"/>
  <c r="AE231" i="2"/>
  <c r="AE230" i="2"/>
  <c r="AE229" i="2"/>
  <c r="AE228" i="2"/>
  <c r="AE227" i="2"/>
  <c r="AE226" i="2"/>
  <c r="AE225" i="2"/>
  <c r="AE224" i="2"/>
  <c r="AE221" i="2"/>
  <c r="AE220" i="2"/>
  <c r="AE219" i="2"/>
  <c r="AE218" i="2"/>
  <c r="AE216" i="2"/>
  <c r="AE215" i="2"/>
  <c r="AE213" i="2"/>
  <c r="AE212" i="2"/>
  <c r="AE210" i="2"/>
  <c r="AE209" i="2"/>
  <c r="AE204" i="2"/>
  <c r="AE203" i="2"/>
  <c r="AE202" i="2"/>
  <c r="AE200" i="2"/>
  <c r="AE199" i="2"/>
  <c r="AE198" i="2"/>
  <c r="AE197" i="2"/>
  <c r="AE196" i="2"/>
  <c r="AE194" i="2"/>
  <c r="AE192" i="2"/>
  <c r="AE190" i="2"/>
  <c r="AE189" i="2"/>
  <c r="AE188" i="2"/>
  <c r="AE186" i="2"/>
  <c r="AE185" i="2"/>
  <c r="AE184" i="2"/>
  <c r="AE183" i="2"/>
  <c r="AE182" i="2"/>
  <c r="AE180" i="2"/>
  <c r="AE175" i="2"/>
  <c r="AE174" i="2"/>
  <c r="AE172" i="2"/>
  <c r="AE169" i="2"/>
  <c r="AE168" i="2"/>
  <c r="AE167" i="2"/>
  <c r="AE166" i="2"/>
  <c r="AE165" i="2"/>
  <c r="AE164" i="2"/>
  <c r="AE163" i="2"/>
  <c r="AE162" i="2"/>
  <c r="AE161" i="2"/>
  <c r="AE159" i="2"/>
  <c r="AE158" i="2"/>
  <c r="AE157" i="2"/>
  <c r="AE156" i="2"/>
  <c r="AE155" i="2"/>
  <c r="AE154" i="2"/>
  <c r="AE153" i="2"/>
  <c r="AE152" i="2"/>
  <c r="AE151" i="2"/>
  <c r="AE150" i="2"/>
  <c r="AE147" i="2"/>
  <c r="AE146" i="2"/>
  <c r="AE145" i="2"/>
  <c r="AE144" i="2"/>
  <c r="AE143" i="2"/>
  <c r="AE142" i="2"/>
  <c r="AE140" i="2"/>
  <c r="AE139" i="2"/>
  <c r="AE138" i="2"/>
  <c r="AE137" i="2"/>
  <c r="AE136" i="2"/>
  <c r="AE135" i="2"/>
  <c r="AE131" i="2"/>
  <c r="AE130" i="2"/>
  <c r="AE128" i="2"/>
  <c r="AE127" i="2"/>
  <c r="AE126" i="2"/>
  <c r="AE125" i="2"/>
  <c r="AE124" i="2"/>
  <c r="AE123" i="2"/>
  <c r="AE122" i="2"/>
  <c r="AE121" i="2"/>
  <c r="AE119" i="2"/>
  <c r="AE117" i="2"/>
  <c r="AE116" i="2"/>
  <c r="AE115" i="2"/>
  <c r="AE114" i="2"/>
  <c r="AE113" i="2"/>
  <c r="AE110" i="2"/>
  <c r="AE109" i="2"/>
  <c r="AE108" i="2"/>
  <c r="AE107" i="2"/>
  <c r="AE106" i="2"/>
  <c r="AE105" i="2"/>
  <c r="AE104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6" i="2"/>
  <c r="AE45" i="2"/>
  <c r="AE44" i="2"/>
  <c r="AE43" i="2"/>
  <c r="AE42" i="2"/>
  <c r="AE41" i="2"/>
  <c r="AE40" i="2"/>
  <c r="AE39" i="2"/>
  <c r="AE38" i="2"/>
  <c r="AE37" i="2"/>
  <c r="AE36" i="2"/>
  <c r="AE34" i="2"/>
  <c r="AE33" i="2"/>
  <c r="AE32" i="2"/>
  <c r="AE30" i="2"/>
  <c r="AE28" i="2"/>
  <c r="AE27" i="2"/>
  <c r="AE26" i="2"/>
  <c r="AE25" i="2"/>
  <c r="AE24" i="2"/>
  <c r="AE23" i="2"/>
  <c r="AE22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BI283" i="2"/>
  <c r="AE326" i="2" l="1"/>
  <c r="AE330" i="2"/>
  <c r="AE334" i="2"/>
  <c r="AE328" i="2"/>
  <c r="AE325" i="2"/>
  <c r="AE333" i="2"/>
  <c r="AE332" i="2" s="1"/>
  <c r="CF280" i="2"/>
  <c r="CF275" i="2"/>
  <c r="CF273" i="2"/>
  <c r="CF272" i="2"/>
  <c r="CF271" i="2"/>
  <c r="CF267" i="2"/>
  <c r="CF266" i="2"/>
  <c r="CF265" i="2"/>
  <c r="CF264" i="2"/>
  <c r="CF263" i="2"/>
  <c r="CF262" i="2"/>
  <c r="CF261" i="2"/>
  <c r="CF260" i="2"/>
  <c r="CF259" i="2"/>
  <c r="CF258" i="2"/>
  <c r="CF257" i="2"/>
  <c r="CF256" i="2"/>
  <c r="CF254" i="2"/>
  <c r="CF252" i="2"/>
  <c r="CF251" i="2"/>
  <c r="CF250" i="2"/>
  <c r="CF249" i="2"/>
  <c r="CF247" i="2"/>
  <c r="CF246" i="2"/>
  <c r="CF244" i="2"/>
  <c r="CF243" i="2"/>
  <c r="CF242" i="2"/>
  <c r="CF241" i="2"/>
  <c r="CF240" i="2"/>
  <c r="CF234" i="2"/>
  <c r="CF233" i="2"/>
  <c r="CF232" i="2"/>
  <c r="CF231" i="2"/>
  <c r="CF230" i="2"/>
  <c r="CF229" i="2"/>
  <c r="CF228" i="2"/>
  <c r="CF227" i="2"/>
  <c r="CF226" i="2"/>
  <c r="CF225" i="2"/>
  <c r="CF224" i="2"/>
  <c r="CF221" i="2"/>
  <c r="CF220" i="2"/>
  <c r="CF219" i="2"/>
  <c r="CF218" i="2"/>
  <c r="CF216" i="2"/>
  <c r="CF215" i="2"/>
  <c r="CF213" i="2"/>
  <c r="CF212" i="2"/>
  <c r="CF210" i="2"/>
  <c r="CF209" i="2"/>
  <c r="CF204" i="2"/>
  <c r="CF203" i="2"/>
  <c r="CF202" i="2"/>
  <c r="CF200" i="2"/>
  <c r="CF199" i="2"/>
  <c r="CF198" i="2"/>
  <c r="CF197" i="2"/>
  <c r="CF196" i="2"/>
  <c r="CF194" i="2"/>
  <c r="CF192" i="2"/>
  <c r="CF190" i="2"/>
  <c r="CF189" i="2"/>
  <c r="CF188" i="2"/>
  <c r="CF186" i="2"/>
  <c r="CF185" i="2"/>
  <c r="CF184" i="2"/>
  <c r="CF183" i="2"/>
  <c r="CF182" i="2"/>
  <c r="CF180" i="2"/>
  <c r="CF175" i="2"/>
  <c r="CF174" i="2"/>
  <c r="CF172" i="2"/>
  <c r="CF169" i="2"/>
  <c r="CF168" i="2"/>
  <c r="CF167" i="2"/>
  <c r="CF166" i="2"/>
  <c r="CF165" i="2"/>
  <c r="CF164" i="2"/>
  <c r="CF163" i="2"/>
  <c r="CF162" i="2"/>
  <c r="CF161" i="2"/>
  <c r="CF159" i="2"/>
  <c r="CF158" i="2"/>
  <c r="CF157" i="2"/>
  <c r="CF156" i="2"/>
  <c r="CF155" i="2"/>
  <c r="CF154" i="2"/>
  <c r="CF153" i="2"/>
  <c r="CF152" i="2"/>
  <c r="CF151" i="2"/>
  <c r="CF150" i="2"/>
  <c r="CF147" i="2"/>
  <c r="CF146" i="2"/>
  <c r="CF145" i="2"/>
  <c r="CF144" i="2"/>
  <c r="CF143" i="2"/>
  <c r="CF142" i="2"/>
  <c r="CF140" i="2"/>
  <c r="CF139" i="2"/>
  <c r="CF138" i="2"/>
  <c r="CF137" i="2"/>
  <c r="CF136" i="2"/>
  <c r="CF135" i="2"/>
  <c r="CF131" i="2"/>
  <c r="CF130" i="2"/>
  <c r="CF128" i="2"/>
  <c r="CF127" i="2"/>
  <c r="CF126" i="2"/>
  <c r="CF125" i="2"/>
  <c r="CF124" i="2"/>
  <c r="CF123" i="2"/>
  <c r="CF122" i="2"/>
  <c r="CF121" i="2"/>
  <c r="CF119" i="2"/>
  <c r="CF117" i="2"/>
  <c r="CF116" i="2"/>
  <c r="CF115" i="2"/>
  <c r="CF114" i="2"/>
  <c r="CF113" i="2"/>
  <c r="CF110" i="2"/>
  <c r="CF109" i="2"/>
  <c r="CF108" i="2"/>
  <c r="CF107" i="2"/>
  <c r="CF106" i="2"/>
  <c r="CF105" i="2"/>
  <c r="CF104" i="2"/>
  <c r="CF102" i="2"/>
  <c r="CF101" i="2"/>
  <c r="CF100" i="2"/>
  <c r="CF99" i="2"/>
  <c r="CF98" i="2"/>
  <c r="CF97" i="2"/>
  <c r="CF96" i="2"/>
  <c r="CF95" i="2"/>
  <c r="CF94" i="2"/>
  <c r="CF93" i="2"/>
  <c r="CF92" i="2"/>
  <c r="CF91" i="2"/>
  <c r="CF90" i="2"/>
  <c r="CF89" i="2"/>
  <c r="CF88" i="2"/>
  <c r="CF87" i="2"/>
  <c r="CF86" i="2"/>
  <c r="CF85" i="2"/>
  <c r="CF84" i="2"/>
  <c r="CF83" i="2"/>
  <c r="CF82" i="2"/>
  <c r="CF81" i="2"/>
  <c r="CF80" i="2"/>
  <c r="CF79" i="2"/>
  <c r="CF78" i="2"/>
  <c r="CF77" i="2"/>
  <c r="CF75" i="2"/>
  <c r="CF74" i="2"/>
  <c r="CF73" i="2"/>
  <c r="CF72" i="2"/>
  <c r="CF71" i="2"/>
  <c r="CF70" i="2"/>
  <c r="CF69" i="2"/>
  <c r="CF68" i="2"/>
  <c r="CF67" i="2"/>
  <c r="CF66" i="2"/>
  <c r="CF65" i="2"/>
  <c r="CF64" i="2"/>
  <c r="CF63" i="2"/>
  <c r="CF62" i="2"/>
  <c r="CF61" i="2"/>
  <c r="CF60" i="2"/>
  <c r="CF59" i="2"/>
  <c r="CF58" i="2"/>
  <c r="CF57" i="2"/>
  <c r="CF56" i="2"/>
  <c r="CF55" i="2"/>
  <c r="CF54" i="2"/>
  <c r="CF53" i="2"/>
  <c r="CF52" i="2"/>
  <c r="CF51" i="2"/>
  <c r="CF50" i="2"/>
  <c r="CF49" i="2"/>
  <c r="CF48" i="2"/>
  <c r="CF46" i="2"/>
  <c r="CF45" i="2"/>
  <c r="CF44" i="2"/>
  <c r="CF43" i="2"/>
  <c r="CF42" i="2"/>
  <c r="CF41" i="2"/>
  <c r="CF40" i="2"/>
  <c r="CF39" i="2"/>
  <c r="CF38" i="2"/>
  <c r="CF37" i="2"/>
  <c r="CF36" i="2"/>
  <c r="CF34" i="2"/>
  <c r="CF33" i="2"/>
  <c r="CF32" i="2"/>
  <c r="CF30" i="2"/>
  <c r="CF28" i="2"/>
  <c r="CF27" i="2"/>
  <c r="CF26" i="2"/>
  <c r="CF25" i="2"/>
  <c r="CF24" i="2"/>
  <c r="CF23" i="2"/>
  <c r="CF22" i="2"/>
  <c r="CF20" i="2"/>
  <c r="CF19" i="2"/>
  <c r="CF18" i="2"/>
  <c r="CF17" i="2"/>
  <c r="CF16" i="2"/>
  <c r="CF15" i="2"/>
  <c r="CF14" i="2"/>
  <c r="CF13" i="2"/>
  <c r="CF12" i="2"/>
  <c r="CF11" i="2"/>
  <c r="CF10" i="2"/>
  <c r="CF9" i="2"/>
  <c r="CF8" i="2"/>
  <c r="CF7" i="2"/>
  <c r="CF6" i="2"/>
  <c r="AN347" i="2"/>
  <c r="AN344" i="2" s="1"/>
  <c r="CL280" i="2"/>
  <c r="CL275" i="2"/>
  <c r="CL273" i="2"/>
  <c r="CL272" i="2"/>
  <c r="CL271" i="2"/>
  <c r="CL267" i="2"/>
  <c r="CL266" i="2"/>
  <c r="CL265" i="2"/>
  <c r="CL264" i="2"/>
  <c r="CL263" i="2"/>
  <c r="CL262" i="2"/>
  <c r="CL261" i="2"/>
  <c r="CL260" i="2"/>
  <c r="CL259" i="2"/>
  <c r="CL258" i="2"/>
  <c r="CL257" i="2"/>
  <c r="CL256" i="2"/>
  <c r="CL254" i="2"/>
  <c r="CL252" i="2"/>
  <c r="CL251" i="2"/>
  <c r="CL250" i="2"/>
  <c r="CL249" i="2"/>
  <c r="CL247" i="2"/>
  <c r="CL246" i="2"/>
  <c r="CL244" i="2"/>
  <c r="CL243" i="2"/>
  <c r="CL242" i="2"/>
  <c r="CL241" i="2"/>
  <c r="CL240" i="2"/>
  <c r="CL234" i="2"/>
  <c r="CL233" i="2"/>
  <c r="CL232" i="2"/>
  <c r="CL231" i="2"/>
  <c r="CL230" i="2"/>
  <c r="CL229" i="2"/>
  <c r="CL228" i="2"/>
  <c r="CL227" i="2"/>
  <c r="CL226" i="2"/>
  <c r="CL225" i="2"/>
  <c r="CL224" i="2"/>
  <c r="CL221" i="2"/>
  <c r="CL220" i="2"/>
  <c r="CL219" i="2"/>
  <c r="CL218" i="2"/>
  <c r="CL216" i="2"/>
  <c r="CL215" i="2"/>
  <c r="CL213" i="2"/>
  <c r="CL212" i="2"/>
  <c r="CL210" i="2"/>
  <c r="CL209" i="2"/>
  <c r="CL204" i="2"/>
  <c r="CL203" i="2"/>
  <c r="CL202" i="2"/>
  <c r="CL200" i="2"/>
  <c r="CL199" i="2"/>
  <c r="CL198" i="2"/>
  <c r="CL197" i="2"/>
  <c r="CL196" i="2"/>
  <c r="CL194" i="2"/>
  <c r="CL192" i="2"/>
  <c r="CL190" i="2"/>
  <c r="CL189" i="2"/>
  <c r="CL188" i="2"/>
  <c r="CL186" i="2"/>
  <c r="CL185" i="2"/>
  <c r="CL184" i="2"/>
  <c r="CL183" i="2"/>
  <c r="CL182" i="2"/>
  <c r="CL180" i="2"/>
  <c r="CL175" i="2"/>
  <c r="CL174" i="2"/>
  <c r="CL172" i="2"/>
  <c r="CL169" i="2"/>
  <c r="CL168" i="2"/>
  <c r="CL167" i="2"/>
  <c r="CL166" i="2"/>
  <c r="CL165" i="2"/>
  <c r="CL164" i="2"/>
  <c r="CL163" i="2"/>
  <c r="CL162" i="2"/>
  <c r="CL161" i="2"/>
  <c r="CL159" i="2"/>
  <c r="CL158" i="2"/>
  <c r="CL157" i="2"/>
  <c r="CL156" i="2"/>
  <c r="CL155" i="2"/>
  <c r="CL154" i="2"/>
  <c r="CL153" i="2"/>
  <c r="CL152" i="2"/>
  <c r="CL151" i="2"/>
  <c r="CL150" i="2"/>
  <c r="CL147" i="2"/>
  <c r="CL146" i="2"/>
  <c r="CL145" i="2"/>
  <c r="CL144" i="2"/>
  <c r="CL143" i="2"/>
  <c r="CL142" i="2"/>
  <c r="CL140" i="2"/>
  <c r="CL139" i="2"/>
  <c r="CL138" i="2"/>
  <c r="CL137" i="2"/>
  <c r="CL136" i="2"/>
  <c r="CL135" i="2"/>
  <c r="CL131" i="2"/>
  <c r="CL130" i="2"/>
  <c r="CL128" i="2"/>
  <c r="CL127" i="2"/>
  <c r="CL126" i="2"/>
  <c r="CL125" i="2"/>
  <c r="CL124" i="2"/>
  <c r="CL123" i="2"/>
  <c r="CL122" i="2"/>
  <c r="CL121" i="2"/>
  <c r="CL119" i="2"/>
  <c r="CL117" i="2"/>
  <c r="CL116" i="2"/>
  <c r="CL115" i="2"/>
  <c r="CL114" i="2"/>
  <c r="CL113" i="2"/>
  <c r="CL110" i="2"/>
  <c r="CL109" i="2"/>
  <c r="CL108" i="2"/>
  <c r="CL107" i="2"/>
  <c r="CL106" i="2"/>
  <c r="CL105" i="2"/>
  <c r="CL104" i="2"/>
  <c r="CL102" i="2"/>
  <c r="CL101" i="2"/>
  <c r="CL100" i="2"/>
  <c r="CL99" i="2"/>
  <c r="CL98" i="2"/>
  <c r="CL97" i="2"/>
  <c r="CL96" i="2"/>
  <c r="CL95" i="2"/>
  <c r="CL94" i="2"/>
  <c r="CL93" i="2"/>
  <c r="CL92" i="2"/>
  <c r="CL91" i="2"/>
  <c r="CL90" i="2"/>
  <c r="CL89" i="2"/>
  <c r="CL88" i="2"/>
  <c r="CL87" i="2"/>
  <c r="CL86" i="2"/>
  <c r="CL85" i="2"/>
  <c r="CL84" i="2"/>
  <c r="CL83" i="2"/>
  <c r="CL82" i="2"/>
  <c r="CL81" i="2"/>
  <c r="CL80" i="2"/>
  <c r="CL79" i="2"/>
  <c r="CL78" i="2"/>
  <c r="CL77" i="2"/>
  <c r="CL75" i="2"/>
  <c r="CL74" i="2"/>
  <c r="CL73" i="2"/>
  <c r="CL72" i="2"/>
  <c r="CL71" i="2"/>
  <c r="CL70" i="2"/>
  <c r="CL69" i="2"/>
  <c r="CL68" i="2"/>
  <c r="CL67" i="2"/>
  <c r="CL66" i="2"/>
  <c r="CL65" i="2"/>
  <c r="CL64" i="2"/>
  <c r="CL63" i="2"/>
  <c r="CL62" i="2"/>
  <c r="CL61" i="2"/>
  <c r="CL60" i="2"/>
  <c r="CL59" i="2"/>
  <c r="CL58" i="2"/>
  <c r="CL57" i="2"/>
  <c r="CL56" i="2"/>
  <c r="CL55" i="2"/>
  <c r="CL54" i="2"/>
  <c r="CL53" i="2"/>
  <c r="CL52" i="2"/>
  <c r="CL51" i="2"/>
  <c r="CL50" i="2"/>
  <c r="CL49" i="2"/>
  <c r="CL48" i="2"/>
  <c r="CL46" i="2"/>
  <c r="CL45" i="2"/>
  <c r="CL44" i="2"/>
  <c r="CL43" i="2"/>
  <c r="CL42" i="2"/>
  <c r="CL41" i="2"/>
  <c r="CL40" i="2"/>
  <c r="CL39" i="2"/>
  <c r="CL38" i="2"/>
  <c r="CL37" i="2"/>
  <c r="CL36" i="2"/>
  <c r="CL34" i="2"/>
  <c r="CL33" i="2"/>
  <c r="CL32" i="2"/>
  <c r="CL30" i="2"/>
  <c r="CL28" i="2"/>
  <c r="CL27" i="2"/>
  <c r="CL26" i="2"/>
  <c r="CL25" i="2"/>
  <c r="CL24" i="2"/>
  <c r="CL23" i="2"/>
  <c r="CL22" i="2"/>
  <c r="CL20" i="2"/>
  <c r="CL19" i="2"/>
  <c r="CL18" i="2"/>
  <c r="CL17" i="2"/>
  <c r="CL16" i="2"/>
  <c r="CL15" i="2"/>
  <c r="CL14" i="2"/>
  <c r="CL13" i="2"/>
  <c r="CL12" i="2"/>
  <c r="CL11" i="2"/>
  <c r="CL10" i="2"/>
  <c r="CL9" i="2"/>
  <c r="CL8" i="2"/>
  <c r="CL7" i="2"/>
  <c r="CL6" i="2"/>
  <c r="AE356" i="2"/>
  <c r="AE354" i="2"/>
  <c r="AE351" i="2"/>
  <c r="AE347" i="2"/>
  <c r="AE338" i="2"/>
  <c r="AE331" i="2"/>
  <c r="AE327" i="2"/>
  <c r="AH351" i="2"/>
  <c r="AK351" i="2"/>
  <c r="AK338" i="2"/>
  <c r="AN351" i="2"/>
  <c r="AN338" i="2"/>
  <c r="AS351" i="2"/>
  <c r="AS338" i="2"/>
  <c r="BE351" i="2"/>
  <c r="BE338" i="2"/>
  <c r="BL351" i="2"/>
  <c r="BL338" i="2"/>
  <c r="HB351" i="2"/>
  <c r="HB338" i="2"/>
  <c r="GR351" i="2"/>
  <c r="GR338" i="2"/>
  <c r="GF351" i="2"/>
  <c r="GF338" i="2"/>
  <c r="GA351" i="2"/>
  <c r="J61" i="9"/>
  <c r="FS351" i="2"/>
  <c r="FS338" i="2"/>
  <c r="FM351" i="2"/>
  <c r="FM338" i="2"/>
  <c r="FH356" i="2"/>
  <c r="FH354" i="2"/>
  <c r="FH351" i="2"/>
  <c r="FH347" i="2"/>
  <c r="FH344" i="2" s="1"/>
  <c r="FH338" i="2"/>
  <c r="EY351" i="2"/>
  <c r="DT356" i="2"/>
  <c r="K47" i="10" s="1"/>
  <c r="K92" i="10" s="1"/>
  <c r="K89" i="10" s="1"/>
  <c r="K98" i="10" s="1"/>
  <c r="K103" i="10" s="1"/>
  <c r="K112" i="10" s="1"/>
  <c r="DS356" i="2"/>
  <c r="DT354" i="2"/>
  <c r="DS354" i="2"/>
  <c r="DT351" i="2"/>
  <c r="DS351" i="2"/>
  <c r="DT347" i="2"/>
  <c r="DT344" i="2" s="1"/>
  <c r="DS347" i="2"/>
  <c r="DS344" i="2" s="1"/>
  <c r="DT338" i="2"/>
  <c r="DS338" i="2"/>
  <c r="DQ356" i="2"/>
  <c r="DP356" i="2"/>
  <c r="DO356" i="2"/>
  <c r="DQ354" i="2"/>
  <c r="DP354" i="2"/>
  <c r="DO354" i="2"/>
  <c r="DQ351" i="2"/>
  <c r="DP351" i="2"/>
  <c r="DO351" i="2"/>
  <c r="DQ347" i="2"/>
  <c r="DQ344" i="2" s="1"/>
  <c r="DP347" i="2"/>
  <c r="DO347" i="2"/>
  <c r="DO344" i="2" s="1"/>
  <c r="DQ338" i="2"/>
  <c r="DP338" i="2"/>
  <c r="DO338" i="2"/>
  <c r="E51" i="10"/>
  <c r="DM356" i="2"/>
  <c r="DM354" i="2"/>
  <c r="DL351" i="2"/>
  <c r="DM347" i="2"/>
  <c r="DM344" i="2" s="1"/>
  <c r="DM338" i="2"/>
  <c r="DL338" i="2"/>
  <c r="CY356" i="2"/>
  <c r="CY354" i="2"/>
  <c r="CY351" i="2"/>
  <c r="CX351" i="2"/>
  <c r="CY347" i="2"/>
  <c r="CY344" i="2" s="1"/>
  <c r="CY338" i="2"/>
  <c r="CX338" i="2"/>
  <c r="CN351" i="2"/>
  <c r="CN338" i="2"/>
  <c r="CI351" i="2"/>
  <c r="CI338" i="2"/>
  <c r="CE283" i="2"/>
  <c r="AH347" i="2"/>
  <c r="AH344" i="2" s="1"/>
  <c r="GX283" i="2"/>
  <c r="GY283" i="2"/>
  <c r="DP344" i="2" l="1"/>
  <c r="F61" i="10" s="1"/>
  <c r="F106" i="10" s="1"/>
  <c r="F107" i="10" s="1"/>
  <c r="F111" i="10" s="1"/>
  <c r="F112" i="10" s="1"/>
  <c r="H55" i="11"/>
  <c r="J20" i="15" s="1"/>
  <c r="H50" i="11"/>
  <c r="DA351" i="2"/>
  <c r="CL281" i="2"/>
  <c r="CL283" i="2" s="1"/>
  <c r="CF281" i="2"/>
  <c r="CF283" i="2" s="1"/>
  <c r="H73" i="11"/>
  <c r="E96" i="10"/>
  <c r="E93" i="10" s="1"/>
  <c r="E98" i="10" s="1"/>
  <c r="E103" i="10" s="1"/>
  <c r="E112" i="10" s="1"/>
  <c r="CL310" i="2"/>
  <c r="CF310" i="2"/>
  <c r="AN356" i="2"/>
  <c r="AH354" i="2"/>
  <c r="AH356" i="2"/>
  <c r="BH283" i="2"/>
  <c r="DQ358" i="2"/>
  <c r="DQ360" i="2" s="1"/>
  <c r="DQ364" i="2" s="1"/>
  <c r="DS358" i="2"/>
  <c r="DS360" i="2" s="1"/>
  <c r="DS364" i="2" s="1"/>
  <c r="DP358" i="2"/>
  <c r="DP360" i="2" s="1"/>
  <c r="DP362" i="2" s="1"/>
  <c r="DT358" i="2"/>
  <c r="DT360" i="2" s="1"/>
  <c r="DT364" i="2" s="1"/>
  <c r="AN354" i="2"/>
  <c r="DO358" i="2"/>
  <c r="DO360" i="2" s="1"/>
  <c r="DO362" i="2" s="1"/>
  <c r="CX242" i="2"/>
  <c r="DA242" i="2" s="1"/>
  <c r="W256" i="2"/>
  <c r="X256" i="2" s="1"/>
  <c r="W204" i="2"/>
  <c r="X204" i="2" s="1"/>
  <c r="W203" i="2"/>
  <c r="X203" i="2" s="1"/>
  <c r="W202" i="2"/>
  <c r="X202" i="2" s="1"/>
  <c r="W200" i="2"/>
  <c r="X200" i="2" s="1"/>
  <c r="W199" i="2"/>
  <c r="X199" i="2" s="1"/>
  <c r="W198" i="2"/>
  <c r="X198" i="2" s="1"/>
  <c r="W197" i="2"/>
  <c r="X197" i="2" s="1"/>
  <c r="W196" i="2"/>
  <c r="X196" i="2" s="1"/>
  <c r="W194" i="2"/>
  <c r="X194" i="2" s="1"/>
  <c r="W192" i="2"/>
  <c r="X192" i="2" s="1"/>
  <c r="W190" i="2"/>
  <c r="X190" i="2" s="1"/>
  <c r="W189" i="2"/>
  <c r="X189" i="2" s="1"/>
  <c r="W188" i="2"/>
  <c r="X188" i="2" s="1"/>
  <c r="W186" i="2"/>
  <c r="X186" i="2" s="1"/>
  <c r="W185" i="2"/>
  <c r="X185" i="2" s="1"/>
  <c r="W184" i="2"/>
  <c r="X184" i="2" s="1"/>
  <c r="W183" i="2"/>
  <c r="X183" i="2" s="1"/>
  <c r="W182" i="2"/>
  <c r="X182" i="2" s="1"/>
  <c r="W180" i="2"/>
  <c r="X180" i="2" s="1"/>
  <c r="W175" i="2"/>
  <c r="X175" i="2" s="1"/>
  <c r="W174" i="2"/>
  <c r="X174" i="2" s="1"/>
  <c r="W172" i="2"/>
  <c r="X172" i="2" s="1"/>
  <c r="W169" i="2"/>
  <c r="X169" i="2" s="1"/>
  <c r="W168" i="2"/>
  <c r="X168" i="2" s="1"/>
  <c r="W167" i="2"/>
  <c r="X167" i="2" s="1"/>
  <c r="W166" i="2"/>
  <c r="X166" i="2" s="1"/>
  <c r="W165" i="2"/>
  <c r="X165" i="2" s="1"/>
  <c r="W164" i="2"/>
  <c r="X164" i="2" s="1"/>
  <c r="W163" i="2"/>
  <c r="X163" i="2" s="1"/>
  <c r="W162" i="2"/>
  <c r="X162" i="2" s="1"/>
  <c r="W161" i="2"/>
  <c r="X161" i="2" s="1"/>
  <c r="W158" i="2"/>
  <c r="X158" i="2" s="1"/>
  <c r="W157" i="2"/>
  <c r="X157" i="2" s="1"/>
  <c r="W156" i="2"/>
  <c r="CX7" i="2"/>
  <c r="DA7" i="2" s="1"/>
  <c r="CX8" i="2"/>
  <c r="DA8" i="2" s="1"/>
  <c r="CX9" i="2"/>
  <c r="DA9" i="2" s="1"/>
  <c r="CX10" i="2"/>
  <c r="DA10" i="2" s="1"/>
  <c r="CX11" i="2"/>
  <c r="DA11" i="2" s="1"/>
  <c r="CX12" i="2"/>
  <c r="DA12" i="2" s="1"/>
  <c r="CX13" i="2"/>
  <c r="DA13" i="2" s="1"/>
  <c r="CX14" i="2"/>
  <c r="DA14" i="2" s="1"/>
  <c r="CX15" i="2"/>
  <c r="DA15" i="2" s="1"/>
  <c r="CX16" i="2"/>
  <c r="DA16" i="2" s="1"/>
  <c r="CX17" i="2"/>
  <c r="DA17" i="2" s="1"/>
  <c r="CX18" i="2"/>
  <c r="DA18" i="2" s="1"/>
  <c r="CX19" i="2"/>
  <c r="DA19" i="2" s="1"/>
  <c r="CX20" i="2"/>
  <c r="DA20" i="2" s="1"/>
  <c r="CX22" i="2"/>
  <c r="CX23" i="2"/>
  <c r="DA23" i="2" s="1"/>
  <c r="CX24" i="2"/>
  <c r="CX25" i="2"/>
  <c r="DA25" i="2" s="1"/>
  <c r="CX26" i="2"/>
  <c r="DA26" i="2" s="1"/>
  <c r="CX27" i="2"/>
  <c r="DA27" i="2" s="1"/>
  <c r="CX28" i="2"/>
  <c r="DA28" i="2" s="1"/>
  <c r="CX30" i="2"/>
  <c r="DA30" i="2" s="1"/>
  <c r="CX32" i="2"/>
  <c r="DA32" i="2" s="1"/>
  <c r="CX33" i="2"/>
  <c r="DA33" i="2" s="1"/>
  <c r="CX34" i="2"/>
  <c r="DA34" i="2" s="1"/>
  <c r="CX36" i="2"/>
  <c r="DA36" i="2" s="1"/>
  <c r="CX37" i="2"/>
  <c r="DA37" i="2" s="1"/>
  <c r="CX38" i="2"/>
  <c r="DA38" i="2" s="1"/>
  <c r="CX39" i="2"/>
  <c r="DA39" i="2" s="1"/>
  <c r="CX40" i="2"/>
  <c r="DA40" i="2" s="1"/>
  <c r="CX41" i="2"/>
  <c r="DA41" i="2" s="1"/>
  <c r="CX42" i="2"/>
  <c r="DA42" i="2" s="1"/>
  <c r="CX43" i="2"/>
  <c r="DA43" i="2" s="1"/>
  <c r="CX44" i="2"/>
  <c r="DA44" i="2" s="1"/>
  <c r="CX45" i="2"/>
  <c r="DA45" i="2" s="1"/>
  <c r="CX46" i="2"/>
  <c r="DA46" i="2" s="1"/>
  <c r="CX48" i="2"/>
  <c r="DA48" i="2" s="1"/>
  <c r="CX49" i="2"/>
  <c r="DA49" i="2" s="1"/>
  <c r="CX50" i="2"/>
  <c r="DA50" i="2" s="1"/>
  <c r="CX51" i="2"/>
  <c r="DA51" i="2" s="1"/>
  <c r="CX52" i="2"/>
  <c r="DA52" i="2" s="1"/>
  <c r="CX53" i="2"/>
  <c r="DA53" i="2" s="1"/>
  <c r="CX54" i="2"/>
  <c r="DA54" i="2" s="1"/>
  <c r="CX55" i="2"/>
  <c r="DA55" i="2" s="1"/>
  <c r="CX56" i="2"/>
  <c r="DA56" i="2" s="1"/>
  <c r="CX57" i="2"/>
  <c r="DA57" i="2" s="1"/>
  <c r="CX58" i="2"/>
  <c r="DA58" i="2" s="1"/>
  <c r="CX59" i="2"/>
  <c r="DA59" i="2" s="1"/>
  <c r="CX60" i="2"/>
  <c r="DA60" i="2" s="1"/>
  <c r="CX61" i="2"/>
  <c r="DA61" i="2" s="1"/>
  <c r="CX62" i="2"/>
  <c r="DA62" i="2" s="1"/>
  <c r="CX63" i="2"/>
  <c r="DA63" i="2" s="1"/>
  <c r="CX64" i="2"/>
  <c r="CX65" i="2"/>
  <c r="DA65" i="2" s="1"/>
  <c r="CX66" i="2"/>
  <c r="DA66" i="2" s="1"/>
  <c r="CX67" i="2"/>
  <c r="DA67" i="2" s="1"/>
  <c r="CX68" i="2"/>
  <c r="DA68" i="2" s="1"/>
  <c r="CX69" i="2"/>
  <c r="DA69" i="2" s="1"/>
  <c r="CX70" i="2"/>
  <c r="DA70" i="2" s="1"/>
  <c r="CX71" i="2"/>
  <c r="DA71" i="2" s="1"/>
  <c r="CX72" i="2"/>
  <c r="DA72" i="2" s="1"/>
  <c r="CX73" i="2"/>
  <c r="DA73" i="2" s="1"/>
  <c r="CX74" i="2"/>
  <c r="DA74" i="2" s="1"/>
  <c r="CX75" i="2"/>
  <c r="DA75" i="2" s="1"/>
  <c r="CX77" i="2"/>
  <c r="DA77" i="2" s="1"/>
  <c r="CX78" i="2"/>
  <c r="DA78" i="2" s="1"/>
  <c r="CX79" i="2"/>
  <c r="DA79" i="2" s="1"/>
  <c r="CX80" i="2"/>
  <c r="DA80" i="2" s="1"/>
  <c r="CX81" i="2"/>
  <c r="DA81" i="2" s="1"/>
  <c r="CX82" i="2"/>
  <c r="DA82" i="2" s="1"/>
  <c r="CX83" i="2"/>
  <c r="DA83" i="2" s="1"/>
  <c r="CX84" i="2"/>
  <c r="DA84" i="2" s="1"/>
  <c r="CX85" i="2"/>
  <c r="DA85" i="2" s="1"/>
  <c r="CX86" i="2"/>
  <c r="DA86" i="2" s="1"/>
  <c r="CX87" i="2"/>
  <c r="DA87" i="2" s="1"/>
  <c r="CX88" i="2"/>
  <c r="DA88" i="2" s="1"/>
  <c r="CX89" i="2"/>
  <c r="DA89" i="2" s="1"/>
  <c r="CX90" i="2"/>
  <c r="DA90" i="2" s="1"/>
  <c r="CX91" i="2"/>
  <c r="DA91" i="2" s="1"/>
  <c r="CX92" i="2"/>
  <c r="DA92" i="2" s="1"/>
  <c r="CX93" i="2"/>
  <c r="DA93" i="2" s="1"/>
  <c r="CX94" i="2"/>
  <c r="DA94" i="2" s="1"/>
  <c r="CX95" i="2"/>
  <c r="DA95" i="2" s="1"/>
  <c r="CX96" i="2"/>
  <c r="DA96" i="2" s="1"/>
  <c r="CX97" i="2"/>
  <c r="DA97" i="2" s="1"/>
  <c r="CX98" i="2"/>
  <c r="DA98" i="2" s="1"/>
  <c r="CX99" i="2"/>
  <c r="CX100" i="2"/>
  <c r="DA100" i="2" s="1"/>
  <c r="CX101" i="2"/>
  <c r="DA101" i="2" s="1"/>
  <c r="CX102" i="2"/>
  <c r="DA102" i="2" s="1"/>
  <c r="CX104" i="2"/>
  <c r="CX105" i="2"/>
  <c r="DA105" i="2" s="1"/>
  <c r="CX106" i="2"/>
  <c r="DA106" i="2" s="1"/>
  <c r="CX107" i="2"/>
  <c r="DA107" i="2" s="1"/>
  <c r="CX108" i="2"/>
  <c r="DA108" i="2" s="1"/>
  <c r="CX109" i="2"/>
  <c r="DA109" i="2" s="1"/>
  <c r="CX110" i="2"/>
  <c r="DA110" i="2" s="1"/>
  <c r="CX113" i="2"/>
  <c r="DA113" i="2" s="1"/>
  <c r="CX114" i="2"/>
  <c r="DA114" i="2" s="1"/>
  <c r="CX115" i="2"/>
  <c r="DA115" i="2" s="1"/>
  <c r="CX116" i="2"/>
  <c r="DA116" i="2" s="1"/>
  <c r="CX117" i="2"/>
  <c r="DA117" i="2" s="1"/>
  <c r="CX119" i="2"/>
  <c r="DA119" i="2" s="1"/>
  <c r="CX121" i="2"/>
  <c r="DA121" i="2" s="1"/>
  <c r="CX122" i="2"/>
  <c r="DA122" i="2" s="1"/>
  <c r="CX123" i="2"/>
  <c r="DA123" i="2" s="1"/>
  <c r="CX124" i="2"/>
  <c r="DA124" i="2" s="1"/>
  <c r="CX125" i="2"/>
  <c r="DA125" i="2" s="1"/>
  <c r="CX126" i="2"/>
  <c r="DA126" i="2" s="1"/>
  <c r="CX127" i="2"/>
  <c r="DA127" i="2" s="1"/>
  <c r="CX128" i="2"/>
  <c r="DA128" i="2" s="1"/>
  <c r="CX130" i="2"/>
  <c r="DA130" i="2" s="1"/>
  <c r="CX131" i="2"/>
  <c r="DA131" i="2" s="1"/>
  <c r="CX135" i="2"/>
  <c r="DA135" i="2" s="1"/>
  <c r="CX136" i="2"/>
  <c r="DA136" i="2" s="1"/>
  <c r="CX137" i="2"/>
  <c r="DA137" i="2" s="1"/>
  <c r="CX138" i="2"/>
  <c r="DA138" i="2" s="1"/>
  <c r="CX139" i="2"/>
  <c r="DA139" i="2" s="1"/>
  <c r="CX140" i="2"/>
  <c r="DA140" i="2" s="1"/>
  <c r="CX142" i="2"/>
  <c r="CX143" i="2"/>
  <c r="DA143" i="2" s="1"/>
  <c r="CX144" i="2"/>
  <c r="DA144" i="2" s="1"/>
  <c r="CX145" i="2"/>
  <c r="DA145" i="2" s="1"/>
  <c r="CX146" i="2"/>
  <c r="DA146" i="2" s="1"/>
  <c r="CX147" i="2"/>
  <c r="DA147" i="2" s="1"/>
  <c r="CX150" i="2"/>
  <c r="DA150" i="2" s="1"/>
  <c r="CX151" i="2"/>
  <c r="DA151" i="2" s="1"/>
  <c r="CX152" i="2"/>
  <c r="DA152" i="2" s="1"/>
  <c r="CX153" i="2"/>
  <c r="DA153" i="2" s="1"/>
  <c r="CX154" i="2"/>
  <c r="DA154" i="2" s="1"/>
  <c r="CX155" i="2"/>
  <c r="DA155" i="2" s="1"/>
  <c r="CX156" i="2"/>
  <c r="DA156" i="2" s="1"/>
  <c r="CX157" i="2"/>
  <c r="DA157" i="2" s="1"/>
  <c r="CX158" i="2"/>
  <c r="DA158" i="2" s="1"/>
  <c r="CX159" i="2"/>
  <c r="DA159" i="2" s="1"/>
  <c r="CX161" i="2"/>
  <c r="DA161" i="2" s="1"/>
  <c r="CX162" i="2"/>
  <c r="DA162" i="2" s="1"/>
  <c r="CX163" i="2"/>
  <c r="DA163" i="2" s="1"/>
  <c r="CX164" i="2"/>
  <c r="DA164" i="2" s="1"/>
  <c r="CX165" i="2"/>
  <c r="DA165" i="2" s="1"/>
  <c r="CX166" i="2"/>
  <c r="DA166" i="2" s="1"/>
  <c r="CX167" i="2"/>
  <c r="DA167" i="2" s="1"/>
  <c r="CX168" i="2"/>
  <c r="DA168" i="2" s="1"/>
  <c r="CX169" i="2"/>
  <c r="DA169" i="2" s="1"/>
  <c r="CX172" i="2"/>
  <c r="DA172" i="2" s="1"/>
  <c r="CX174" i="2"/>
  <c r="DA174" i="2" s="1"/>
  <c r="CX175" i="2"/>
  <c r="DA175" i="2" s="1"/>
  <c r="CX180" i="2"/>
  <c r="DA180" i="2" s="1"/>
  <c r="CX182" i="2"/>
  <c r="DA182" i="2" s="1"/>
  <c r="CX183" i="2"/>
  <c r="DA183" i="2" s="1"/>
  <c r="CX184" i="2"/>
  <c r="DA184" i="2" s="1"/>
  <c r="CX185" i="2"/>
  <c r="DA185" i="2" s="1"/>
  <c r="CX186" i="2"/>
  <c r="DA186" i="2" s="1"/>
  <c r="CX188" i="2"/>
  <c r="DA188" i="2" s="1"/>
  <c r="CX189" i="2"/>
  <c r="DA189" i="2" s="1"/>
  <c r="CX190" i="2"/>
  <c r="DA190" i="2" s="1"/>
  <c r="CX192" i="2"/>
  <c r="DA192" i="2" s="1"/>
  <c r="CX194" i="2"/>
  <c r="DA194" i="2" s="1"/>
  <c r="CX196" i="2"/>
  <c r="DA196" i="2" s="1"/>
  <c r="CX197" i="2"/>
  <c r="DA197" i="2" s="1"/>
  <c r="CX198" i="2"/>
  <c r="DA198" i="2" s="1"/>
  <c r="CX199" i="2"/>
  <c r="DA199" i="2" s="1"/>
  <c r="CX200" i="2"/>
  <c r="DA200" i="2" s="1"/>
  <c r="CX202" i="2"/>
  <c r="DA202" i="2" s="1"/>
  <c r="CX203" i="2"/>
  <c r="DA203" i="2" s="1"/>
  <c r="CX204" i="2"/>
  <c r="DA204" i="2" s="1"/>
  <c r="CX209" i="2"/>
  <c r="DA209" i="2" s="1"/>
  <c r="CX210" i="2"/>
  <c r="DA210" i="2" s="1"/>
  <c r="CX212" i="2"/>
  <c r="DA212" i="2" s="1"/>
  <c r="CX213" i="2"/>
  <c r="DA213" i="2" s="1"/>
  <c r="CX215" i="2"/>
  <c r="DA215" i="2" s="1"/>
  <c r="CX216" i="2"/>
  <c r="DA216" i="2" s="1"/>
  <c r="CX218" i="2"/>
  <c r="DA218" i="2" s="1"/>
  <c r="CX219" i="2"/>
  <c r="DA219" i="2" s="1"/>
  <c r="CX220" i="2"/>
  <c r="DA220" i="2" s="1"/>
  <c r="CX221" i="2"/>
  <c r="DA221" i="2" s="1"/>
  <c r="CX224" i="2"/>
  <c r="DA224" i="2" s="1"/>
  <c r="CX225" i="2"/>
  <c r="DA225" i="2" s="1"/>
  <c r="CX226" i="2"/>
  <c r="DA226" i="2" s="1"/>
  <c r="CX227" i="2"/>
  <c r="DA227" i="2" s="1"/>
  <c r="CX228" i="2"/>
  <c r="DA228" i="2" s="1"/>
  <c r="CX229" i="2"/>
  <c r="DA229" i="2" s="1"/>
  <c r="CX230" i="2"/>
  <c r="DA230" i="2" s="1"/>
  <c r="CX231" i="2"/>
  <c r="DA231" i="2" s="1"/>
  <c r="CX232" i="2"/>
  <c r="DA232" i="2" s="1"/>
  <c r="CX233" i="2"/>
  <c r="DA233" i="2" s="1"/>
  <c r="CX234" i="2"/>
  <c r="DA234" i="2" s="1"/>
  <c r="CX240" i="2"/>
  <c r="DA240" i="2" s="1"/>
  <c r="CX241" i="2"/>
  <c r="DA241" i="2" s="1"/>
  <c r="CX243" i="2"/>
  <c r="DA243" i="2" s="1"/>
  <c r="CX244" i="2"/>
  <c r="DA244" i="2" s="1"/>
  <c r="CX246" i="2"/>
  <c r="DA246" i="2" s="1"/>
  <c r="CX247" i="2"/>
  <c r="DA247" i="2" s="1"/>
  <c r="CX249" i="2"/>
  <c r="DA249" i="2" s="1"/>
  <c r="CX250" i="2"/>
  <c r="DA250" i="2" s="1"/>
  <c r="CX251" i="2"/>
  <c r="DA251" i="2" s="1"/>
  <c r="CX252" i="2"/>
  <c r="DA252" i="2" s="1"/>
  <c r="CX254" i="2"/>
  <c r="DA254" i="2" s="1"/>
  <c r="CX256" i="2"/>
  <c r="DA256" i="2" s="1"/>
  <c r="CX257" i="2"/>
  <c r="DA257" i="2" s="1"/>
  <c r="CX258" i="2"/>
  <c r="DA258" i="2" s="1"/>
  <c r="CX259" i="2"/>
  <c r="DA259" i="2" s="1"/>
  <c r="CX260" i="2"/>
  <c r="DA260" i="2" s="1"/>
  <c r="CX261" i="2"/>
  <c r="DA261" i="2" s="1"/>
  <c r="CX262" i="2"/>
  <c r="DA262" i="2" s="1"/>
  <c r="CX263" i="2"/>
  <c r="DA263" i="2" s="1"/>
  <c r="CX264" i="2"/>
  <c r="DA264" i="2" s="1"/>
  <c r="CX265" i="2"/>
  <c r="DA265" i="2" s="1"/>
  <c r="CX266" i="2"/>
  <c r="DA266" i="2" s="1"/>
  <c r="CX267" i="2"/>
  <c r="DA267" i="2" s="1"/>
  <c r="CX271" i="2"/>
  <c r="CX272" i="2"/>
  <c r="DA272" i="2" s="1"/>
  <c r="CX273" i="2"/>
  <c r="DA273" i="2" s="1"/>
  <c r="CX275" i="2"/>
  <c r="DA275" i="2" s="1"/>
  <c r="CX280" i="2"/>
  <c r="HB7" i="2"/>
  <c r="HB8" i="2"/>
  <c r="HB9" i="2"/>
  <c r="HB10" i="2"/>
  <c r="HB11" i="2"/>
  <c r="HB12" i="2"/>
  <c r="HB13" i="2"/>
  <c r="HB14" i="2"/>
  <c r="HB15" i="2"/>
  <c r="HB16" i="2"/>
  <c r="HB17" i="2"/>
  <c r="HB18" i="2"/>
  <c r="HB19" i="2"/>
  <c r="HB20" i="2"/>
  <c r="HB22" i="2"/>
  <c r="HB23" i="2"/>
  <c r="HB24" i="2"/>
  <c r="HB25" i="2"/>
  <c r="HB26" i="2"/>
  <c r="HB27" i="2"/>
  <c r="HB28" i="2"/>
  <c r="HB30" i="2"/>
  <c r="HB32" i="2"/>
  <c r="HB33" i="2"/>
  <c r="HB34" i="2"/>
  <c r="HB36" i="2"/>
  <c r="HB37" i="2"/>
  <c r="HB38" i="2"/>
  <c r="HB39" i="2"/>
  <c r="HB40" i="2"/>
  <c r="HB41" i="2"/>
  <c r="HB42" i="2"/>
  <c r="HB43" i="2"/>
  <c r="HB44" i="2"/>
  <c r="HB45" i="2"/>
  <c r="HB46" i="2"/>
  <c r="HB48" i="2"/>
  <c r="HB49" i="2"/>
  <c r="HB50" i="2"/>
  <c r="HB51" i="2"/>
  <c r="HB52" i="2"/>
  <c r="HB53" i="2"/>
  <c r="HB54" i="2"/>
  <c r="HB55" i="2"/>
  <c r="HB56" i="2"/>
  <c r="HB57" i="2"/>
  <c r="HB58" i="2"/>
  <c r="HB59" i="2"/>
  <c r="HB60" i="2"/>
  <c r="HB61" i="2"/>
  <c r="HB62" i="2"/>
  <c r="HB63" i="2"/>
  <c r="HB64" i="2"/>
  <c r="HB65" i="2"/>
  <c r="HB66" i="2"/>
  <c r="HB67" i="2"/>
  <c r="HB68" i="2"/>
  <c r="HB69" i="2"/>
  <c r="HB70" i="2"/>
  <c r="HB71" i="2"/>
  <c r="HB72" i="2"/>
  <c r="HB73" i="2"/>
  <c r="HB74" i="2"/>
  <c r="HB75" i="2"/>
  <c r="HB77" i="2"/>
  <c r="HB78" i="2"/>
  <c r="HB79" i="2"/>
  <c r="HB80" i="2"/>
  <c r="HB81" i="2"/>
  <c r="HB82" i="2"/>
  <c r="HB83" i="2"/>
  <c r="HB84" i="2"/>
  <c r="HB85" i="2"/>
  <c r="HB86" i="2"/>
  <c r="HB87" i="2"/>
  <c r="HB88" i="2"/>
  <c r="HB89" i="2"/>
  <c r="HB90" i="2"/>
  <c r="HB91" i="2"/>
  <c r="HB92" i="2"/>
  <c r="HB93" i="2"/>
  <c r="HB94" i="2"/>
  <c r="HB95" i="2"/>
  <c r="HB96" i="2"/>
  <c r="HB97" i="2"/>
  <c r="HB98" i="2"/>
  <c r="HB99" i="2"/>
  <c r="HB327" i="2" s="1"/>
  <c r="E8" i="8" s="1"/>
  <c r="HB100" i="2"/>
  <c r="HB101" i="2"/>
  <c r="HB102" i="2"/>
  <c r="HB104" i="2"/>
  <c r="HB105" i="2"/>
  <c r="HB106" i="2"/>
  <c r="HB107" i="2"/>
  <c r="HB108" i="2"/>
  <c r="HB109" i="2"/>
  <c r="HB110" i="2"/>
  <c r="HB113" i="2"/>
  <c r="HB114" i="2"/>
  <c r="HB115" i="2"/>
  <c r="HB116" i="2"/>
  <c r="HB117" i="2"/>
  <c r="HB119" i="2"/>
  <c r="HB121" i="2"/>
  <c r="HB122" i="2"/>
  <c r="HB123" i="2"/>
  <c r="HB124" i="2"/>
  <c r="HB125" i="2"/>
  <c r="HB126" i="2"/>
  <c r="HB127" i="2"/>
  <c r="HB128" i="2"/>
  <c r="HB130" i="2"/>
  <c r="HB131" i="2"/>
  <c r="HB135" i="2"/>
  <c r="HB136" i="2"/>
  <c r="HB137" i="2"/>
  <c r="HB138" i="2"/>
  <c r="HB139" i="2"/>
  <c r="HB140" i="2"/>
  <c r="HB142" i="2"/>
  <c r="HB143" i="2"/>
  <c r="HB144" i="2"/>
  <c r="HB145" i="2"/>
  <c r="HB146" i="2"/>
  <c r="HB147" i="2"/>
  <c r="HB150" i="2"/>
  <c r="HB151" i="2"/>
  <c r="HB152" i="2"/>
  <c r="HB153" i="2"/>
  <c r="HB154" i="2"/>
  <c r="HB155" i="2"/>
  <c r="HB156" i="2"/>
  <c r="HB157" i="2"/>
  <c r="HB158" i="2"/>
  <c r="HB159" i="2"/>
  <c r="HB161" i="2"/>
  <c r="HB162" i="2"/>
  <c r="HB163" i="2"/>
  <c r="HB164" i="2"/>
  <c r="HB165" i="2"/>
  <c r="HB166" i="2"/>
  <c r="HB167" i="2"/>
  <c r="HB168" i="2"/>
  <c r="HB169" i="2"/>
  <c r="HB172" i="2"/>
  <c r="HB174" i="2"/>
  <c r="HB175" i="2"/>
  <c r="HB180" i="2"/>
  <c r="HB182" i="2"/>
  <c r="HB183" i="2"/>
  <c r="HB184" i="2"/>
  <c r="HB185" i="2"/>
  <c r="HB186" i="2"/>
  <c r="HB188" i="2"/>
  <c r="HB189" i="2"/>
  <c r="HB190" i="2"/>
  <c r="HB192" i="2"/>
  <c r="HB194" i="2"/>
  <c r="HB196" i="2"/>
  <c r="HB197" i="2"/>
  <c r="HB198" i="2"/>
  <c r="HB199" i="2"/>
  <c r="HB200" i="2"/>
  <c r="HB202" i="2"/>
  <c r="HB203" i="2"/>
  <c r="HB204" i="2"/>
  <c r="HB209" i="2"/>
  <c r="HB210" i="2"/>
  <c r="HB212" i="2"/>
  <c r="HB213" i="2"/>
  <c r="HB215" i="2"/>
  <c r="HB216" i="2"/>
  <c r="HB218" i="2"/>
  <c r="HB219" i="2"/>
  <c r="HB220" i="2"/>
  <c r="HB221" i="2"/>
  <c r="HB224" i="2"/>
  <c r="HB225" i="2"/>
  <c r="HB226" i="2"/>
  <c r="HB227" i="2"/>
  <c r="HB228" i="2"/>
  <c r="HB229" i="2"/>
  <c r="HB230" i="2"/>
  <c r="HB231" i="2"/>
  <c r="HB232" i="2"/>
  <c r="HB233" i="2"/>
  <c r="HB234" i="2"/>
  <c r="HB240" i="2"/>
  <c r="HB241" i="2"/>
  <c r="HB242" i="2"/>
  <c r="HB243" i="2"/>
  <c r="HB244" i="2"/>
  <c r="HB246" i="2"/>
  <c r="HB247" i="2"/>
  <c r="HB249" i="2"/>
  <c r="HB250" i="2"/>
  <c r="HB251" i="2"/>
  <c r="HB252" i="2"/>
  <c r="HB254" i="2"/>
  <c r="HB256" i="2"/>
  <c r="HB257" i="2"/>
  <c r="HB258" i="2"/>
  <c r="HB259" i="2"/>
  <c r="HB347" i="2" s="1"/>
  <c r="HB260" i="2"/>
  <c r="HB261" i="2"/>
  <c r="HB262" i="2"/>
  <c r="HB263" i="2"/>
  <c r="HB264" i="2"/>
  <c r="HB265" i="2"/>
  <c r="HB266" i="2"/>
  <c r="HB267" i="2"/>
  <c r="HB271" i="2"/>
  <c r="HB272" i="2"/>
  <c r="HB273" i="2"/>
  <c r="HB275" i="2"/>
  <c r="HB280" i="2"/>
  <c r="GR7" i="2"/>
  <c r="GR8" i="2"/>
  <c r="GR9" i="2"/>
  <c r="GR10" i="2"/>
  <c r="GR11" i="2"/>
  <c r="GR12" i="2"/>
  <c r="GR13" i="2"/>
  <c r="GR14" i="2"/>
  <c r="GR15" i="2"/>
  <c r="GR16" i="2"/>
  <c r="GR17" i="2"/>
  <c r="GR18" i="2"/>
  <c r="GR19" i="2"/>
  <c r="GR20" i="2"/>
  <c r="GR22" i="2"/>
  <c r="GR23" i="2"/>
  <c r="GR24" i="2"/>
  <c r="GR25" i="2"/>
  <c r="GR26" i="2"/>
  <c r="GR27" i="2"/>
  <c r="GR28" i="2"/>
  <c r="GR30" i="2"/>
  <c r="GR32" i="2"/>
  <c r="GR33" i="2"/>
  <c r="GR34" i="2"/>
  <c r="GR36" i="2"/>
  <c r="GR37" i="2"/>
  <c r="GR38" i="2"/>
  <c r="GR39" i="2"/>
  <c r="GR40" i="2"/>
  <c r="GR41" i="2"/>
  <c r="GR42" i="2"/>
  <c r="GR43" i="2"/>
  <c r="GR44" i="2"/>
  <c r="GR45" i="2"/>
  <c r="GR46" i="2"/>
  <c r="GR48" i="2"/>
  <c r="GR49" i="2"/>
  <c r="GR50" i="2"/>
  <c r="GR51" i="2"/>
  <c r="GR52" i="2"/>
  <c r="GR53" i="2"/>
  <c r="GR54" i="2"/>
  <c r="GR55" i="2"/>
  <c r="GR56" i="2"/>
  <c r="GR57" i="2"/>
  <c r="GR58" i="2"/>
  <c r="GR59" i="2"/>
  <c r="GR60" i="2"/>
  <c r="GR61" i="2"/>
  <c r="GR62" i="2"/>
  <c r="GR63" i="2"/>
  <c r="GR64" i="2"/>
  <c r="GR65" i="2"/>
  <c r="GR66" i="2"/>
  <c r="GR67" i="2"/>
  <c r="GR68" i="2"/>
  <c r="GR69" i="2"/>
  <c r="GR70" i="2"/>
  <c r="GR71" i="2"/>
  <c r="GR72" i="2"/>
  <c r="GR73" i="2"/>
  <c r="GR74" i="2"/>
  <c r="GR75" i="2"/>
  <c r="GR77" i="2"/>
  <c r="GR78" i="2"/>
  <c r="GR79" i="2"/>
  <c r="GR80" i="2"/>
  <c r="GR81" i="2"/>
  <c r="GR82" i="2"/>
  <c r="GR83" i="2"/>
  <c r="GR84" i="2"/>
  <c r="GR85" i="2"/>
  <c r="GR86" i="2"/>
  <c r="GR87" i="2"/>
  <c r="GR88" i="2"/>
  <c r="GR89" i="2"/>
  <c r="GR90" i="2"/>
  <c r="GR91" i="2"/>
  <c r="GR92" i="2"/>
  <c r="GR93" i="2"/>
  <c r="GR94" i="2"/>
  <c r="GR95" i="2"/>
  <c r="GR96" i="2"/>
  <c r="GR97" i="2"/>
  <c r="GR98" i="2"/>
  <c r="GR99" i="2"/>
  <c r="GR327" i="2" s="1"/>
  <c r="GR100" i="2"/>
  <c r="GR101" i="2"/>
  <c r="GR102" i="2"/>
  <c r="GR104" i="2"/>
  <c r="GR105" i="2"/>
  <c r="GR106" i="2"/>
  <c r="GR107" i="2"/>
  <c r="GR108" i="2"/>
  <c r="GR109" i="2"/>
  <c r="GR110" i="2"/>
  <c r="GR113" i="2"/>
  <c r="GR114" i="2"/>
  <c r="GR115" i="2"/>
  <c r="GR116" i="2"/>
  <c r="GR117" i="2"/>
  <c r="GR119" i="2"/>
  <c r="GR121" i="2"/>
  <c r="GR122" i="2"/>
  <c r="GR123" i="2"/>
  <c r="GR124" i="2"/>
  <c r="GR125" i="2"/>
  <c r="GR126" i="2"/>
  <c r="GR127" i="2"/>
  <c r="GR128" i="2"/>
  <c r="GR130" i="2"/>
  <c r="GR131" i="2"/>
  <c r="GR135" i="2"/>
  <c r="GR136" i="2"/>
  <c r="GR137" i="2"/>
  <c r="GR138" i="2"/>
  <c r="GR139" i="2"/>
  <c r="GR140" i="2"/>
  <c r="GR142" i="2"/>
  <c r="GR143" i="2"/>
  <c r="GR144" i="2"/>
  <c r="GR145" i="2"/>
  <c r="GR146" i="2"/>
  <c r="GR147" i="2"/>
  <c r="GR150" i="2"/>
  <c r="GR151" i="2"/>
  <c r="GR152" i="2"/>
  <c r="GR153" i="2"/>
  <c r="GR154" i="2"/>
  <c r="GR155" i="2"/>
  <c r="GR156" i="2"/>
  <c r="GR157" i="2"/>
  <c r="GR158" i="2"/>
  <c r="GR159" i="2"/>
  <c r="GR161" i="2"/>
  <c r="GR162" i="2"/>
  <c r="GR163" i="2"/>
  <c r="GR164" i="2"/>
  <c r="GR165" i="2"/>
  <c r="GR166" i="2"/>
  <c r="GR167" i="2"/>
  <c r="GR168" i="2"/>
  <c r="GR169" i="2"/>
  <c r="GR172" i="2"/>
  <c r="GR174" i="2"/>
  <c r="GR175" i="2"/>
  <c r="GR180" i="2"/>
  <c r="GR182" i="2"/>
  <c r="GR183" i="2"/>
  <c r="GR184" i="2"/>
  <c r="GR185" i="2"/>
  <c r="GR186" i="2"/>
  <c r="GR188" i="2"/>
  <c r="GR189" i="2"/>
  <c r="GR190" i="2"/>
  <c r="GR192" i="2"/>
  <c r="GR194" i="2"/>
  <c r="GR196" i="2"/>
  <c r="GR197" i="2"/>
  <c r="GR198" i="2"/>
  <c r="GR199" i="2"/>
  <c r="GR200" i="2"/>
  <c r="GR202" i="2"/>
  <c r="GR203" i="2"/>
  <c r="GR204" i="2"/>
  <c r="GR209" i="2"/>
  <c r="GR210" i="2"/>
  <c r="GR212" i="2"/>
  <c r="GR213" i="2"/>
  <c r="GR215" i="2"/>
  <c r="GR216" i="2"/>
  <c r="GR218" i="2"/>
  <c r="GR219" i="2"/>
  <c r="GR220" i="2"/>
  <c r="GR221" i="2"/>
  <c r="GR224" i="2"/>
  <c r="GR225" i="2"/>
  <c r="GR226" i="2"/>
  <c r="GR227" i="2"/>
  <c r="GR228" i="2"/>
  <c r="GR229" i="2"/>
  <c r="GR230" i="2"/>
  <c r="GR231" i="2"/>
  <c r="GR232" i="2"/>
  <c r="GR233" i="2"/>
  <c r="GR234" i="2"/>
  <c r="GR240" i="2"/>
  <c r="GR241" i="2"/>
  <c r="GR242" i="2"/>
  <c r="GR243" i="2"/>
  <c r="GR244" i="2"/>
  <c r="GR246" i="2"/>
  <c r="GR247" i="2"/>
  <c r="GR249" i="2"/>
  <c r="GR250" i="2"/>
  <c r="GR251" i="2"/>
  <c r="GR252" i="2"/>
  <c r="GR254" i="2"/>
  <c r="GR256" i="2"/>
  <c r="GR257" i="2"/>
  <c r="GR258" i="2"/>
  <c r="GR259" i="2"/>
  <c r="GR347" i="2" s="1"/>
  <c r="GR260" i="2"/>
  <c r="GR261" i="2"/>
  <c r="GR262" i="2"/>
  <c r="GR263" i="2"/>
  <c r="GR264" i="2"/>
  <c r="GR265" i="2"/>
  <c r="GR266" i="2"/>
  <c r="GR267" i="2"/>
  <c r="GR271" i="2"/>
  <c r="GR272" i="2"/>
  <c r="GR273" i="2"/>
  <c r="GR275" i="2"/>
  <c r="GR280" i="2"/>
  <c r="FG7" i="2"/>
  <c r="FG8" i="2"/>
  <c r="FG9" i="2"/>
  <c r="FG10" i="2"/>
  <c r="FG11" i="2"/>
  <c r="FG12" i="2"/>
  <c r="FG13" i="2"/>
  <c r="FG14" i="2"/>
  <c r="FG15" i="2"/>
  <c r="FG16" i="2"/>
  <c r="FG17" i="2"/>
  <c r="FG18" i="2"/>
  <c r="FG19" i="2"/>
  <c r="FG20" i="2"/>
  <c r="FG22" i="2"/>
  <c r="FG23" i="2"/>
  <c r="FG24" i="2"/>
  <c r="FG25" i="2"/>
  <c r="FG26" i="2"/>
  <c r="FG27" i="2"/>
  <c r="FG28" i="2"/>
  <c r="FG30" i="2"/>
  <c r="FG32" i="2"/>
  <c r="FG33" i="2"/>
  <c r="FG34" i="2"/>
  <c r="FG36" i="2"/>
  <c r="FG37" i="2"/>
  <c r="FG38" i="2"/>
  <c r="FG39" i="2"/>
  <c r="FG40" i="2"/>
  <c r="FG41" i="2"/>
  <c r="FG42" i="2"/>
  <c r="FG43" i="2"/>
  <c r="FG44" i="2"/>
  <c r="FG45" i="2"/>
  <c r="FG46" i="2"/>
  <c r="FG48" i="2"/>
  <c r="FG49" i="2"/>
  <c r="FG50" i="2"/>
  <c r="FG51" i="2"/>
  <c r="FG52" i="2"/>
  <c r="FG53" i="2"/>
  <c r="FG54" i="2"/>
  <c r="FG55" i="2"/>
  <c r="FG56" i="2"/>
  <c r="FG57" i="2"/>
  <c r="FG58" i="2"/>
  <c r="FG59" i="2"/>
  <c r="FG60" i="2"/>
  <c r="FG61" i="2"/>
  <c r="FG62" i="2"/>
  <c r="FG63" i="2"/>
  <c r="FG64" i="2"/>
  <c r="FG65" i="2"/>
  <c r="FG66" i="2"/>
  <c r="FG67" i="2"/>
  <c r="FG68" i="2"/>
  <c r="FG69" i="2"/>
  <c r="FG70" i="2"/>
  <c r="FG71" i="2"/>
  <c r="FG72" i="2"/>
  <c r="FG73" i="2"/>
  <c r="FG74" i="2"/>
  <c r="FG75" i="2"/>
  <c r="FG77" i="2"/>
  <c r="FG78" i="2"/>
  <c r="FG79" i="2"/>
  <c r="FG80" i="2"/>
  <c r="FG81" i="2"/>
  <c r="FG82" i="2"/>
  <c r="FG83" i="2"/>
  <c r="FG84" i="2"/>
  <c r="FG85" i="2"/>
  <c r="FG86" i="2"/>
  <c r="FG87" i="2"/>
  <c r="FG88" i="2"/>
  <c r="FG89" i="2"/>
  <c r="FG90" i="2"/>
  <c r="FG91" i="2"/>
  <c r="FG92" i="2"/>
  <c r="FG93" i="2"/>
  <c r="FG94" i="2"/>
  <c r="FG95" i="2"/>
  <c r="FG96" i="2"/>
  <c r="FG97" i="2"/>
  <c r="FG98" i="2"/>
  <c r="FG99" i="2"/>
  <c r="FG100" i="2"/>
  <c r="FG101" i="2"/>
  <c r="FG102" i="2"/>
  <c r="FG104" i="2"/>
  <c r="FG105" i="2"/>
  <c r="FG106" i="2"/>
  <c r="FG107" i="2"/>
  <c r="FG108" i="2"/>
  <c r="FG109" i="2"/>
  <c r="FG110" i="2"/>
  <c r="FG113" i="2"/>
  <c r="FG114" i="2"/>
  <c r="FG115" i="2"/>
  <c r="FG116" i="2"/>
  <c r="FG117" i="2"/>
  <c r="FG119" i="2"/>
  <c r="FG121" i="2"/>
  <c r="FG122" i="2"/>
  <c r="FG123" i="2"/>
  <c r="FG124" i="2"/>
  <c r="FG125" i="2"/>
  <c r="FG126" i="2"/>
  <c r="FG127" i="2"/>
  <c r="FG128" i="2"/>
  <c r="FG130" i="2"/>
  <c r="FG131" i="2"/>
  <c r="FG135" i="2"/>
  <c r="FG136" i="2"/>
  <c r="FG137" i="2"/>
  <c r="FG138" i="2"/>
  <c r="FG139" i="2"/>
  <c r="FG140" i="2"/>
  <c r="FG142" i="2"/>
  <c r="FG143" i="2"/>
  <c r="FG144" i="2"/>
  <c r="FG145" i="2"/>
  <c r="FG146" i="2"/>
  <c r="FG147" i="2"/>
  <c r="FG150" i="2"/>
  <c r="FG151" i="2"/>
  <c r="FG152" i="2"/>
  <c r="FG153" i="2"/>
  <c r="FG154" i="2"/>
  <c r="FG155" i="2"/>
  <c r="FG156" i="2"/>
  <c r="FG157" i="2"/>
  <c r="FG158" i="2"/>
  <c r="FG159" i="2"/>
  <c r="FG161" i="2"/>
  <c r="FG162" i="2"/>
  <c r="FG163" i="2"/>
  <c r="FG164" i="2"/>
  <c r="FG165" i="2"/>
  <c r="FG166" i="2"/>
  <c r="FG167" i="2"/>
  <c r="FG168" i="2"/>
  <c r="FG169" i="2"/>
  <c r="FG172" i="2"/>
  <c r="FG174" i="2"/>
  <c r="FG175" i="2"/>
  <c r="FG180" i="2"/>
  <c r="FG182" i="2"/>
  <c r="FG183" i="2"/>
  <c r="FG184" i="2"/>
  <c r="FG185" i="2"/>
  <c r="FG186" i="2"/>
  <c r="FG188" i="2"/>
  <c r="FG189" i="2"/>
  <c r="FG190" i="2"/>
  <c r="FG192" i="2"/>
  <c r="FG194" i="2"/>
  <c r="FG196" i="2"/>
  <c r="FG197" i="2"/>
  <c r="FG198" i="2"/>
  <c r="FG199" i="2"/>
  <c r="FG200" i="2"/>
  <c r="FG202" i="2"/>
  <c r="FG203" i="2"/>
  <c r="FG204" i="2"/>
  <c r="FG209" i="2"/>
  <c r="FG210" i="2"/>
  <c r="FG212" i="2"/>
  <c r="FG213" i="2"/>
  <c r="FG215" i="2"/>
  <c r="FG216" i="2"/>
  <c r="FG218" i="2"/>
  <c r="FG219" i="2"/>
  <c r="FG220" i="2"/>
  <c r="FG221" i="2"/>
  <c r="FG224" i="2"/>
  <c r="FG225" i="2"/>
  <c r="FG226" i="2"/>
  <c r="FG227" i="2"/>
  <c r="FG228" i="2"/>
  <c r="FG229" i="2"/>
  <c r="FG230" i="2"/>
  <c r="FG231" i="2"/>
  <c r="FG232" i="2"/>
  <c r="FG233" i="2"/>
  <c r="FG234" i="2"/>
  <c r="FG240" i="2"/>
  <c r="FG241" i="2"/>
  <c r="FG242" i="2"/>
  <c r="FG243" i="2"/>
  <c r="FG244" i="2"/>
  <c r="FG246" i="2"/>
  <c r="FG247" i="2"/>
  <c r="FG249" i="2"/>
  <c r="FG250" i="2"/>
  <c r="FG251" i="2"/>
  <c r="FG252" i="2"/>
  <c r="FG254" i="2"/>
  <c r="FG256" i="2"/>
  <c r="FG257" i="2"/>
  <c r="FG258" i="2"/>
  <c r="FG259" i="2"/>
  <c r="FG260" i="2"/>
  <c r="FG261" i="2"/>
  <c r="FG262" i="2"/>
  <c r="FG264" i="2"/>
  <c r="FG265" i="2"/>
  <c r="FG266" i="2"/>
  <c r="FG267" i="2"/>
  <c r="FG271" i="2"/>
  <c r="FG272" i="2"/>
  <c r="FG273" i="2"/>
  <c r="FG275" i="2"/>
  <c r="FG280" i="2"/>
  <c r="EW7" i="2"/>
  <c r="EX7" i="2"/>
  <c r="EW8" i="2"/>
  <c r="EX8" i="2"/>
  <c r="EW9" i="2"/>
  <c r="EX9" i="2"/>
  <c r="EW10" i="2"/>
  <c r="EX10" i="2"/>
  <c r="EW11" i="2"/>
  <c r="EX11" i="2"/>
  <c r="EW12" i="2"/>
  <c r="EX12" i="2"/>
  <c r="EW13" i="2"/>
  <c r="EX13" i="2"/>
  <c r="EW14" i="2"/>
  <c r="EX14" i="2"/>
  <c r="EW15" i="2"/>
  <c r="EX15" i="2"/>
  <c r="EW16" i="2"/>
  <c r="EX16" i="2"/>
  <c r="EW17" i="2"/>
  <c r="EX17" i="2"/>
  <c r="EW18" i="2"/>
  <c r="EX18" i="2"/>
  <c r="EW19" i="2"/>
  <c r="EX19" i="2"/>
  <c r="EW20" i="2"/>
  <c r="EX20" i="2"/>
  <c r="EW22" i="2"/>
  <c r="EX22" i="2"/>
  <c r="EW23" i="2"/>
  <c r="EX23" i="2"/>
  <c r="EW24" i="2"/>
  <c r="EX24" i="2"/>
  <c r="EW25" i="2"/>
  <c r="EX25" i="2"/>
  <c r="EW26" i="2"/>
  <c r="EX26" i="2"/>
  <c r="EW27" i="2"/>
  <c r="EX27" i="2"/>
  <c r="EW28" i="2"/>
  <c r="EX28" i="2"/>
  <c r="EW30" i="2"/>
  <c r="EX30" i="2"/>
  <c r="EW32" i="2"/>
  <c r="EX32" i="2"/>
  <c r="EW33" i="2"/>
  <c r="EX33" i="2"/>
  <c r="EW34" i="2"/>
  <c r="EX34" i="2"/>
  <c r="EW36" i="2"/>
  <c r="EX36" i="2"/>
  <c r="EW37" i="2"/>
  <c r="EX37" i="2"/>
  <c r="EW38" i="2"/>
  <c r="EX38" i="2"/>
  <c r="EW39" i="2"/>
  <c r="EX39" i="2"/>
  <c r="EW40" i="2"/>
  <c r="EX40" i="2"/>
  <c r="EW41" i="2"/>
  <c r="EX41" i="2"/>
  <c r="EW42" i="2"/>
  <c r="EX42" i="2"/>
  <c r="EW43" i="2"/>
  <c r="EX43" i="2"/>
  <c r="EW44" i="2"/>
  <c r="EX44" i="2"/>
  <c r="EW45" i="2"/>
  <c r="EX45" i="2"/>
  <c r="EW46" i="2"/>
  <c r="EX46" i="2"/>
  <c r="EW48" i="2"/>
  <c r="EX48" i="2"/>
  <c r="EW49" i="2"/>
  <c r="EX49" i="2"/>
  <c r="EW50" i="2"/>
  <c r="EX50" i="2"/>
  <c r="EW51" i="2"/>
  <c r="EX51" i="2"/>
  <c r="EW52" i="2"/>
  <c r="EX52" i="2"/>
  <c r="EW53" i="2"/>
  <c r="EX53" i="2"/>
  <c r="EW54" i="2"/>
  <c r="EX54" i="2"/>
  <c r="EW55" i="2"/>
  <c r="EX55" i="2"/>
  <c r="EW56" i="2"/>
  <c r="EX56" i="2"/>
  <c r="EW57" i="2"/>
  <c r="EX57" i="2"/>
  <c r="EW58" i="2"/>
  <c r="EX58" i="2"/>
  <c r="EW59" i="2"/>
  <c r="EX59" i="2"/>
  <c r="EW60" i="2"/>
  <c r="EX60" i="2"/>
  <c r="EW61" i="2"/>
  <c r="EX61" i="2"/>
  <c r="EW62" i="2"/>
  <c r="EX62" i="2"/>
  <c r="EW63" i="2"/>
  <c r="EX63" i="2"/>
  <c r="EW64" i="2"/>
  <c r="EX64" i="2"/>
  <c r="EW65" i="2"/>
  <c r="EX65" i="2"/>
  <c r="EW66" i="2"/>
  <c r="EX66" i="2"/>
  <c r="EW67" i="2"/>
  <c r="EX67" i="2"/>
  <c r="EW68" i="2"/>
  <c r="EX68" i="2"/>
  <c r="EW69" i="2"/>
  <c r="EX69" i="2"/>
  <c r="EW70" i="2"/>
  <c r="EX70" i="2"/>
  <c r="EW71" i="2"/>
  <c r="EX71" i="2"/>
  <c r="EW72" i="2"/>
  <c r="EX72" i="2"/>
  <c r="EW73" i="2"/>
  <c r="EX73" i="2"/>
  <c r="EW74" i="2"/>
  <c r="EX74" i="2"/>
  <c r="EW75" i="2"/>
  <c r="EX75" i="2"/>
  <c r="EW77" i="2"/>
  <c r="EX77" i="2"/>
  <c r="EW78" i="2"/>
  <c r="EX78" i="2"/>
  <c r="EW79" i="2"/>
  <c r="EX79" i="2"/>
  <c r="EW80" i="2"/>
  <c r="EX80" i="2"/>
  <c r="EW81" i="2"/>
  <c r="EX81" i="2"/>
  <c r="EW82" i="2"/>
  <c r="EX82" i="2"/>
  <c r="EW83" i="2"/>
  <c r="EX83" i="2"/>
  <c r="EW84" i="2"/>
  <c r="EX84" i="2"/>
  <c r="EW85" i="2"/>
  <c r="EX85" i="2"/>
  <c r="EW86" i="2"/>
  <c r="EX86" i="2"/>
  <c r="EW87" i="2"/>
  <c r="EX87" i="2"/>
  <c r="EW88" i="2"/>
  <c r="EX88" i="2"/>
  <c r="EW89" i="2"/>
  <c r="EX89" i="2"/>
  <c r="EW90" i="2"/>
  <c r="EX90" i="2"/>
  <c r="EW91" i="2"/>
  <c r="EX91" i="2"/>
  <c r="EW92" i="2"/>
  <c r="EX92" i="2"/>
  <c r="EW93" i="2"/>
  <c r="EX93" i="2"/>
  <c r="EW94" i="2"/>
  <c r="EX94" i="2"/>
  <c r="EW95" i="2"/>
  <c r="EX95" i="2"/>
  <c r="EW96" i="2"/>
  <c r="EX96" i="2"/>
  <c r="EW97" i="2"/>
  <c r="EX97" i="2"/>
  <c r="EW98" i="2"/>
  <c r="EX98" i="2"/>
  <c r="EW99" i="2"/>
  <c r="EX99" i="2"/>
  <c r="EW100" i="2"/>
  <c r="EX100" i="2"/>
  <c r="EW101" i="2"/>
  <c r="EX101" i="2"/>
  <c r="EW102" i="2"/>
  <c r="EX102" i="2"/>
  <c r="EW104" i="2"/>
  <c r="EX104" i="2"/>
  <c r="EW105" i="2"/>
  <c r="EX105" i="2"/>
  <c r="EW106" i="2"/>
  <c r="EX106" i="2"/>
  <c r="EW107" i="2"/>
  <c r="EX107" i="2"/>
  <c r="EW108" i="2"/>
  <c r="EX108" i="2"/>
  <c r="EW109" i="2"/>
  <c r="EX109" i="2"/>
  <c r="EW110" i="2"/>
  <c r="EX110" i="2"/>
  <c r="EW113" i="2"/>
  <c r="EX113" i="2"/>
  <c r="EW114" i="2"/>
  <c r="EX114" i="2"/>
  <c r="EW115" i="2"/>
  <c r="EX115" i="2"/>
  <c r="EW116" i="2"/>
  <c r="EX116" i="2"/>
  <c r="EW117" i="2"/>
  <c r="EX117" i="2"/>
  <c r="EW119" i="2"/>
  <c r="EX119" i="2"/>
  <c r="EW121" i="2"/>
  <c r="EX121" i="2"/>
  <c r="EW122" i="2"/>
  <c r="EX122" i="2"/>
  <c r="EW123" i="2"/>
  <c r="EX123" i="2"/>
  <c r="EW124" i="2"/>
  <c r="EX124" i="2"/>
  <c r="EW125" i="2"/>
  <c r="EX125" i="2"/>
  <c r="EW126" i="2"/>
  <c r="EX126" i="2"/>
  <c r="EW127" i="2"/>
  <c r="EX127" i="2"/>
  <c r="EW128" i="2"/>
  <c r="EX128" i="2"/>
  <c r="EW130" i="2"/>
  <c r="EX130" i="2"/>
  <c r="EW131" i="2"/>
  <c r="EX131" i="2"/>
  <c r="EW135" i="2"/>
  <c r="EX135" i="2"/>
  <c r="EW136" i="2"/>
  <c r="EX136" i="2"/>
  <c r="EW137" i="2"/>
  <c r="EX137" i="2"/>
  <c r="EW138" i="2"/>
  <c r="EX138" i="2"/>
  <c r="EW139" i="2"/>
  <c r="EX139" i="2"/>
  <c r="EW140" i="2"/>
  <c r="EX140" i="2"/>
  <c r="EW142" i="2"/>
  <c r="EX142" i="2"/>
  <c r="EW143" i="2"/>
  <c r="EX143" i="2"/>
  <c r="EW144" i="2"/>
  <c r="EX144" i="2"/>
  <c r="EW145" i="2"/>
  <c r="EX145" i="2"/>
  <c r="EW146" i="2"/>
  <c r="EX146" i="2"/>
  <c r="EW147" i="2"/>
  <c r="EX147" i="2"/>
  <c r="EW150" i="2"/>
  <c r="EX150" i="2"/>
  <c r="EW151" i="2"/>
  <c r="EX151" i="2"/>
  <c r="EW152" i="2"/>
  <c r="EX152" i="2"/>
  <c r="EW153" i="2"/>
  <c r="EX153" i="2"/>
  <c r="EW154" i="2"/>
  <c r="EX154" i="2"/>
  <c r="EW155" i="2"/>
  <c r="EX155" i="2"/>
  <c r="EW156" i="2"/>
  <c r="EX156" i="2"/>
  <c r="EW157" i="2"/>
  <c r="EX157" i="2"/>
  <c r="EW158" i="2"/>
  <c r="EX158" i="2"/>
  <c r="EW159" i="2"/>
  <c r="EX159" i="2"/>
  <c r="EW161" i="2"/>
  <c r="EX161" i="2"/>
  <c r="EW162" i="2"/>
  <c r="EX162" i="2"/>
  <c r="EW163" i="2"/>
  <c r="EX163" i="2"/>
  <c r="EW164" i="2"/>
  <c r="EX164" i="2"/>
  <c r="EW165" i="2"/>
  <c r="EX165" i="2"/>
  <c r="EW166" i="2"/>
  <c r="EX166" i="2"/>
  <c r="EW167" i="2"/>
  <c r="EX167" i="2"/>
  <c r="EW168" i="2"/>
  <c r="EX168" i="2"/>
  <c r="EW169" i="2"/>
  <c r="EX169" i="2"/>
  <c r="EW172" i="2"/>
  <c r="EX172" i="2"/>
  <c r="EW174" i="2"/>
  <c r="EX174" i="2"/>
  <c r="EW175" i="2"/>
  <c r="EX175" i="2"/>
  <c r="EW180" i="2"/>
  <c r="EX180" i="2"/>
  <c r="EW182" i="2"/>
  <c r="EX182" i="2"/>
  <c r="EW183" i="2"/>
  <c r="EX183" i="2"/>
  <c r="EW184" i="2"/>
  <c r="EX184" i="2"/>
  <c r="EW185" i="2"/>
  <c r="EX185" i="2"/>
  <c r="EW186" i="2"/>
  <c r="EX186" i="2"/>
  <c r="EW188" i="2"/>
  <c r="EX188" i="2"/>
  <c r="EW189" i="2"/>
  <c r="EX189" i="2"/>
  <c r="EW190" i="2"/>
  <c r="EX190" i="2"/>
  <c r="EW192" i="2"/>
  <c r="EX192" i="2"/>
  <c r="EW194" i="2"/>
  <c r="EX194" i="2"/>
  <c r="EW196" i="2"/>
  <c r="EX196" i="2"/>
  <c r="EW197" i="2"/>
  <c r="EX197" i="2"/>
  <c r="EW198" i="2"/>
  <c r="EX198" i="2"/>
  <c r="EW199" i="2"/>
  <c r="EX199" i="2"/>
  <c r="EW200" i="2"/>
  <c r="EX200" i="2"/>
  <c r="EW202" i="2"/>
  <c r="EX202" i="2"/>
  <c r="EW203" i="2"/>
  <c r="EX203" i="2"/>
  <c r="EW204" i="2"/>
  <c r="EX204" i="2"/>
  <c r="EW209" i="2"/>
  <c r="EX209" i="2"/>
  <c r="EW210" i="2"/>
  <c r="EX210" i="2"/>
  <c r="EW212" i="2"/>
  <c r="EX212" i="2"/>
  <c r="EW213" i="2"/>
  <c r="EX213" i="2"/>
  <c r="EW215" i="2"/>
  <c r="EX215" i="2"/>
  <c r="EW216" i="2"/>
  <c r="EX216" i="2"/>
  <c r="EW218" i="2"/>
  <c r="EX218" i="2"/>
  <c r="EW219" i="2"/>
  <c r="EX219" i="2"/>
  <c r="EW220" i="2"/>
  <c r="EX220" i="2"/>
  <c r="EW221" i="2"/>
  <c r="EX221" i="2"/>
  <c r="EW224" i="2"/>
  <c r="EX224" i="2"/>
  <c r="EW225" i="2"/>
  <c r="EX225" i="2"/>
  <c r="EW226" i="2"/>
  <c r="EX226" i="2"/>
  <c r="EW227" i="2"/>
  <c r="EX227" i="2"/>
  <c r="EW228" i="2"/>
  <c r="EX228" i="2"/>
  <c r="EW229" i="2"/>
  <c r="EX229" i="2"/>
  <c r="EW230" i="2"/>
  <c r="EX230" i="2"/>
  <c r="EW231" i="2"/>
  <c r="EX231" i="2"/>
  <c r="EW232" i="2"/>
  <c r="EX232" i="2"/>
  <c r="EW233" i="2"/>
  <c r="EX233" i="2"/>
  <c r="EW234" i="2"/>
  <c r="EX234" i="2"/>
  <c r="EW240" i="2"/>
  <c r="EX240" i="2"/>
  <c r="EW241" i="2"/>
  <c r="EX241" i="2"/>
  <c r="EW242" i="2"/>
  <c r="EX242" i="2"/>
  <c r="EW243" i="2"/>
  <c r="EX243" i="2"/>
  <c r="EW244" i="2"/>
  <c r="EX244" i="2"/>
  <c r="EW246" i="2"/>
  <c r="EX246" i="2"/>
  <c r="EW247" i="2"/>
  <c r="EX247" i="2"/>
  <c r="EW249" i="2"/>
  <c r="EX249" i="2"/>
  <c r="EW250" i="2"/>
  <c r="EX250" i="2"/>
  <c r="EW251" i="2"/>
  <c r="EX251" i="2"/>
  <c r="EW252" i="2"/>
  <c r="EX252" i="2"/>
  <c r="EW254" i="2"/>
  <c r="EX254" i="2"/>
  <c r="EW256" i="2"/>
  <c r="EX256" i="2"/>
  <c r="EW257" i="2"/>
  <c r="EX257" i="2"/>
  <c r="EW258" i="2"/>
  <c r="EX258" i="2"/>
  <c r="EW259" i="2"/>
  <c r="EX259" i="2"/>
  <c r="EW260" i="2"/>
  <c r="EX260" i="2"/>
  <c r="EW261" i="2"/>
  <c r="EX261" i="2"/>
  <c r="EW262" i="2"/>
  <c r="EX262" i="2"/>
  <c r="EW263" i="2"/>
  <c r="EX263" i="2"/>
  <c r="EW264" i="2"/>
  <c r="EX264" i="2"/>
  <c r="EW265" i="2"/>
  <c r="EX265" i="2"/>
  <c r="EW266" i="2"/>
  <c r="EX266" i="2"/>
  <c r="EW267" i="2"/>
  <c r="EX267" i="2"/>
  <c r="EW271" i="2"/>
  <c r="EX271" i="2"/>
  <c r="EW272" i="2"/>
  <c r="EX272" i="2"/>
  <c r="EW273" i="2"/>
  <c r="EX273" i="2"/>
  <c r="EW275" i="2"/>
  <c r="EX275" i="2"/>
  <c r="EW280" i="2"/>
  <c r="EX280" i="2"/>
  <c r="DL347" i="2"/>
  <c r="EY327" i="2"/>
  <c r="D46" i="10" s="1"/>
  <c r="EY347" i="2"/>
  <c r="EY344" i="2" s="1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2" i="2"/>
  <c r="X23" i="2"/>
  <c r="X24" i="2"/>
  <c r="X25" i="2"/>
  <c r="X26" i="2"/>
  <c r="X27" i="2"/>
  <c r="X28" i="2"/>
  <c r="X30" i="2"/>
  <c r="X32" i="2"/>
  <c r="X33" i="2"/>
  <c r="X34" i="2"/>
  <c r="X36" i="2"/>
  <c r="X37" i="2"/>
  <c r="X38" i="2"/>
  <c r="X39" i="2"/>
  <c r="X40" i="2"/>
  <c r="X41" i="2"/>
  <c r="X42" i="2"/>
  <c r="X43" i="2"/>
  <c r="X44" i="2"/>
  <c r="X45" i="2"/>
  <c r="X46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4" i="2"/>
  <c r="X105" i="2"/>
  <c r="X106" i="2"/>
  <c r="X107" i="2"/>
  <c r="X108" i="2"/>
  <c r="X109" i="2"/>
  <c r="X110" i="2"/>
  <c r="X113" i="2"/>
  <c r="X114" i="2"/>
  <c r="X115" i="2"/>
  <c r="X116" i="2"/>
  <c r="X117" i="2"/>
  <c r="X119" i="2"/>
  <c r="X121" i="2"/>
  <c r="X122" i="2"/>
  <c r="X123" i="2"/>
  <c r="X124" i="2"/>
  <c r="X125" i="2"/>
  <c r="X126" i="2"/>
  <c r="X127" i="2"/>
  <c r="X128" i="2"/>
  <c r="X130" i="2"/>
  <c r="X131" i="2"/>
  <c r="X135" i="2"/>
  <c r="X136" i="2"/>
  <c r="X137" i="2"/>
  <c r="X138" i="2"/>
  <c r="X139" i="2"/>
  <c r="X140" i="2"/>
  <c r="X142" i="2"/>
  <c r="X143" i="2"/>
  <c r="X144" i="2"/>
  <c r="X145" i="2"/>
  <c r="X146" i="2"/>
  <c r="X147" i="2"/>
  <c r="X150" i="2"/>
  <c r="X151" i="2"/>
  <c r="X152" i="2"/>
  <c r="X153" i="2"/>
  <c r="X154" i="2"/>
  <c r="X155" i="2"/>
  <c r="X209" i="2"/>
  <c r="X210" i="2"/>
  <c r="X212" i="2"/>
  <c r="X213" i="2"/>
  <c r="X215" i="2"/>
  <c r="X216" i="2"/>
  <c r="X218" i="2"/>
  <c r="X219" i="2"/>
  <c r="X220" i="2"/>
  <c r="X221" i="2"/>
  <c r="X224" i="2"/>
  <c r="X225" i="2"/>
  <c r="X226" i="2"/>
  <c r="X227" i="2"/>
  <c r="X228" i="2"/>
  <c r="X229" i="2"/>
  <c r="X230" i="2"/>
  <c r="X231" i="2"/>
  <c r="X232" i="2"/>
  <c r="X233" i="2"/>
  <c r="X234" i="2"/>
  <c r="X240" i="2"/>
  <c r="X241" i="2"/>
  <c r="X242" i="2"/>
  <c r="X243" i="2"/>
  <c r="X244" i="2"/>
  <c r="X246" i="2"/>
  <c r="X247" i="2"/>
  <c r="X249" i="2"/>
  <c r="X250" i="2"/>
  <c r="X251" i="2"/>
  <c r="X252" i="2"/>
  <c r="X257" i="2"/>
  <c r="X258" i="2"/>
  <c r="X259" i="2"/>
  <c r="X260" i="2"/>
  <c r="X261" i="2"/>
  <c r="X262" i="2"/>
  <c r="X263" i="2"/>
  <c r="X264" i="2"/>
  <c r="X265" i="2"/>
  <c r="X266" i="2"/>
  <c r="X267" i="2"/>
  <c r="X275" i="2"/>
  <c r="O283" i="2"/>
  <c r="N283" i="2"/>
  <c r="K283" i="2"/>
  <c r="J283" i="2"/>
  <c r="GR344" i="2" l="1"/>
  <c r="HB344" i="2"/>
  <c r="HB326" i="2"/>
  <c r="DL344" i="2"/>
  <c r="J61" i="10" s="1"/>
  <c r="DA271" i="2"/>
  <c r="DA104" i="2"/>
  <c r="CX326" i="2"/>
  <c r="DA326" i="2" s="1"/>
  <c r="DA64" i="2"/>
  <c r="CX333" i="2"/>
  <c r="CX332" i="2" s="1"/>
  <c r="DA24" i="2"/>
  <c r="CX331" i="2"/>
  <c r="GR330" i="2"/>
  <c r="E58" i="9" s="1"/>
  <c r="HB330" i="2"/>
  <c r="E14" i="8" s="1"/>
  <c r="DA22" i="2"/>
  <c r="GR333" i="2"/>
  <c r="GR332" i="2" s="1"/>
  <c r="E57" i="9" s="1"/>
  <c r="GR331" i="2"/>
  <c r="HB333" i="2"/>
  <c r="HB332" i="2" s="1"/>
  <c r="E13" i="8" s="1"/>
  <c r="HB331" i="2"/>
  <c r="E12" i="8" s="1"/>
  <c r="DA142" i="2"/>
  <c r="CX330" i="2"/>
  <c r="J18" i="15"/>
  <c r="J24" i="15" s="1"/>
  <c r="CX327" i="2"/>
  <c r="DA327" i="2" s="1"/>
  <c r="DA99" i="2"/>
  <c r="CY358" i="2"/>
  <c r="CY360" i="2" s="1"/>
  <c r="CY362" i="2" s="1"/>
  <c r="GR326" i="2"/>
  <c r="CX328" i="2"/>
  <c r="DA328" i="2" s="1"/>
  <c r="C77" i="11"/>
  <c r="X156" i="2"/>
  <c r="D50" i="10"/>
  <c r="EY328" i="2"/>
  <c r="B47" i="10" s="1"/>
  <c r="EY325" i="2"/>
  <c r="D91" i="10"/>
  <c r="M46" i="10"/>
  <c r="M91" i="10" s="1"/>
  <c r="B19" i="15" s="1"/>
  <c r="D55" i="10"/>
  <c r="DA337" i="2"/>
  <c r="GR328" i="2"/>
  <c r="HB328" i="2"/>
  <c r="CX325" i="2"/>
  <c r="DA325" i="2" s="1"/>
  <c r="GR325" i="2"/>
  <c r="HB325" i="2"/>
  <c r="T5" i="15"/>
  <c r="H112" i="11"/>
  <c r="J6" i="15" s="1"/>
  <c r="K23" i="8"/>
  <c r="G23" i="8"/>
  <c r="FH358" i="2"/>
  <c r="FH360" i="2" s="1"/>
  <c r="FH364" i="2" s="1"/>
  <c r="EY354" i="2"/>
  <c r="DQ362" i="2"/>
  <c r="DP364" i="2"/>
  <c r="DS362" i="2"/>
  <c r="GR356" i="2"/>
  <c r="HB356" i="2"/>
  <c r="DL356" i="2"/>
  <c r="J47" i="10" s="1"/>
  <c r="J92" i="10" s="1"/>
  <c r="T20" i="15" s="1"/>
  <c r="DO364" i="2"/>
  <c r="DT362" i="2"/>
  <c r="EY356" i="2"/>
  <c r="DA331" i="2"/>
  <c r="GR354" i="2"/>
  <c r="HB354" i="2"/>
  <c r="DL354" i="2"/>
  <c r="J45" i="10" s="1"/>
  <c r="J90" i="10" s="1"/>
  <c r="CX347" i="2"/>
  <c r="DA347" i="2" s="1"/>
  <c r="CX356" i="2"/>
  <c r="DA356" i="2" s="1"/>
  <c r="CX354" i="2"/>
  <c r="DA354" i="2" s="1"/>
  <c r="EZ30" i="2"/>
  <c r="FA30" i="2" s="1"/>
  <c r="EZ23" i="2"/>
  <c r="FA23" i="2" s="1"/>
  <c r="EZ19" i="2"/>
  <c r="FA19" i="2" s="1"/>
  <c r="EZ16" i="2"/>
  <c r="FA16" i="2" s="1"/>
  <c r="EZ13" i="2"/>
  <c r="FA13" i="2" s="1"/>
  <c r="EZ10" i="2"/>
  <c r="FA10" i="2" s="1"/>
  <c r="EZ7" i="2"/>
  <c r="FA7" i="2" s="1"/>
  <c r="EZ275" i="2"/>
  <c r="FA275" i="2" s="1"/>
  <c r="EZ271" i="2"/>
  <c r="FA271" i="2" s="1"/>
  <c r="EZ265" i="2"/>
  <c r="FA265" i="2" s="1"/>
  <c r="EZ262" i="2"/>
  <c r="FA262" i="2" s="1"/>
  <c r="EZ259" i="2"/>
  <c r="FA259" i="2" s="1"/>
  <c r="EZ256" i="2"/>
  <c r="FA256" i="2" s="1"/>
  <c r="EZ251" i="2"/>
  <c r="FA251" i="2" s="1"/>
  <c r="EZ247" i="2"/>
  <c r="FA247" i="2" s="1"/>
  <c r="EZ243" i="2"/>
  <c r="FA243" i="2" s="1"/>
  <c r="EZ240" i="2"/>
  <c r="FA240" i="2" s="1"/>
  <c r="EZ233" i="2"/>
  <c r="FA233" i="2" s="1"/>
  <c r="EZ230" i="2"/>
  <c r="FA230" i="2" s="1"/>
  <c r="EZ227" i="2"/>
  <c r="FA227" i="2" s="1"/>
  <c r="EZ224" i="2"/>
  <c r="FA224" i="2" s="1"/>
  <c r="EZ220" i="2"/>
  <c r="FA220" i="2" s="1"/>
  <c r="EZ216" i="2"/>
  <c r="FA216" i="2" s="1"/>
  <c r="EZ213" i="2"/>
  <c r="FA213" i="2" s="1"/>
  <c r="EZ209" i="2"/>
  <c r="FA209" i="2" s="1"/>
  <c r="EZ203" i="2"/>
  <c r="FA203" i="2" s="1"/>
  <c r="EZ199" i="2"/>
  <c r="FA199" i="2" s="1"/>
  <c r="EZ196" i="2"/>
  <c r="FA196" i="2" s="1"/>
  <c r="EZ190" i="2"/>
  <c r="FA190" i="2" s="1"/>
  <c r="EZ186" i="2"/>
  <c r="FA186" i="2" s="1"/>
  <c r="EZ183" i="2"/>
  <c r="FA183" i="2" s="1"/>
  <c r="EZ175" i="2"/>
  <c r="FA175" i="2" s="1"/>
  <c r="EZ169" i="2"/>
  <c r="FA169" i="2" s="1"/>
  <c r="EZ166" i="2"/>
  <c r="FA166" i="2" s="1"/>
  <c r="EZ163" i="2"/>
  <c r="FA163" i="2" s="1"/>
  <c r="EZ159" i="2"/>
  <c r="FA159" i="2" s="1"/>
  <c r="EZ156" i="2"/>
  <c r="FA156" i="2" s="1"/>
  <c r="EZ153" i="2"/>
  <c r="FA153" i="2" s="1"/>
  <c r="EZ150" i="2"/>
  <c r="FA150" i="2" s="1"/>
  <c r="EZ144" i="2"/>
  <c r="FA144" i="2" s="1"/>
  <c r="EZ140" i="2"/>
  <c r="FA140" i="2" s="1"/>
  <c r="EZ137" i="2"/>
  <c r="FA137" i="2" s="1"/>
  <c r="EZ131" i="2"/>
  <c r="FA131" i="2" s="1"/>
  <c r="EZ127" i="2"/>
  <c r="FA127" i="2" s="1"/>
  <c r="EZ124" i="2"/>
  <c r="FA124" i="2" s="1"/>
  <c r="EZ121" i="2"/>
  <c r="FA121" i="2" s="1"/>
  <c r="EZ119" i="2"/>
  <c r="FA119" i="2" s="1"/>
  <c r="EZ115" i="2"/>
  <c r="FA115" i="2" s="1"/>
  <c r="EZ108" i="2"/>
  <c r="FA108" i="2" s="1"/>
  <c r="EZ105" i="2"/>
  <c r="FA105" i="2" s="1"/>
  <c r="EZ101" i="2"/>
  <c r="FA101" i="2" s="1"/>
  <c r="EZ96" i="2"/>
  <c r="FA96" i="2" s="1"/>
  <c r="EZ93" i="2"/>
  <c r="FA93" i="2" s="1"/>
  <c r="EZ90" i="2"/>
  <c r="FA90" i="2" s="1"/>
  <c r="EZ85" i="2"/>
  <c r="FA85" i="2" s="1"/>
  <c r="EZ82" i="2"/>
  <c r="FA82" i="2" s="1"/>
  <c r="EZ79" i="2"/>
  <c r="FA79" i="2" s="1"/>
  <c r="EZ75" i="2"/>
  <c r="FA75" i="2" s="1"/>
  <c r="EZ72" i="2"/>
  <c r="FA72" i="2" s="1"/>
  <c r="EZ69" i="2"/>
  <c r="FA69" i="2" s="1"/>
  <c r="EZ66" i="2"/>
  <c r="FA66" i="2" s="1"/>
  <c r="EZ63" i="2"/>
  <c r="FA63" i="2" s="1"/>
  <c r="EZ61" i="2"/>
  <c r="FA61" i="2" s="1"/>
  <c r="EZ57" i="2"/>
  <c r="FA57" i="2" s="1"/>
  <c r="EZ54" i="2"/>
  <c r="FA54" i="2" s="1"/>
  <c r="EZ51" i="2"/>
  <c r="FA51" i="2" s="1"/>
  <c r="EZ48" i="2"/>
  <c r="FA48" i="2" s="1"/>
  <c r="EZ44" i="2"/>
  <c r="FA44" i="2" s="1"/>
  <c r="EZ41" i="2"/>
  <c r="FA41" i="2" s="1"/>
  <c r="EZ38" i="2"/>
  <c r="FA38" i="2" s="1"/>
  <c r="EZ36" i="2"/>
  <c r="FA36" i="2" s="1"/>
  <c r="EZ33" i="2"/>
  <c r="FA33" i="2" s="1"/>
  <c r="EZ25" i="2"/>
  <c r="FA25" i="2" s="1"/>
  <c r="EZ22" i="2"/>
  <c r="FA22" i="2" s="1"/>
  <c r="EZ18" i="2"/>
  <c r="FA18" i="2" s="1"/>
  <c r="EZ15" i="2"/>
  <c r="FA15" i="2" s="1"/>
  <c r="EZ12" i="2"/>
  <c r="FA12" i="2" s="1"/>
  <c r="EZ9" i="2"/>
  <c r="FA9" i="2" s="1"/>
  <c r="EZ27" i="2"/>
  <c r="FA27" i="2" s="1"/>
  <c r="EZ273" i="2"/>
  <c r="FA273" i="2" s="1"/>
  <c r="EZ267" i="2"/>
  <c r="FA267" i="2" s="1"/>
  <c r="EZ264" i="2"/>
  <c r="FA264" i="2" s="1"/>
  <c r="EZ261" i="2"/>
  <c r="FA261" i="2" s="1"/>
  <c r="EZ258" i="2"/>
  <c r="FA258" i="2" s="1"/>
  <c r="EZ254" i="2"/>
  <c r="FA254" i="2" s="1"/>
  <c r="EZ250" i="2"/>
  <c r="FA250" i="2" s="1"/>
  <c r="EZ246" i="2"/>
  <c r="FA246" i="2" s="1"/>
  <c r="EZ242" i="2"/>
  <c r="FA242" i="2" s="1"/>
  <c r="EZ232" i="2"/>
  <c r="FA232" i="2" s="1"/>
  <c r="EZ229" i="2"/>
  <c r="FA229" i="2" s="1"/>
  <c r="EZ226" i="2"/>
  <c r="FA226" i="2" s="1"/>
  <c r="EZ219" i="2"/>
  <c r="FA219" i="2" s="1"/>
  <c r="EZ215" i="2"/>
  <c r="FA215" i="2" s="1"/>
  <c r="EZ212" i="2"/>
  <c r="FA212" i="2" s="1"/>
  <c r="EZ202" i="2"/>
  <c r="FA202" i="2" s="1"/>
  <c r="EZ198" i="2"/>
  <c r="FA198" i="2" s="1"/>
  <c r="EZ194" i="2"/>
  <c r="FA194" i="2" s="1"/>
  <c r="EZ189" i="2"/>
  <c r="FA189" i="2" s="1"/>
  <c r="EZ185" i="2"/>
  <c r="FA185" i="2" s="1"/>
  <c r="EZ122" i="2"/>
  <c r="FA122" i="2" s="1"/>
  <c r="EZ113" i="2"/>
  <c r="FA113" i="2" s="1"/>
  <c r="EZ102" i="2"/>
  <c r="FA102" i="2" s="1"/>
  <c r="EZ94" i="2"/>
  <c r="FA94" i="2" s="1"/>
  <c r="EZ182" i="2"/>
  <c r="FA182" i="2" s="1"/>
  <c r="EZ174" i="2"/>
  <c r="FA174" i="2" s="1"/>
  <c r="EZ168" i="2"/>
  <c r="FA168" i="2" s="1"/>
  <c r="EZ165" i="2"/>
  <c r="FA165" i="2" s="1"/>
  <c r="EZ162" i="2"/>
  <c r="FA162" i="2" s="1"/>
  <c r="EZ158" i="2"/>
  <c r="FA158" i="2" s="1"/>
  <c r="EZ155" i="2"/>
  <c r="FA155" i="2" s="1"/>
  <c r="EZ152" i="2"/>
  <c r="FA152" i="2" s="1"/>
  <c r="EZ146" i="2"/>
  <c r="FA146" i="2" s="1"/>
  <c r="EZ143" i="2"/>
  <c r="FA143" i="2" s="1"/>
  <c r="EZ139" i="2"/>
  <c r="FA139" i="2" s="1"/>
  <c r="EZ136" i="2"/>
  <c r="FA136" i="2" s="1"/>
  <c r="EZ130" i="2"/>
  <c r="FA130" i="2" s="1"/>
  <c r="EZ126" i="2"/>
  <c r="FA126" i="2" s="1"/>
  <c r="EZ123" i="2"/>
  <c r="FA123" i="2" s="1"/>
  <c r="EZ117" i="2"/>
  <c r="FA117" i="2" s="1"/>
  <c r="EZ114" i="2"/>
  <c r="FA114" i="2" s="1"/>
  <c r="FA110" i="2"/>
  <c r="EZ107" i="2"/>
  <c r="FA107" i="2" s="1"/>
  <c r="EZ104" i="2"/>
  <c r="FA104" i="2" s="1"/>
  <c r="EZ100" i="2"/>
  <c r="FA100" i="2" s="1"/>
  <c r="EZ98" i="2"/>
  <c r="FA98" i="2" s="1"/>
  <c r="EZ95" i="2"/>
  <c r="FA95" i="2" s="1"/>
  <c r="EZ92" i="2"/>
  <c r="FA92" i="2" s="1"/>
  <c r="EZ89" i="2"/>
  <c r="FA89" i="2" s="1"/>
  <c r="EZ87" i="2"/>
  <c r="FA87" i="2" s="1"/>
  <c r="EZ84" i="2"/>
  <c r="FA84" i="2" s="1"/>
  <c r="EZ81" i="2"/>
  <c r="FA81" i="2" s="1"/>
  <c r="EZ78" i="2"/>
  <c r="FA78" i="2" s="1"/>
  <c r="EZ74" i="2"/>
  <c r="FA74" i="2" s="1"/>
  <c r="EZ71" i="2"/>
  <c r="FA71" i="2" s="1"/>
  <c r="EZ68" i="2"/>
  <c r="FA68" i="2" s="1"/>
  <c r="EZ65" i="2"/>
  <c r="FA65" i="2" s="1"/>
  <c r="EZ62" i="2"/>
  <c r="FA62" i="2" s="1"/>
  <c r="EZ59" i="2"/>
  <c r="FA59" i="2" s="1"/>
  <c r="EZ56" i="2"/>
  <c r="FA56" i="2" s="1"/>
  <c r="EZ53" i="2"/>
  <c r="FA53" i="2" s="1"/>
  <c r="EZ50" i="2"/>
  <c r="FA50" i="2" s="1"/>
  <c r="EZ46" i="2"/>
  <c r="FA46" i="2" s="1"/>
  <c r="EZ43" i="2"/>
  <c r="FA43" i="2" s="1"/>
  <c r="EZ40" i="2"/>
  <c r="FA40" i="2" s="1"/>
  <c r="EZ37" i="2"/>
  <c r="FA37" i="2" s="1"/>
  <c r="EZ32" i="2"/>
  <c r="FA32" i="2" s="1"/>
  <c r="EZ26" i="2"/>
  <c r="FA26" i="2" s="1"/>
  <c r="EZ257" i="2"/>
  <c r="FA257" i="2" s="1"/>
  <c r="EZ252" i="2"/>
  <c r="FA252" i="2" s="1"/>
  <c r="EZ244" i="2"/>
  <c r="FA244" i="2" s="1"/>
  <c r="EZ241" i="2"/>
  <c r="FA241" i="2" s="1"/>
  <c r="EZ231" i="2"/>
  <c r="FA231" i="2" s="1"/>
  <c r="EZ228" i="2"/>
  <c r="FA228" i="2" s="1"/>
  <c r="EZ221" i="2"/>
  <c r="FA221" i="2" s="1"/>
  <c r="EZ218" i="2"/>
  <c r="FA218" i="2" s="1"/>
  <c r="EZ210" i="2"/>
  <c r="FA210" i="2" s="1"/>
  <c r="EZ204" i="2"/>
  <c r="FA204" i="2" s="1"/>
  <c r="EZ197" i="2"/>
  <c r="FA197" i="2" s="1"/>
  <c r="EZ192" i="2"/>
  <c r="FA192" i="2" s="1"/>
  <c r="EZ184" i="2"/>
  <c r="FA184" i="2" s="1"/>
  <c r="EZ180" i="2"/>
  <c r="FA180" i="2" s="1"/>
  <c r="EZ167" i="2"/>
  <c r="FA167" i="2" s="1"/>
  <c r="EZ161" i="2"/>
  <c r="FA161" i="2" s="1"/>
  <c r="EZ151" i="2"/>
  <c r="FA151" i="2" s="1"/>
  <c r="EZ142" i="2"/>
  <c r="FA142" i="2" s="1"/>
  <c r="EZ128" i="2"/>
  <c r="FA128" i="2" s="1"/>
  <c r="EZ109" i="2"/>
  <c r="FA109" i="2" s="1"/>
  <c r="EZ99" i="2"/>
  <c r="FA99" i="2" s="1"/>
  <c r="EZ91" i="2"/>
  <c r="FA91" i="2" s="1"/>
  <c r="EZ260" i="2"/>
  <c r="FA260" i="2" s="1"/>
  <c r="EZ225" i="2"/>
  <c r="FA225" i="2" s="1"/>
  <c r="EZ188" i="2"/>
  <c r="FA188" i="2" s="1"/>
  <c r="EZ234" i="2"/>
  <c r="FA234" i="2" s="1"/>
  <c r="EZ200" i="2"/>
  <c r="FA200" i="2" s="1"/>
  <c r="EZ266" i="2"/>
  <c r="FA266" i="2" s="1"/>
  <c r="EZ272" i="2"/>
  <c r="FA272" i="2" s="1"/>
  <c r="EZ249" i="2"/>
  <c r="FA249" i="2" s="1"/>
  <c r="EZ172" i="2"/>
  <c r="FA172" i="2" s="1"/>
  <c r="EZ164" i="2"/>
  <c r="FA164" i="2" s="1"/>
  <c r="EZ157" i="2"/>
  <c r="FA157" i="2" s="1"/>
  <c r="EZ154" i="2"/>
  <c r="FA154" i="2" s="1"/>
  <c r="EZ147" i="2"/>
  <c r="FA147" i="2" s="1"/>
  <c r="EZ145" i="2"/>
  <c r="FA145" i="2" s="1"/>
  <c r="EZ138" i="2"/>
  <c r="FA138" i="2" s="1"/>
  <c r="EZ135" i="2"/>
  <c r="FA135" i="2" s="1"/>
  <c r="EZ125" i="2"/>
  <c r="FA125" i="2" s="1"/>
  <c r="EZ116" i="2"/>
  <c r="FA116" i="2" s="1"/>
  <c r="EZ106" i="2"/>
  <c r="FA106" i="2" s="1"/>
  <c r="EZ97" i="2"/>
  <c r="FA97" i="2" s="1"/>
  <c r="EZ88" i="2"/>
  <c r="FA88" i="2" s="1"/>
  <c r="EZ86" i="2"/>
  <c r="FA86" i="2" s="1"/>
  <c r="EZ83" i="2"/>
  <c r="FA83" i="2" s="1"/>
  <c r="EZ80" i="2"/>
  <c r="FA80" i="2" s="1"/>
  <c r="EZ77" i="2"/>
  <c r="FA77" i="2" s="1"/>
  <c r="EZ73" i="2"/>
  <c r="FA73" i="2" s="1"/>
  <c r="EZ70" i="2"/>
  <c r="FA70" i="2" s="1"/>
  <c r="EZ67" i="2"/>
  <c r="FA67" i="2" s="1"/>
  <c r="EZ64" i="2"/>
  <c r="FA64" i="2" s="1"/>
  <c r="EZ60" i="2"/>
  <c r="FA60" i="2" s="1"/>
  <c r="EZ58" i="2"/>
  <c r="FA58" i="2" s="1"/>
  <c r="EZ55" i="2"/>
  <c r="FA55" i="2" s="1"/>
  <c r="EZ52" i="2"/>
  <c r="FA52" i="2" s="1"/>
  <c r="EZ49" i="2"/>
  <c r="FA49" i="2" s="1"/>
  <c r="EZ45" i="2"/>
  <c r="FA45" i="2" s="1"/>
  <c r="EZ42" i="2"/>
  <c r="FA42" i="2" s="1"/>
  <c r="EZ39" i="2"/>
  <c r="FA39" i="2" s="1"/>
  <c r="EZ34" i="2"/>
  <c r="FA34" i="2" s="1"/>
  <c r="EZ28" i="2"/>
  <c r="FA28" i="2" s="1"/>
  <c r="EZ24" i="2"/>
  <c r="FA24" i="2" s="1"/>
  <c r="EZ20" i="2"/>
  <c r="FA20" i="2" s="1"/>
  <c r="EZ17" i="2"/>
  <c r="FA17" i="2" s="1"/>
  <c r="EZ14" i="2"/>
  <c r="FA14" i="2" s="1"/>
  <c r="EZ11" i="2"/>
  <c r="FA11" i="2" s="1"/>
  <c r="EZ8" i="2"/>
  <c r="FA8" i="2" s="1"/>
  <c r="J65" i="10"/>
  <c r="I65" i="10"/>
  <c r="J57" i="10"/>
  <c r="I57" i="10"/>
  <c r="J48" i="10"/>
  <c r="J28" i="10"/>
  <c r="I28" i="10"/>
  <c r="J25" i="10"/>
  <c r="I25" i="10"/>
  <c r="J20" i="10"/>
  <c r="I20" i="10"/>
  <c r="J11" i="10"/>
  <c r="I11" i="10"/>
  <c r="FG263" i="2"/>
  <c r="H125" i="11"/>
  <c r="H117" i="11"/>
  <c r="I75" i="11"/>
  <c r="D72" i="11"/>
  <c r="D71" i="11"/>
  <c r="I69" i="11"/>
  <c r="C69" i="11"/>
  <c r="D68" i="11"/>
  <c r="D66" i="11"/>
  <c r="I56" i="11"/>
  <c r="C56" i="11"/>
  <c r="I31" i="11"/>
  <c r="I32" i="11" s="1"/>
  <c r="H31" i="11"/>
  <c r="H32" i="11" s="1"/>
  <c r="C31" i="11"/>
  <c r="C32" i="11" s="1"/>
  <c r="B31" i="11"/>
  <c r="B32" i="11" s="1"/>
  <c r="D30" i="11"/>
  <c r="D29" i="11"/>
  <c r="D28" i="11"/>
  <c r="I26" i="11"/>
  <c r="H26" i="11"/>
  <c r="G26" i="11"/>
  <c r="F26" i="11"/>
  <c r="C26" i="11"/>
  <c r="B26" i="11"/>
  <c r="D25" i="11"/>
  <c r="D24" i="11"/>
  <c r="D23" i="11"/>
  <c r="D14" i="11"/>
  <c r="G7" i="11"/>
  <c r="G6" i="11" s="1"/>
  <c r="K65" i="10"/>
  <c r="H65" i="10"/>
  <c r="G65" i="10"/>
  <c r="F65" i="10"/>
  <c r="E65" i="10"/>
  <c r="D65" i="10"/>
  <c r="M65" i="10" s="1"/>
  <c r="M63" i="10"/>
  <c r="H62" i="10"/>
  <c r="G62" i="10"/>
  <c r="E62" i="10"/>
  <c r="K62" i="10"/>
  <c r="K57" i="10"/>
  <c r="H57" i="10"/>
  <c r="G57" i="10"/>
  <c r="F57" i="10"/>
  <c r="E57" i="10"/>
  <c r="K48" i="10"/>
  <c r="K28" i="10"/>
  <c r="H28" i="10"/>
  <c r="G28" i="10"/>
  <c r="F28" i="10"/>
  <c r="E28" i="10"/>
  <c r="D28" i="10"/>
  <c r="M26" i="10"/>
  <c r="H25" i="10"/>
  <c r="G25" i="10"/>
  <c r="F25" i="10"/>
  <c r="E25" i="10"/>
  <c r="D25" i="10"/>
  <c r="K25" i="10"/>
  <c r="M23" i="10"/>
  <c r="M22" i="10"/>
  <c r="K20" i="10"/>
  <c r="H20" i="10"/>
  <c r="G20" i="10"/>
  <c r="F20" i="10"/>
  <c r="E20" i="10"/>
  <c r="D20" i="10"/>
  <c r="D11" i="10"/>
  <c r="G11" i="10"/>
  <c r="F11" i="10"/>
  <c r="K11" i="10"/>
  <c r="H11" i="10"/>
  <c r="H16" i="10" s="1"/>
  <c r="E11" i="10"/>
  <c r="H67" i="9"/>
  <c r="J71" i="9"/>
  <c r="J72" i="9" s="1"/>
  <c r="G71" i="9"/>
  <c r="G72" i="9" s="1"/>
  <c r="C71" i="9"/>
  <c r="C72" i="9" s="1"/>
  <c r="K69" i="9"/>
  <c r="H69" i="9"/>
  <c r="D69" i="9"/>
  <c r="L68" i="9"/>
  <c r="J68" i="9"/>
  <c r="I68" i="9"/>
  <c r="G68" i="9"/>
  <c r="F68" i="9"/>
  <c r="E68" i="9"/>
  <c r="C68" i="9"/>
  <c r="B68" i="9"/>
  <c r="K67" i="9"/>
  <c r="D67" i="9"/>
  <c r="K66" i="9"/>
  <c r="H66" i="9"/>
  <c r="D66" i="9"/>
  <c r="K65" i="9"/>
  <c r="H65" i="9"/>
  <c r="D65" i="9"/>
  <c r="J63" i="9"/>
  <c r="G63" i="9"/>
  <c r="E63" i="9"/>
  <c r="C63" i="9"/>
  <c r="K62" i="9"/>
  <c r="H62" i="9"/>
  <c r="D62" i="9"/>
  <c r="K60" i="9"/>
  <c r="H60" i="9"/>
  <c r="D60" i="9"/>
  <c r="J54" i="9"/>
  <c r="G54" i="9"/>
  <c r="C54" i="9"/>
  <c r="M49" i="9"/>
  <c r="K49" i="9"/>
  <c r="H49" i="9"/>
  <c r="D49" i="9"/>
  <c r="K9" i="9"/>
  <c r="D5" i="9"/>
  <c r="H5" i="9"/>
  <c r="K5" i="9"/>
  <c r="M5" i="9"/>
  <c r="B6" i="9"/>
  <c r="C6" i="9"/>
  <c r="F6" i="9"/>
  <c r="G6" i="9"/>
  <c r="J6" i="9"/>
  <c r="D8" i="9"/>
  <c r="E6" i="9"/>
  <c r="H8" i="9"/>
  <c r="K8" i="9"/>
  <c r="D9" i="9"/>
  <c r="H9" i="9"/>
  <c r="C10" i="9"/>
  <c r="G10" i="9"/>
  <c r="I10" i="9"/>
  <c r="D14" i="9"/>
  <c r="H14" i="9"/>
  <c r="K14" i="9"/>
  <c r="B10" i="9"/>
  <c r="E10" i="9"/>
  <c r="H12" i="9"/>
  <c r="K12" i="9"/>
  <c r="D13" i="9"/>
  <c r="H13" i="9"/>
  <c r="K13" i="9"/>
  <c r="D11" i="9"/>
  <c r="H11" i="9"/>
  <c r="K11" i="9"/>
  <c r="D16" i="9"/>
  <c r="H16" i="9"/>
  <c r="K16" i="9"/>
  <c r="D17" i="9"/>
  <c r="H17" i="9"/>
  <c r="K17" i="9"/>
  <c r="D18" i="9"/>
  <c r="H18" i="9"/>
  <c r="K18" i="9"/>
  <c r="B19" i="9"/>
  <c r="C19" i="9"/>
  <c r="E19" i="9"/>
  <c r="F19" i="9"/>
  <c r="G19" i="9"/>
  <c r="I19" i="9"/>
  <c r="J19" i="9"/>
  <c r="L19" i="9"/>
  <c r="D21" i="9"/>
  <c r="H21" i="9"/>
  <c r="K21" i="9"/>
  <c r="D22" i="9"/>
  <c r="H22" i="9"/>
  <c r="K22" i="9"/>
  <c r="D23" i="9"/>
  <c r="H23" i="9"/>
  <c r="K23" i="9"/>
  <c r="B24" i="9"/>
  <c r="C24" i="9"/>
  <c r="E24" i="9"/>
  <c r="F24" i="9"/>
  <c r="G24" i="9"/>
  <c r="I24" i="9"/>
  <c r="J24" i="9"/>
  <c r="L24" i="9"/>
  <c r="D25" i="9"/>
  <c r="H25" i="9"/>
  <c r="K25" i="9"/>
  <c r="D26" i="9"/>
  <c r="H26" i="9"/>
  <c r="K26" i="9"/>
  <c r="M27" i="9"/>
  <c r="B27" i="9"/>
  <c r="C27" i="9"/>
  <c r="E27" i="9"/>
  <c r="F27" i="9"/>
  <c r="G27" i="9"/>
  <c r="I27" i="9"/>
  <c r="J27" i="9"/>
  <c r="L27" i="9"/>
  <c r="I19" i="8"/>
  <c r="F24" i="8"/>
  <c r="G22" i="8"/>
  <c r="G21" i="8"/>
  <c r="F19" i="8"/>
  <c r="G18" i="8"/>
  <c r="G16" i="8"/>
  <c r="C24" i="8"/>
  <c r="B24" i="8"/>
  <c r="D23" i="8"/>
  <c r="D22" i="8"/>
  <c r="D21" i="8"/>
  <c r="C19" i="8"/>
  <c r="B19" i="8"/>
  <c r="D18" i="8"/>
  <c r="D17" i="8"/>
  <c r="D16" i="8"/>
  <c r="D11" i="8"/>
  <c r="D13" i="8"/>
  <c r="D14" i="8"/>
  <c r="D9" i="8"/>
  <c r="D8" i="8"/>
  <c r="D7" i="8"/>
  <c r="C6" i="8"/>
  <c r="Q68" i="7"/>
  <c r="Q67" i="7"/>
  <c r="Q64" i="7"/>
  <c r="Q62" i="7"/>
  <c r="K68" i="7"/>
  <c r="K67" i="7"/>
  <c r="K64" i="7"/>
  <c r="K62" i="7"/>
  <c r="G68" i="7"/>
  <c r="G67" i="7"/>
  <c r="G64" i="7"/>
  <c r="G62" i="7"/>
  <c r="K44" i="10"/>
  <c r="CB338" i="2"/>
  <c r="N68" i="7"/>
  <c r="N67" i="7"/>
  <c r="N64" i="7"/>
  <c r="N62" i="7"/>
  <c r="P70" i="7"/>
  <c r="P109" i="7" s="1"/>
  <c r="J70" i="7"/>
  <c r="J109" i="7" s="1"/>
  <c r="F70" i="7"/>
  <c r="F109" i="7" s="1"/>
  <c r="M70" i="7"/>
  <c r="P65" i="7"/>
  <c r="J65" i="7"/>
  <c r="F65" i="7"/>
  <c r="M65" i="7"/>
  <c r="L10" i="9"/>
  <c r="L6" i="9"/>
  <c r="I6" i="9"/>
  <c r="D12" i="9"/>
  <c r="O14" i="9"/>
  <c r="J10" i="9"/>
  <c r="F10" i="9"/>
  <c r="H7" i="9"/>
  <c r="D7" i="9"/>
  <c r="K7" i="9"/>
  <c r="B6" i="8"/>
  <c r="D12" i="8"/>
  <c r="HD309" i="2"/>
  <c r="GY311" i="2"/>
  <c r="GD311" i="2"/>
  <c r="FP311" i="2"/>
  <c r="FL311" i="2"/>
  <c r="CM311" i="2"/>
  <c r="AR311" i="2"/>
  <c r="AJ311" i="2"/>
  <c r="F315" i="2"/>
  <c r="G315" i="2"/>
  <c r="H315" i="2"/>
  <c r="I315" i="2"/>
  <c r="L315" i="2"/>
  <c r="M315" i="2"/>
  <c r="P315" i="2"/>
  <c r="Q315" i="2"/>
  <c r="R315" i="2"/>
  <c r="S315" i="2"/>
  <c r="T315" i="2"/>
  <c r="U315" i="2"/>
  <c r="V315" i="2"/>
  <c r="E315" i="2"/>
  <c r="AE234" i="2"/>
  <c r="AD233" i="2"/>
  <c r="CS283" i="2"/>
  <c r="W159" i="2"/>
  <c r="X159" i="2" s="1"/>
  <c r="W254" i="2"/>
  <c r="X254" i="2" s="1"/>
  <c r="DN283" i="2"/>
  <c r="AV283" i="2"/>
  <c r="AW283" i="2"/>
  <c r="AX283" i="2"/>
  <c r="AY283" i="2"/>
  <c r="AZ283" i="2"/>
  <c r="BA283" i="2"/>
  <c r="D42" i="5"/>
  <c r="D40" i="5"/>
  <c r="E39" i="5"/>
  <c r="E37" i="5"/>
  <c r="D28" i="5"/>
  <c r="D22" i="5"/>
  <c r="D20" i="5"/>
  <c r="E12" i="5"/>
  <c r="S283" i="2"/>
  <c r="T283" i="2"/>
  <c r="EX6" i="2"/>
  <c r="EW6" i="2"/>
  <c r="AO283" i="2"/>
  <c r="H92" i="11"/>
  <c r="I91" i="11"/>
  <c r="I79" i="11"/>
  <c r="I93" i="11" s="1"/>
  <c r="GG290" i="2"/>
  <c r="GG292" i="2" s="1"/>
  <c r="HD284" i="2"/>
  <c r="FW283" i="2"/>
  <c r="B91" i="6"/>
  <c r="P90" i="6"/>
  <c r="B84" i="6"/>
  <c r="C84" i="6"/>
  <c r="C83" i="6"/>
  <c r="C82" i="6"/>
  <c r="C81" i="6"/>
  <c r="C80" i="6"/>
  <c r="E86" i="6"/>
  <c r="E92" i="6" s="1"/>
  <c r="E25" i="6" s="1"/>
  <c r="D86" i="6"/>
  <c r="D92" i="6" s="1"/>
  <c r="D26" i="6" s="1"/>
  <c r="C79" i="6"/>
  <c r="E70" i="6"/>
  <c r="E76" i="6" s="1"/>
  <c r="D70" i="6"/>
  <c r="D76" i="6" s="1"/>
  <c r="C70" i="6"/>
  <c r="C76" i="6" s="1"/>
  <c r="E60" i="6"/>
  <c r="C56" i="6"/>
  <c r="C60" i="6" s="1"/>
  <c r="D60" i="6"/>
  <c r="E47" i="6"/>
  <c r="C47" i="6"/>
  <c r="N33" i="6"/>
  <c r="X33" i="6" s="1"/>
  <c r="E29" i="6"/>
  <c r="C29" i="6"/>
  <c r="HB6" i="2"/>
  <c r="HB334" i="2" s="1"/>
  <c r="E11" i="8" s="1"/>
  <c r="GR6" i="2"/>
  <c r="GR334" i="2" s="1"/>
  <c r="FG6" i="2"/>
  <c r="EZ280" i="2"/>
  <c r="FA280" i="2" s="1"/>
  <c r="DH6" i="2"/>
  <c r="EY6" i="2" s="1"/>
  <c r="EY334" i="2" s="1"/>
  <c r="CX6" i="2"/>
  <c r="DA6" i="2" s="1"/>
  <c r="AE290" i="2"/>
  <c r="GW290" i="2"/>
  <c r="G35" i="8" s="1"/>
  <c r="J34" i="8" s="1"/>
  <c r="GC290" i="2"/>
  <c r="GC292" i="2" s="1"/>
  <c r="FU290" i="2"/>
  <c r="FU292" i="2" s="1"/>
  <c r="FO290" i="2"/>
  <c r="FO292" i="2" s="1"/>
  <c r="FE290" i="2"/>
  <c r="FD290" i="2"/>
  <c r="FJ290" i="2"/>
  <c r="FJ292" i="2" s="1"/>
  <c r="DJ290" i="2"/>
  <c r="DC290" i="2" s="1"/>
  <c r="CR290" i="2"/>
  <c r="D84" i="11" s="1"/>
  <c r="CK290" i="2"/>
  <c r="CD290" i="2"/>
  <c r="BG290" i="2"/>
  <c r="AU290" i="2"/>
  <c r="AM290" i="2"/>
  <c r="AG290" i="2"/>
  <c r="X6" i="2"/>
  <c r="HA283" i="2"/>
  <c r="GQ283" i="2"/>
  <c r="GN283" i="2"/>
  <c r="GM283" i="2"/>
  <c r="GL283" i="2"/>
  <c r="GJ283" i="2"/>
  <c r="GI283" i="2"/>
  <c r="GH283" i="2"/>
  <c r="GD283" i="2"/>
  <c r="FZ283" i="2"/>
  <c r="FY283" i="2"/>
  <c r="FX283" i="2"/>
  <c r="FP283" i="2"/>
  <c r="FL283" i="2"/>
  <c r="FE283" i="2"/>
  <c r="H88" i="6"/>
  <c r="FD283" i="2"/>
  <c r="EV283" i="2"/>
  <c r="EU283" i="2"/>
  <c r="ET283" i="2"/>
  <c r="ES283" i="2"/>
  <c r="ER283" i="2"/>
  <c r="EQ283" i="2"/>
  <c r="EP283" i="2"/>
  <c r="EO283" i="2"/>
  <c r="EN283" i="2"/>
  <c r="EM283" i="2"/>
  <c r="EL283" i="2"/>
  <c r="EK283" i="2"/>
  <c r="EJ283" i="2"/>
  <c r="EI283" i="2"/>
  <c r="EH283" i="2"/>
  <c r="EG283" i="2"/>
  <c r="EF283" i="2"/>
  <c r="EE283" i="2"/>
  <c r="DK283" i="2"/>
  <c r="DR283" i="2"/>
  <c r="DJ283" i="2"/>
  <c r="DE283" i="2"/>
  <c r="DD283" i="2"/>
  <c r="CW283" i="2"/>
  <c r="CV283" i="2"/>
  <c r="CU283" i="2"/>
  <c r="CT283" i="2"/>
  <c r="BK283" i="2"/>
  <c r="CH283" i="2"/>
  <c r="CG283" i="2"/>
  <c r="CM283" i="2"/>
  <c r="CA283" i="2"/>
  <c r="BW283" i="2"/>
  <c r="BV283" i="2"/>
  <c r="BU283" i="2"/>
  <c r="V283" i="2"/>
  <c r="BD283" i="2"/>
  <c r="BC283" i="2"/>
  <c r="BT283" i="2"/>
  <c r="AC283" i="2"/>
  <c r="BJ283" i="2"/>
  <c r="AR283" i="2"/>
  <c r="AJ283" i="2"/>
  <c r="AQ283" i="2"/>
  <c r="AP283" i="2"/>
  <c r="BS283" i="2"/>
  <c r="AB283" i="2"/>
  <c r="AA283" i="2"/>
  <c r="R283" i="2"/>
  <c r="Q283" i="2"/>
  <c r="P283" i="2"/>
  <c r="M283" i="2"/>
  <c r="L283" i="2"/>
  <c r="I283" i="2"/>
  <c r="H283" i="2"/>
  <c r="G283" i="2"/>
  <c r="F283" i="2"/>
  <c r="X290" i="2"/>
  <c r="D6" i="5"/>
  <c r="C44" i="5"/>
  <c r="C46" i="5" s="1"/>
  <c r="Z283" i="2"/>
  <c r="FC283" i="2"/>
  <c r="Y23" i="6"/>
  <c r="I49" i="11"/>
  <c r="C22" i="11"/>
  <c r="C27" i="11" s="1"/>
  <c r="I22" i="11"/>
  <c r="P22" i="8" l="1"/>
  <c r="E7" i="8"/>
  <c r="DA333" i="2"/>
  <c r="E9" i="8"/>
  <c r="P23" i="8"/>
  <c r="F28" i="9"/>
  <c r="B52" i="11"/>
  <c r="I19" i="15" s="1"/>
  <c r="J17" i="15"/>
  <c r="J25" i="15" s="1"/>
  <c r="J106" i="10"/>
  <c r="J107" i="10" s="1"/>
  <c r="J111" i="10" s="1"/>
  <c r="DA330" i="2"/>
  <c r="B64" i="11"/>
  <c r="CX344" i="2"/>
  <c r="DA344" i="2" s="1"/>
  <c r="CY364" i="2"/>
  <c r="X281" i="2"/>
  <c r="X283" i="2" s="1"/>
  <c r="W281" i="2"/>
  <c r="D49" i="10"/>
  <c r="B50" i="10"/>
  <c r="M50" i="10"/>
  <c r="M95" i="10" s="1"/>
  <c r="B55" i="10"/>
  <c r="B57" i="10" s="1"/>
  <c r="M55" i="10"/>
  <c r="M100" i="10" s="1"/>
  <c r="M102" i="10" s="1"/>
  <c r="CX334" i="2"/>
  <c r="DA334" i="2" s="1"/>
  <c r="DA332" i="2"/>
  <c r="B110" i="11"/>
  <c r="M104" i="7"/>
  <c r="M109" i="7"/>
  <c r="F104" i="7"/>
  <c r="J104" i="7"/>
  <c r="N106" i="7"/>
  <c r="G20" i="17"/>
  <c r="H20" i="17" s="1"/>
  <c r="N26" i="6"/>
  <c r="P104" i="7"/>
  <c r="N107" i="7"/>
  <c r="B59" i="11"/>
  <c r="C50" i="11"/>
  <c r="B67" i="11"/>
  <c r="B125" i="11" s="1"/>
  <c r="D51" i="10"/>
  <c r="M51" i="10" s="1"/>
  <c r="O24" i="8"/>
  <c r="O27" i="8"/>
  <c r="C45" i="10"/>
  <c r="C55" i="11"/>
  <c r="B62" i="11"/>
  <c r="D62" i="11" s="1"/>
  <c r="G62" i="11" s="1"/>
  <c r="D100" i="10"/>
  <c r="D102" i="10" s="1"/>
  <c r="B57" i="11"/>
  <c r="I51" i="10"/>
  <c r="B50" i="11"/>
  <c r="B55" i="11"/>
  <c r="F56" i="6"/>
  <c r="B11" i="16" s="1"/>
  <c r="J89" i="10"/>
  <c r="T18" i="15"/>
  <c r="T24" i="15" s="1"/>
  <c r="D95" i="10"/>
  <c r="O17" i="9"/>
  <c r="O21" i="9"/>
  <c r="N21" i="9" s="1"/>
  <c r="O22" i="9"/>
  <c r="N22" i="9" s="1"/>
  <c r="O16" i="9"/>
  <c r="N101" i="7"/>
  <c r="G107" i="7"/>
  <c r="K107" i="7"/>
  <c r="Q107" i="7"/>
  <c r="N103" i="7"/>
  <c r="G101" i="7"/>
  <c r="K101" i="7"/>
  <c r="Q101" i="7"/>
  <c r="G103" i="7"/>
  <c r="K103" i="7"/>
  <c r="Q103" i="7"/>
  <c r="G106" i="7"/>
  <c r="K106" i="7"/>
  <c r="Q106" i="7"/>
  <c r="C47" i="10"/>
  <c r="D47" i="10"/>
  <c r="M47" i="10" s="1"/>
  <c r="B45" i="10"/>
  <c r="B44" i="10" s="1"/>
  <c r="D45" i="10"/>
  <c r="D10" i="8"/>
  <c r="N14" i="8"/>
  <c r="J60" i="12"/>
  <c r="O65" i="9"/>
  <c r="O69" i="9"/>
  <c r="N69" i="9" s="1"/>
  <c r="O23" i="9"/>
  <c r="O18" i="9"/>
  <c r="O62" i="9"/>
  <c r="N62" i="9" s="1"/>
  <c r="O25" i="9"/>
  <c r="O26" i="9"/>
  <c r="N26" i="9" s="1"/>
  <c r="O67" i="9"/>
  <c r="O60" i="9"/>
  <c r="N60" i="9" s="1"/>
  <c r="O66" i="9"/>
  <c r="N66" i="9" s="1"/>
  <c r="M10" i="9"/>
  <c r="N6" i="9"/>
  <c r="M6" i="9"/>
  <c r="N10" i="9"/>
  <c r="D283" i="2"/>
  <c r="E15" i="9"/>
  <c r="E20" i="9" s="1"/>
  <c r="M16" i="8"/>
  <c r="P16" i="8"/>
  <c r="L10" i="8"/>
  <c r="O10" i="8"/>
  <c r="M18" i="8"/>
  <c r="P18" i="8"/>
  <c r="O19" i="8"/>
  <c r="M21" i="8"/>
  <c r="P21" i="8"/>
  <c r="M19" i="9"/>
  <c r="K8" i="8"/>
  <c r="N8" i="8"/>
  <c r="H110" i="11"/>
  <c r="J5" i="15" s="1"/>
  <c r="C140" i="11"/>
  <c r="C142" i="11" s="1"/>
  <c r="C143" i="11" s="1"/>
  <c r="C146" i="11" s="1"/>
  <c r="I27" i="11"/>
  <c r="DU283" i="2"/>
  <c r="J62" i="10"/>
  <c r="J66" i="10" s="1"/>
  <c r="M23" i="8"/>
  <c r="H68" i="6"/>
  <c r="M68" i="6" s="1"/>
  <c r="N68" i="6" s="1"/>
  <c r="DT283" i="2"/>
  <c r="H64" i="6"/>
  <c r="DO283" i="2"/>
  <c r="H67" i="6"/>
  <c r="M67" i="6" s="1"/>
  <c r="N67" i="6" s="1"/>
  <c r="DS283" i="2"/>
  <c r="I80" i="11"/>
  <c r="H74" i="6"/>
  <c r="M74" i="6" s="1"/>
  <c r="P74" i="6" s="1"/>
  <c r="P16" i="6" s="1"/>
  <c r="DM283" i="2"/>
  <c r="DP283" i="2"/>
  <c r="M88" i="6"/>
  <c r="FH283" i="2"/>
  <c r="CY283" i="2"/>
  <c r="H66" i="6"/>
  <c r="DQ283" i="2"/>
  <c r="H69" i="11"/>
  <c r="H127" i="11"/>
  <c r="M22" i="8"/>
  <c r="I28" i="9"/>
  <c r="L19" i="8"/>
  <c r="B25" i="8"/>
  <c r="L27" i="8"/>
  <c r="C25" i="8"/>
  <c r="L24" i="8"/>
  <c r="G14" i="8"/>
  <c r="K14" i="8"/>
  <c r="C135" i="11"/>
  <c r="E24" i="8"/>
  <c r="E25" i="8" s="1"/>
  <c r="J44" i="10"/>
  <c r="BJ311" i="2"/>
  <c r="CH311" i="2"/>
  <c r="BV311" i="2"/>
  <c r="AO311" i="2"/>
  <c r="D19" i="8"/>
  <c r="K27" i="9"/>
  <c r="D24" i="9"/>
  <c r="K68" i="9"/>
  <c r="HD315" i="2"/>
  <c r="DK311" i="2"/>
  <c r="B84" i="11"/>
  <c r="D139" i="11"/>
  <c r="J72" i="10"/>
  <c r="D52" i="11"/>
  <c r="G52" i="11" s="1"/>
  <c r="F52" i="11" s="1"/>
  <c r="D110" i="11"/>
  <c r="G110" i="11" s="1"/>
  <c r="G48" i="10"/>
  <c r="G53" i="10" s="1"/>
  <c r="G58" i="10" s="1"/>
  <c r="F62" i="10"/>
  <c r="F66" i="10" s="1"/>
  <c r="I65" i="11"/>
  <c r="I70" i="11" s="1"/>
  <c r="I76" i="11" s="1"/>
  <c r="G14" i="11"/>
  <c r="G13" i="11" s="1"/>
  <c r="D13" i="11"/>
  <c r="F7" i="11"/>
  <c r="F6" i="11" s="1"/>
  <c r="F71" i="7"/>
  <c r="J71" i="7"/>
  <c r="P71" i="7"/>
  <c r="G28" i="9"/>
  <c r="G66" i="10"/>
  <c r="C28" i="9"/>
  <c r="B28" i="9"/>
  <c r="M68" i="9"/>
  <c r="E28" i="9"/>
  <c r="D27" i="9"/>
  <c r="J28" i="9"/>
  <c r="K6" i="9"/>
  <c r="E53" i="9"/>
  <c r="D20" i="15" s="1"/>
  <c r="FH362" i="2"/>
  <c r="K24" i="9"/>
  <c r="E23" i="6"/>
  <c r="E34" i="6" s="1"/>
  <c r="C23" i="6"/>
  <c r="D23" i="6"/>
  <c r="D24" i="8"/>
  <c r="HD290" i="2"/>
  <c r="C15" i="8"/>
  <c r="C15" i="9"/>
  <c r="Y34" i="6"/>
  <c r="D19" i="9"/>
  <c r="E51" i="9"/>
  <c r="F20" i="5"/>
  <c r="G15" i="9"/>
  <c r="C86" i="6"/>
  <c r="C92" i="6" s="1"/>
  <c r="C25" i="6" s="1"/>
  <c r="J15" i="9"/>
  <c r="H68" i="9"/>
  <c r="F25" i="8"/>
  <c r="K10" i="9"/>
  <c r="O8" i="9"/>
  <c r="B22" i="11"/>
  <c r="B27" i="11" s="1"/>
  <c r="B33" i="11" s="1"/>
  <c r="B15" i="8"/>
  <c r="O9" i="9"/>
  <c r="D6" i="9"/>
  <c r="E53" i="6"/>
  <c r="M20" i="10"/>
  <c r="K66" i="10"/>
  <c r="H27" i="9"/>
  <c r="L28" i="9"/>
  <c r="M24" i="9"/>
  <c r="M28" i="9" s="1"/>
  <c r="D53" i="6"/>
  <c r="H10" i="9"/>
  <c r="H66" i="10"/>
  <c r="C53" i="6"/>
  <c r="I33" i="11"/>
  <c r="H22" i="11"/>
  <c r="H27" i="11" s="1"/>
  <c r="H33" i="11" s="1"/>
  <c r="D31" i="11"/>
  <c r="D32" i="11" s="1"/>
  <c r="G30" i="11"/>
  <c r="L15" i="9"/>
  <c r="O13" i="9"/>
  <c r="I15" i="9"/>
  <c r="D10" i="9"/>
  <c r="B15" i="9"/>
  <c r="O12" i="9"/>
  <c r="O7" i="9"/>
  <c r="D16" i="10"/>
  <c r="D21" i="10" s="1"/>
  <c r="GR358" i="2"/>
  <c r="GR360" i="2" s="1"/>
  <c r="GR362" i="2" s="1"/>
  <c r="AE233" i="2"/>
  <c r="AE344" i="2" s="1"/>
  <c r="D6" i="8"/>
  <c r="H19" i="9"/>
  <c r="N65" i="9"/>
  <c r="E16" i="10"/>
  <c r="E21" i="10" s="1"/>
  <c r="F16" i="10"/>
  <c r="F21" i="10" s="1"/>
  <c r="G29" i="10"/>
  <c r="F15" i="9"/>
  <c r="D26" i="11"/>
  <c r="C33" i="11"/>
  <c r="D44" i="5"/>
  <c r="H6" i="9"/>
  <c r="K19" i="9"/>
  <c r="G16" i="10"/>
  <c r="G21" i="10" s="1"/>
  <c r="E29" i="10"/>
  <c r="HB358" i="2"/>
  <c r="HB360" i="2" s="1"/>
  <c r="EZ263" i="2"/>
  <c r="FA263" i="2" s="1"/>
  <c r="M71" i="7"/>
  <c r="EZ6" i="2"/>
  <c r="FA6" i="2" s="1"/>
  <c r="FW311" i="2"/>
  <c r="E311" i="2"/>
  <c r="DE311" i="2"/>
  <c r="DM285" i="2"/>
  <c r="M58" i="6"/>
  <c r="CS311" i="2"/>
  <c r="HD310" i="2"/>
  <c r="O9" i="8"/>
  <c r="E283" i="2"/>
  <c r="AW311" i="2"/>
  <c r="H108" i="11"/>
  <c r="EW344" i="2"/>
  <c r="GH311" i="2"/>
  <c r="Z311" i="2"/>
  <c r="E70" i="9"/>
  <c r="C91" i="11"/>
  <c r="N17" i="8"/>
  <c r="H8" i="8"/>
  <c r="G8" i="8"/>
  <c r="O7" i="8"/>
  <c r="DL285" i="2"/>
  <c r="H73" i="6" s="1"/>
  <c r="E55" i="9"/>
  <c r="N11" i="8"/>
  <c r="G84" i="11"/>
  <c r="GR285" i="2"/>
  <c r="H80" i="6" s="1"/>
  <c r="HD292" i="2"/>
  <c r="N13" i="8"/>
  <c r="AN283" i="2"/>
  <c r="FG288" i="2"/>
  <c r="EY285" i="2"/>
  <c r="H63" i="6" s="1"/>
  <c r="HB285" i="2"/>
  <c r="H95" i="6" s="1"/>
  <c r="G27" i="8" s="1"/>
  <c r="HD291" i="2"/>
  <c r="FG293" i="2"/>
  <c r="D95" i="11"/>
  <c r="EX344" i="2"/>
  <c r="F48" i="10"/>
  <c r="F53" i="10" s="1"/>
  <c r="F58" i="10" s="1"/>
  <c r="H51" i="10"/>
  <c r="FD311" i="2"/>
  <c r="K53" i="10"/>
  <c r="K58" i="10" s="1"/>
  <c r="H24" i="9"/>
  <c r="D68" i="9"/>
  <c r="M28" i="10"/>
  <c r="E66" i="10"/>
  <c r="K16" i="10"/>
  <c r="K21" i="10" s="1"/>
  <c r="K29" i="10"/>
  <c r="H29" i="10"/>
  <c r="I16" i="10"/>
  <c r="I21" i="10" s="1"/>
  <c r="I29" i="10"/>
  <c r="J29" i="10"/>
  <c r="J16" i="10"/>
  <c r="J21" i="10" s="1"/>
  <c r="M11" i="10"/>
  <c r="D29" i="10"/>
  <c r="F29" i="10"/>
  <c r="H21" i="10"/>
  <c r="M25" i="10"/>
  <c r="CD214" i="2" l="1"/>
  <c r="CI214" i="2" s="1"/>
  <c r="BN214" i="2"/>
  <c r="CB214" i="2" s="1"/>
  <c r="CK214" i="2"/>
  <c r="CN214" i="2" s="1"/>
  <c r="BG214" i="2"/>
  <c r="BL214" i="2" s="1"/>
  <c r="AU214" i="2"/>
  <c r="BE214" i="2" s="1"/>
  <c r="AG214" i="2"/>
  <c r="AK214" i="2" s="1"/>
  <c r="AM214" i="2"/>
  <c r="AS214" i="2" s="1"/>
  <c r="FO214" i="2"/>
  <c r="FS214" i="2" s="1"/>
  <c r="FJ214" i="2"/>
  <c r="FM214" i="2" s="1"/>
  <c r="FU214" i="2"/>
  <c r="GA214" i="2" s="1"/>
  <c r="GC214" i="2"/>
  <c r="GF214" i="2" s="1"/>
  <c r="GG214" i="2"/>
  <c r="DC214" i="2"/>
  <c r="GW214" i="2"/>
  <c r="CR214" i="2"/>
  <c r="AU141" i="2"/>
  <c r="BE141" i="2" s="1"/>
  <c r="AG141" i="2"/>
  <c r="AK141" i="2" s="1"/>
  <c r="CK141" i="2"/>
  <c r="CN141" i="2" s="1"/>
  <c r="AM141" i="2"/>
  <c r="AS141" i="2" s="1"/>
  <c r="BN141" i="2"/>
  <c r="CB141" i="2" s="1"/>
  <c r="BG141" i="2"/>
  <c r="BL141" i="2" s="1"/>
  <c r="CD141" i="2"/>
  <c r="CI141" i="2" s="1"/>
  <c r="CR141" i="2"/>
  <c r="GW141" i="2"/>
  <c r="GG141" i="2"/>
  <c r="DC141" i="2"/>
  <c r="FO141" i="2"/>
  <c r="FS141" i="2" s="1"/>
  <c r="FJ141" i="2"/>
  <c r="FM141" i="2" s="1"/>
  <c r="FU141" i="2"/>
  <c r="GA141" i="2" s="1"/>
  <c r="GC141" i="2"/>
  <c r="GF141" i="2" s="1"/>
  <c r="B121" i="11"/>
  <c r="D121" i="11" s="1"/>
  <c r="G121" i="11" s="1"/>
  <c r="F121" i="11" s="1"/>
  <c r="D64" i="11"/>
  <c r="G64" i="11" s="1"/>
  <c r="F64" i="11" s="1"/>
  <c r="DC279" i="2"/>
  <c r="DC278" i="2"/>
  <c r="CR279" i="2"/>
  <c r="CR278" i="2"/>
  <c r="GG279" i="2"/>
  <c r="GW279" i="2"/>
  <c r="GG278" i="2"/>
  <c r="GW278" i="2"/>
  <c r="GW277" i="2"/>
  <c r="CR277" i="2"/>
  <c r="DC277" i="2"/>
  <c r="GG277" i="2"/>
  <c r="B49" i="10"/>
  <c r="M49" i="10"/>
  <c r="M94" i="10" s="1"/>
  <c r="C51" i="10"/>
  <c r="C48" i="10" s="1"/>
  <c r="DC253" i="2"/>
  <c r="GW253" i="2"/>
  <c r="CR253" i="2"/>
  <c r="GG253" i="2"/>
  <c r="GC253" i="2"/>
  <c r="GF253" i="2" s="1"/>
  <c r="FU253" i="2"/>
  <c r="GA253" i="2" s="1"/>
  <c r="FJ253" i="2"/>
  <c r="FM253" i="2" s="1"/>
  <c r="FO253" i="2"/>
  <c r="FS253" i="2" s="1"/>
  <c r="AM253" i="2"/>
  <c r="AS253" i="2" s="1"/>
  <c r="CK253" i="2"/>
  <c r="CN253" i="2" s="1"/>
  <c r="BG253" i="2"/>
  <c r="BL253" i="2" s="1"/>
  <c r="AU253" i="2"/>
  <c r="BE253" i="2" s="1"/>
  <c r="BN253" i="2"/>
  <c r="CB253" i="2" s="1"/>
  <c r="AG253" i="2"/>
  <c r="AK253" i="2" s="1"/>
  <c r="CD253" i="2"/>
  <c r="CI253" i="2" s="1"/>
  <c r="GW187" i="2"/>
  <c r="CR187" i="2"/>
  <c r="DC187" i="2"/>
  <c r="GG187" i="2"/>
  <c r="GC187" i="2"/>
  <c r="GF187" i="2" s="1"/>
  <c r="FJ187" i="2"/>
  <c r="FM187" i="2" s="1"/>
  <c r="FU187" i="2"/>
  <c r="GA187" i="2" s="1"/>
  <c r="FO187" i="2"/>
  <c r="FS187" i="2" s="1"/>
  <c r="CK187" i="2"/>
  <c r="CN187" i="2" s="1"/>
  <c r="BN187" i="2"/>
  <c r="CB187" i="2" s="1"/>
  <c r="AM187" i="2"/>
  <c r="AS187" i="2" s="1"/>
  <c r="AU187" i="2"/>
  <c r="BE187" i="2" s="1"/>
  <c r="AG187" i="2"/>
  <c r="AK187" i="2" s="1"/>
  <c r="BG187" i="2"/>
  <c r="BL187" i="2" s="1"/>
  <c r="CD187" i="2"/>
  <c r="CI187" i="2" s="1"/>
  <c r="DC21" i="2"/>
  <c r="GW21" i="2"/>
  <c r="CR21" i="2"/>
  <c r="GG21" i="2"/>
  <c r="FO21" i="2"/>
  <c r="FS21" i="2" s="1"/>
  <c r="GC21" i="2"/>
  <c r="GF21" i="2" s="1"/>
  <c r="FJ21" i="2"/>
  <c r="FM21" i="2" s="1"/>
  <c r="FU21" i="2"/>
  <c r="GA21" i="2" s="1"/>
  <c r="BG21" i="2"/>
  <c r="BL21" i="2" s="1"/>
  <c r="AM21" i="2"/>
  <c r="AS21" i="2" s="1"/>
  <c r="CD21" i="2"/>
  <c r="CI21" i="2" s="1"/>
  <c r="CK21" i="2"/>
  <c r="CN21" i="2" s="1"/>
  <c r="BN21" i="2"/>
  <c r="CB21" i="2" s="1"/>
  <c r="AU21" i="2"/>
  <c r="BE21" i="2" s="1"/>
  <c r="AG21" i="2"/>
  <c r="AK21" i="2" s="1"/>
  <c r="C108" i="11"/>
  <c r="B117" i="11"/>
  <c r="BN76" i="2"/>
  <c r="CB76" i="2" s="1"/>
  <c r="CD76" i="2"/>
  <c r="CI76" i="2" s="1"/>
  <c r="CK76" i="2"/>
  <c r="CN76" i="2" s="1"/>
  <c r="AM76" i="2"/>
  <c r="AS76" i="2" s="1"/>
  <c r="AG76" i="2"/>
  <c r="AK76" i="2" s="1"/>
  <c r="AU76" i="2"/>
  <c r="BE76" i="2" s="1"/>
  <c r="BG76" i="2"/>
  <c r="BL76" i="2" s="1"/>
  <c r="FU76" i="2"/>
  <c r="GA76" i="2" s="1"/>
  <c r="FJ76" i="2"/>
  <c r="FM76" i="2" s="1"/>
  <c r="FO76" i="2"/>
  <c r="FS76" i="2" s="1"/>
  <c r="GC76" i="2"/>
  <c r="GF76" i="2" s="1"/>
  <c r="GW76" i="2"/>
  <c r="DC76" i="2"/>
  <c r="GG76" i="2"/>
  <c r="CR76" i="2"/>
  <c r="CD129" i="2"/>
  <c r="CI129" i="2" s="1"/>
  <c r="AM129" i="2"/>
  <c r="AS129" i="2" s="1"/>
  <c r="AG129" i="2"/>
  <c r="AK129" i="2" s="1"/>
  <c r="BN129" i="2"/>
  <c r="CB129" i="2" s="1"/>
  <c r="CK129" i="2"/>
  <c r="CN129" i="2" s="1"/>
  <c r="BG129" i="2"/>
  <c r="BL129" i="2" s="1"/>
  <c r="AU129" i="2"/>
  <c r="BE129" i="2" s="1"/>
  <c r="GC129" i="2"/>
  <c r="GF129" i="2" s="1"/>
  <c r="FU129" i="2"/>
  <c r="GA129" i="2" s="1"/>
  <c r="FO129" i="2"/>
  <c r="FS129" i="2" s="1"/>
  <c r="FJ129" i="2"/>
  <c r="FM129" i="2" s="1"/>
  <c r="GG129" i="2"/>
  <c r="DC129" i="2"/>
  <c r="CR129" i="2"/>
  <c r="GW129" i="2"/>
  <c r="BG207" i="2"/>
  <c r="BL207" i="2" s="1"/>
  <c r="BN207" i="2"/>
  <c r="CB207" i="2" s="1"/>
  <c r="CD207" i="2"/>
  <c r="CI207" i="2" s="1"/>
  <c r="AG207" i="2"/>
  <c r="AK207" i="2" s="1"/>
  <c r="CK207" i="2"/>
  <c r="CN207" i="2" s="1"/>
  <c r="AU207" i="2"/>
  <c r="BE207" i="2" s="1"/>
  <c r="AM207" i="2"/>
  <c r="AS207" i="2" s="1"/>
  <c r="FO207" i="2"/>
  <c r="FS207" i="2" s="1"/>
  <c r="FU207" i="2"/>
  <c r="GA207" i="2" s="1"/>
  <c r="GC207" i="2"/>
  <c r="GF207" i="2" s="1"/>
  <c r="FJ207" i="2"/>
  <c r="FM207" i="2" s="1"/>
  <c r="CR207" i="2"/>
  <c r="GW207" i="2"/>
  <c r="GG207" i="2"/>
  <c r="DC207" i="2"/>
  <c r="M29" i="10"/>
  <c r="J110" i="7"/>
  <c r="F110" i="7"/>
  <c r="I94" i="11"/>
  <c r="I83" i="11"/>
  <c r="M110" i="7"/>
  <c r="P110" i="7"/>
  <c r="B61" i="11"/>
  <c r="C73" i="11"/>
  <c r="GG280" i="2"/>
  <c r="GW280" i="2"/>
  <c r="CR280" i="2"/>
  <c r="DC280" i="2"/>
  <c r="C44" i="10"/>
  <c r="D57" i="11"/>
  <c r="G57" i="11" s="1"/>
  <c r="F57" i="11" s="1"/>
  <c r="D55" i="11"/>
  <c r="G55" i="11" s="1"/>
  <c r="F55" i="11" s="1"/>
  <c r="AU170" i="2"/>
  <c r="BE170" i="2" s="1"/>
  <c r="AM170" i="2"/>
  <c r="AS170" i="2" s="1"/>
  <c r="BG170" i="2"/>
  <c r="BL170" i="2" s="1"/>
  <c r="CD170" i="2"/>
  <c r="CI170" i="2" s="1"/>
  <c r="CK170" i="2"/>
  <c r="CN170" i="2" s="1"/>
  <c r="AG170" i="2"/>
  <c r="AK170" i="2" s="1"/>
  <c r="BN170" i="2"/>
  <c r="CB170" i="2" s="1"/>
  <c r="GC170" i="2"/>
  <c r="GF170" i="2" s="1"/>
  <c r="FU170" i="2"/>
  <c r="GA170" i="2" s="1"/>
  <c r="FO170" i="2"/>
  <c r="FS170" i="2" s="1"/>
  <c r="FJ170" i="2"/>
  <c r="FM170" i="2" s="1"/>
  <c r="GG170" i="2"/>
  <c r="CR170" i="2"/>
  <c r="DC170" i="2"/>
  <c r="GW170" i="2"/>
  <c r="B95" i="11"/>
  <c r="B112" i="11"/>
  <c r="B115" i="11"/>
  <c r="D115" i="11" s="1"/>
  <c r="G115" i="11" s="1"/>
  <c r="H96" i="10"/>
  <c r="H93" i="10" s="1"/>
  <c r="H98" i="10" s="1"/>
  <c r="H103" i="10" s="1"/>
  <c r="H112" i="10" s="1"/>
  <c r="M92" i="10"/>
  <c r="B20" i="15" s="1"/>
  <c r="D92" i="10"/>
  <c r="J98" i="10"/>
  <c r="J103" i="10" s="1"/>
  <c r="J112" i="10" s="1"/>
  <c r="T17" i="15"/>
  <c r="T25" i="15" s="1"/>
  <c r="I96" i="10"/>
  <c r="I93" i="10" s="1"/>
  <c r="I98" i="10" s="1"/>
  <c r="I103" i="10" s="1"/>
  <c r="B108" i="11"/>
  <c r="I61" i="10"/>
  <c r="I106" i="10" s="1"/>
  <c r="I107" i="10" s="1"/>
  <c r="I111" i="10" s="1"/>
  <c r="H131" i="11"/>
  <c r="H132" i="11" s="1"/>
  <c r="H133" i="11" s="1"/>
  <c r="M45" i="10"/>
  <c r="M90" i="10" s="1"/>
  <c r="D90" i="10"/>
  <c r="D94" i="10"/>
  <c r="C112" i="11"/>
  <c r="D34" i="6"/>
  <c r="D17" i="15"/>
  <c r="D18" i="15"/>
  <c r="D24" i="15" s="1"/>
  <c r="M66" i="6"/>
  <c r="B66" i="6" s="1"/>
  <c r="G68" i="10"/>
  <c r="G113" i="10" s="1"/>
  <c r="M64" i="6"/>
  <c r="B64" i="6" s="1"/>
  <c r="E68" i="10"/>
  <c r="E113" i="10" s="1"/>
  <c r="M65" i="6"/>
  <c r="B65" i="6" s="1"/>
  <c r="F68" i="10"/>
  <c r="F113" i="10" s="1"/>
  <c r="FO270" i="2"/>
  <c r="FS270" i="2" s="1"/>
  <c r="FJ270" i="2"/>
  <c r="FM270" i="2" s="1"/>
  <c r="FJ269" i="2"/>
  <c r="FM269" i="2" s="1"/>
  <c r="FO269" i="2"/>
  <c r="FS269" i="2" s="1"/>
  <c r="GC270" i="2"/>
  <c r="GF270" i="2" s="1"/>
  <c r="GC269" i="2"/>
  <c r="GF269" i="2" s="1"/>
  <c r="FU269" i="2"/>
  <c r="GA269" i="2" s="1"/>
  <c r="FU270" i="2"/>
  <c r="GA270" i="2" s="1"/>
  <c r="AU270" i="2"/>
  <c r="BE270" i="2" s="1"/>
  <c r="CD270" i="2"/>
  <c r="CI270" i="2" s="1"/>
  <c r="BG269" i="2"/>
  <c r="BL269" i="2" s="1"/>
  <c r="CK270" i="2"/>
  <c r="CN270" i="2" s="1"/>
  <c r="CK269" i="2"/>
  <c r="CN269" i="2" s="1"/>
  <c r="AG270" i="2"/>
  <c r="AK270" i="2" s="1"/>
  <c r="AM270" i="2"/>
  <c r="AS270" i="2" s="1"/>
  <c r="BN270" i="2"/>
  <c r="CB270" i="2" s="1"/>
  <c r="AG269" i="2"/>
  <c r="AK269" i="2" s="1"/>
  <c r="BN269" i="2"/>
  <c r="CB269" i="2" s="1"/>
  <c r="AU269" i="2"/>
  <c r="BE269" i="2" s="1"/>
  <c r="AM269" i="2"/>
  <c r="AS269" i="2" s="1"/>
  <c r="BG270" i="2"/>
  <c r="BL270" i="2" s="1"/>
  <c r="CD269" i="2"/>
  <c r="CI269" i="2" s="1"/>
  <c r="GG270" i="2"/>
  <c r="CR269" i="2"/>
  <c r="DC269" i="2"/>
  <c r="GG269" i="2"/>
  <c r="CR270" i="2"/>
  <c r="GW269" i="2"/>
  <c r="DC270" i="2"/>
  <c r="GW270" i="2"/>
  <c r="K28" i="9"/>
  <c r="T4" i="15"/>
  <c r="FU205" i="2"/>
  <c r="GA205" i="2" s="1"/>
  <c r="FU206" i="2"/>
  <c r="GA206" i="2" s="1"/>
  <c r="FO205" i="2"/>
  <c r="FS205" i="2" s="1"/>
  <c r="FO206" i="2"/>
  <c r="FS206" i="2" s="1"/>
  <c r="FJ205" i="2"/>
  <c r="FM205" i="2" s="1"/>
  <c r="FJ206" i="2"/>
  <c r="FM206" i="2" s="1"/>
  <c r="GC205" i="2"/>
  <c r="GF205" i="2" s="1"/>
  <c r="GC206" i="2"/>
  <c r="GF206" i="2" s="1"/>
  <c r="GW205" i="2"/>
  <c r="GW206" i="2"/>
  <c r="DC206" i="2"/>
  <c r="GG206" i="2"/>
  <c r="DC205" i="2"/>
  <c r="CR206" i="2"/>
  <c r="CR205" i="2"/>
  <c r="GG205" i="2"/>
  <c r="CD205" i="2"/>
  <c r="CI205" i="2" s="1"/>
  <c r="AU205" i="2"/>
  <c r="BE205" i="2" s="1"/>
  <c r="BG205" i="2"/>
  <c r="BL205" i="2" s="1"/>
  <c r="BN206" i="2"/>
  <c r="CB206" i="2" s="1"/>
  <c r="CK205" i="2"/>
  <c r="CN205" i="2" s="1"/>
  <c r="AG205" i="2"/>
  <c r="AK205" i="2" s="1"/>
  <c r="AM205" i="2"/>
  <c r="AS205" i="2" s="1"/>
  <c r="BN205" i="2"/>
  <c r="CB205" i="2" s="1"/>
  <c r="AU206" i="2"/>
  <c r="BE206" i="2" s="1"/>
  <c r="AM206" i="2"/>
  <c r="AS206" i="2" s="1"/>
  <c r="BG206" i="2"/>
  <c r="BL206" i="2" s="1"/>
  <c r="AG206" i="2"/>
  <c r="AK206" i="2" s="1"/>
  <c r="CD206" i="2"/>
  <c r="CI206" i="2" s="1"/>
  <c r="CK206" i="2"/>
  <c r="CN206" i="2" s="1"/>
  <c r="AE287" i="2"/>
  <c r="AE358" i="2"/>
  <c r="AE360" i="2" s="1"/>
  <c r="D72" i="10"/>
  <c r="D83" i="10" s="1"/>
  <c r="B119" i="11"/>
  <c r="FU274" i="2"/>
  <c r="GA274" i="2" s="1"/>
  <c r="GC274" i="2"/>
  <c r="GF274" i="2" s="1"/>
  <c r="FJ274" i="2"/>
  <c r="FM274" i="2" s="1"/>
  <c r="FO274" i="2"/>
  <c r="FS274" i="2" s="1"/>
  <c r="BG274" i="2"/>
  <c r="BL274" i="2" s="1"/>
  <c r="CD274" i="2"/>
  <c r="CI274" i="2" s="1"/>
  <c r="AU274" i="2"/>
  <c r="BE274" i="2" s="1"/>
  <c r="BN274" i="2"/>
  <c r="CB274" i="2" s="1"/>
  <c r="AG274" i="2"/>
  <c r="AK274" i="2" s="1"/>
  <c r="AM274" i="2"/>
  <c r="AS274" i="2" s="1"/>
  <c r="CK274" i="2"/>
  <c r="CN274" i="2" s="1"/>
  <c r="CR274" i="2"/>
  <c r="GG274" i="2"/>
  <c r="DC274" i="2"/>
  <c r="GW274" i="2"/>
  <c r="FJ217" i="2"/>
  <c r="FM217" i="2" s="1"/>
  <c r="FO217" i="2"/>
  <c r="FS217" i="2" s="1"/>
  <c r="GC217" i="2"/>
  <c r="GF217" i="2" s="1"/>
  <c r="FU217" i="2"/>
  <c r="GA217" i="2" s="1"/>
  <c r="DC217" i="2"/>
  <c r="GG217" i="2"/>
  <c r="CR217" i="2"/>
  <c r="GW217" i="2"/>
  <c r="BN217" i="2"/>
  <c r="CB217" i="2" s="1"/>
  <c r="AU217" i="2"/>
  <c r="BE217" i="2" s="1"/>
  <c r="CD217" i="2"/>
  <c r="CI217" i="2" s="1"/>
  <c r="AG217" i="2"/>
  <c r="AK217" i="2" s="1"/>
  <c r="BG217" i="2"/>
  <c r="BL217" i="2" s="1"/>
  <c r="CK217" i="2"/>
  <c r="CN217" i="2" s="1"/>
  <c r="AM217" i="2"/>
  <c r="AS217" i="2" s="1"/>
  <c r="BN195" i="2"/>
  <c r="CB195" i="2" s="1"/>
  <c r="AU195" i="2"/>
  <c r="BE195" i="2" s="1"/>
  <c r="BG195" i="2"/>
  <c r="BL195" i="2" s="1"/>
  <c r="CK195" i="2"/>
  <c r="CN195" i="2" s="1"/>
  <c r="CD195" i="2"/>
  <c r="CI195" i="2" s="1"/>
  <c r="AG195" i="2"/>
  <c r="AK195" i="2" s="1"/>
  <c r="AM195" i="2"/>
  <c r="AS195" i="2" s="1"/>
  <c r="FU195" i="2"/>
  <c r="GA195" i="2" s="1"/>
  <c r="GC195" i="2"/>
  <c r="GF195" i="2" s="1"/>
  <c r="FJ195" i="2"/>
  <c r="FM195" i="2" s="1"/>
  <c r="FO195" i="2"/>
  <c r="FS195" i="2" s="1"/>
  <c r="GG195" i="2"/>
  <c r="CR195" i="2"/>
  <c r="GW195" i="2"/>
  <c r="DC195" i="2"/>
  <c r="FJ133" i="2"/>
  <c r="FM133" i="2" s="1"/>
  <c r="GC132" i="2"/>
  <c r="GF132" i="2" s="1"/>
  <c r="FO133" i="2"/>
  <c r="FS133" i="2" s="1"/>
  <c r="FU132" i="2"/>
  <c r="GA132" i="2" s="1"/>
  <c r="FJ132" i="2"/>
  <c r="FM132" i="2" s="1"/>
  <c r="GC133" i="2"/>
  <c r="GF133" i="2" s="1"/>
  <c r="FU133" i="2"/>
  <c r="GA133" i="2" s="1"/>
  <c r="FO132" i="2"/>
  <c r="FS132" i="2" s="1"/>
  <c r="CR132" i="2"/>
  <c r="GG133" i="2"/>
  <c r="GW132" i="2"/>
  <c r="CR133" i="2"/>
  <c r="GG132" i="2"/>
  <c r="DC132" i="2"/>
  <c r="GW133" i="2"/>
  <c r="DC133" i="2"/>
  <c r="AG132" i="2"/>
  <c r="AK132" i="2" s="1"/>
  <c r="AU133" i="2"/>
  <c r="BE133" i="2" s="1"/>
  <c r="BN133" i="2"/>
  <c r="CB133" i="2" s="1"/>
  <c r="AU132" i="2"/>
  <c r="BE132" i="2" s="1"/>
  <c r="AM132" i="2"/>
  <c r="AS132" i="2" s="1"/>
  <c r="CK132" i="2"/>
  <c r="CN132" i="2" s="1"/>
  <c r="AG133" i="2"/>
  <c r="AK133" i="2" s="1"/>
  <c r="AM133" i="2"/>
  <c r="AS133" i="2" s="1"/>
  <c r="BG132" i="2"/>
  <c r="BL132" i="2" s="1"/>
  <c r="CD133" i="2"/>
  <c r="CI133" i="2" s="1"/>
  <c r="CD132" i="2"/>
  <c r="CI132" i="2" s="1"/>
  <c r="BG133" i="2"/>
  <c r="BL133" i="2" s="1"/>
  <c r="CK133" i="2"/>
  <c r="CN133" i="2" s="1"/>
  <c r="BN132" i="2"/>
  <c r="CB132" i="2" s="1"/>
  <c r="CK178" i="2"/>
  <c r="CN178" i="2" s="1"/>
  <c r="AM178" i="2"/>
  <c r="AS178" i="2" s="1"/>
  <c r="AG178" i="2"/>
  <c r="AK178" i="2" s="1"/>
  <c r="BN178" i="2"/>
  <c r="CB178" i="2" s="1"/>
  <c r="AU178" i="2"/>
  <c r="BE178" i="2" s="1"/>
  <c r="BG178" i="2"/>
  <c r="BL178" i="2" s="1"/>
  <c r="CD178" i="2"/>
  <c r="CI178" i="2" s="1"/>
  <c r="FO178" i="2"/>
  <c r="FS178" i="2" s="1"/>
  <c r="GC178" i="2"/>
  <c r="GF178" i="2" s="1"/>
  <c r="FU178" i="2"/>
  <c r="GA178" i="2" s="1"/>
  <c r="FJ178" i="2"/>
  <c r="FM178" i="2" s="1"/>
  <c r="GG178" i="2"/>
  <c r="DC178" i="2"/>
  <c r="GW178" i="2"/>
  <c r="CR178" i="2"/>
  <c r="GC255" i="2"/>
  <c r="GF255" i="2" s="1"/>
  <c r="FU255" i="2"/>
  <c r="GA255" i="2" s="1"/>
  <c r="FO255" i="2"/>
  <c r="FS255" i="2" s="1"/>
  <c r="FJ255" i="2"/>
  <c r="FM255" i="2" s="1"/>
  <c r="CR255" i="2"/>
  <c r="GW255" i="2"/>
  <c r="GG255" i="2"/>
  <c r="DC255" i="2"/>
  <c r="CK255" i="2"/>
  <c r="CN255" i="2" s="1"/>
  <c r="BN255" i="2"/>
  <c r="CB255" i="2" s="1"/>
  <c r="BG255" i="2"/>
  <c r="BL255" i="2" s="1"/>
  <c r="CD255" i="2"/>
  <c r="CI255" i="2" s="1"/>
  <c r="AM255" i="2"/>
  <c r="AS255" i="2" s="1"/>
  <c r="AG255" i="2"/>
  <c r="AK255" i="2" s="1"/>
  <c r="AU255" i="2"/>
  <c r="BE255" i="2" s="1"/>
  <c r="FU103" i="2"/>
  <c r="GA103" i="2" s="1"/>
  <c r="GC103" i="2"/>
  <c r="GF103" i="2" s="1"/>
  <c r="FO103" i="2"/>
  <c r="FS103" i="2" s="1"/>
  <c r="FJ103" i="2"/>
  <c r="FM103" i="2" s="1"/>
  <c r="GW103" i="2"/>
  <c r="CR103" i="2"/>
  <c r="GG103" i="2"/>
  <c r="DC103" i="2"/>
  <c r="BG103" i="2"/>
  <c r="BL103" i="2" s="1"/>
  <c r="AU103" i="2"/>
  <c r="BE103" i="2" s="1"/>
  <c r="CD103" i="2"/>
  <c r="CI103" i="2" s="1"/>
  <c r="BN103" i="2"/>
  <c r="CB103" i="2" s="1"/>
  <c r="AG103" i="2"/>
  <c r="AK103" i="2" s="1"/>
  <c r="CK103" i="2"/>
  <c r="CN103" i="2" s="1"/>
  <c r="AM103" i="2"/>
  <c r="AS103" i="2" s="1"/>
  <c r="CD222" i="2"/>
  <c r="CI222" i="2" s="1"/>
  <c r="BN222" i="2"/>
  <c r="CB222" i="2" s="1"/>
  <c r="BG222" i="2"/>
  <c r="BL222" i="2" s="1"/>
  <c r="AM222" i="2"/>
  <c r="AS222" i="2" s="1"/>
  <c r="CK222" i="2"/>
  <c r="CN222" i="2" s="1"/>
  <c r="AG222" i="2"/>
  <c r="AK222" i="2" s="1"/>
  <c r="AU222" i="2"/>
  <c r="BE222" i="2" s="1"/>
  <c r="GC222" i="2"/>
  <c r="GF222" i="2" s="1"/>
  <c r="FU222" i="2"/>
  <c r="GA222" i="2" s="1"/>
  <c r="FJ222" i="2"/>
  <c r="FM222" i="2" s="1"/>
  <c r="FO222" i="2"/>
  <c r="FS222" i="2" s="1"/>
  <c r="N24" i="8"/>
  <c r="N25" i="8"/>
  <c r="DC222" i="2"/>
  <c r="GG222" i="2"/>
  <c r="GW222" i="2"/>
  <c r="CR222" i="2"/>
  <c r="O25" i="8"/>
  <c r="H135" i="11"/>
  <c r="H140" i="11"/>
  <c r="H142" i="11" s="1"/>
  <c r="H143" i="11" s="1"/>
  <c r="H146" i="11" s="1"/>
  <c r="M14" i="8"/>
  <c r="P14" i="8"/>
  <c r="D6" i="15"/>
  <c r="J8" i="8"/>
  <c r="P8" i="8"/>
  <c r="H5" i="15" s="1"/>
  <c r="D4" i="15"/>
  <c r="H119" i="11"/>
  <c r="H114" i="11" s="1"/>
  <c r="K9" i="8"/>
  <c r="N9" i="8"/>
  <c r="T6" i="15"/>
  <c r="FO208" i="2"/>
  <c r="FS208" i="2" s="1"/>
  <c r="FU208" i="2"/>
  <c r="GA208" i="2" s="1"/>
  <c r="FJ208" i="2"/>
  <c r="FM208" i="2" s="1"/>
  <c r="GC208" i="2"/>
  <c r="GF208" i="2" s="1"/>
  <c r="DC208" i="2"/>
  <c r="GW208" i="2"/>
  <c r="GG208" i="2"/>
  <c r="CR208" i="2"/>
  <c r="AG208" i="2"/>
  <c r="AK208" i="2" s="1"/>
  <c r="CD208" i="2"/>
  <c r="CI208" i="2" s="1"/>
  <c r="CK208" i="2"/>
  <c r="CN208" i="2" s="1"/>
  <c r="AU208" i="2"/>
  <c r="BE208" i="2" s="1"/>
  <c r="BN208" i="2"/>
  <c r="CB208" i="2" s="1"/>
  <c r="BG208" i="2"/>
  <c r="BL208" i="2" s="1"/>
  <c r="AM208" i="2"/>
  <c r="AS208" i="2" s="1"/>
  <c r="FO148" i="2"/>
  <c r="FS148" i="2" s="1"/>
  <c r="GC148" i="2"/>
  <c r="GF148" i="2" s="1"/>
  <c r="FJ148" i="2"/>
  <c r="FM148" i="2" s="1"/>
  <c r="FU148" i="2"/>
  <c r="GA148" i="2" s="1"/>
  <c r="GW148" i="2"/>
  <c r="GG148" i="2"/>
  <c r="CR148" i="2"/>
  <c r="DC148" i="2"/>
  <c r="CK148" i="2"/>
  <c r="CN148" i="2" s="1"/>
  <c r="CD148" i="2"/>
  <c r="CI148" i="2" s="1"/>
  <c r="AU148" i="2"/>
  <c r="BE148" i="2" s="1"/>
  <c r="BN148" i="2"/>
  <c r="CB148" i="2" s="1"/>
  <c r="AM148" i="2"/>
  <c r="AS148" i="2" s="1"/>
  <c r="AG148" i="2"/>
  <c r="AK148" i="2" s="1"/>
  <c r="BG148" i="2"/>
  <c r="BL148" i="2" s="1"/>
  <c r="FU134" i="2"/>
  <c r="GA134" i="2" s="1"/>
  <c r="FJ134" i="2"/>
  <c r="FM134" i="2" s="1"/>
  <c r="FO134" i="2"/>
  <c r="FS134" i="2" s="1"/>
  <c r="GC134" i="2"/>
  <c r="GF134" i="2" s="1"/>
  <c r="DC134" i="2"/>
  <c r="CR134" i="2"/>
  <c r="GW134" i="2"/>
  <c r="GG134" i="2"/>
  <c r="BG134" i="2"/>
  <c r="BL134" i="2" s="1"/>
  <c r="AU134" i="2"/>
  <c r="BE134" i="2" s="1"/>
  <c r="AG134" i="2"/>
  <c r="AK134" i="2" s="1"/>
  <c r="CD134" i="2"/>
  <c r="CI134" i="2" s="1"/>
  <c r="CK134" i="2"/>
  <c r="CN134" i="2" s="1"/>
  <c r="BN134" i="2"/>
  <c r="CB134" i="2" s="1"/>
  <c r="AM134" i="2"/>
  <c r="AS134" i="2" s="1"/>
  <c r="F110" i="11"/>
  <c r="I5" i="15"/>
  <c r="H107" i="11"/>
  <c r="J3" i="15" s="1"/>
  <c r="J4" i="15"/>
  <c r="J10" i="15" s="1"/>
  <c r="GC278" i="2"/>
  <c r="GF278" i="2" s="1"/>
  <c r="FU278" i="2"/>
  <c r="GA278" i="2" s="1"/>
  <c r="FO279" i="2"/>
  <c r="FS279" i="2" s="1"/>
  <c r="FJ279" i="2"/>
  <c r="FM279" i="2" s="1"/>
  <c r="FO278" i="2"/>
  <c r="FS278" i="2" s="1"/>
  <c r="FJ278" i="2"/>
  <c r="FM278" i="2" s="1"/>
  <c r="GC279" i="2"/>
  <c r="GF279" i="2" s="1"/>
  <c r="FU279" i="2"/>
  <c r="GA279" i="2" s="1"/>
  <c r="AU279" i="2"/>
  <c r="BE279" i="2" s="1"/>
  <c r="CD278" i="2"/>
  <c r="CI278" i="2" s="1"/>
  <c r="BN278" i="2"/>
  <c r="CB278" i="2" s="1"/>
  <c r="BG279" i="2"/>
  <c r="BL279" i="2" s="1"/>
  <c r="CK279" i="2"/>
  <c r="CN279" i="2" s="1"/>
  <c r="AG278" i="2"/>
  <c r="AK278" i="2" s="1"/>
  <c r="AG279" i="2"/>
  <c r="AK279" i="2" s="1"/>
  <c r="CK278" i="2"/>
  <c r="CN278" i="2" s="1"/>
  <c r="AU278" i="2"/>
  <c r="BE278" i="2" s="1"/>
  <c r="BN279" i="2"/>
  <c r="CB279" i="2" s="1"/>
  <c r="CD279" i="2"/>
  <c r="CI279" i="2" s="1"/>
  <c r="AM278" i="2"/>
  <c r="AS278" i="2" s="1"/>
  <c r="BG278" i="2"/>
  <c r="BL278" i="2" s="1"/>
  <c r="AM279" i="2"/>
  <c r="AS279" i="2" s="1"/>
  <c r="AU277" i="2"/>
  <c r="BE277" i="2" s="1"/>
  <c r="AM277" i="2"/>
  <c r="AS277" i="2" s="1"/>
  <c r="CD277" i="2"/>
  <c r="CI277" i="2" s="1"/>
  <c r="BN277" i="2"/>
  <c r="CB277" i="2" s="1"/>
  <c r="CK277" i="2"/>
  <c r="CN277" i="2" s="1"/>
  <c r="BG277" i="2"/>
  <c r="BL277" i="2" s="1"/>
  <c r="AG277" i="2"/>
  <c r="AK277" i="2" s="1"/>
  <c r="GC277" i="2"/>
  <c r="GF277" i="2" s="1"/>
  <c r="FJ277" i="2"/>
  <c r="FM277" i="2" s="1"/>
  <c r="FU277" i="2"/>
  <c r="GA277" i="2" s="1"/>
  <c r="FO277" i="2"/>
  <c r="FS277" i="2" s="1"/>
  <c r="CX358" i="2"/>
  <c r="AM276" i="2"/>
  <c r="AS276" i="2" s="1"/>
  <c r="AU276" i="2"/>
  <c r="BE276" i="2" s="1"/>
  <c r="BN276" i="2"/>
  <c r="CB276" i="2" s="1"/>
  <c r="BG276" i="2"/>
  <c r="BL276" i="2" s="1"/>
  <c r="CD276" i="2"/>
  <c r="CI276" i="2" s="1"/>
  <c r="CK276" i="2"/>
  <c r="CN276" i="2" s="1"/>
  <c r="AG276" i="2"/>
  <c r="AK276" i="2" s="1"/>
  <c r="DC276" i="2"/>
  <c r="GG276" i="2"/>
  <c r="CR276" i="2"/>
  <c r="GW276" i="2"/>
  <c r="FO276" i="2"/>
  <c r="FS276" i="2" s="1"/>
  <c r="FU276" i="2"/>
  <c r="GA276" i="2" s="1"/>
  <c r="FJ276" i="2"/>
  <c r="FM276" i="2" s="1"/>
  <c r="GC276" i="2"/>
  <c r="GF276" i="2" s="1"/>
  <c r="BN248" i="2"/>
  <c r="CB248" i="2" s="1"/>
  <c r="CK248" i="2"/>
  <c r="CN248" i="2" s="1"/>
  <c r="BG248" i="2"/>
  <c r="BL248" i="2" s="1"/>
  <c r="AU248" i="2"/>
  <c r="BE248" i="2" s="1"/>
  <c r="CD248" i="2"/>
  <c r="CI248" i="2" s="1"/>
  <c r="AG248" i="2"/>
  <c r="AK248" i="2" s="1"/>
  <c r="AM248" i="2"/>
  <c r="AS248" i="2" s="1"/>
  <c r="DC248" i="2"/>
  <c r="GG248" i="2"/>
  <c r="CR248" i="2"/>
  <c r="GW248" i="2"/>
  <c r="FU248" i="2"/>
  <c r="GA248" i="2" s="1"/>
  <c r="GC248" i="2"/>
  <c r="GF248" i="2" s="1"/>
  <c r="FO248" i="2"/>
  <c r="FS248" i="2" s="1"/>
  <c r="FJ248" i="2"/>
  <c r="FM248" i="2" s="1"/>
  <c r="G67" i="6"/>
  <c r="AG177" i="2"/>
  <c r="AK177" i="2" s="1"/>
  <c r="BG176" i="2"/>
  <c r="BL176" i="2" s="1"/>
  <c r="CD177" i="2"/>
  <c r="CI177" i="2" s="1"/>
  <c r="BN176" i="2"/>
  <c r="CB176" i="2" s="1"/>
  <c r="CK177" i="2"/>
  <c r="CN177" i="2" s="1"/>
  <c r="BG177" i="2"/>
  <c r="BL177" i="2" s="1"/>
  <c r="BN177" i="2"/>
  <c r="CB177" i="2" s="1"/>
  <c r="AM176" i="2"/>
  <c r="AS176" i="2" s="1"/>
  <c r="AG176" i="2"/>
  <c r="AK176" i="2" s="1"/>
  <c r="AM177" i="2"/>
  <c r="AS177" i="2" s="1"/>
  <c r="AU177" i="2"/>
  <c r="BE177" i="2" s="1"/>
  <c r="AU176" i="2"/>
  <c r="BE176" i="2" s="1"/>
  <c r="CK176" i="2"/>
  <c r="CN176" i="2" s="1"/>
  <c r="CD176" i="2"/>
  <c r="CI176" i="2" s="1"/>
  <c r="CR176" i="2"/>
  <c r="GG177" i="2"/>
  <c r="GG176" i="2"/>
  <c r="DC177" i="2"/>
  <c r="GW176" i="2"/>
  <c r="CR177" i="2"/>
  <c r="GW177" i="2"/>
  <c r="DC176" i="2"/>
  <c r="FU176" i="2"/>
  <c r="GA176" i="2" s="1"/>
  <c r="GC176" i="2"/>
  <c r="GF176" i="2" s="1"/>
  <c r="FJ176" i="2"/>
  <c r="FM176" i="2" s="1"/>
  <c r="FO176" i="2"/>
  <c r="FS176" i="2" s="1"/>
  <c r="FJ177" i="2"/>
  <c r="FM177" i="2" s="1"/>
  <c r="GC177" i="2"/>
  <c r="GF177" i="2" s="1"/>
  <c r="FO177" i="2"/>
  <c r="FS177" i="2" s="1"/>
  <c r="FU177" i="2"/>
  <c r="GA177" i="2" s="1"/>
  <c r="AM245" i="2"/>
  <c r="AS245" i="2" s="1"/>
  <c r="BG245" i="2"/>
  <c r="BL245" i="2" s="1"/>
  <c r="AU245" i="2"/>
  <c r="BE245" i="2" s="1"/>
  <c r="CD245" i="2"/>
  <c r="CI245" i="2" s="1"/>
  <c r="BN245" i="2"/>
  <c r="CB245" i="2" s="1"/>
  <c r="AG245" i="2"/>
  <c r="AK245" i="2" s="1"/>
  <c r="CK245" i="2"/>
  <c r="CN245" i="2" s="1"/>
  <c r="CR245" i="2"/>
  <c r="GW245" i="2"/>
  <c r="GG245" i="2"/>
  <c r="DC245" i="2"/>
  <c r="FO245" i="2"/>
  <c r="FS245" i="2" s="1"/>
  <c r="FU245" i="2"/>
  <c r="GA245" i="2" s="1"/>
  <c r="FJ245" i="2"/>
  <c r="FM245" i="2" s="1"/>
  <c r="GC245" i="2"/>
  <c r="GF245" i="2" s="1"/>
  <c r="BN211" i="2"/>
  <c r="CB211" i="2" s="1"/>
  <c r="AU211" i="2"/>
  <c r="BE211" i="2" s="1"/>
  <c r="AM211" i="2"/>
  <c r="AS211" i="2" s="1"/>
  <c r="CK211" i="2"/>
  <c r="CN211" i="2" s="1"/>
  <c r="AG211" i="2"/>
  <c r="AK211" i="2" s="1"/>
  <c r="CD211" i="2"/>
  <c r="CI211" i="2" s="1"/>
  <c r="BG211" i="2"/>
  <c r="BL211" i="2" s="1"/>
  <c r="CR211" i="2"/>
  <c r="DC211" i="2"/>
  <c r="GG211" i="2"/>
  <c r="GW211" i="2"/>
  <c r="FJ211" i="2"/>
  <c r="FM211" i="2" s="1"/>
  <c r="FU211" i="2"/>
  <c r="GA211" i="2" s="1"/>
  <c r="FO211" i="2"/>
  <c r="FS211" i="2" s="1"/>
  <c r="GC211" i="2"/>
  <c r="GF211" i="2" s="1"/>
  <c r="G68" i="6"/>
  <c r="GG201" i="2"/>
  <c r="DC201" i="2"/>
  <c r="CR201" i="2"/>
  <c r="GW201" i="2"/>
  <c r="CK201" i="2"/>
  <c r="CN201" i="2" s="1"/>
  <c r="BG201" i="2"/>
  <c r="BL201" i="2" s="1"/>
  <c r="AU201" i="2"/>
  <c r="BE201" i="2" s="1"/>
  <c r="CD201" i="2"/>
  <c r="CI201" i="2" s="1"/>
  <c r="BN201" i="2"/>
  <c r="CB201" i="2" s="1"/>
  <c r="AM201" i="2"/>
  <c r="AS201" i="2" s="1"/>
  <c r="AG201" i="2"/>
  <c r="AK201" i="2" s="1"/>
  <c r="FJ201" i="2"/>
  <c r="FM201" i="2" s="1"/>
  <c r="FU201" i="2"/>
  <c r="GA201" i="2" s="1"/>
  <c r="FO201" i="2"/>
  <c r="FS201" i="2" s="1"/>
  <c r="GC201" i="2"/>
  <c r="GF201" i="2" s="1"/>
  <c r="GW181" i="2"/>
  <c r="DC181" i="2"/>
  <c r="GG181" i="2"/>
  <c r="CR181" i="2"/>
  <c r="AM181" i="2"/>
  <c r="AS181" i="2" s="1"/>
  <c r="BG181" i="2"/>
  <c r="BL181" i="2" s="1"/>
  <c r="AU181" i="2"/>
  <c r="BE181" i="2" s="1"/>
  <c r="BN181" i="2"/>
  <c r="CB181" i="2" s="1"/>
  <c r="CD181" i="2"/>
  <c r="CI181" i="2" s="1"/>
  <c r="CK181" i="2"/>
  <c r="CN181" i="2" s="1"/>
  <c r="AG181" i="2"/>
  <c r="AK181" i="2" s="1"/>
  <c r="GC181" i="2"/>
  <c r="GF181" i="2" s="1"/>
  <c r="FU181" i="2"/>
  <c r="GA181" i="2" s="1"/>
  <c r="FO181" i="2"/>
  <c r="FS181" i="2" s="1"/>
  <c r="FJ181" i="2"/>
  <c r="FM181" i="2" s="1"/>
  <c r="CK112" i="2"/>
  <c r="CN112" i="2" s="1"/>
  <c r="AU112" i="2"/>
  <c r="BE112" i="2" s="1"/>
  <c r="AM112" i="2"/>
  <c r="AS112" i="2" s="1"/>
  <c r="BG112" i="2"/>
  <c r="BL112" i="2" s="1"/>
  <c r="AG112" i="2"/>
  <c r="AK112" i="2" s="1"/>
  <c r="CD112" i="2"/>
  <c r="CI112" i="2" s="1"/>
  <c r="BN112" i="2"/>
  <c r="CB112" i="2" s="1"/>
  <c r="FO112" i="2"/>
  <c r="FS112" i="2" s="1"/>
  <c r="FU112" i="2"/>
  <c r="GA112" i="2" s="1"/>
  <c r="FJ112" i="2"/>
  <c r="FM112" i="2" s="1"/>
  <c r="GC112" i="2"/>
  <c r="GF112" i="2" s="1"/>
  <c r="CR112" i="2"/>
  <c r="GG112" i="2"/>
  <c r="GW112" i="2"/>
  <c r="DC112" i="2"/>
  <c r="H79" i="11"/>
  <c r="H91" i="11"/>
  <c r="G74" i="6"/>
  <c r="H99" i="6"/>
  <c r="M99" i="6" s="1"/>
  <c r="N99" i="6" s="1"/>
  <c r="W283" i="2"/>
  <c r="H74" i="11"/>
  <c r="H75" i="11" s="1"/>
  <c r="K67" i="10"/>
  <c r="K68" i="10" s="1"/>
  <c r="O24" i="9"/>
  <c r="K24" i="8"/>
  <c r="G13" i="8"/>
  <c r="K13" i="8"/>
  <c r="I9" i="8"/>
  <c r="L9" i="8"/>
  <c r="C20" i="8"/>
  <c r="E19" i="8"/>
  <c r="N19" i="8" s="1"/>
  <c r="K17" i="8"/>
  <c r="M8" i="8"/>
  <c r="H19" i="15" s="1"/>
  <c r="I7" i="8"/>
  <c r="L7" i="8"/>
  <c r="H11" i="8"/>
  <c r="K11" i="8"/>
  <c r="B20" i="8"/>
  <c r="D25" i="8"/>
  <c r="L25" i="8"/>
  <c r="K25" i="8"/>
  <c r="F14" i="11"/>
  <c r="F13" i="11" s="1"/>
  <c r="F22" i="11" s="1"/>
  <c r="F27" i="11" s="1"/>
  <c r="G24" i="8"/>
  <c r="G25" i="8" s="1"/>
  <c r="BG29" i="2"/>
  <c r="BL29" i="2" s="1"/>
  <c r="CD29" i="2"/>
  <c r="CI29" i="2" s="1"/>
  <c r="AM29" i="2"/>
  <c r="AS29" i="2" s="1"/>
  <c r="AU29" i="2"/>
  <c r="BE29" i="2" s="1"/>
  <c r="BN29" i="2"/>
  <c r="CB29" i="2" s="1"/>
  <c r="AG29" i="2"/>
  <c r="AK29" i="2" s="1"/>
  <c r="CK29" i="2"/>
  <c r="CN29" i="2" s="1"/>
  <c r="DC29" i="2"/>
  <c r="GW29" i="2"/>
  <c r="GG29" i="2"/>
  <c r="CR29" i="2"/>
  <c r="FU29" i="2"/>
  <c r="GA29" i="2" s="1"/>
  <c r="FJ29" i="2"/>
  <c r="FM29" i="2" s="1"/>
  <c r="GC29" i="2"/>
  <c r="GF29" i="2" s="1"/>
  <c r="FO29" i="2"/>
  <c r="FS29" i="2" s="1"/>
  <c r="D28" i="9"/>
  <c r="K15" i="9"/>
  <c r="K20" i="9" s="1"/>
  <c r="G67" i="10"/>
  <c r="G30" i="10"/>
  <c r="B139" i="11"/>
  <c r="G139" i="11"/>
  <c r="F139" i="11" s="1"/>
  <c r="F62" i="11"/>
  <c r="B69" i="11"/>
  <c r="D69" i="11" s="1"/>
  <c r="E48" i="10"/>
  <c r="E53" i="10" s="1"/>
  <c r="E58" i="10" s="1"/>
  <c r="E67" i="10" s="1"/>
  <c r="D59" i="11"/>
  <c r="G59" i="11" s="1"/>
  <c r="F59" i="11" s="1"/>
  <c r="E71" i="9"/>
  <c r="E72" i="9" s="1"/>
  <c r="D61" i="11"/>
  <c r="G61" i="11" s="1"/>
  <c r="F61" i="11" s="1"/>
  <c r="B5" i="15"/>
  <c r="I48" i="10"/>
  <c r="I53" i="10" s="1"/>
  <c r="I58" i="10" s="1"/>
  <c r="H28" i="9"/>
  <c r="N88" i="6"/>
  <c r="B88" i="6"/>
  <c r="CD223" i="2"/>
  <c r="CI223" i="2" s="1"/>
  <c r="CK223" i="2"/>
  <c r="CN223" i="2" s="1"/>
  <c r="BN223" i="2"/>
  <c r="CB223" i="2" s="1"/>
  <c r="BG223" i="2"/>
  <c r="BL223" i="2" s="1"/>
  <c r="AG223" i="2"/>
  <c r="AK223" i="2" s="1"/>
  <c r="AU223" i="2"/>
  <c r="BE223" i="2" s="1"/>
  <c r="AM223" i="2"/>
  <c r="AS223" i="2" s="1"/>
  <c r="GW223" i="2"/>
  <c r="DC223" i="2"/>
  <c r="GG223" i="2"/>
  <c r="CR223" i="2"/>
  <c r="FJ223" i="2"/>
  <c r="FM223" i="2" s="1"/>
  <c r="FO223" i="2"/>
  <c r="FS223" i="2" s="1"/>
  <c r="FU223" i="2"/>
  <c r="GA223" i="2" s="1"/>
  <c r="GC223" i="2"/>
  <c r="GF223" i="2" s="1"/>
  <c r="FU179" i="2"/>
  <c r="GA179" i="2" s="1"/>
  <c r="FO179" i="2"/>
  <c r="FS179" i="2" s="1"/>
  <c r="FJ179" i="2"/>
  <c r="FM179" i="2" s="1"/>
  <c r="GC179" i="2"/>
  <c r="GF179" i="2" s="1"/>
  <c r="GG179" i="2"/>
  <c r="CR179" i="2"/>
  <c r="GW179" i="2"/>
  <c r="DC179" i="2"/>
  <c r="AU179" i="2"/>
  <c r="BE179" i="2" s="1"/>
  <c r="BG179" i="2"/>
  <c r="BL179" i="2" s="1"/>
  <c r="AG179" i="2"/>
  <c r="AK179" i="2" s="1"/>
  <c r="CK179" i="2"/>
  <c r="CN179" i="2" s="1"/>
  <c r="AM179" i="2"/>
  <c r="AS179" i="2" s="1"/>
  <c r="CD179" i="2"/>
  <c r="CI179" i="2" s="1"/>
  <c r="BN179" i="2"/>
  <c r="CB179" i="2" s="1"/>
  <c r="FJ173" i="2"/>
  <c r="FM173" i="2" s="1"/>
  <c r="GC173" i="2"/>
  <c r="GF173" i="2" s="1"/>
  <c r="FU173" i="2"/>
  <c r="GA173" i="2" s="1"/>
  <c r="FO173" i="2"/>
  <c r="FS173" i="2" s="1"/>
  <c r="GG173" i="2"/>
  <c r="GW173" i="2"/>
  <c r="CR173" i="2"/>
  <c r="DC173" i="2"/>
  <c r="BG173" i="2"/>
  <c r="BL173" i="2" s="1"/>
  <c r="AG173" i="2"/>
  <c r="AK173" i="2" s="1"/>
  <c r="CD173" i="2"/>
  <c r="CI173" i="2" s="1"/>
  <c r="AM173" i="2"/>
  <c r="AS173" i="2" s="1"/>
  <c r="BN173" i="2"/>
  <c r="CB173" i="2" s="1"/>
  <c r="AU173" i="2"/>
  <c r="BE173" i="2" s="1"/>
  <c r="CK173" i="2"/>
  <c r="CN173" i="2" s="1"/>
  <c r="FU149" i="2"/>
  <c r="GA149" i="2" s="1"/>
  <c r="FO149" i="2"/>
  <c r="FS149" i="2" s="1"/>
  <c r="FJ149" i="2"/>
  <c r="FM149" i="2" s="1"/>
  <c r="GC149" i="2"/>
  <c r="GF149" i="2" s="1"/>
  <c r="GG149" i="2"/>
  <c r="CR149" i="2"/>
  <c r="GW149" i="2"/>
  <c r="DC149" i="2"/>
  <c r="CD149" i="2"/>
  <c r="CI149" i="2" s="1"/>
  <c r="CK149" i="2"/>
  <c r="CN149" i="2" s="1"/>
  <c r="BN149" i="2"/>
  <c r="CB149" i="2" s="1"/>
  <c r="AM149" i="2"/>
  <c r="AS149" i="2" s="1"/>
  <c r="BG149" i="2"/>
  <c r="BL149" i="2" s="1"/>
  <c r="AG149" i="2"/>
  <c r="AK149" i="2" s="1"/>
  <c r="AU149" i="2"/>
  <c r="BE149" i="2" s="1"/>
  <c r="FU118" i="2"/>
  <c r="GA118" i="2" s="1"/>
  <c r="FO118" i="2"/>
  <c r="FS118" i="2" s="1"/>
  <c r="FJ118" i="2"/>
  <c r="FM118" i="2" s="1"/>
  <c r="GC118" i="2"/>
  <c r="GF118" i="2" s="1"/>
  <c r="GG118" i="2"/>
  <c r="GW118" i="2"/>
  <c r="CR118" i="2"/>
  <c r="DC118" i="2"/>
  <c r="AU118" i="2"/>
  <c r="BE118" i="2" s="1"/>
  <c r="BG118" i="2"/>
  <c r="BL118" i="2" s="1"/>
  <c r="AM118" i="2"/>
  <c r="AS118" i="2" s="1"/>
  <c r="BN118" i="2"/>
  <c r="CB118" i="2" s="1"/>
  <c r="CD118" i="2"/>
  <c r="CI118" i="2" s="1"/>
  <c r="CK118" i="2"/>
  <c r="CN118" i="2" s="1"/>
  <c r="AG118" i="2"/>
  <c r="AK118" i="2" s="1"/>
  <c r="FJ47" i="2"/>
  <c r="FM47" i="2" s="1"/>
  <c r="GC47" i="2"/>
  <c r="GF47" i="2" s="1"/>
  <c r="FU47" i="2"/>
  <c r="GA47" i="2" s="1"/>
  <c r="FO47" i="2"/>
  <c r="FS47" i="2" s="1"/>
  <c r="GG47" i="2"/>
  <c r="DC47" i="2"/>
  <c r="GW47" i="2"/>
  <c r="CR47" i="2"/>
  <c r="BN47" i="2"/>
  <c r="CB47" i="2" s="1"/>
  <c r="CK47" i="2"/>
  <c r="CN47" i="2" s="1"/>
  <c r="AG47" i="2"/>
  <c r="AK47" i="2" s="1"/>
  <c r="AU47" i="2"/>
  <c r="BE47" i="2" s="1"/>
  <c r="BG47" i="2"/>
  <c r="BL47" i="2" s="1"/>
  <c r="CD47" i="2"/>
  <c r="CI47" i="2" s="1"/>
  <c r="AM47" i="2"/>
  <c r="AS47" i="2" s="1"/>
  <c r="M73" i="6"/>
  <c r="H18" i="6"/>
  <c r="M18" i="6" s="1"/>
  <c r="D101" i="6"/>
  <c r="D105" i="6" s="1"/>
  <c r="GC268" i="2"/>
  <c r="GF268" i="2" s="1"/>
  <c r="FJ268" i="2"/>
  <c r="FM268" i="2" s="1"/>
  <c r="FU268" i="2"/>
  <c r="GA268" i="2" s="1"/>
  <c r="FO268" i="2"/>
  <c r="FS268" i="2" s="1"/>
  <c r="CR268" i="2"/>
  <c r="DC268" i="2"/>
  <c r="GW268" i="2"/>
  <c r="GG268" i="2"/>
  <c r="H30" i="10"/>
  <c r="AG268" i="2"/>
  <c r="AK268" i="2" s="1"/>
  <c r="CD268" i="2"/>
  <c r="CI268" i="2" s="1"/>
  <c r="BN268" i="2"/>
  <c r="CB268" i="2" s="1"/>
  <c r="AU268" i="2"/>
  <c r="BE268" i="2" s="1"/>
  <c r="AM268" i="2"/>
  <c r="AS268" i="2" s="1"/>
  <c r="CK268" i="2"/>
  <c r="CN268" i="2" s="1"/>
  <c r="BG268" i="2"/>
  <c r="BL268" i="2" s="1"/>
  <c r="D15" i="8"/>
  <c r="D15" i="9"/>
  <c r="D20" i="9" s="1"/>
  <c r="E101" i="6"/>
  <c r="E103" i="6" s="1"/>
  <c r="E29" i="9"/>
  <c r="N15" i="9"/>
  <c r="J20" i="9"/>
  <c r="J29" i="9" s="1"/>
  <c r="E74" i="9"/>
  <c r="H70" i="6"/>
  <c r="D68" i="10" s="1"/>
  <c r="O11" i="9"/>
  <c r="F20" i="9"/>
  <c r="F29" i="9" s="1"/>
  <c r="L20" i="9"/>
  <c r="L29" i="9" s="1"/>
  <c r="C20" i="9"/>
  <c r="C29" i="9" s="1"/>
  <c r="G20" i="9"/>
  <c r="G29" i="9" s="1"/>
  <c r="B20" i="9"/>
  <c r="B29" i="9" s="1"/>
  <c r="H56" i="11"/>
  <c r="GC235" i="2"/>
  <c r="GF235" i="2" s="1"/>
  <c r="FO239" i="2"/>
  <c r="FS239" i="2" s="1"/>
  <c r="GC237" i="2"/>
  <c r="GF237" i="2" s="1"/>
  <c r="FU238" i="2"/>
  <c r="GA238" i="2" s="1"/>
  <c r="FO238" i="2"/>
  <c r="FS238" i="2" s="1"/>
  <c r="GC236" i="2"/>
  <c r="GF236" i="2" s="1"/>
  <c r="FJ235" i="2"/>
  <c r="FM235" i="2" s="1"/>
  <c r="FO235" i="2"/>
  <c r="FS235" i="2" s="1"/>
  <c r="FU239" i="2"/>
  <c r="GA239" i="2" s="1"/>
  <c r="FO236" i="2"/>
  <c r="FS236" i="2" s="1"/>
  <c r="FJ239" i="2"/>
  <c r="FM239" i="2" s="1"/>
  <c r="FJ238" i="2"/>
  <c r="FM238" i="2" s="1"/>
  <c r="GC239" i="2"/>
  <c r="GF239" i="2" s="1"/>
  <c r="FJ237" i="2"/>
  <c r="FM237" i="2" s="1"/>
  <c r="GC238" i="2"/>
  <c r="GF238" i="2" s="1"/>
  <c r="FU237" i="2"/>
  <c r="GA237" i="2" s="1"/>
  <c r="FU235" i="2"/>
  <c r="GA235" i="2" s="1"/>
  <c r="FO237" i="2"/>
  <c r="FS237" i="2" s="1"/>
  <c r="FU236" i="2"/>
  <c r="GA236" i="2" s="1"/>
  <c r="FJ236" i="2"/>
  <c r="FM236" i="2" s="1"/>
  <c r="CK239" i="2"/>
  <c r="CN239" i="2" s="1"/>
  <c r="CD239" i="2"/>
  <c r="CI239" i="2" s="1"/>
  <c r="BN239" i="2"/>
  <c r="CB239" i="2" s="1"/>
  <c r="AU237" i="2"/>
  <c r="BE237" i="2" s="1"/>
  <c r="CD237" i="2"/>
  <c r="CI237" i="2" s="1"/>
  <c r="CD236" i="2"/>
  <c r="CI236" i="2" s="1"/>
  <c r="AG239" i="2"/>
  <c r="AK239" i="2" s="1"/>
  <c r="BG236" i="2"/>
  <c r="BL236" i="2" s="1"/>
  <c r="AG237" i="2"/>
  <c r="AK237" i="2" s="1"/>
  <c r="CK237" i="2"/>
  <c r="CN237" i="2" s="1"/>
  <c r="BG237" i="2"/>
  <c r="BL237" i="2" s="1"/>
  <c r="AU238" i="2"/>
  <c r="BE238" i="2" s="1"/>
  <c r="BN238" i="2"/>
  <c r="CB238" i="2" s="1"/>
  <c r="BG238" i="2"/>
  <c r="BL238" i="2" s="1"/>
  <c r="AU239" i="2"/>
  <c r="BE239" i="2" s="1"/>
  <c r="AU236" i="2"/>
  <c r="BE236" i="2" s="1"/>
  <c r="AM235" i="2"/>
  <c r="AS235" i="2" s="1"/>
  <c r="BG235" i="2"/>
  <c r="BL235" i="2" s="1"/>
  <c r="CD235" i="2"/>
  <c r="CI235" i="2" s="1"/>
  <c r="AG235" i="2"/>
  <c r="AK235" i="2" s="1"/>
  <c r="BN236" i="2"/>
  <c r="CB236" i="2" s="1"/>
  <c r="AM236" i="2"/>
  <c r="AS236" i="2" s="1"/>
  <c r="BN237" i="2"/>
  <c r="CB237" i="2" s="1"/>
  <c r="AU235" i="2"/>
  <c r="BE235" i="2" s="1"/>
  <c r="AM237" i="2"/>
  <c r="AS237" i="2" s="1"/>
  <c r="AG236" i="2"/>
  <c r="AK236" i="2" s="1"/>
  <c r="CD238" i="2"/>
  <c r="CI238" i="2" s="1"/>
  <c r="AG238" i="2"/>
  <c r="AK238" i="2" s="1"/>
  <c r="CK235" i="2"/>
  <c r="CN235" i="2" s="1"/>
  <c r="BN235" i="2"/>
  <c r="CB235" i="2" s="1"/>
  <c r="AM239" i="2"/>
  <c r="AS239" i="2" s="1"/>
  <c r="BG239" i="2"/>
  <c r="BL239" i="2" s="1"/>
  <c r="CK238" i="2"/>
  <c r="CN238" i="2" s="1"/>
  <c r="CK236" i="2"/>
  <c r="CN236" i="2" s="1"/>
  <c r="AM238" i="2"/>
  <c r="AS238" i="2" s="1"/>
  <c r="GW237" i="2"/>
  <c r="GG238" i="2"/>
  <c r="GW236" i="2"/>
  <c r="GW235" i="2"/>
  <c r="GW238" i="2"/>
  <c r="DC236" i="2"/>
  <c r="GG236" i="2"/>
  <c r="GG239" i="2"/>
  <c r="DC238" i="2"/>
  <c r="DC239" i="2"/>
  <c r="GW239" i="2"/>
  <c r="DC237" i="2"/>
  <c r="CR239" i="2"/>
  <c r="CR237" i="2"/>
  <c r="GG237" i="2"/>
  <c r="CR238" i="2"/>
  <c r="CR236" i="2"/>
  <c r="CR235" i="2"/>
  <c r="DC235" i="2"/>
  <c r="GG235" i="2"/>
  <c r="N19" i="9"/>
  <c r="E30" i="10"/>
  <c r="C34" i="6"/>
  <c r="GW171" i="2"/>
  <c r="CR171" i="2"/>
  <c r="GG171" i="2"/>
  <c r="DC171" i="2"/>
  <c r="GC171" i="2"/>
  <c r="GF171" i="2" s="1"/>
  <c r="FU171" i="2"/>
  <c r="GA171" i="2" s="1"/>
  <c r="FJ171" i="2"/>
  <c r="FM171" i="2" s="1"/>
  <c r="FO171" i="2"/>
  <c r="FS171" i="2" s="1"/>
  <c r="AG171" i="2"/>
  <c r="AK171" i="2" s="1"/>
  <c r="AM171" i="2"/>
  <c r="AS171" i="2" s="1"/>
  <c r="CD171" i="2"/>
  <c r="CI171" i="2" s="1"/>
  <c r="AU171" i="2"/>
  <c r="BE171" i="2" s="1"/>
  <c r="CK171" i="2"/>
  <c r="CN171" i="2" s="1"/>
  <c r="BN171" i="2"/>
  <c r="CB171" i="2" s="1"/>
  <c r="BG171" i="2"/>
  <c r="BL171" i="2" s="1"/>
  <c r="EY358" i="2"/>
  <c r="CD31" i="2"/>
  <c r="CI31" i="2" s="1"/>
  <c r="BN31" i="2"/>
  <c r="CB31" i="2" s="1"/>
  <c r="CK31" i="2"/>
  <c r="CN31" i="2" s="1"/>
  <c r="AG31" i="2"/>
  <c r="AK31" i="2" s="1"/>
  <c r="BG31" i="2"/>
  <c r="BL31" i="2" s="1"/>
  <c r="AU31" i="2"/>
  <c r="BE31" i="2" s="1"/>
  <c r="AM31" i="2"/>
  <c r="AS31" i="2" s="1"/>
  <c r="GG31" i="2"/>
  <c r="CR31" i="2"/>
  <c r="GW31" i="2"/>
  <c r="DC31" i="2"/>
  <c r="GC31" i="2"/>
  <c r="GF31" i="2" s="1"/>
  <c r="FJ31" i="2"/>
  <c r="FM31" i="2" s="1"/>
  <c r="FO31" i="2"/>
  <c r="FS31" i="2" s="1"/>
  <c r="FU31" i="2"/>
  <c r="GA31" i="2" s="1"/>
  <c r="H29" i="6"/>
  <c r="C101" i="6"/>
  <c r="C106" i="6" s="1"/>
  <c r="O19" i="9"/>
  <c r="Q26" i="6" s="1"/>
  <c r="D20" i="17" s="1"/>
  <c r="K20" i="17" s="1"/>
  <c r="H15" i="9"/>
  <c r="DL358" i="2"/>
  <c r="DL360" i="2" s="1"/>
  <c r="DL362" i="2" s="1"/>
  <c r="FO191" i="2"/>
  <c r="FS191" i="2" s="1"/>
  <c r="GC191" i="2"/>
  <c r="GF191" i="2" s="1"/>
  <c r="FJ193" i="2"/>
  <c r="FM193" i="2" s="1"/>
  <c r="FO193" i="2"/>
  <c r="FS193" i="2" s="1"/>
  <c r="FU160" i="2"/>
  <c r="GA160" i="2" s="1"/>
  <c r="FU193" i="2"/>
  <c r="GA193" i="2" s="1"/>
  <c r="GC193" i="2"/>
  <c r="GF193" i="2" s="1"/>
  <c r="FU191" i="2"/>
  <c r="GA191" i="2" s="1"/>
  <c r="FJ191" i="2"/>
  <c r="FM191" i="2" s="1"/>
  <c r="FJ160" i="2"/>
  <c r="FM160" i="2" s="1"/>
  <c r="GC160" i="2"/>
  <c r="GF160" i="2" s="1"/>
  <c r="FO160" i="2"/>
  <c r="FS160" i="2" s="1"/>
  <c r="GG191" i="2"/>
  <c r="CR160" i="2"/>
  <c r="CR193" i="2"/>
  <c r="GW191" i="2"/>
  <c r="DC191" i="2"/>
  <c r="GG160" i="2"/>
  <c r="DC160" i="2"/>
  <c r="GW193" i="2"/>
  <c r="DC193" i="2"/>
  <c r="GG193" i="2"/>
  <c r="GW160" i="2"/>
  <c r="CR191" i="2"/>
  <c r="BN191" i="2"/>
  <c r="CB191" i="2" s="1"/>
  <c r="AG191" i="2"/>
  <c r="AK191" i="2" s="1"/>
  <c r="CD191" i="2"/>
  <c r="CI191" i="2" s="1"/>
  <c r="BN193" i="2"/>
  <c r="CB193" i="2" s="1"/>
  <c r="AM193" i="2"/>
  <c r="AS193" i="2" s="1"/>
  <c r="CK193" i="2"/>
  <c r="CN193" i="2" s="1"/>
  <c r="AU193" i="2"/>
  <c r="BE193" i="2" s="1"/>
  <c r="BG193" i="2"/>
  <c r="BL193" i="2" s="1"/>
  <c r="BG160" i="2"/>
  <c r="BL160" i="2" s="1"/>
  <c r="BN160" i="2"/>
  <c r="CB160" i="2" s="1"/>
  <c r="AM160" i="2"/>
  <c r="AS160" i="2" s="1"/>
  <c r="CD193" i="2"/>
  <c r="CI193" i="2" s="1"/>
  <c r="AG193" i="2"/>
  <c r="AK193" i="2" s="1"/>
  <c r="BG191" i="2"/>
  <c r="BL191" i="2" s="1"/>
  <c r="AM191" i="2"/>
  <c r="AS191" i="2" s="1"/>
  <c r="CK191" i="2"/>
  <c r="CN191" i="2" s="1"/>
  <c r="AU191" i="2"/>
  <c r="BE191" i="2" s="1"/>
  <c r="CK160" i="2"/>
  <c r="CN160" i="2" s="1"/>
  <c r="AG160" i="2"/>
  <c r="AK160" i="2" s="1"/>
  <c r="CD160" i="2"/>
  <c r="CI160" i="2" s="1"/>
  <c r="AU160" i="2"/>
  <c r="BE160" i="2" s="1"/>
  <c r="AM234" i="2"/>
  <c r="AS234" i="2" s="1"/>
  <c r="AG120" i="2"/>
  <c r="AK120" i="2" s="1"/>
  <c r="AG111" i="2"/>
  <c r="AK111" i="2" s="1"/>
  <c r="BN111" i="2"/>
  <c r="CB111" i="2" s="1"/>
  <c r="CD35" i="2"/>
  <c r="CI35" i="2" s="1"/>
  <c r="BN120" i="2"/>
  <c r="CB120" i="2" s="1"/>
  <c r="AM120" i="2"/>
  <c r="AS120" i="2" s="1"/>
  <c r="CK120" i="2"/>
  <c r="CN120" i="2" s="1"/>
  <c r="AU120" i="2"/>
  <c r="BE120" i="2" s="1"/>
  <c r="AM111" i="2"/>
  <c r="AS111" i="2" s="1"/>
  <c r="CK111" i="2"/>
  <c r="CN111" i="2" s="1"/>
  <c r="AU111" i="2"/>
  <c r="BE111" i="2" s="1"/>
  <c r="CK35" i="2"/>
  <c r="CN35" i="2" s="1"/>
  <c r="AG35" i="2"/>
  <c r="AK35" i="2" s="1"/>
  <c r="BG35" i="2"/>
  <c r="BL35" i="2" s="1"/>
  <c r="BG111" i="2"/>
  <c r="BL111" i="2" s="1"/>
  <c r="BG120" i="2"/>
  <c r="BL120" i="2" s="1"/>
  <c r="CD120" i="2"/>
  <c r="CI120" i="2" s="1"/>
  <c r="CD111" i="2"/>
  <c r="CI111" i="2" s="1"/>
  <c r="AU35" i="2"/>
  <c r="BE35" i="2" s="1"/>
  <c r="AM35" i="2"/>
  <c r="AS35" i="2" s="1"/>
  <c r="BN35" i="2"/>
  <c r="CB35" i="2" s="1"/>
  <c r="GG35" i="2"/>
  <c r="GW35" i="2"/>
  <c r="DC35" i="2"/>
  <c r="CR35" i="2"/>
  <c r="CR120" i="2"/>
  <c r="CR111" i="2"/>
  <c r="GG111" i="2"/>
  <c r="GG120" i="2"/>
  <c r="GW120" i="2"/>
  <c r="DC120" i="2"/>
  <c r="GW111" i="2"/>
  <c r="DC111" i="2"/>
  <c r="FJ120" i="2"/>
  <c r="FM120" i="2" s="1"/>
  <c r="FO120" i="2"/>
  <c r="FS120" i="2" s="1"/>
  <c r="FU111" i="2"/>
  <c r="GA111" i="2" s="1"/>
  <c r="GC111" i="2"/>
  <c r="GF111" i="2" s="1"/>
  <c r="FO111" i="2"/>
  <c r="FS111" i="2" s="1"/>
  <c r="FU120" i="2"/>
  <c r="GA120" i="2" s="1"/>
  <c r="FU35" i="2"/>
  <c r="GA35" i="2" s="1"/>
  <c r="GC35" i="2"/>
  <c r="GF35" i="2" s="1"/>
  <c r="FJ111" i="2"/>
  <c r="FM111" i="2" s="1"/>
  <c r="FO35" i="2"/>
  <c r="FS35" i="2" s="1"/>
  <c r="FJ35" i="2"/>
  <c r="FM35" i="2" s="1"/>
  <c r="GC120" i="2"/>
  <c r="GF120" i="2" s="1"/>
  <c r="O6" i="9"/>
  <c r="D27" i="11"/>
  <c r="D33" i="11" s="1"/>
  <c r="I30" i="10"/>
  <c r="J30" i="10"/>
  <c r="G22" i="11"/>
  <c r="G27" i="11" s="1"/>
  <c r="BG234" i="2"/>
  <c r="BL234" i="2" s="1"/>
  <c r="G31" i="11"/>
  <c r="G32" i="11" s="1"/>
  <c r="F30" i="11"/>
  <c r="F31" i="11" s="1"/>
  <c r="F32" i="11" s="1"/>
  <c r="D22" i="11"/>
  <c r="N24" i="9"/>
  <c r="I20" i="9"/>
  <c r="I29" i="9" s="1"/>
  <c r="M15" i="9"/>
  <c r="F30" i="10"/>
  <c r="BN234" i="2"/>
  <c r="CB234" i="2" s="1"/>
  <c r="GR364" i="2"/>
  <c r="HB362" i="2"/>
  <c r="HB364" i="2"/>
  <c r="H49" i="11"/>
  <c r="AU234" i="2"/>
  <c r="BE234" i="2" s="1"/>
  <c r="CD233" i="2"/>
  <c r="CI233" i="2" s="1"/>
  <c r="AU233" i="2"/>
  <c r="BE233" i="2" s="1"/>
  <c r="AG233" i="2"/>
  <c r="AK233" i="2" s="1"/>
  <c r="BG233" i="2"/>
  <c r="BL233" i="2" s="1"/>
  <c r="AM233" i="2"/>
  <c r="AS233" i="2" s="1"/>
  <c r="BN233" i="2"/>
  <c r="CB233" i="2" s="1"/>
  <c r="O27" i="9"/>
  <c r="N25" i="9"/>
  <c r="N27" i="9" s="1"/>
  <c r="AM72" i="2"/>
  <c r="AS72" i="2" s="1"/>
  <c r="AM68" i="2"/>
  <c r="AS68" i="2" s="1"/>
  <c r="AM64" i="2"/>
  <c r="AS64" i="2" s="1"/>
  <c r="AM60" i="2"/>
  <c r="AS60" i="2" s="1"/>
  <c r="AM56" i="2"/>
  <c r="AS56" i="2" s="1"/>
  <c r="AM52" i="2"/>
  <c r="AS52" i="2" s="1"/>
  <c r="AM48" i="2"/>
  <c r="AS48" i="2" s="1"/>
  <c r="AM43" i="2"/>
  <c r="AS43" i="2" s="1"/>
  <c r="AM39" i="2"/>
  <c r="AS39" i="2" s="1"/>
  <c r="AM34" i="2"/>
  <c r="AS34" i="2" s="1"/>
  <c r="AM28" i="2"/>
  <c r="AS28" i="2" s="1"/>
  <c r="AM24" i="2"/>
  <c r="AS24" i="2" s="1"/>
  <c r="AM19" i="2"/>
  <c r="AS19" i="2" s="1"/>
  <c r="AM15" i="2"/>
  <c r="AS15" i="2" s="1"/>
  <c r="AM11" i="2"/>
  <c r="AS11" i="2" s="1"/>
  <c r="AM7" i="2"/>
  <c r="AS7" i="2" s="1"/>
  <c r="CD131" i="2"/>
  <c r="CI131" i="2" s="1"/>
  <c r="CD68" i="2"/>
  <c r="CI68" i="2" s="1"/>
  <c r="CD7" i="2"/>
  <c r="CI7" i="2" s="1"/>
  <c r="BN198" i="2"/>
  <c r="CB198" i="2" s="1"/>
  <c r="BN157" i="2"/>
  <c r="CB157" i="2" s="1"/>
  <c r="BN122" i="2"/>
  <c r="CB122" i="2" s="1"/>
  <c r="BN55" i="2"/>
  <c r="CB55" i="2" s="1"/>
  <c r="BG242" i="2"/>
  <c r="BL242" i="2" s="1"/>
  <c r="BG203" i="2"/>
  <c r="BL203" i="2" s="1"/>
  <c r="BG152" i="2"/>
  <c r="BL152" i="2" s="1"/>
  <c r="BG138" i="2"/>
  <c r="BL138" i="2" s="1"/>
  <c r="BG109" i="2"/>
  <c r="BL109" i="2" s="1"/>
  <c r="BG97" i="2"/>
  <c r="BL97" i="2" s="1"/>
  <c r="BG75" i="2"/>
  <c r="BL75" i="2" s="1"/>
  <c r="BG64" i="2"/>
  <c r="BL64" i="2" s="1"/>
  <c r="BG28" i="2"/>
  <c r="BL28" i="2" s="1"/>
  <c r="AU246" i="2"/>
  <c r="BE246" i="2" s="1"/>
  <c r="AU202" i="2"/>
  <c r="BE202" i="2" s="1"/>
  <c r="AU156" i="2"/>
  <c r="BE156" i="2" s="1"/>
  <c r="AU115" i="2"/>
  <c r="BE115" i="2" s="1"/>
  <c r="AU80" i="2"/>
  <c r="BE80" i="2" s="1"/>
  <c r="AM266" i="2"/>
  <c r="AS266" i="2" s="1"/>
  <c r="AM225" i="2"/>
  <c r="AS225" i="2" s="1"/>
  <c r="AM75" i="2"/>
  <c r="AS75" i="2" s="1"/>
  <c r="AM67" i="2"/>
  <c r="AS67" i="2" s="1"/>
  <c r="AM59" i="2"/>
  <c r="AS59" i="2" s="1"/>
  <c r="CD273" i="2"/>
  <c r="CI273" i="2" s="1"/>
  <c r="CD198" i="2"/>
  <c r="CI198" i="2" s="1"/>
  <c r="CD24" i="2"/>
  <c r="CI24" i="2" s="1"/>
  <c r="BN262" i="2"/>
  <c r="CB262" i="2" s="1"/>
  <c r="BN224" i="2"/>
  <c r="CB224" i="2" s="1"/>
  <c r="BN182" i="2"/>
  <c r="CB182" i="2" s="1"/>
  <c r="BN146" i="2"/>
  <c r="CB146" i="2" s="1"/>
  <c r="BN109" i="2"/>
  <c r="CB109" i="2" s="1"/>
  <c r="BN80" i="2"/>
  <c r="CB80" i="2" s="1"/>
  <c r="BG215" i="2"/>
  <c r="BL215" i="2" s="1"/>
  <c r="BG172" i="2"/>
  <c r="BL172" i="2" s="1"/>
  <c r="BG146" i="2"/>
  <c r="BL146" i="2" s="1"/>
  <c r="BG131" i="2"/>
  <c r="BL131" i="2" s="1"/>
  <c r="BG105" i="2"/>
  <c r="BL105" i="2" s="1"/>
  <c r="BG93" i="2"/>
  <c r="BL93" i="2" s="1"/>
  <c r="BG71" i="2"/>
  <c r="BL71" i="2" s="1"/>
  <c r="BG60" i="2"/>
  <c r="BL60" i="2" s="1"/>
  <c r="BG38" i="2"/>
  <c r="BL38" i="2" s="1"/>
  <c r="BG24" i="2"/>
  <c r="BL24" i="2" s="1"/>
  <c r="AU241" i="2"/>
  <c r="BE241" i="2" s="1"/>
  <c r="AU197" i="2"/>
  <c r="BE197" i="2" s="1"/>
  <c r="AU152" i="2"/>
  <c r="BE152" i="2" s="1"/>
  <c r="AU109" i="2"/>
  <c r="BE109" i="2" s="1"/>
  <c r="AU75" i="2"/>
  <c r="BE75" i="2" s="1"/>
  <c r="AU42" i="2"/>
  <c r="BE42" i="2" s="1"/>
  <c r="AU6" i="2"/>
  <c r="AM262" i="2"/>
  <c r="AS262" i="2" s="1"/>
  <c r="AM220" i="2"/>
  <c r="AS220" i="2" s="1"/>
  <c r="AM190" i="2"/>
  <c r="AS190" i="2" s="1"/>
  <c r="AM180" i="2"/>
  <c r="AS180" i="2" s="1"/>
  <c r="AM165" i="2"/>
  <c r="AS165" i="2" s="1"/>
  <c r="AM156" i="2"/>
  <c r="AS156" i="2" s="1"/>
  <c r="AM146" i="2"/>
  <c r="AS146" i="2" s="1"/>
  <c r="AM137" i="2"/>
  <c r="AS137" i="2" s="1"/>
  <c r="AM125" i="2"/>
  <c r="AS125" i="2" s="1"/>
  <c r="AM115" i="2"/>
  <c r="AS115" i="2" s="1"/>
  <c r="AM105" i="2"/>
  <c r="AS105" i="2" s="1"/>
  <c r="AM96" i="2"/>
  <c r="AS96" i="2" s="1"/>
  <c r="AM88" i="2"/>
  <c r="AS88" i="2" s="1"/>
  <c r="AM80" i="2"/>
  <c r="AS80" i="2" s="1"/>
  <c r="CD229" i="2"/>
  <c r="CI229" i="2" s="1"/>
  <c r="CD153" i="2"/>
  <c r="CI153" i="2" s="1"/>
  <c r="BN257" i="2"/>
  <c r="CB257" i="2" s="1"/>
  <c r="BN220" i="2"/>
  <c r="CB220" i="2" s="1"/>
  <c r="BN180" i="2"/>
  <c r="CB180" i="2" s="1"/>
  <c r="BN138" i="2"/>
  <c r="CB138" i="2" s="1"/>
  <c r="BN108" i="2"/>
  <c r="CB108" i="2" s="1"/>
  <c r="BN92" i="2"/>
  <c r="CB92" i="2" s="1"/>
  <c r="BN63" i="2"/>
  <c r="CB63" i="2" s="1"/>
  <c r="BN32" i="2"/>
  <c r="CB32" i="2" s="1"/>
  <c r="BG213" i="2"/>
  <c r="BL213" i="2" s="1"/>
  <c r="BG192" i="2"/>
  <c r="BL192" i="2" s="1"/>
  <c r="BG169" i="2"/>
  <c r="BL169" i="2" s="1"/>
  <c r="BG157" i="2"/>
  <c r="BL157" i="2" s="1"/>
  <c r="BG130" i="2"/>
  <c r="BL130" i="2" s="1"/>
  <c r="BG116" i="2"/>
  <c r="BL116" i="2" s="1"/>
  <c r="BG92" i="2"/>
  <c r="BL92" i="2" s="1"/>
  <c r="BG81" i="2"/>
  <c r="BL81" i="2" s="1"/>
  <c r="BG59" i="2"/>
  <c r="BL59" i="2" s="1"/>
  <c r="BG48" i="2"/>
  <c r="BL48" i="2" s="1"/>
  <c r="BG23" i="2"/>
  <c r="BL23" i="2" s="1"/>
  <c r="BG11" i="2"/>
  <c r="BL11" i="2" s="1"/>
  <c r="AU265" i="2"/>
  <c r="BE265" i="2" s="1"/>
  <c r="AU224" i="2"/>
  <c r="BE224" i="2" s="1"/>
  <c r="AU196" i="2"/>
  <c r="BE196" i="2" s="1"/>
  <c r="AU180" i="2"/>
  <c r="BE180" i="2" s="1"/>
  <c r="AU151" i="2"/>
  <c r="BE151" i="2" s="1"/>
  <c r="AU137" i="2"/>
  <c r="BE137" i="2" s="1"/>
  <c r="AU108" i="2"/>
  <c r="BE108" i="2" s="1"/>
  <c r="AU96" i="2"/>
  <c r="BE96" i="2" s="1"/>
  <c r="AU74" i="2"/>
  <c r="BE74" i="2" s="1"/>
  <c r="AU63" i="2"/>
  <c r="BE63" i="2" s="1"/>
  <c r="AU41" i="2"/>
  <c r="BE41" i="2" s="1"/>
  <c r="AU27" i="2"/>
  <c r="BE27" i="2" s="1"/>
  <c r="AM247" i="2"/>
  <c r="AS247" i="2" s="1"/>
  <c r="AM218" i="2"/>
  <c r="AS218" i="2" s="1"/>
  <c r="AM203" i="2"/>
  <c r="AS203" i="2" s="1"/>
  <c r="AM189" i="2"/>
  <c r="AS189" i="2" s="1"/>
  <c r="AM175" i="2"/>
  <c r="AS175" i="2" s="1"/>
  <c r="AM164" i="2"/>
  <c r="AS164" i="2" s="1"/>
  <c r="AM155" i="2"/>
  <c r="AS155" i="2" s="1"/>
  <c r="AM145" i="2"/>
  <c r="AS145" i="2" s="1"/>
  <c r="AM136" i="2"/>
  <c r="AS136" i="2" s="1"/>
  <c r="AM124" i="2"/>
  <c r="AS124" i="2" s="1"/>
  <c r="AM114" i="2"/>
  <c r="AS114" i="2" s="1"/>
  <c r="AM104" i="2"/>
  <c r="AS104" i="2" s="1"/>
  <c r="AM95" i="2"/>
  <c r="AS95" i="2" s="1"/>
  <c r="AM87" i="2"/>
  <c r="AS87" i="2" s="1"/>
  <c r="AM79" i="2"/>
  <c r="AS79" i="2" s="1"/>
  <c r="AM71" i="2"/>
  <c r="AS71" i="2" s="1"/>
  <c r="AM63" i="2"/>
  <c r="AS63" i="2" s="1"/>
  <c r="AM55" i="2"/>
  <c r="AS55" i="2" s="1"/>
  <c r="AM46" i="2"/>
  <c r="AS46" i="2" s="1"/>
  <c r="AM38" i="2"/>
  <c r="AS38" i="2" s="1"/>
  <c r="AM27" i="2"/>
  <c r="AS27" i="2" s="1"/>
  <c r="AM18" i="2"/>
  <c r="AS18" i="2" s="1"/>
  <c r="AM10" i="2"/>
  <c r="AS10" i="2" s="1"/>
  <c r="AG227" i="2"/>
  <c r="AK227" i="2" s="1"/>
  <c r="AG218" i="2"/>
  <c r="AK218" i="2" s="1"/>
  <c r="AG196" i="2"/>
  <c r="AK196" i="2" s="1"/>
  <c r="AG184" i="2"/>
  <c r="AK184" i="2" s="1"/>
  <c r="AG168" i="2"/>
  <c r="AK168" i="2" s="1"/>
  <c r="AG159" i="2"/>
  <c r="AK159" i="2" s="1"/>
  <c r="AG151" i="2"/>
  <c r="AK151" i="2" s="1"/>
  <c r="AG140" i="2"/>
  <c r="AK140" i="2" s="1"/>
  <c r="AG128" i="2"/>
  <c r="AK128" i="2" s="1"/>
  <c r="AG119" i="2"/>
  <c r="AK119" i="2" s="1"/>
  <c r="AG108" i="2"/>
  <c r="AK108" i="2" s="1"/>
  <c r="AG99" i="2"/>
  <c r="AG91" i="2"/>
  <c r="AK91" i="2" s="1"/>
  <c r="AG83" i="2"/>
  <c r="AK83" i="2" s="1"/>
  <c r="AG74" i="2"/>
  <c r="AK74" i="2" s="1"/>
  <c r="AG66" i="2"/>
  <c r="AK66" i="2" s="1"/>
  <c r="AG58" i="2"/>
  <c r="AK58" i="2" s="1"/>
  <c r="AG50" i="2"/>
  <c r="AK50" i="2" s="1"/>
  <c r="AG41" i="2"/>
  <c r="AK41" i="2" s="1"/>
  <c r="AG32" i="2"/>
  <c r="AK32" i="2" s="1"/>
  <c r="AG22" i="2"/>
  <c r="AK22" i="2" s="1"/>
  <c r="AG13" i="2"/>
  <c r="AK13" i="2" s="1"/>
  <c r="CD216" i="2"/>
  <c r="CI216" i="2" s="1"/>
  <c r="CD172" i="2"/>
  <c r="CI172" i="2" s="1"/>
  <c r="CD139" i="2"/>
  <c r="CI139" i="2" s="1"/>
  <c r="CD101" i="2"/>
  <c r="CI101" i="2" s="1"/>
  <c r="CD69" i="2"/>
  <c r="CI69" i="2" s="1"/>
  <c r="CD43" i="2"/>
  <c r="CI43" i="2" s="1"/>
  <c r="CD8" i="2"/>
  <c r="CI8" i="2" s="1"/>
  <c r="BN242" i="2"/>
  <c r="CB242" i="2" s="1"/>
  <c r="BN203" i="2"/>
  <c r="CB203" i="2" s="1"/>
  <c r="BN162" i="2"/>
  <c r="CB162" i="2" s="1"/>
  <c r="BN125" i="2"/>
  <c r="CB125" i="2" s="1"/>
  <c r="BN102" i="2"/>
  <c r="CB102" i="2" s="1"/>
  <c r="BN87" i="2"/>
  <c r="CB87" i="2" s="1"/>
  <c r="BN71" i="2"/>
  <c r="CB71" i="2" s="1"/>
  <c r="BN58" i="2"/>
  <c r="CB58" i="2" s="1"/>
  <c r="BN42" i="2"/>
  <c r="CB42" i="2" s="1"/>
  <c r="BN25" i="2"/>
  <c r="CB25" i="2" s="1"/>
  <c r="BN10" i="2"/>
  <c r="CB10" i="2" s="1"/>
  <c r="BG262" i="2"/>
  <c r="BL262" i="2" s="1"/>
  <c r="BG225" i="2"/>
  <c r="BL225" i="2" s="1"/>
  <c r="BG204" i="2"/>
  <c r="BL204" i="2" s="1"/>
  <c r="BG184" i="2"/>
  <c r="BL184" i="2" s="1"/>
  <c r="BG165" i="2"/>
  <c r="BL165" i="2" s="1"/>
  <c r="BG153" i="2"/>
  <c r="BL153" i="2" s="1"/>
  <c r="BG139" i="2"/>
  <c r="BL139" i="2" s="1"/>
  <c r="BG125" i="2"/>
  <c r="BL125" i="2" s="1"/>
  <c r="BG110" i="2"/>
  <c r="BL110" i="2" s="1"/>
  <c r="BG98" i="2"/>
  <c r="BL98" i="2" s="1"/>
  <c r="BG88" i="2"/>
  <c r="BL88" i="2" s="1"/>
  <c r="BG77" i="2"/>
  <c r="BL77" i="2" s="1"/>
  <c r="BG65" i="2"/>
  <c r="BL65" i="2" s="1"/>
  <c r="BG55" i="2"/>
  <c r="BL55" i="2" s="1"/>
  <c r="BG43" i="2"/>
  <c r="BL43" i="2" s="1"/>
  <c r="BG30" i="2"/>
  <c r="BL30" i="2" s="1"/>
  <c r="BG18" i="2"/>
  <c r="BL18" i="2" s="1"/>
  <c r="BG7" i="2"/>
  <c r="BL7" i="2" s="1"/>
  <c r="AU261" i="2"/>
  <c r="BE261" i="2" s="1"/>
  <c r="AU231" i="2"/>
  <c r="BE231" i="2" s="1"/>
  <c r="AU219" i="2"/>
  <c r="BE219" i="2" s="1"/>
  <c r="AU204" i="2"/>
  <c r="BE204" i="2" s="1"/>
  <c r="AU189" i="2"/>
  <c r="BE189" i="2" s="1"/>
  <c r="AU169" i="2"/>
  <c r="BE169" i="2" s="1"/>
  <c r="AU158" i="2"/>
  <c r="BE158" i="2" s="1"/>
  <c r="AU145" i="2"/>
  <c r="BE145" i="2" s="1"/>
  <c r="AU130" i="2"/>
  <c r="BE130" i="2" s="1"/>
  <c r="AU117" i="2"/>
  <c r="BE117" i="2" s="1"/>
  <c r="AU104" i="2"/>
  <c r="BE104" i="2" s="1"/>
  <c r="AU92" i="2"/>
  <c r="BE92" i="2" s="1"/>
  <c r="AU82" i="2"/>
  <c r="BE82" i="2" s="1"/>
  <c r="AU70" i="2"/>
  <c r="BE70" i="2" s="1"/>
  <c r="AU59" i="2"/>
  <c r="BE59" i="2" s="1"/>
  <c r="AU49" i="2"/>
  <c r="BE49" i="2" s="1"/>
  <c r="AU37" i="2"/>
  <c r="BE37" i="2" s="1"/>
  <c r="AU23" i="2"/>
  <c r="BE23" i="2" s="1"/>
  <c r="AU12" i="2"/>
  <c r="BE12" i="2" s="1"/>
  <c r="AM256" i="2"/>
  <c r="AS256" i="2" s="1"/>
  <c r="AM242" i="2"/>
  <c r="AS242" i="2" s="1"/>
  <c r="AM226" i="2"/>
  <c r="AS226" i="2" s="1"/>
  <c r="AM213" i="2"/>
  <c r="AS213" i="2" s="1"/>
  <c r="AM198" i="2"/>
  <c r="AS198" i="2" s="1"/>
  <c r="AM185" i="2"/>
  <c r="AS185" i="2" s="1"/>
  <c r="AM169" i="2"/>
  <c r="AS169" i="2" s="1"/>
  <c r="AM161" i="2"/>
  <c r="AS161" i="2" s="1"/>
  <c r="AM152" i="2"/>
  <c r="AS152" i="2" s="1"/>
  <c r="AM142" i="2"/>
  <c r="AS142" i="2" s="1"/>
  <c r="AM130" i="2"/>
  <c r="AS130" i="2" s="1"/>
  <c r="AM121" i="2"/>
  <c r="AS121" i="2" s="1"/>
  <c r="AM109" i="2"/>
  <c r="AS109" i="2" s="1"/>
  <c r="AM100" i="2"/>
  <c r="AS100" i="2" s="1"/>
  <c r="AM92" i="2"/>
  <c r="AS92" i="2" s="1"/>
  <c r="AM84" i="2"/>
  <c r="AS84" i="2" s="1"/>
  <c r="AM77" i="2"/>
  <c r="AS77" i="2" s="1"/>
  <c r="AM70" i="2"/>
  <c r="AS70" i="2" s="1"/>
  <c r="AM62" i="2"/>
  <c r="AS62" i="2" s="1"/>
  <c r="AM54" i="2"/>
  <c r="AS54" i="2" s="1"/>
  <c r="AM45" i="2"/>
  <c r="AS45" i="2" s="1"/>
  <c r="AM37" i="2"/>
  <c r="AS37" i="2" s="1"/>
  <c r="AM26" i="2"/>
  <c r="AS26" i="2" s="1"/>
  <c r="AM17" i="2"/>
  <c r="AS17" i="2" s="1"/>
  <c r="AM9" i="2"/>
  <c r="AS9" i="2" s="1"/>
  <c r="AG226" i="2"/>
  <c r="AK226" i="2" s="1"/>
  <c r="AG216" i="2"/>
  <c r="AK216" i="2" s="1"/>
  <c r="AG204" i="2"/>
  <c r="AK204" i="2" s="1"/>
  <c r="AG194" i="2"/>
  <c r="AK194" i="2" s="1"/>
  <c r="AG183" i="2"/>
  <c r="AK183" i="2" s="1"/>
  <c r="AG167" i="2"/>
  <c r="AK167" i="2" s="1"/>
  <c r="AG158" i="2"/>
  <c r="AK158" i="2" s="1"/>
  <c r="AG150" i="2"/>
  <c r="AK150" i="2" s="1"/>
  <c r="AG139" i="2"/>
  <c r="AK139" i="2" s="1"/>
  <c r="AG127" i="2"/>
  <c r="AK127" i="2" s="1"/>
  <c r="AG117" i="2"/>
  <c r="AK117" i="2" s="1"/>
  <c r="AG107" i="2"/>
  <c r="AK107" i="2" s="1"/>
  <c r="AG98" i="2"/>
  <c r="AK98" i="2" s="1"/>
  <c r="AG90" i="2"/>
  <c r="AK90" i="2" s="1"/>
  <c r="AG82" i="2"/>
  <c r="AK82" i="2" s="1"/>
  <c r="AG73" i="2"/>
  <c r="AK73" i="2" s="1"/>
  <c r="AG65" i="2"/>
  <c r="AK65" i="2" s="1"/>
  <c r="AG57" i="2"/>
  <c r="AK57" i="2" s="1"/>
  <c r="AG49" i="2"/>
  <c r="AK49" i="2" s="1"/>
  <c r="AG40" i="2"/>
  <c r="AK40" i="2" s="1"/>
  <c r="AG30" i="2"/>
  <c r="AK30" i="2" s="1"/>
  <c r="AG20" i="2"/>
  <c r="AK20" i="2" s="1"/>
  <c r="AG12" i="2"/>
  <c r="AK12" i="2" s="1"/>
  <c r="CD60" i="2"/>
  <c r="CI60" i="2" s="1"/>
  <c r="AM85" i="2"/>
  <c r="AS85" i="2" s="1"/>
  <c r="AM101" i="2"/>
  <c r="AS101" i="2" s="1"/>
  <c r="AM122" i="2"/>
  <c r="AS122" i="2" s="1"/>
  <c r="CD143" i="2"/>
  <c r="CI143" i="2" s="1"/>
  <c r="AM162" i="2"/>
  <c r="AS162" i="2" s="1"/>
  <c r="AM186" i="2"/>
  <c r="AS186" i="2" s="1"/>
  <c r="AM215" i="2"/>
  <c r="AS215" i="2" s="1"/>
  <c r="BN243" i="2"/>
  <c r="CB243" i="2" s="1"/>
  <c r="BN249" i="2"/>
  <c r="CB249" i="2" s="1"/>
  <c r="BG259" i="2"/>
  <c r="BN263" i="2"/>
  <c r="CB263" i="2" s="1"/>
  <c r="AM263" i="2"/>
  <c r="AS263" i="2" s="1"/>
  <c r="BG275" i="2"/>
  <c r="BL275" i="2" s="1"/>
  <c r="AG267" i="2"/>
  <c r="AK267" i="2" s="1"/>
  <c r="CD254" i="2"/>
  <c r="CI254" i="2" s="1"/>
  <c r="AM12" i="2"/>
  <c r="AS12" i="2" s="1"/>
  <c r="AM16" i="2"/>
  <c r="AS16" i="2" s="1"/>
  <c r="AM20" i="2"/>
  <c r="AS20" i="2" s="1"/>
  <c r="AU25" i="2"/>
  <c r="BE25" i="2" s="1"/>
  <c r="AM36" i="2"/>
  <c r="AS36" i="2" s="1"/>
  <c r="AU40" i="2"/>
  <c r="BE40" i="2" s="1"/>
  <c r="BN44" i="2"/>
  <c r="CB44" i="2" s="1"/>
  <c r="AM49" i="2"/>
  <c r="AS49" i="2" s="1"/>
  <c r="BG57" i="2"/>
  <c r="BL57" i="2" s="1"/>
  <c r="BN61" i="2"/>
  <c r="CB61" i="2" s="1"/>
  <c r="CD65" i="2"/>
  <c r="CI65" i="2" s="1"/>
  <c r="CD73" i="2"/>
  <c r="CI73" i="2" s="1"/>
  <c r="AM73" i="2"/>
  <c r="AS73" i="2" s="1"/>
  <c r="AU78" i="2"/>
  <c r="BE78" i="2" s="1"/>
  <c r="BN90" i="2"/>
  <c r="CB90" i="2" s="1"/>
  <c r="CD90" i="2"/>
  <c r="CI90" i="2" s="1"/>
  <c r="AU94" i="2"/>
  <c r="BE94" i="2" s="1"/>
  <c r="CD102" i="2"/>
  <c r="CI102" i="2" s="1"/>
  <c r="AU107" i="2"/>
  <c r="BE107" i="2" s="1"/>
  <c r="BG113" i="2"/>
  <c r="BL113" i="2" s="1"/>
  <c r="BN123" i="2"/>
  <c r="CB123" i="2" s="1"/>
  <c r="CD127" i="2"/>
  <c r="CI127" i="2" s="1"/>
  <c r="BN135" i="2"/>
  <c r="CB135" i="2" s="1"/>
  <c r="AU135" i="2"/>
  <c r="BE135" i="2" s="1"/>
  <c r="CD144" i="2"/>
  <c r="CI144" i="2" s="1"/>
  <c r="BG150" i="2"/>
  <c r="BL150" i="2" s="1"/>
  <c r="AM154" i="2"/>
  <c r="AS154" i="2" s="1"/>
  <c r="AM158" i="2"/>
  <c r="AS158" i="2" s="1"/>
  <c r="AM163" i="2"/>
  <c r="AS163" i="2" s="1"/>
  <c r="AM167" i="2"/>
  <c r="AS167" i="2" s="1"/>
  <c r="BG174" i="2"/>
  <c r="BL174" i="2" s="1"/>
  <c r="CD183" i="2"/>
  <c r="CI183" i="2" s="1"/>
  <c r="BN194" i="2"/>
  <c r="CB194" i="2" s="1"/>
  <c r="AM194" i="2"/>
  <c r="AS194" i="2" s="1"/>
  <c r="AU199" i="2"/>
  <c r="BE199" i="2" s="1"/>
  <c r="BN212" i="2"/>
  <c r="CB212" i="2" s="1"/>
  <c r="AU216" i="2"/>
  <c r="BE216" i="2" s="1"/>
  <c r="AU221" i="2"/>
  <c r="BE221" i="2" s="1"/>
  <c r="BG226" i="2"/>
  <c r="BL226" i="2" s="1"/>
  <c r="BG240" i="2"/>
  <c r="BL240" i="2" s="1"/>
  <c r="AU244" i="2"/>
  <c r="BE244" i="2" s="1"/>
  <c r="AU250" i="2"/>
  <c r="BE250" i="2" s="1"/>
  <c r="BG256" i="2"/>
  <c r="BL256" i="2" s="1"/>
  <c r="CD264" i="2"/>
  <c r="CI264" i="2" s="1"/>
  <c r="BN271" i="2"/>
  <c r="CB271" i="2" s="1"/>
  <c r="BN280" i="2"/>
  <c r="CB280" i="2" s="1"/>
  <c r="AG250" i="2"/>
  <c r="AK250" i="2" s="1"/>
  <c r="AM260" i="2"/>
  <c r="AS260" i="2" s="1"/>
  <c r="AU86" i="2"/>
  <c r="BE86" i="2" s="1"/>
  <c r="AU240" i="2"/>
  <c r="BE240" i="2" s="1"/>
  <c r="BG102" i="2"/>
  <c r="BL102" i="2" s="1"/>
  <c r="BG267" i="2"/>
  <c r="BL267" i="2" s="1"/>
  <c r="CD20" i="2"/>
  <c r="CI20" i="2" s="1"/>
  <c r="CD188" i="2"/>
  <c r="CI188" i="2" s="1"/>
  <c r="BG9" i="2"/>
  <c r="BL9" i="2" s="1"/>
  <c r="BN13" i="2"/>
  <c r="CB13" i="2" s="1"/>
  <c r="CD22" i="2"/>
  <c r="CI22" i="2" s="1"/>
  <c r="BN26" i="2"/>
  <c r="CB26" i="2" s="1"/>
  <c r="BG32" i="2"/>
  <c r="BL32" i="2" s="1"/>
  <c r="BN37" i="2"/>
  <c r="CB37" i="2" s="1"/>
  <c r="BN45" i="2"/>
  <c r="CB45" i="2" s="1"/>
  <c r="BG50" i="2"/>
  <c r="BL50" i="2" s="1"/>
  <c r="BN54" i="2"/>
  <c r="CB54" i="2" s="1"/>
  <c r="BN62" i="2"/>
  <c r="CB62" i="2" s="1"/>
  <c r="BG66" i="2"/>
  <c r="BL66" i="2" s="1"/>
  <c r="BG70" i="2"/>
  <c r="BL70" i="2" s="1"/>
  <c r="CD79" i="2"/>
  <c r="CI79" i="2" s="1"/>
  <c r="CD83" i="2"/>
  <c r="CI83" i="2" s="1"/>
  <c r="CD87" i="2"/>
  <c r="CI87" i="2" s="1"/>
  <c r="BN91" i="2"/>
  <c r="CB91" i="2" s="1"/>
  <c r="AU95" i="2"/>
  <c r="BE95" i="2" s="1"/>
  <c r="CD104" i="2"/>
  <c r="CI104" i="2" s="1"/>
  <c r="BG108" i="2"/>
  <c r="BL108" i="2" s="1"/>
  <c r="AU114" i="2"/>
  <c r="BE114" i="2" s="1"/>
  <c r="AU119" i="2"/>
  <c r="BE119" i="2" s="1"/>
  <c r="BN128" i="2"/>
  <c r="CB128" i="2" s="1"/>
  <c r="CD136" i="2"/>
  <c r="CI136" i="2" s="1"/>
  <c r="CD140" i="2"/>
  <c r="CI140" i="2" s="1"/>
  <c r="CD145" i="2"/>
  <c r="CI145" i="2" s="1"/>
  <c r="BG151" i="2"/>
  <c r="BL151" i="2" s="1"/>
  <c r="AU155" i="2"/>
  <c r="BE155" i="2" s="1"/>
  <c r="AU159" i="2"/>
  <c r="BE159" i="2" s="1"/>
  <c r="BN168" i="2"/>
  <c r="CB168" i="2" s="1"/>
  <c r="CD175" i="2"/>
  <c r="CI175" i="2" s="1"/>
  <c r="CD184" i="2"/>
  <c r="CI184" i="2" s="1"/>
  <c r="BG189" i="2"/>
  <c r="BL189" i="2" s="1"/>
  <c r="CD200" i="2"/>
  <c r="CI200" i="2" s="1"/>
  <c r="CD218" i="2"/>
  <c r="CI218" i="2" s="1"/>
  <c r="CD227" i="2"/>
  <c r="CI227" i="2" s="1"/>
  <c r="BN231" i="2"/>
  <c r="CB231" i="2" s="1"/>
  <c r="AG8" i="2"/>
  <c r="AK8" i="2" s="1"/>
  <c r="AG44" i="2"/>
  <c r="AK44" i="2" s="1"/>
  <c r="AG78" i="2"/>
  <c r="AK78" i="2" s="1"/>
  <c r="AG113" i="2"/>
  <c r="AK113" i="2" s="1"/>
  <c r="AG154" i="2"/>
  <c r="AK154" i="2" s="1"/>
  <c r="AG199" i="2"/>
  <c r="AK199" i="2" s="1"/>
  <c r="AG243" i="2"/>
  <c r="AK243" i="2" s="1"/>
  <c r="AM13" i="2"/>
  <c r="AS13" i="2" s="1"/>
  <c r="AM50" i="2"/>
  <c r="AS50" i="2" s="1"/>
  <c r="AM204" i="2"/>
  <c r="AS204" i="2" s="1"/>
  <c r="AU30" i="2"/>
  <c r="BE30" i="2" s="1"/>
  <c r="AU98" i="2"/>
  <c r="BE98" i="2" s="1"/>
  <c r="AU183" i="2"/>
  <c r="BE183" i="2" s="1"/>
  <c r="AU267" i="2"/>
  <c r="BE267" i="2" s="1"/>
  <c r="BG117" i="2"/>
  <c r="BL117" i="2" s="1"/>
  <c r="BG254" i="2"/>
  <c r="BL254" i="2" s="1"/>
  <c r="BN50" i="2"/>
  <c r="CB50" i="2" s="1"/>
  <c r="CD86" i="2"/>
  <c r="CI86" i="2" s="1"/>
  <c r="AG6" i="2"/>
  <c r="AK6" i="2" s="1"/>
  <c r="CD14" i="2"/>
  <c r="CI14" i="2" s="1"/>
  <c r="BG14" i="2"/>
  <c r="BL14" i="2" s="1"/>
  <c r="AU18" i="2"/>
  <c r="BE18" i="2" s="1"/>
  <c r="BG27" i="2"/>
  <c r="BL27" i="2" s="1"/>
  <c r="BN33" i="2"/>
  <c r="CB33" i="2" s="1"/>
  <c r="CD38" i="2"/>
  <c r="CI38" i="2" s="1"/>
  <c r="CD42" i="2"/>
  <c r="CI42" i="2" s="1"/>
  <c r="BG46" i="2"/>
  <c r="BL46" i="2" s="1"/>
  <c r="AU51" i="2"/>
  <c r="BE51" i="2" s="1"/>
  <c r="BN59" i="2"/>
  <c r="CB59" i="2" s="1"/>
  <c r="BN88" i="2"/>
  <c r="CB88" i="2" s="1"/>
  <c r="BG121" i="2"/>
  <c r="BL121" i="2" s="1"/>
  <c r="BG161" i="2"/>
  <c r="BL161" i="2" s="1"/>
  <c r="AU232" i="2"/>
  <c r="BE232" i="2" s="1"/>
  <c r="AG9" i="2"/>
  <c r="AK9" i="2" s="1"/>
  <c r="AG45" i="2"/>
  <c r="AK45" i="2" s="1"/>
  <c r="AG79" i="2"/>
  <c r="AK79" i="2" s="1"/>
  <c r="AG114" i="2"/>
  <c r="AK114" i="2" s="1"/>
  <c r="AG155" i="2"/>
  <c r="AK155" i="2" s="1"/>
  <c r="AG200" i="2"/>
  <c r="AK200" i="2" s="1"/>
  <c r="AG244" i="2"/>
  <c r="AK244" i="2" s="1"/>
  <c r="AM14" i="2"/>
  <c r="AS14" i="2" s="1"/>
  <c r="AM51" i="2"/>
  <c r="AS51" i="2" s="1"/>
  <c r="AM108" i="2"/>
  <c r="AS108" i="2" s="1"/>
  <c r="AM151" i="2"/>
  <c r="AS151" i="2" s="1"/>
  <c r="AM196" i="2"/>
  <c r="AS196" i="2" s="1"/>
  <c r="AU10" i="2"/>
  <c r="BE10" i="2" s="1"/>
  <c r="AU58" i="2"/>
  <c r="BE58" i="2" s="1"/>
  <c r="AU128" i="2"/>
  <c r="BE128" i="2" s="1"/>
  <c r="AU218" i="2"/>
  <c r="BE218" i="2" s="1"/>
  <c r="BG16" i="2"/>
  <c r="BL16" i="2" s="1"/>
  <c r="BG123" i="2"/>
  <c r="BL123" i="2" s="1"/>
  <c r="BG260" i="2"/>
  <c r="BL260" i="2" s="1"/>
  <c r="BN70" i="2"/>
  <c r="CB70" i="2" s="1"/>
  <c r="CD98" i="2"/>
  <c r="CI98" i="2" s="1"/>
  <c r="AM89" i="2"/>
  <c r="AS89" i="2" s="1"/>
  <c r="AM143" i="2"/>
  <c r="AS143" i="2" s="1"/>
  <c r="AU165" i="2"/>
  <c r="BE165" i="2" s="1"/>
  <c r="CD55" i="2"/>
  <c r="CI55" i="2" s="1"/>
  <c r="BN67" i="2"/>
  <c r="CB67" i="2" s="1"/>
  <c r="CD84" i="2"/>
  <c r="CI84" i="2" s="1"/>
  <c r="CD96" i="2"/>
  <c r="CI96" i="2" s="1"/>
  <c r="CD109" i="2"/>
  <c r="CI109" i="2" s="1"/>
  <c r="BN121" i="2"/>
  <c r="CB121" i="2" s="1"/>
  <c r="CD137" i="2"/>
  <c r="CI137" i="2" s="1"/>
  <c r="CD152" i="2"/>
  <c r="CI152" i="2" s="1"/>
  <c r="CD161" i="2"/>
  <c r="CI161" i="2" s="1"/>
  <c r="BN169" i="2"/>
  <c r="CB169" i="2" s="1"/>
  <c r="BN185" i="2"/>
  <c r="CB185" i="2" s="1"/>
  <c r="CD197" i="2"/>
  <c r="CI197" i="2" s="1"/>
  <c r="CD202" i="2"/>
  <c r="CI202" i="2" s="1"/>
  <c r="CD209" i="2"/>
  <c r="CI209" i="2" s="1"/>
  <c r="BN219" i="2"/>
  <c r="CB219" i="2" s="1"/>
  <c r="BG224" i="2"/>
  <c r="BL224" i="2" s="1"/>
  <c r="BG228" i="2"/>
  <c r="BL228" i="2" s="1"/>
  <c r="AM232" i="2"/>
  <c r="AS232" i="2" s="1"/>
  <c r="AM241" i="2"/>
  <c r="AS241" i="2" s="1"/>
  <c r="AM246" i="2"/>
  <c r="AS246" i="2" s="1"/>
  <c r="AM251" i="2"/>
  <c r="AS251" i="2" s="1"/>
  <c r="CD261" i="2"/>
  <c r="CI261" i="2" s="1"/>
  <c r="CD265" i="2"/>
  <c r="CI265" i="2" s="1"/>
  <c r="BN272" i="2"/>
  <c r="CB272" i="2" s="1"/>
  <c r="AG59" i="2"/>
  <c r="AK59" i="2" s="1"/>
  <c r="AG75" i="2"/>
  <c r="AK75" i="2" s="1"/>
  <c r="AG92" i="2"/>
  <c r="AK92" i="2" s="1"/>
  <c r="AG109" i="2"/>
  <c r="AK109" i="2" s="1"/>
  <c r="AG130" i="2"/>
  <c r="AK130" i="2" s="1"/>
  <c r="AG152" i="2"/>
  <c r="AK152" i="2" s="1"/>
  <c r="AG169" i="2"/>
  <c r="AK169" i="2" s="1"/>
  <c r="AG197" i="2"/>
  <c r="AK197" i="2" s="1"/>
  <c r="AG219" i="2"/>
  <c r="AK219" i="2" s="1"/>
  <c r="AG241" i="2"/>
  <c r="AK241" i="2" s="1"/>
  <c r="AG261" i="2"/>
  <c r="AK261" i="2" s="1"/>
  <c r="AU7" i="2"/>
  <c r="BE7" i="2" s="1"/>
  <c r="BN15" i="2"/>
  <c r="CB15" i="2" s="1"/>
  <c r="BN19" i="2"/>
  <c r="CB19" i="2" s="1"/>
  <c r="CD28" i="2"/>
  <c r="CI28" i="2" s="1"/>
  <c r="AU34" i="2"/>
  <c r="BE34" i="2" s="1"/>
  <c r="BN43" i="2"/>
  <c r="CB43" i="2" s="1"/>
  <c r="AU48" i="2"/>
  <c r="BE48" i="2" s="1"/>
  <c r="CD56" i="2"/>
  <c r="CI56" i="2" s="1"/>
  <c r="AU60" i="2"/>
  <c r="BE60" i="2" s="1"/>
  <c r="BN68" i="2"/>
  <c r="CB68" i="2" s="1"/>
  <c r="AU72" i="2"/>
  <c r="BE72" i="2" s="1"/>
  <c r="BN81" i="2"/>
  <c r="CB81" i="2" s="1"/>
  <c r="AU85" i="2"/>
  <c r="BE85" i="2" s="1"/>
  <c r="BN93" i="2"/>
  <c r="CB93" i="2" s="1"/>
  <c r="AU97" i="2"/>
  <c r="BE97" i="2" s="1"/>
  <c r="BN106" i="2"/>
  <c r="CB106" i="2" s="1"/>
  <c r="CD116" i="2"/>
  <c r="CI116" i="2" s="1"/>
  <c r="CD126" i="2"/>
  <c r="CI126" i="2" s="1"/>
  <c r="CD138" i="2"/>
  <c r="CI138" i="2" s="1"/>
  <c r="CD147" i="2"/>
  <c r="CI147" i="2" s="1"/>
  <c r="AU157" i="2"/>
  <c r="BE157" i="2" s="1"/>
  <c r="BN166" i="2"/>
  <c r="CB166" i="2" s="1"/>
  <c r="AU182" i="2"/>
  <c r="BE182" i="2" s="1"/>
  <c r="CD192" i="2"/>
  <c r="CI192" i="2" s="1"/>
  <c r="AU203" i="2"/>
  <c r="BE203" i="2" s="1"/>
  <c r="CD215" i="2"/>
  <c r="CI215" i="2" s="1"/>
  <c r="CD225" i="2"/>
  <c r="CI225" i="2" s="1"/>
  <c r="AU229" i="2"/>
  <c r="BE229" i="2" s="1"/>
  <c r="CD252" i="2"/>
  <c r="CI252" i="2" s="1"/>
  <c r="BN258" i="2"/>
  <c r="CB258" i="2" s="1"/>
  <c r="AU266" i="2"/>
  <c r="BE266" i="2" s="1"/>
  <c r="AG7" i="2"/>
  <c r="AK7" i="2" s="1"/>
  <c r="AG24" i="2"/>
  <c r="AK24" i="2" s="1"/>
  <c r="AG43" i="2"/>
  <c r="AK43" i="2" s="1"/>
  <c r="AG60" i="2"/>
  <c r="AK60" i="2" s="1"/>
  <c r="AG77" i="2"/>
  <c r="AK77" i="2" s="1"/>
  <c r="AG93" i="2"/>
  <c r="AK93" i="2" s="1"/>
  <c r="AG110" i="2"/>
  <c r="AK110" i="2" s="1"/>
  <c r="AG131" i="2"/>
  <c r="AK131" i="2" s="1"/>
  <c r="AG153" i="2"/>
  <c r="AK153" i="2" s="1"/>
  <c r="AG172" i="2"/>
  <c r="AK172" i="2" s="1"/>
  <c r="AG198" i="2"/>
  <c r="AK198" i="2" s="1"/>
  <c r="AG220" i="2"/>
  <c r="AK220" i="2" s="1"/>
  <c r="AG247" i="2"/>
  <c r="AK247" i="2" s="1"/>
  <c r="AG266" i="2"/>
  <c r="AK266" i="2" s="1"/>
  <c r="AM252" i="2"/>
  <c r="AS252" i="2" s="1"/>
  <c r="AU100" i="2"/>
  <c r="BE100" i="2" s="1"/>
  <c r="AU185" i="2"/>
  <c r="BE185" i="2" s="1"/>
  <c r="AU272" i="2"/>
  <c r="BE272" i="2" s="1"/>
  <c r="BG63" i="2"/>
  <c r="BL63" i="2" s="1"/>
  <c r="BG96" i="2"/>
  <c r="BL96" i="2" s="1"/>
  <c r="BG137" i="2"/>
  <c r="BL137" i="2" s="1"/>
  <c r="BG182" i="2"/>
  <c r="BL182" i="2" s="1"/>
  <c r="BN75" i="2"/>
  <c r="CB75" i="2" s="1"/>
  <c r="BN153" i="2"/>
  <c r="CB153" i="2" s="1"/>
  <c r="BN232" i="2"/>
  <c r="CB232" i="2" s="1"/>
  <c r="CD93" i="2"/>
  <c r="CI93" i="2" s="1"/>
  <c r="AG123" i="2"/>
  <c r="AK123" i="2" s="1"/>
  <c r="BN14" i="2"/>
  <c r="CB14" i="2" s="1"/>
  <c r="CD23" i="2"/>
  <c r="CI23" i="2" s="1"/>
  <c r="AG27" i="2"/>
  <c r="AK27" i="2" s="1"/>
  <c r="BN38" i="2"/>
  <c r="CB38" i="2" s="1"/>
  <c r="AG42" i="2"/>
  <c r="AK42" i="2" s="1"/>
  <c r="AG51" i="2"/>
  <c r="AK51" i="2" s="1"/>
  <c r="BG67" i="2"/>
  <c r="BL67" i="2" s="1"/>
  <c r="BN96" i="2"/>
  <c r="CB96" i="2" s="1"/>
  <c r="BN165" i="2"/>
  <c r="CB165" i="2" s="1"/>
  <c r="CD242" i="2"/>
  <c r="CI242" i="2" s="1"/>
  <c r="AG17" i="2"/>
  <c r="AK17" i="2" s="1"/>
  <c r="AG54" i="2"/>
  <c r="AK54" i="2" s="1"/>
  <c r="AG87" i="2"/>
  <c r="AK87" i="2" s="1"/>
  <c r="AG164" i="2"/>
  <c r="AK164" i="2" s="1"/>
  <c r="AG213" i="2"/>
  <c r="AK213" i="2" s="1"/>
  <c r="AG256" i="2"/>
  <c r="AK256" i="2" s="1"/>
  <c r="AM83" i="2"/>
  <c r="AS83" i="2" s="1"/>
  <c r="AM119" i="2"/>
  <c r="AS119" i="2" s="1"/>
  <c r="AM159" i="2"/>
  <c r="AS159" i="2" s="1"/>
  <c r="AU22" i="2"/>
  <c r="BE22" i="2" s="1"/>
  <c r="AU69" i="2"/>
  <c r="BE69" i="2" s="1"/>
  <c r="AU144" i="2"/>
  <c r="BE144" i="2" s="1"/>
  <c r="AU230" i="2"/>
  <c r="BE230" i="2" s="1"/>
  <c r="BG163" i="2"/>
  <c r="BL163" i="2" s="1"/>
  <c r="BN8" i="2"/>
  <c r="CB8" i="2" s="1"/>
  <c r="BN86" i="2"/>
  <c r="CB86" i="2" s="1"/>
  <c r="CD167" i="2"/>
  <c r="CI167" i="2" s="1"/>
  <c r="AM147" i="2"/>
  <c r="AS147" i="2" s="1"/>
  <c r="AU190" i="2"/>
  <c r="BE190" i="2" s="1"/>
  <c r="CD59" i="2"/>
  <c r="CI59" i="2" s="1"/>
  <c r="CD71" i="2"/>
  <c r="CI71" i="2" s="1"/>
  <c r="CD100" i="2"/>
  <c r="CI100" i="2" s="1"/>
  <c r="CD115" i="2"/>
  <c r="CI115" i="2" s="1"/>
  <c r="CD125" i="2"/>
  <c r="CI125" i="2" s="1"/>
  <c r="CD142" i="2"/>
  <c r="CI142" i="2" s="1"/>
  <c r="BN152" i="2"/>
  <c r="CB152" i="2" s="1"/>
  <c r="CD180" i="2"/>
  <c r="CI180" i="2" s="1"/>
  <c r="BG185" i="2"/>
  <c r="BL185" i="2" s="1"/>
  <c r="BN197" i="2"/>
  <c r="CB197" i="2" s="1"/>
  <c r="BG202" i="2"/>
  <c r="BL202" i="2" s="1"/>
  <c r="BN209" i="2"/>
  <c r="CB209" i="2" s="1"/>
  <c r="BG219" i="2"/>
  <c r="BL219" i="2" s="1"/>
  <c r="AM224" i="2"/>
  <c r="AS224" i="2" s="1"/>
  <c r="AM228" i="2"/>
  <c r="AS228" i="2" s="1"/>
  <c r="CD241" i="2"/>
  <c r="CI241" i="2" s="1"/>
  <c r="CD246" i="2"/>
  <c r="CI246" i="2" s="1"/>
  <c r="CD257" i="2"/>
  <c r="CI257" i="2" s="1"/>
  <c r="BN261" i="2"/>
  <c r="CB261" i="2" s="1"/>
  <c r="BG265" i="2"/>
  <c r="BL265" i="2" s="1"/>
  <c r="BG272" i="2"/>
  <c r="BL272" i="2" s="1"/>
  <c r="AG80" i="2"/>
  <c r="AK80" i="2" s="1"/>
  <c r="AG96" i="2"/>
  <c r="AK96" i="2" s="1"/>
  <c r="AG115" i="2"/>
  <c r="AK115" i="2" s="1"/>
  <c r="AG137" i="2"/>
  <c r="AK137" i="2" s="1"/>
  <c r="AG180" i="2"/>
  <c r="AK180" i="2" s="1"/>
  <c r="AG202" i="2"/>
  <c r="AK202" i="2" s="1"/>
  <c r="AG224" i="2"/>
  <c r="AK224" i="2" s="1"/>
  <c r="AG265" i="2"/>
  <c r="AK265" i="2" s="1"/>
  <c r="CD11" i="2"/>
  <c r="CI11" i="2" s="1"/>
  <c r="AU19" i="2"/>
  <c r="BE19" i="2" s="1"/>
  <c r="BN28" i="2"/>
  <c r="CB28" i="2" s="1"/>
  <c r="AU43" i="2"/>
  <c r="BE43" i="2" s="1"/>
  <c r="BN56" i="2"/>
  <c r="CB56" i="2" s="1"/>
  <c r="CD64" i="2"/>
  <c r="CI64" i="2" s="1"/>
  <c r="BN77" i="2"/>
  <c r="CB77" i="2" s="1"/>
  <c r="AU81" i="2"/>
  <c r="BE81" i="2" s="1"/>
  <c r="CD89" i="2"/>
  <c r="CI89" i="2" s="1"/>
  <c r="BN101" i="2"/>
  <c r="CB101" i="2" s="1"/>
  <c r="AU106" i="2"/>
  <c r="BE106" i="2" s="1"/>
  <c r="AU116" i="2"/>
  <c r="BE116" i="2" s="1"/>
  <c r="AU138" i="2"/>
  <c r="BE138" i="2" s="1"/>
  <c r="AU147" i="2"/>
  <c r="BE147" i="2" s="1"/>
  <c r="CD162" i="2"/>
  <c r="CI162" i="2" s="1"/>
  <c r="AU166" i="2"/>
  <c r="BE166" i="2" s="1"/>
  <c r="AU192" i="2"/>
  <c r="BE192" i="2" s="1"/>
  <c r="CD210" i="2"/>
  <c r="CI210" i="2" s="1"/>
  <c r="BN215" i="2"/>
  <c r="CB215" i="2" s="1"/>
  <c r="AU225" i="2"/>
  <c r="BE225" i="2" s="1"/>
  <c r="BG252" i="2"/>
  <c r="BL252" i="2" s="1"/>
  <c r="AU258" i="2"/>
  <c r="BE258" i="2" s="1"/>
  <c r="BN273" i="2"/>
  <c r="CB273" i="2" s="1"/>
  <c r="AG11" i="2"/>
  <c r="AK11" i="2" s="1"/>
  <c r="AG48" i="2"/>
  <c r="AK48" i="2" s="1"/>
  <c r="AG64" i="2"/>
  <c r="AK64" i="2" s="1"/>
  <c r="AG81" i="2"/>
  <c r="AK81" i="2" s="1"/>
  <c r="AG97" i="2"/>
  <c r="AK97" i="2" s="1"/>
  <c r="AG138" i="2"/>
  <c r="AK138" i="2" s="1"/>
  <c r="AG157" i="2"/>
  <c r="AK157" i="2" s="1"/>
  <c r="AG182" i="2"/>
  <c r="AK182" i="2" s="1"/>
  <c r="AG203" i="2"/>
  <c r="AK203" i="2" s="1"/>
  <c r="AG252" i="2"/>
  <c r="AK252" i="2" s="1"/>
  <c r="AG273" i="2"/>
  <c r="AK273" i="2" s="1"/>
  <c r="AM273" i="2"/>
  <c r="AS273" i="2" s="1"/>
  <c r="AU121" i="2"/>
  <c r="BE121" i="2" s="1"/>
  <c r="BG15" i="2"/>
  <c r="BL15" i="2" s="1"/>
  <c r="BG68" i="2"/>
  <c r="BL68" i="2" s="1"/>
  <c r="BG101" i="2"/>
  <c r="BL101" i="2" s="1"/>
  <c r="BG143" i="2"/>
  <c r="BL143" i="2" s="1"/>
  <c r="BN105" i="2"/>
  <c r="CB105" i="2" s="1"/>
  <c r="BN172" i="2"/>
  <c r="CB172" i="2" s="1"/>
  <c r="BN252" i="2"/>
  <c r="CB252" i="2" s="1"/>
  <c r="CD110" i="2"/>
  <c r="CI110" i="2" s="1"/>
  <c r="BG39" i="2"/>
  <c r="BL39" i="2" s="1"/>
  <c r="AM93" i="2"/>
  <c r="AS93" i="2" s="1"/>
  <c r="AM110" i="2"/>
  <c r="AS110" i="2" s="1"/>
  <c r="BN131" i="2"/>
  <c r="CB131" i="2" s="1"/>
  <c r="AM153" i="2"/>
  <c r="AS153" i="2" s="1"/>
  <c r="AM172" i="2"/>
  <c r="AS172" i="2" s="1"/>
  <c r="BG198" i="2"/>
  <c r="BL198" i="2" s="1"/>
  <c r="BN254" i="2"/>
  <c r="CB254" i="2" s="1"/>
  <c r="BG263" i="2"/>
  <c r="BL263" i="2" s="1"/>
  <c r="AG249" i="2"/>
  <c r="AK249" i="2" s="1"/>
  <c r="AU249" i="2"/>
  <c r="BE249" i="2" s="1"/>
  <c r="BN12" i="2"/>
  <c r="CB12" i="2" s="1"/>
  <c r="AM25" i="2"/>
  <c r="AS25" i="2" s="1"/>
  <c r="BN40" i="2"/>
  <c r="CB40" i="2" s="1"/>
  <c r="AU44" i="2"/>
  <c r="BE44" i="2" s="1"/>
  <c r="AM57" i="2"/>
  <c r="AS57" i="2" s="1"/>
  <c r="BN69" i="2"/>
  <c r="CB69" i="2" s="1"/>
  <c r="AM78" i="2"/>
  <c r="AS78" i="2" s="1"/>
  <c r="BG19" i="2"/>
  <c r="BL19" i="2" s="1"/>
  <c r="BG72" i="2"/>
  <c r="BL72" i="2" s="1"/>
  <c r="BG89" i="2"/>
  <c r="BL89" i="2" s="1"/>
  <c r="BG106" i="2"/>
  <c r="BL106" i="2" s="1"/>
  <c r="BG126" i="2"/>
  <c r="BL126" i="2" s="1"/>
  <c r="BN147" i="2"/>
  <c r="CB147" i="2" s="1"/>
  <c r="BG166" i="2"/>
  <c r="BL166" i="2" s="1"/>
  <c r="AM192" i="2"/>
  <c r="AS192" i="2" s="1"/>
  <c r="CD220" i="2"/>
  <c r="CI220" i="2" s="1"/>
  <c r="CD243" i="2"/>
  <c r="CI243" i="2" s="1"/>
  <c r="BG249" i="2"/>
  <c r="BL249" i="2" s="1"/>
  <c r="AU259" i="2"/>
  <c r="BE259" i="2" s="1"/>
  <c r="BE347" i="2" s="1"/>
  <c r="CD263" i="2"/>
  <c r="CI263" i="2" s="1"/>
  <c r="BN267" i="2"/>
  <c r="CB267" i="2" s="1"/>
  <c r="AM267" i="2"/>
  <c r="AS267" i="2" s="1"/>
  <c r="AM8" i="2"/>
  <c r="AS8" i="2" s="1"/>
  <c r="CD12" i="2"/>
  <c r="CI12" i="2" s="1"/>
  <c r="BN20" i="2"/>
  <c r="CB20" i="2" s="1"/>
  <c r="CD25" i="2"/>
  <c r="CI25" i="2" s="1"/>
  <c r="BN30" i="2"/>
  <c r="CB30" i="2" s="1"/>
  <c r="CD40" i="2"/>
  <c r="CI40" i="2" s="1"/>
  <c r="AM40" i="2"/>
  <c r="AS40" i="2" s="1"/>
  <c r="BG44" i="2"/>
  <c r="BL44" i="2" s="1"/>
  <c r="AM53" i="2"/>
  <c r="AS53" i="2" s="1"/>
  <c r="AU57" i="2"/>
  <c r="BE57" i="2" s="1"/>
  <c r="AM61" i="2"/>
  <c r="AS61" i="2" s="1"/>
  <c r="AM65" i="2"/>
  <c r="AS65" i="2" s="1"/>
  <c r="BN73" i="2"/>
  <c r="CB73" i="2" s="1"/>
  <c r="CD78" i="2"/>
  <c r="CI78" i="2" s="1"/>
  <c r="AM82" i="2"/>
  <c r="AS82" i="2" s="1"/>
  <c r="BG90" i="2"/>
  <c r="BL90" i="2" s="1"/>
  <c r="CD94" i="2"/>
  <c r="CI94" i="2" s="1"/>
  <c r="BN98" i="2"/>
  <c r="CB98" i="2" s="1"/>
  <c r="CD107" i="2"/>
  <c r="CI107" i="2" s="1"/>
  <c r="AM107" i="2"/>
  <c r="AS107" i="2" s="1"/>
  <c r="AU113" i="2"/>
  <c r="BE113" i="2" s="1"/>
  <c r="AM123" i="2"/>
  <c r="AS123" i="2" s="1"/>
  <c r="BG127" i="2"/>
  <c r="BL127" i="2" s="1"/>
  <c r="CD135" i="2"/>
  <c r="CI135" i="2" s="1"/>
  <c r="BN139" i="2"/>
  <c r="CB139" i="2" s="1"/>
  <c r="AM144" i="2"/>
  <c r="AS144" i="2" s="1"/>
  <c r="AU150" i="2"/>
  <c r="BE150" i="2" s="1"/>
  <c r="BG154" i="2"/>
  <c r="BL154" i="2" s="1"/>
  <c r="CD158" i="2"/>
  <c r="CI158" i="2" s="1"/>
  <c r="BN167" i="2"/>
  <c r="CB167" i="2" s="1"/>
  <c r="BN174" i="2"/>
  <c r="CB174" i="2" s="1"/>
  <c r="AU174" i="2"/>
  <c r="BE174" i="2" s="1"/>
  <c r="BN188" i="2"/>
  <c r="CB188" i="2" s="1"/>
  <c r="CD194" i="2"/>
  <c r="CI194" i="2" s="1"/>
  <c r="BN199" i="2"/>
  <c r="CB199" i="2" s="1"/>
  <c r="AM199" i="2"/>
  <c r="AS199" i="2" s="1"/>
  <c r="BG212" i="2"/>
  <c r="BL212" i="2" s="1"/>
  <c r="AM216" i="2"/>
  <c r="AS216" i="2" s="1"/>
  <c r="AM221" i="2"/>
  <c r="AS221" i="2" s="1"/>
  <c r="BN230" i="2"/>
  <c r="CB230" i="2" s="1"/>
  <c r="BN244" i="2"/>
  <c r="CB244" i="2" s="1"/>
  <c r="AM244" i="2"/>
  <c r="AS244" i="2" s="1"/>
  <c r="AM250" i="2"/>
  <c r="AS250" i="2" s="1"/>
  <c r="BN260" i="2"/>
  <c r="CB260" i="2" s="1"/>
  <c r="BG264" i="2"/>
  <c r="BL264" i="2" s="1"/>
  <c r="CD271" i="2"/>
  <c r="CI271" i="2" s="1"/>
  <c r="CD280" i="2"/>
  <c r="CI280" i="2" s="1"/>
  <c r="AG260" i="2"/>
  <c r="AK260" i="2" s="1"/>
  <c r="AM275" i="2"/>
  <c r="AS275" i="2" s="1"/>
  <c r="AU123" i="2"/>
  <c r="BE123" i="2" s="1"/>
  <c r="AU254" i="2"/>
  <c r="BE254" i="2" s="1"/>
  <c r="BG144" i="2"/>
  <c r="BL144" i="2" s="1"/>
  <c r="BN16" i="2"/>
  <c r="CB16" i="2" s="1"/>
  <c r="CD53" i="2"/>
  <c r="CI53" i="2" s="1"/>
  <c r="CD267" i="2"/>
  <c r="CI267" i="2" s="1"/>
  <c r="AU9" i="2"/>
  <c r="BE9" i="2" s="1"/>
  <c r="AU13" i="2"/>
  <c r="BE13" i="2" s="1"/>
  <c r="BG22" i="2"/>
  <c r="BL22" i="2" s="1"/>
  <c r="BG26" i="2"/>
  <c r="BL26" i="2" s="1"/>
  <c r="AU32" i="2"/>
  <c r="BE32" i="2" s="1"/>
  <c r="CD41" i="2"/>
  <c r="CI41" i="2" s="1"/>
  <c r="BG45" i="2"/>
  <c r="BL45" i="2" s="1"/>
  <c r="AU50" i="2"/>
  <c r="BE50" i="2" s="1"/>
  <c r="CD58" i="2"/>
  <c r="CI58" i="2" s="1"/>
  <c r="BG62" i="2"/>
  <c r="BL62" i="2" s="1"/>
  <c r="BN66" i="2"/>
  <c r="CB66" i="2" s="1"/>
  <c r="CD74" i="2"/>
  <c r="CI74" i="2" s="1"/>
  <c r="BN79" i="2"/>
  <c r="CB79" i="2" s="1"/>
  <c r="BG83" i="2"/>
  <c r="BL83" i="2" s="1"/>
  <c r="BG87" i="2"/>
  <c r="BL87" i="2" s="1"/>
  <c r="CD95" i="2"/>
  <c r="CI95" i="2" s="1"/>
  <c r="CD99" i="2"/>
  <c r="CI99" i="2" s="1"/>
  <c r="CI327" i="2" s="1"/>
  <c r="BG104" i="2"/>
  <c r="BL104" i="2" s="1"/>
  <c r="BN114" i="2"/>
  <c r="CB114" i="2" s="1"/>
  <c r="BN119" i="2"/>
  <c r="CB119" i="2" s="1"/>
  <c r="BN124" i="2"/>
  <c r="CB124" i="2" s="1"/>
  <c r="CD128" i="2"/>
  <c r="CI128" i="2" s="1"/>
  <c r="BG136" i="2"/>
  <c r="BL136" i="2" s="1"/>
  <c r="BG140" i="2"/>
  <c r="BL140" i="2" s="1"/>
  <c r="BG145" i="2"/>
  <c r="BL145" i="2" s="1"/>
  <c r="BN155" i="2"/>
  <c r="CB155" i="2" s="1"/>
  <c r="BN159" i="2"/>
  <c r="CB159" i="2" s="1"/>
  <c r="BN164" i="2"/>
  <c r="CB164" i="2" s="1"/>
  <c r="CD168" i="2"/>
  <c r="CI168" i="2" s="1"/>
  <c r="BG175" i="2"/>
  <c r="BL175" i="2" s="1"/>
  <c r="AU184" i="2"/>
  <c r="BE184" i="2" s="1"/>
  <c r="BN196" i="2"/>
  <c r="CB196" i="2" s="1"/>
  <c r="BG200" i="2"/>
  <c r="BL200" i="2" s="1"/>
  <c r="BN213" i="2"/>
  <c r="CB213" i="2" s="1"/>
  <c r="BG218" i="2"/>
  <c r="BL218" i="2" s="1"/>
  <c r="BG227" i="2"/>
  <c r="BL227" i="2" s="1"/>
  <c r="CD231" i="2"/>
  <c r="CI231" i="2" s="1"/>
  <c r="AG16" i="2"/>
  <c r="AK16" i="2" s="1"/>
  <c r="AG53" i="2"/>
  <c r="AK53" i="2" s="1"/>
  <c r="AG86" i="2"/>
  <c r="AK86" i="2" s="1"/>
  <c r="AG163" i="2"/>
  <c r="AK163" i="2" s="1"/>
  <c r="AG212" i="2"/>
  <c r="AK212" i="2" s="1"/>
  <c r="AG254" i="2"/>
  <c r="AK254" i="2" s="1"/>
  <c r="AM22" i="2"/>
  <c r="AS22" i="2" s="1"/>
  <c r="AM58" i="2"/>
  <c r="AS58" i="2" s="1"/>
  <c r="AM231" i="2"/>
  <c r="AS231" i="2" s="1"/>
  <c r="AU54" i="2"/>
  <c r="BE54" i="2" s="1"/>
  <c r="AU124" i="2"/>
  <c r="BE124" i="2" s="1"/>
  <c r="AU213" i="2"/>
  <c r="BE213" i="2" s="1"/>
  <c r="BG12" i="2"/>
  <c r="BL12" i="2" s="1"/>
  <c r="BG158" i="2"/>
  <c r="BL158" i="2" s="1"/>
  <c r="BG271" i="2"/>
  <c r="BL271" i="2" s="1"/>
  <c r="BN65" i="2"/>
  <c r="CB65" i="2" s="1"/>
  <c r="CD117" i="2"/>
  <c r="CI117" i="2" s="1"/>
  <c r="CD10" i="2"/>
  <c r="CI10" i="2" s="1"/>
  <c r="CD18" i="2"/>
  <c r="CI18" i="2" s="1"/>
  <c r="AU33" i="2"/>
  <c r="BE33" i="2" s="1"/>
  <c r="AG46" i="2"/>
  <c r="AK46" i="2" s="1"/>
  <c r="AU125" i="2"/>
  <c r="BE125" i="2" s="1"/>
  <c r="AG124" i="2"/>
  <c r="AK124" i="2" s="1"/>
  <c r="AM23" i="2"/>
  <c r="AS23" i="2" s="1"/>
  <c r="AM212" i="2"/>
  <c r="AS212" i="2" s="1"/>
  <c r="BG42" i="2"/>
  <c r="BL42" i="2" s="1"/>
  <c r="AM106" i="2"/>
  <c r="AS106" i="2" s="1"/>
  <c r="BN84" i="2"/>
  <c r="CB84" i="2" s="1"/>
  <c r="BN161" i="2"/>
  <c r="CB161" i="2" s="1"/>
  <c r="CD251" i="2"/>
  <c r="CI251" i="2" s="1"/>
  <c r="AG63" i="2"/>
  <c r="AK63" i="2" s="1"/>
  <c r="AG156" i="2"/>
  <c r="AK156" i="2" s="1"/>
  <c r="AG246" i="2"/>
  <c r="AK246" i="2" s="1"/>
  <c r="CD15" i="2"/>
  <c r="CI15" i="2" s="1"/>
  <c r="CD39" i="2"/>
  <c r="CI39" i="2" s="1"/>
  <c r="BN52" i="2"/>
  <c r="CB52" i="2" s="1"/>
  <c r="AU68" i="2"/>
  <c r="BE68" i="2" s="1"/>
  <c r="AU93" i="2"/>
  <c r="BE93" i="2" s="1"/>
  <c r="BN126" i="2"/>
  <c r="CB126" i="2" s="1"/>
  <c r="BN186" i="2"/>
  <c r="CB186" i="2" s="1"/>
  <c r="AU242" i="2"/>
  <c r="BE242" i="2" s="1"/>
  <c r="AG28" i="2"/>
  <c r="AK28" i="2" s="1"/>
  <c r="AG116" i="2"/>
  <c r="AK116" i="2" s="1"/>
  <c r="AG225" i="2"/>
  <c r="AK225" i="2" s="1"/>
  <c r="AU209" i="2"/>
  <c r="BE209" i="2" s="1"/>
  <c r="BG220" i="2"/>
  <c r="BL220" i="2" s="1"/>
  <c r="CD77" i="2"/>
  <c r="CI77" i="2" s="1"/>
  <c r="BN225" i="2"/>
  <c r="CB225" i="2" s="1"/>
  <c r="AU243" i="2"/>
  <c r="BE243" i="2" s="1"/>
  <c r="AM259" i="2"/>
  <c r="AS259" i="2" s="1"/>
  <c r="BN275" i="2"/>
  <c r="CB275" i="2" s="1"/>
  <c r="BG8" i="2"/>
  <c r="BL8" i="2" s="1"/>
  <c r="BG20" i="2"/>
  <c r="BL20" i="2" s="1"/>
  <c r="AM30" i="2"/>
  <c r="AS30" i="2" s="1"/>
  <c r="AM44" i="2"/>
  <c r="AS44" i="2" s="1"/>
  <c r="BN53" i="2"/>
  <c r="CB53" i="2" s="1"/>
  <c r="BG61" i="2"/>
  <c r="BL61" i="2" s="1"/>
  <c r="BG73" i="2"/>
  <c r="BL73" i="2" s="1"/>
  <c r="BG56" i="2"/>
  <c r="BL56" i="2" s="1"/>
  <c r="AM138" i="2"/>
  <c r="AS138" i="2" s="1"/>
  <c r="CD259" i="2"/>
  <c r="CI259" i="2" s="1"/>
  <c r="CI347" i="2" s="1"/>
  <c r="BG243" i="2"/>
  <c r="BL243" i="2" s="1"/>
  <c r="BG25" i="2"/>
  <c r="BL25" i="2" s="1"/>
  <c r="CD49" i="2"/>
  <c r="CI49" i="2" s="1"/>
  <c r="AM69" i="2"/>
  <c r="AS69" i="2" s="1"/>
  <c r="AM86" i="2"/>
  <c r="AS86" i="2" s="1"/>
  <c r="BG94" i="2"/>
  <c r="BL94" i="2" s="1"/>
  <c r="BG107" i="2"/>
  <c r="BL107" i="2" s="1"/>
  <c r="AM117" i="2"/>
  <c r="AS117" i="2" s="1"/>
  <c r="AM127" i="2"/>
  <c r="AS127" i="2" s="1"/>
  <c r="BN144" i="2"/>
  <c r="CB144" i="2" s="1"/>
  <c r="BN154" i="2"/>
  <c r="CB154" i="2" s="1"/>
  <c r="CD163" i="2"/>
  <c r="CI163" i="2" s="1"/>
  <c r="AM174" i="2"/>
  <c r="AS174" i="2" s="1"/>
  <c r="BG188" i="2"/>
  <c r="BL188" i="2" s="1"/>
  <c r="CD199" i="2"/>
  <c r="CI199" i="2" s="1"/>
  <c r="BG216" i="2"/>
  <c r="BL216" i="2" s="1"/>
  <c r="CD226" i="2"/>
  <c r="CI226" i="2" s="1"/>
  <c r="BG244" i="2"/>
  <c r="BL244" i="2" s="1"/>
  <c r="CD256" i="2"/>
  <c r="CI256" i="2" s="1"/>
  <c r="AM264" i="2"/>
  <c r="AS264" i="2" s="1"/>
  <c r="AG240" i="2"/>
  <c r="AK240" i="2" s="1"/>
  <c r="AU53" i="2"/>
  <c r="BE53" i="2" s="1"/>
  <c r="BG69" i="2"/>
  <c r="BL69" i="2" s="1"/>
  <c r="BN78" i="2"/>
  <c r="CB78" i="2" s="1"/>
  <c r="BN9" i="2"/>
  <c r="CB9" i="2" s="1"/>
  <c r="BG17" i="2"/>
  <c r="BL17" i="2" s="1"/>
  <c r="CD32" i="2"/>
  <c r="CI32" i="2" s="1"/>
  <c r="CD45" i="2"/>
  <c r="CI45" i="2" s="1"/>
  <c r="BG54" i="2"/>
  <c r="BL54" i="2" s="1"/>
  <c r="CD66" i="2"/>
  <c r="CI66" i="2" s="1"/>
  <c r="BN74" i="2"/>
  <c r="CB74" i="2" s="1"/>
  <c r="AU83" i="2"/>
  <c r="BE83" i="2" s="1"/>
  <c r="BG95" i="2"/>
  <c r="BL95" i="2" s="1"/>
  <c r="CD108" i="2"/>
  <c r="CI108" i="2" s="1"/>
  <c r="BG119" i="2"/>
  <c r="BL119" i="2" s="1"/>
  <c r="BN136" i="2"/>
  <c r="CB136" i="2" s="1"/>
  <c r="BN145" i="2"/>
  <c r="CB145" i="2" s="1"/>
  <c r="BG155" i="2"/>
  <c r="BL155" i="2" s="1"/>
  <c r="BG164" i="2"/>
  <c r="BL164" i="2" s="1"/>
  <c r="BN184" i="2"/>
  <c r="CB184" i="2" s="1"/>
  <c r="BN200" i="2"/>
  <c r="CB200" i="2" s="1"/>
  <c r="AM227" i="2"/>
  <c r="AS227" i="2" s="1"/>
  <c r="AG36" i="2"/>
  <c r="AK36" i="2" s="1"/>
  <c r="AG102" i="2"/>
  <c r="AK102" i="2" s="1"/>
  <c r="AG188" i="2"/>
  <c r="AK188" i="2" s="1"/>
  <c r="AG275" i="2"/>
  <c r="AK275" i="2" s="1"/>
  <c r="AM74" i="2"/>
  <c r="AS74" i="2" s="1"/>
  <c r="AU87" i="2"/>
  <c r="BE87" i="2" s="1"/>
  <c r="AU256" i="2"/>
  <c r="BE256" i="2" s="1"/>
  <c r="BG231" i="2"/>
  <c r="BL231" i="2" s="1"/>
  <c r="CD57" i="2"/>
  <c r="CI57" i="2" s="1"/>
  <c r="AG10" i="2"/>
  <c r="AK10" i="2" s="1"/>
  <c r="BN18" i="2"/>
  <c r="CB18" i="2" s="1"/>
  <c r="CD33" i="2"/>
  <c r="CI33" i="2" s="1"/>
  <c r="AU38" i="2"/>
  <c r="BE38" i="2" s="1"/>
  <c r="BN51" i="2"/>
  <c r="CB51" i="2" s="1"/>
  <c r="BG84" i="2"/>
  <c r="BL84" i="2" s="1"/>
  <c r="AU146" i="2"/>
  <c r="BE146" i="2" s="1"/>
  <c r="AM258" i="2"/>
  <c r="AS258" i="2" s="1"/>
  <c r="AG70" i="2"/>
  <c r="AK70" i="2" s="1"/>
  <c r="AG145" i="2"/>
  <c r="AK145" i="2" s="1"/>
  <c r="AG231" i="2"/>
  <c r="AK231" i="2" s="1"/>
  <c r="AM42" i="2"/>
  <c r="AS42" i="2" s="1"/>
  <c r="AM140" i="2"/>
  <c r="AS140" i="2" s="1"/>
  <c r="AM254" i="2"/>
  <c r="AS254" i="2" s="1"/>
  <c r="AU102" i="2"/>
  <c r="BE102" i="2" s="1"/>
  <c r="AU275" i="2"/>
  <c r="BE275" i="2" s="1"/>
  <c r="BG221" i="2"/>
  <c r="BL221" i="2" s="1"/>
  <c r="CD36" i="2"/>
  <c r="CI36" i="2" s="1"/>
  <c r="AM131" i="2"/>
  <c r="AS131" i="2" s="1"/>
  <c r="BG247" i="2"/>
  <c r="BL247" i="2" s="1"/>
  <c r="CD80" i="2"/>
  <c r="CI80" i="2" s="1"/>
  <c r="CD105" i="2"/>
  <c r="CI105" i="2" s="1"/>
  <c r="BN130" i="2"/>
  <c r="CB130" i="2" s="1"/>
  <c r="BN156" i="2"/>
  <c r="CB156" i="2" s="1"/>
  <c r="CD185" i="2"/>
  <c r="CI185" i="2" s="1"/>
  <c r="AM197" i="2"/>
  <c r="AS197" i="2" s="1"/>
  <c r="AM209" i="2"/>
  <c r="AS209" i="2" s="1"/>
  <c r="CD224" i="2"/>
  <c r="CI224" i="2" s="1"/>
  <c r="BG232" i="2"/>
  <c r="BL232" i="2" s="1"/>
  <c r="BN246" i="2"/>
  <c r="CB246" i="2" s="1"/>
  <c r="AM257" i="2"/>
  <c r="AS257" i="2" s="1"/>
  <c r="CD272" i="2"/>
  <c r="CI272" i="2" s="1"/>
  <c r="AG71" i="2"/>
  <c r="AK71" i="2" s="1"/>
  <c r="AG105" i="2"/>
  <c r="AK105" i="2" s="1"/>
  <c r="AG146" i="2"/>
  <c r="AK146" i="2" s="1"/>
  <c r="AG190" i="2"/>
  <c r="AK190" i="2" s="1"/>
  <c r="AG232" i="2"/>
  <c r="AK232" i="2" s="1"/>
  <c r="BN7" i="2"/>
  <c r="CB7" i="2" s="1"/>
  <c r="CD19" i="2"/>
  <c r="CI19" i="2" s="1"/>
  <c r="BN34" i="2"/>
  <c r="CB34" i="2" s="1"/>
  <c r="BN48" i="2"/>
  <c r="CB48" i="2" s="1"/>
  <c r="BN60" i="2"/>
  <c r="CB60" i="2" s="1"/>
  <c r="BN72" i="2"/>
  <c r="CB72" i="2" s="1"/>
  <c r="CD85" i="2"/>
  <c r="CI85" i="2" s="1"/>
  <c r="BN97" i="2"/>
  <c r="CB97" i="2" s="1"/>
  <c r="AU110" i="2"/>
  <c r="BE110" i="2" s="1"/>
  <c r="AU131" i="2"/>
  <c r="BE131" i="2" s="1"/>
  <c r="CD157" i="2"/>
  <c r="CI157" i="2" s="1"/>
  <c r="CD182" i="2"/>
  <c r="CI182" i="2" s="1"/>
  <c r="CD203" i="2"/>
  <c r="CI203" i="2" s="1"/>
  <c r="AU220" i="2"/>
  <c r="BE220" i="2" s="1"/>
  <c r="AU247" i="2"/>
  <c r="BE247" i="2" s="1"/>
  <c r="CD266" i="2"/>
  <c r="CI266" i="2" s="1"/>
  <c r="AG19" i="2"/>
  <c r="AK19" i="2" s="1"/>
  <c r="AG56" i="2"/>
  <c r="AK56" i="2" s="1"/>
  <c r="AG89" i="2"/>
  <c r="AK89" i="2" s="1"/>
  <c r="AG126" i="2"/>
  <c r="AK126" i="2" s="1"/>
  <c r="AG166" i="2"/>
  <c r="AK166" i="2" s="1"/>
  <c r="AG215" i="2"/>
  <c r="AK215" i="2" s="1"/>
  <c r="AG262" i="2"/>
  <c r="AK262" i="2" s="1"/>
  <c r="AU84" i="2"/>
  <c r="BE84" i="2" s="1"/>
  <c r="AU251" i="2"/>
  <c r="BE251" i="2" s="1"/>
  <c r="BG85" i="2"/>
  <c r="BL85" i="2" s="1"/>
  <c r="BG162" i="2"/>
  <c r="BL162" i="2" s="1"/>
  <c r="BN137" i="2"/>
  <c r="CB137" i="2" s="1"/>
  <c r="CD34" i="2"/>
  <c r="CI34" i="2" s="1"/>
  <c r="AM81" i="2"/>
  <c r="AS81" i="2" s="1"/>
  <c r="AM157" i="2"/>
  <c r="AS157" i="2" s="1"/>
  <c r="AU263" i="2"/>
  <c r="BE263" i="2" s="1"/>
  <c r="AU8" i="2"/>
  <c r="BE8" i="2" s="1"/>
  <c r="CD30" i="2"/>
  <c r="CI30" i="2" s="1"/>
  <c r="BN57" i="2"/>
  <c r="CB57" i="2" s="1"/>
  <c r="AU73" i="2"/>
  <c r="BE73" i="2" s="1"/>
  <c r="AU90" i="2"/>
  <c r="BE90" i="2" s="1"/>
  <c r="AM98" i="2"/>
  <c r="AS98" i="2" s="1"/>
  <c r="AM113" i="2"/>
  <c r="AS113" i="2" s="1"/>
  <c r="CD123" i="2"/>
  <c r="CI123" i="2" s="1"/>
  <c r="AM135" i="2"/>
  <c r="AS135" i="2" s="1"/>
  <c r="BN150" i="2"/>
  <c r="CB150" i="2" s="1"/>
  <c r="AU154" i="2"/>
  <c r="BE154" i="2" s="1"/>
  <c r="BG167" i="2"/>
  <c r="BL167" i="2" s="1"/>
  <c r="BN183" i="2"/>
  <c r="CB183" i="2" s="1"/>
  <c r="BG194" i="2"/>
  <c r="BL194" i="2" s="1"/>
  <c r="BN204" i="2"/>
  <c r="CB204" i="2" s="1"/>
  <c r="BN221" i="2"/>
  <c r="CB221" i="2" s="1"/>
  <c r="BN240" i="2"/>
  <c r="CB240" i="2" s="1"/>
  <c r="BN250" i="2"/>
  <c r="CB250" i="2" s="1"/>
  <c r="CD260" i="2"/>
  <c r="CI260" i="2" s="1"/>
  <c r="AU271" i="2"/>
  <c r="BE271" i="2" s="1"/>
  <c r="AG271" i="2"/>
  <c r="AK271" i="2" s="1"/>
  <c r="AU163" i="2"/>
  <c r="BE163" i="2" s="1"/>
  <c r="BG230" i="2"/>
  <c r="BL230" i="2" s="1"/>
  <c r="CD82" i="2"/>
  <c r="CI82" i="2" s="1"/>
  <c r="CD13" i="2"/>
  <c r="CI13" i="2" s="1"/>
  <c r="BN22" i="2"/>
  <c r="CB22" i="2" s="1"/>
  <c r="CD37" i="2"/>
  <c r="CI37" i="2" s="1"/>
  <c r="AU45" i="2"/>
  <c r="BE45" i="2" s="1"/>
  <c r="BG58" i="2"/>
  <c r="BL58" i="2" s="1"/>
  <c r="AU66" i="2"/>
  <c r="BE66" i="2" s="1"/>
  <c r="BG79" i="2"/>
  <c r="BL79" i="2" s="1"/>
  <c r="CD91" i="2"/>
  <c r="CI91" i="2" s="1"/>
  <c r="BG99" i="2"/>
  <c r="BL99" i="2" s="1"/>
  <c r="BL327" i="2" s="1"/>
  <c r="CD114" i="2"/>
  <c r="CI114" i="2" s="1"/>
  <c r="CD124" i="2"/>
  <c r="CI124" i="2" s="1"/>
  <c r="AU136" i="2"/>
  <c r="BE136" i="2" s="1"/>
  <c r="BN151" i="2"/>
  <c r="CB151" i="2" s="1"/>
  <c r="CD159" i="2"/>
  <c r="CI159" i="2" s="1"/>
  <c r="BG168" i="2"/>
  <c r="BL168" i="2" s="1"/>
  <c r="BN189" i="2"/>
  <c r="CB189" i="2" s="1"/>
  <c r="AU200" i="2"/>
  <c r="BE200" i="2" s="1"/>
  <c r="CD213" i="2"/>
  <c r="CI213" i="2" s="1"/>
  <c r="AU257" i="2"/>
  <c r="BE257" i="2" s="1"/>
  <c r="AG61" i="2"/>
  <c r="AK61" i="2" s="1"/>
  <c r="AG135" i="2"/>
  <c r="AK135" i="2" s="1"/>
  <c r="AG221" i="2"/>
  <c r="AK221" i="2" s="1"/>
  <c r="AM32" i="2"/>
  <c r="AS32" i="2" s="1"/>
  <c r="AM249" i="2"/>
  <c r="AS249" i="2" s="1"/>
  <c r="AU139" i="2"/>
  <c r="BE139" i="2" s="1"/>
  <c r="BG49" i="2"/>
  <c r="BL49" i="2" s="1"/>
  <c r="BN17" i="2"/>
  <c r="CB17" i="2" s="1"/>
  <c r="CD154" i="2"/>
  <c r="CI154" i="2" s="1"/>
  <c r="AU14" i="2"/>
  <c r="BE14" i="2" s="1"/>
  <c r="AG23" i="2"/>
  <c r="AK23" i="2" s="1"/>
  <c r="AG33" i="2"/>
  <c r="AK33" i="2" s="1"/>
  <c r="CD46" i="2"/>
  <c r="CI46" i="2" s="1"/>
  <c r="BG51" i="2"/>
  <c r="BL51" i="2" s="1"/>
  <c r="BG100" i="2"/>
  <c r="BL100" i="2" s="1"/>
  <c r="BN190" i="2"/>
  <c r="CB190" i="2" s="1"/>
  <c r="AG26" i="2"/>
  <c r="AK26" i="2" s="1"/>
  <c r="AG95" i="2"/>
  <c r="AK95" i="2" s="1"/>
  <c r="AG175" i="2"/>
  <c r="AK175" i="2" s="1"/>
  <c r="AG264" i="2"/>
  <c r="AK264" i="2" s="1"/>
  <c r="AM91" i="2"/>
  <c r="AS91" i="2" s="1"/>
  <c r="AM168" i="2"/>
  <c r="AS168" i="2" s="1"/>
  <c r="AU36" i="2"/>
  <c r="BE36" i="2" s="1"/>
  <c r="AU168" i="2"/>
  <c r="BE168" i="2" s="1"/>
  <c r="BG53" i="2"/>
  <c r="BL53" i="2" s="1"/>
  <c r="BN23" i="2"/>
  <c r="CB23" i="2" s="1"/>
  <c r="CD212" i="2"/>
  <c r="CI212" i="2" s="1"/>
  <c r="AM166" i="2"/>
  <c r="AS166" i="2" s="1"/>
  <c r="CD63" i="2"/>
  <c r="CI63" i="2" s="1"/>
  <c r="CD88" i="2"/>
  <c r="CI88" i="2" s="1"/>
  <c r="BN115" i="2"/>
  <c r="CB115" i="2" s="1"/>
  <c r="BN142" i="2"/>
  <c r="CB142" i="2" s="1"/>
  <c r="CD165" i="2"/>
  <c r="CI165" i="2" s="1"/>
  <c r="CD190" i="2"/>
  <c r="CI190" i="2" s="1"/>
  <c r="BN202" i="2"/>
  <c r="CB202" i="2" s="1"/>
  <c r="CD228" i="2"/>
  <c r="CI228" i="2" s="1"/>
  <c r="BN241" i="2"/>
  <c r="CB241" i="2" s="1"/>
  <c r="BN251" i="2"/>
  <c r="CB251" i="2" s="1"/>
  <c r="BG261" i="2"/>
  <c r="BL261" i="2" s="1"/>
  <c r="AM272" i="2"/>
  <c r="AS272" i="2" s="1"/>
  <c r="AG84" i="2"/>
  <c r="AK84" i="2" s="1"/>
  <c r="AG121" i="2"/>
  <c r="AK121" i="2" s="1"/>
  <c r="AG161" i="2"/>
  <c r="AK161" i="2" s="1"/>
  <c r="AG209" i="2"/>
  <c r="AK209" i="2" s="1"/>
  <c r="AG251" i="2"/>
  <c r="AK251" i="2" s="1"/>
  <c r="BN11" i="2"/>
  <c r="CB11" i="2" s="1"/>
  <c r="BN24" i="2"/>
  <c r="CB24" i="2" s="1"/>
  <c r="CB331" i="2" s="1"/>
  <c r="BN39" i="2"/>
  <c r="CB39" i="2" s="1"/>
  <c r="CD52" i="2"/>
  <c r="CI52" i="2" s="1"/>
  <c r="BN64" i="2"/>
  <c r="CB64" i="2" s="1"/>
  <c r="AU77" i="2"/>
  <c r="BE77" i="2" s="1"/>
  <c r="BN89" i="2"/>
  <c r="CB89" i="2" s="1"/>
  <c r="AU101" i="2"/>
  <c r="BE101" i="2" s="1"/>
  <c r="CD122" i="2"/>
  <c r="CI122" i="2" s="1"/>
  <c r="BN143" i="2"/>
  <c r="CB143" i="2" s="1"/>
  <c r="AU162" i="2"/>
  <c r="BE162" i="2" s="1"/>
  <c r="BG186" i="2"/>
  <c r="BL186" i="2" s="1"/>
  <c r="BG210" i="2"/>
  <c r="BL210" i="2" s="1"/>
  <c r="BN229" i="2"/>
  <c r="CB229" i="2" s="1"/>
  <c r="AU252" i="2"/>
  <c r="BE252" i="2" s="1"/>
  <c r="BG273" i="2"/>
  <c r="BL273" i="2" s="1"/>
  <c r="AG34" i="2"/>
  <c r="AK34" i="2" s="1"/>
  <c r="AG68" i="2"/>
  <c r="AK68" i="2" s="1"/>
  <c r="AG101" i="2"/>
  <c r="AK101" i="2" s="1"/>
  <c r="AG143" i="2"/>
  <c r="AK143" i="2" s="1"/>
  <c r="AG186" i="2"/>
  <c r="AK186" i="2" s="1"/>
  <c r="AG229" i="2"/>
  <c r="AK229" i="2" s="1"/>
  <c r="AM210" i="2"/>
  <c r="AS210" i="2" s="1"/>
  <c r="AU142" i="2"/>
  <c r="BE142" i="2" s="1"/>
  <c r="BG34" i="2"/>
  <c r="BL34" i="2" s="1"/>
  <c r="BG115" i="2"/>
  <c r="BL115" i="2" s="1"/>
  <c r="BG258" i="2"/>
  <c r="BL258" i="2" s="1"/>
  <c r="BN192" i="2"/>
  <c r="CB192" i="2" s="1"/>
  <c r="CD186" i="2"/>
  <c r="CI186" i="2" s="1"/>
  <c r="AM97" i="2"/>
  <c r="AS97" i="2" s="1"/>
  <c r="AM182" i="2"/>
  <c r="AS182" i="2" s="1"/>
  <c r="AM243" i="2"/>
  <c r="AS243" i="2" s="1"/>
  <c r="CD275" i="2"/>
  <c r="CI275" i="2" s="1"/>
  <c r="CD16" i="2"/>
  <c r="CI16" i="2" s="1"/>
  <c r="BG40" i="2"/>
  <c r="BL40" i="2" s="1"/>
  <c r="CD61" i="2"/>
  <c r="CI61" i="2" s="1"/>
  <c r="BG78" i="2"/>
  <c r="BL78" i="2" s="1"/>
  <c r="AM90" i="2"/>
  <c r="AS90" i="2" s="1"/>
  <c r="AM102" i="2"/>
  <c r="AS102" i="2" s="1"/>
  <c r="BN113" i="2"/>
  <c r="CB113" i="2" s="1"/>
  <c r="BN127" i="2"/>
  <c r="CB127" i="2" s="1"/>
  <c r="BG135" i="2"/>
  <c r="BL135" i="2" s="1"/>
  <c r="CD150" i="2"/>
  <c r="CI150" i="2" s="1"/>
  <c r="BN158" i="2"/>
  <c r="CB158" i="2" s="1"/>
  <c r="AU167" i="2"/>
  <c r="BE167" i="2" s="1"/>
  <c r="AM183" i="2"/>
  <c r="AS183" i="2" s="1"/>
  <c r="AU194" i="2"/>
  <c r="BE194" i="2" s="1"/>
  <c r="CD204" i="2"/>
  <c r="CI204" i="2" s="1"/>
  <c r="CD221" i="2"/>
  <c r="CI221" i="2" s="1"/>
  <c r="CD240" i="2"/>
  <c r="CI240" i="2" s="1"/>
  <c r="CD250" i="2"/>
  <c r="CI250" i="2" s="1"/>
  <c r="BN264" i="2"/>
  <c r="CB264" i="2" s="1"/>
  <c r="AM271" i="2"/>
  <c r="AS271" i="2" s="1"/>
  <c r="AM230" i="2"/>
  <c r="AS230" i="2" s="1"/>
  <c r="AU212" i="2"/>
  <c r="BE212" i="2" s="1"/>
  <c r="BG250" i="2"/>
  <c r="BL250" i="2" s="1"/>
  <c r="CD113" i="2"/>
  <c r="CI113" i="2" s="1"/>
  <c r="BG13" i="2"/>
  <c r="BL13" i="2" s="1"/>
  <c r="CD26" i="2"/>
  <c r="CI26" i="2" s="1"/>
  <c r="BG37" i="2"/>
  <c r="BL37" i="2" s="1"/>
  <c r="CD50" i="2"/>
  <c r="CI50" i="2" s="1"/>
  <c r="CD62" i="2"/>
  <c r="CI62" i="2" s="1"/>
  <c r="CD70" i="2"/>
  <c r="CI70" i="2" s="1"/>
  <c r="AU79" i="2"/>
  <c r="BE79" i="2" s="1"/>
  <c r="BG91" i="2"/>
  <c r="BL91" i="2" s="1"/>
  <c r="AU99" i="2"/>
  <c r="BE99" i="2" s="1"/>
  <c r="BE327" i="2" s="1"/>
  <c r="BG114" i="2"/>
  <c r="BL114" i="2" s="1"/>
  <c r="BG124" i="2"/>
  <c r="BL124" i="2" s="1"/>
  <c r="BN140" i="2"/>
  <c r="CB140" i="2" s="1"/>
  <c r="CD151" i="2"/>
  <c r="CI151" i="2" s="1"/>
  <c r="BG159" i="2"/>
  <c r="BL159" i="2" s="1"/>
  <c r="BN175" i="2"/>
  <c r="CB175" i="2" s="1"/>
  <c r="CD189" i="2"/>
  <c r="CI189" i="2" s="1"/>
  <c r="AM200" i="2"/>
  <c r="AS200" i="2" s="1"/>
  <c r="BN218" i="2"/>
  <c r="CB218" i="2" s="1"/>
  <c r="BN227" i="2"/>
  <c r="CB227" i="2" s="1"/>
  <c r="BN265" i="2"/>
  <c r="CB265" i="2" s="1"/>
  <c r="AG69" i="2"/>
  <c r="AK69" i="2" s="1"/>
  <c r="AG144" i="2"/>
  <c r="AK144" i="2" s="1"/>
  <c r="AG230" i="2"/>
  <c r="AK230" i="2" s="1"/>
  <c r="AM41" i="2"/>
  <c r="AS41" i="2" s="1"/>
  <c r="AU17" i="2"/>
  <c r="BE17" i="2" s="1"/>
  <c r="AU164" i="2"/>
  <c r="BE164" i="2" s="1"/>
  <c r="BG82" i="2"/>
  <c r="BL82" i="2" s="1"/>
  <c r="BN36" i="2"/>
  <c r="CB36" i="2" s="1"/>
  <c r="CD230" i="2"/>
  <c r="CI230" i="2" s="1"/>
  <c r="AG14" i="2"/>
  <c r="AK14" i="2" s="1"/>
  <c r="CD27" i="2"/>
  <c r="CI27" i="2" s="1"/>
  <c r="BG33" i="2"/>
  <c r="BL33" i="2" s="1"/>
  <c r="BN46" i="2"/>
  <c r="CB46" i="2" s="1"/>
  <c r="AU55" i="2"/>
  <c r="BE55" i="2" s="1"/>
  <c r="AU105" i="2"/>
  <c r="BE105" i="2" s="1"/>
  <c r="AG37" i="2"/>
  <c r="AK37" i="2" s="1"/>
  <c r="AG104" i="2"/>
  <c r="AK104" i="2" s="1"/>
  <c r="AK326" i="2" s="1"/>
  <c r="AG189" i="2"/>
  <c r="AK189" i="2" s="1"/>
  <c r="AM6" i="2"/>
  <c r="AM99" i="2"/>
  <c r="AS99" i="2" s="1"/>
  <c r="AS327" i="2" s="1"/>
  <c r="S54" i="7" s="1"/>
  <c r="S93" i="7" s="1"/>
  <c r="S19" i="15" s="1"/>
  <c r="AM184" i="2"/>
  <c r="AS184" i="2" s="1"/>
  <c r="AU46" i="2"/>
  <c r="BE46" i="2" s="1"/>
  <c r="AU188" i="2"/>
  <c r="BE188" i="2" s="1"/>
  <c r="BG86" i="2"/>
  <c r="BL86" i="2" s="1"/>
  <c r="BN41" i="2"/>
  <c r="CB41" i="2" s="1"/>
  <c r="CD249" i="2"/>
  <c r="CI249" i="2" s="1"/>
  <c r="AU88" i="2"/>
  <c r="BE88" i="2" s="1"/>
  <c r="CD67" i="2"/>
  <c r="CI67" i="2" s="1"/>
  <c r="CD92" i="2"/>
  <c r="CI92" i="2" s="1"/>
  <c r="CD121" i="2"/>
  <c r="CI121" i="2" s="1"/>
  <c r="CD146" i="2"/>
  <c r="CI146" i="2" s="1"/>
  <c r="CD169" i="2"/>
  <c r="CI169" i="2" s="1"/>
  <c r="BG190" i="2"/>
  <c r="BL190" i="2" s="1"/>
  <c r="AM202" i="2"/>
  <c r="AS202" i="2" s="1"/>
  <c r="CD219" i="2"/>
  <c r="CI219" i="2" s="1"/>
  <c r="BN228" i="2"/>
  <c r="CB228" i="2" s="1"/>
  <c r="BG241" i="2"/>
  <c r="BL241" i="2" s="1"/>
  <c r="BG251" i="2"/>
  <c r="BL251" i="2" s="1"/>
  <c r="AM261" i="2"/>
  <c r="AS261" i="2" s="1"/>
  <c r="AG55" i="2"/>
  <c r="AK55" i="2" s="1"/>
  <c r="AG88" i="2"/>
  <c r="AK88" i="2" s="1"/>
  <c r="AG125" i="2"/>
  <c r="AK125" i="2" s="1"/>
  <c r="AG165" i="2"/>
  <c r="AK165" i="2" s="1"/>
  <c r="AG257" i="2"/>
  <c r="AK257" i="2" s="1"/>
  <c r="AU11" i="2"/>
  <c r="BE11" i="2" s="1"/>
  <c r="AU24" i="2"/>
  <c r="BE24" i="2" s="1"/>
  <c r="AU39" i="2"/>
  <c r="BE39" i="2" s="1"/>
  <c r="AU52" i="2"/>
  <c r="BE52" i="2" s="1"/>
  <c r="AU64" i="2"/>
  <c r="BE64" i="2" s="1"/>
  <c r="CD81" i="2"/>
  <c r="CI81" i="2" s="1"/>
  <c r="AU89" i="2"/>
  <c r="BE89" i="2" s="1"/>
  <c r="CD106" i="2"/>
  <c r="CI106" i="2" s="1"/>
  <c r="AU122" i="2"/>
  <c r="BE122" i="2" s="1"/>
  <c r="AU143" i="2"/>
  <c r="BE143" i="2" s="1"/>
  <c r="CD166" i="2"/>
  <c r="CI166" i="2" s="1"/>
  <c r="AU186" i="2"/>
  <c r="BE186" i="2" s="1"/>
  <c r="AU210" i="2"/>
  <c r="BE210" i="2" s="1"/>
  <c r="BG229" i="2"/>
  <c r="BL229" i="2" s="1"/>
  <c r="CD258" i="2"/>
  <c r="CI258" i="2" s="1"/>
  <c r="AU273" i="2"/>
  <c r="BE273" i="2" s="1"/>
  <c r="AG39" i="2"/>
  <c r="AK39" i="2" s="1"/>
  <c r="AG72" i="2"/>
  <c r="AK72" i="2" s="1"/>
  <c r="AG106" i="2"/>
  <c r="AK106" i="2" s="1"/>
  <c r="AG147" i="2"/>
  <c r="AK147" i="2" s="1"/>
  <c r="AG192" i="2"/>
  <c r="AK192" i="2" s="1"/>
  <c r="AG242" i="2"/>
  <c r="AK242" i="2" s="1"/>
  <c r="AM229" i="2"/>
  <c r="AS229" i="2" s="1"/>
  <c r="AU161" i="2"/>
  <c r="BE161" i="2" s="1"/>
  <c r="BG52" i="2"/>
  <c r="BL52" i="2" s="1"/>
  <c r="BG122" i="2"/>
  <c r="BL122" i="2" s="1"/>
  <c r="BG266" i="2"/>
  <c r="BL266" i="2" s="1"/>
  <c r="CD262" i="2"/>
  <c r="CI262" i="2" s="1"/>
  <c r="AM116" i="2"/>
  <c r="AS116" i="2" s="1"/>
  <c r="BN210" i="2"/>
  <c r="CB210" i="2" s="1"/>
  <c r="BN259" i="2"/>
  <c r="CB259" i="2" s="1"/>
  <c r="CB347" i="2" s="1"/>
  <c r="AG259" i="2"/>
  <c r="AU20" i="2"/>
  <c r="BE20" i="2" s="1"/>
  <c r="CD44" i="2"/>
  <c r="CI44" i="2" s="1"/>
  <c r="AU61" i="2"/>
  <c r="BE61" i="2" s="1"/>
  <c r="BN82" i="2"/>
  <c r="CB82" i="2" s="1"/>
  <c r="AM94" i="2"/>
  <c r="AS94" i="2" s="1"/>
  <c r="BN107" i="2"/>
  <c r="CB107" i="2" s="1"/>
  <c r="BN117" i="2"/>
  <c r="CB117" i="2" s="1"/>
  <c r="AU127" i="2"/>
  <c r="BE127" i="2" s="1"/>
  <c r="AM139" i="2"/>
  <c r="AS139" i="2" s="1"/>
  <c r="AM150" i="2"/>
  <c r="AS150" i="2" s="1"/>
  <c r="BN163" i="2"/>
  <c r="CB163" i="2" s="1"/>
  <c r="CD174" i="2"/>
  <c r="CI174" i="2" s="1"/>
  <c r="AM188" i="2"/>
  <c r="AS188" i="2" s="1"/>
  <c r="BG199" i="2"/>
  <c r="BL199" i="2" s="1"/>
  <c r="BN216" i="2"/>
  <c r="CB216" i="2" s="1"/>
  <c r="BN226" i="2"/>
  <c r="CB226" i="2" s="1"/>
  <c r="CD244" i="2"/>
  <c r="CI244" i="2" s="1"/>
  <c r="BN256" i="2"/>
  <c r="CB256" i="2" s="1"/>
  <c r="AU264" i="2"/>
  <c r="BE264" i="2" s="1"/>
  <c r="BG280" i="2"/>
  <c r="BL280" i="2" s="1"/>
  <c r="AU16" i="2"/>
  <c r="BE16" i="2" s="1"/>
  <c r="BG36" i="2"/>
  <c r="BL36" i="2" s="1"/>
  <c r="BN49" i="2"/>
  <c r="CB49" i="2" s="1"/>
  <c r="CD9" i="2"/>
  <c r="CI9" i="2" s="1"/>
  <c r="CD17" i="2"/>
  <c r="CI17" i="2" s="1"/>
  <c r="AU26" i="2"/>
  <c r="BE26" i="2" s="1"/>
  <c r="BG41" i="2"/>
  <c r="BL41" i="2" s="1"/>
  <c r="CD54" i="2"/>
  <c r="CI54" i="2" s="1"/>
  <c r="AU62" i="2"/>
  <c r="BE62" i="2" s="1"/>
  <c r="BG74" i="2"/>
  <c r="BL74" i="2" s="1"/>
  <c r="BN83" i="2"/>
  <c r="CB83" i="2" s="1"/>
  <c r="BN95" i="2"/>
  <c r="CB95" i="2" s="1"/>
  <c r="BN104" i="2"/>
  <c r="CB104" i="2" s="1"/>
  <c r="CD119" i="2"/>
  <c r="CI119" i="2" s="1"/>
  <c r="BG128" i="2"/>
  <c r="BL128" i="2" s="1"/>
  <c r="AU140" i="2"/>
  <c r="BE140" i="2" s="1"/>
  <c r="CD155" i="2"/>
  <c r="CI155" i="2" s="1"/>
  <c r="CD164" i="2"/>
  <c r="CI164" i="2" s="1"/>
  <c r="AU175" i="2"/>
  <c r="BE175" i="2" s="1"/>
  <c r="CD196" i="2"/>
  <c r="CI196" i="2" s="1"/>
  <c r="AU227" i="2"/>
  <c r="BE227" i="2" s="1"/>
  <c r="AG25" i="2"/>
  <c r="AK25" i="2" s="1"/>
  <c r="AG94" i="2"/>
  <c r="AK94" i="2" s="1"/>
  <c r="AG174" i="2"/>
  <c r="AK174" i="2" s="1"/>
  <c r="AG263" i="2"/>
  <c r="AK263" i="2" s="1"/>
  <c r="AM66" i="2"/>
  <c r="AS66" i="2" s="1"/>
  <c r="AU65" i="2"/>
  <c r="BE65" i="2" s="1"/>
  <c r="AU226" i="2"/>
  <c r="BE226" i="2" s="1"/>
  <c r="BG196" i="2"/>
  <c r="BL196" i="2" s="1"/>
  <c r="BN94" i="2"/>
  <c r="CB94" i="2" s="1"/>
  <c r="BG10" i="2"/>
  <c r="BL10" i="2" s="1"/>
  <c r="AG18" i="2"/>
  <c r="AK18" i="2" s="1"/>
  <c r="BN27" i="2"/>
  <c r="CB27" i="2" s="1"/>
  <c r="AG38" i="2"/>
  <c r="AK38" i="2" s="1"/>
  <c r="CD51" i="2"/>
  <c r="CI51" i="2" s="1"/>
  <c r="AU71" i="2"/>
  <c r="BE71" i="2" s="1"/>
  <c r="BG142" i="2"/>
  <c r="BL142" i="2" s="1"/>
  <c r="BN247" i="2"/>
  <c r="CB247" i="2" s="1"/>
  <c r="AG62" i="2"/>
  <c r="AK62" i="2" s="1"/>
  <c r="AG136" i="2"/>
  <c r="AK136" i="2" s="1"/>
  <c r="AM33" i="2"/>
  <c r="AS33" i="2" s="1"/>
  <c r="AM128" i="2"/>
  <c r="AS128" i="2" s="1"/>
  <c r="AM240" i="2"/>
  <c r="AS240" i="2" s="1"/>
  <c r="AU91" i="2"/>
  <c r="BE91" i="2" s="1"/>
  <c r="AU260" i="2"/>
  <c r="BE260" i="2" s="1"/>
  <c r="BG183" i="2"/>
  <c r="BL183" i="2" s="1"/>
  <c r="BN99" i="2"/>
  <c r="CB99" i="2" s="1"/>
  <c r="AM126" i="2"/>
  <c r="AS126" i="2" s="1"/>
  <c r="BG147" i="2"/>
  <c r="BL147" i="2" s="1"/>
  <c r="CD75" i="2"/>
  <c r="CI75" i="2" s="1"/>
  <c r="BN100" i="2"/>
  <c r="CB100" i="2" s="1"/>
  <c r="CD130" i="2"/>
  <c r="CI130" i="2" s="1"/>
  <c r="CD156" i="2"/>
  <c r="CI156" i="2" s="1"/>
  <c r="BG180" i="2"/>
  <c r="BL180" i="2" s="1"/>
  <c r="BG197" i="2"/>
  <c r="BL197" i="2" s="1"/>
  <c r="BG209" i="2"/>
  <c r="BL209" i="2" s="1"/>
  <c r="AM219" i="2"/>
  <c r="AS219" i="2" s="1"/>
  <c r="CD232" i="2"/>
  <c r="CI232" i="2" s="1"/>
  <c r="BG246" i="2"/>
  <c r="BL246" i="2" s="1"/>
  <c r="BG257" i="2"/>
  <c r="BL257" i="2" s="1"/>
  <c r="AM265" i="2"/>
  <c r="AS265" i="2" s="1"/>
  <c r="AG67" i="2"/>
  <c r="AK67" i="2" s="1"/>
  <c r="AG100" i="2"/>
  <c r="AK100" i="2" s="1"/>
  <c r="AG142" i="2"/>
  <c r="AK142" i="2" s="1"/>
  <c r="AG185" i="2"/>
  <c r="AK185" i="2" s="1"/>
  <c r="AG228" i="2"/>
  <c r="AK228" i="2" s="1"/>
  <c r="AG272" i="2"/>
  <c r="AK272" i="2" s="1"/>
  <c r="AU15" i="2"/>
  <c r="BE15" i="2" s="1"/>
  <c r="AU28" i="2"/>
  <c r="BE28" i="2" s="1"/>
  <c r="CD48" i="2"/>
  <c r="CI48" i="2" s="1"/>
  <c r="AU56" i="2"/>
  <c r="BE56" i="2" s="1"/>
  <c r="CD72" i="2"/>
  <c r="CI72" i="2" s="1"/>
  <c r="BN85" i="2"/>
  <c r="CB85" i="2" s="1"/>
  <c r="CD97" i="2"/>
  <c r="CI97" i="2" s="1"/>
  <c r="BN110" i="2"/>
  <c r="CB110" i="2" s="1"/>
  <c r="AU126" i="2"/>
  <c r="BE126" i="2" s="1"/>
  <c r="AU153" i="2"/>
  <c r="BE153" i="2" s="1"/>
  <c r="AU172" i="2"/>
  <c r="BE172" i="2" s="1"/>
  <c r="AU198" i="2"/>
  <c r="BE198" i="2" s="1"/>
  <c r="AU215" i="2"/>
  <c r="BE215" i="2" s="1"/>
  <c r="CD247" i="2"/>
  <c r="CI247" i="2" s="1"/>
  <c r="AU262" i="2"/>
  <c r="BE262" i="2" s="1"/>
  <c r="AG15" i="2"/>
  <c r="AK15" i="2" s="1"/>
  <c r="AG52" i="2"/>
  <c r="AK52" i="2" s="1"/>
  <c r="AG85" i="2"/>
  <c r="AK85" i="2" s="1"/>
  <c r="AG122" i="2"/>
  <c r="AK122" i="2" s="1"/>
  <c r="AG162" i="2"/>
  <c r="AK162" i="2" s="1"/>
  <c r="AG210" i="2"/>
  <c r="AK210" i="2" s="1"/>
  <c r="AG258" i="2"/>
  <c r="AK258" i="2" s="1"/>
  <c r="AU67" i="2"/>
  <c r="BE67" i="2" s="1"/>
  <c r="AU228" i="2"/>
  <c r="BE228" i="2" s="1"/>
  <c r="BG80" i="2"/>
  <c r="BL80" i="2" s="1"/>
  <c r="BG156" i="2"/>
  <c r="BL156" i="2" s="1"/>
  <c r="BN116" i="2"/>
  <c r="CB116" i="2" s="1"/>
  <c r="BN266" i="2"/>
  <c r="CB266" i="2" s="1"/>
  <c r="AG234" i="2"/>
  <c r="AK234" i="2" s="1"/>
  <c r="CD234" i="2"/>
  <c r="CI234" i="2" s="1"/>
  <c r="N7" i="8"/>
  <c r="DC7" i="2"/>
  <c r="DC85" i="2"/>
  <c r="CR23" i="2"/>
  <c r="CR246" i="2"/>
  <c r="CR85" i="2"/>
  <c r="CR263" i="2"/>
  <c r="DC226" i="2"/>
  <c r="CR210" i="2"/>
  <c r="DC33" i="2"/>
  <c r="CR145" i="2"/>
  <c r="GW215" i="2"/>
  <c r="DC131" i="2"/>
  <c r="CR121" i="2"/>
  <c r="DC101" i="2"/>
  <c r="CR93" i="2"/>
  <c r="DC75" i="2"/>
  <c r="CR66" i="2"/>
  <c r="DC51" i="2"/>
  <c r="DC25" i="2"/>
  <c r="GW197" i="2"/>
  <c r="GW265" i="2"/>
  <c r="CR265" i="2"/>
  <c r="GG259" i="2"/>
  <c r="DC251" i="2"/>
  <c r="GG243" i="2"/>
  <c r="CR243" i="2"/>
  <c r="DC230" i="2"/>
  <c r="GW224" i="2"/>
  <c r="DC224" i="2"/>
  <c r="GG216" i="2"/>
  <c r="GW209" i="2"/>
  <c r="DC209" i="2"/>
  <c r="GW155" i="2"/>
  <c r="CR155" i="2"/>
  <c r="CR143" i="2"/>
  <c r="GW136" i="2"/>
  <c r="DC136" i="2"/>
  <c r="GG104" i="2"/>
  <c r="CR104" i="2"/>
  <c r="GW98" i="2"/>
  <c r="DC98" i="2"/>
  <c r="GW92" i="2"/>
  <c r="DC92" i="2"/>
  <c r="CR92" i="2"/>
  <c r="GG81" i="2"/>
  <c r="GG74" i="2"/>
  <c r="GW65" i="2"/>
  <c r="DC65" i="2"/>
  <c r="GG56" i="2"/>
  <c r="GW50" i="2"/>
  <c r="DC50" i="2"/>
  <c r="GG37" i="2"/>
  <c r="GW32" i="2"/>
  <c r="CR32" i="2"/>
  <c r="GG26" i="2"/>
  <c r="CR26" i="2"/>
  <c r="GW22" i="2"/>
  <c r="CR22" i="2"/>
  <c r="GW12" i="2"/>
  <c r="CR12" i="2"/>
  <c r="CR71" i="2"/>
  <c r="GW273" i="2"/>
  <c r="GG267" i="2"/>
  <c r="GG264" i="2"/>
  <c r="CR264" i="2"/>
  <c r="DC264" i="2"/>
  <c r="GW258" i="2"/>
  <c r="GG254" i="2"/>
  <c r="CR254" i="2"/>
  <c r="CR250" i="2"/>
  <c r="GG246" i="2"/>
  <c r="DC246" i="2"/>
  <c r="GG242" i="2"/>
  <c r="CR242" i="2"/>
  <c r="GW232" i="2"/>
  <c r="GW229" i="2"/>
  <c r="DC229" i="2"/>
  <c r="GG212" i="2"/>
  <c r="DC212" i="2"/>
  <c r="DC161" i="2"/>
  <c r="GW157" i="2"/>
  <c r="GG151" i="2"/>
  <c r="GW147" i="2"/>
  <c r="GG145" i="2"/>
  <c r="DC145" i="2"/>
  <c r="CR138" i="2"/>
  <c r="GG135" i="2"/>
  <c r="DC135" i="2"/>
  <c r="CR128" i="2"/>
  <c r="GG125" i="2"/>
  <c r="DC125" i="2"/>
  <c r="GW122" i="2"/>
  <c r="CR116" i="2"/>
  <c r="DC113" i="2"/>
  <c r="GW109" i="2"/>
  <c r="DC109" i="2"/>
  <c r="GW106" i="2"/>
  <c r="GG102" i="2"/>
  <c r="GW99" i="2"/>
  <c r="CR99" i="2"/>
  <c r="GG97" i="2"/>
  <c r="DC97" i="2"/>
  <c r="GW94" i="2"/>
  <c r="GW91" i="2"/>
  <c r="CR88" i="2"/>
  <c r="DC86" i="2"/>
  <c r="GW83" i="2"/>
  <c r="DC83" i="2"/>
  <c r="GW80" i="2"/>
  <c r="CR77" i="2"/>
  <c r="CR73" i="2"/>
  <c r="CR70" i="2"/>
  <c r="DC67" i="2"/>
  <c r="DC64" i="2"/>
  <c r="GW60" i="2"/>
  <c r="CR58" i="2"/>
  <c r="GW55" i="2"/>
  <c r="CR55" i="2"/>
  <c r="CR52" i="2"/>
  <c r="GG45" i="2"/>
  <c r="GW42" i="2"/>
  <c r="GG42" i="2"/>
  <c r="CR42" i="2"/>
  <c r="GG39" i="2"/>
  <c r="DC39" i="2"/>
  <c r="GW28" i="2"/>
  <c r="CR28" i="2"/>
  <c r="GG20" i="2"/>
  <c r="GW17" i="2"/>
  <c r="CR17" i="2"/>
  <c r="DC14" i="2"/>
  <c r="DC11" i="2"/>
  <c r="GG8" i="2"/>
  <c r="CR259" i="2"/>
  <c r="CR81" i="2"/>
  <c r="GG262" i="2"/>
  <c r="CR262" i="2"/>
  <c r="GG256" i="2"/>
  <c r="DC247" i="2"/>
  <c r="GW240" i="2"/>
  <c r="DC233" i="2"/>
  <c r="GW227" i="2"/>
  <c r="GG213" i="2"/>
  <c r="CR213" i="2"/>
  <c r="GW213" i="2"/>
  <c r="GG158" i="2"/>
  <c r="GG152" i="2"/>
  <c r="DC152" i="2"/>
  <c r="GW146" i="2"/>
  <c r="CR146" i="2"/>
  <c r="GW139" i="2"/>
  <c r="DC139" i="2"/>
  <c r="GW130" i="2"/>
  <c r="DC130" i="2"/>
  <c r="CR130" i="2"/>
  <c r="GW114" i="2"/>
  <c r="DC114" i="2"/>
  <c r="GG95" i="2"/>
  <c r="CR95" i="2"/>
  <c r="GW89" i="2"/>
  <c r="DC89" i="2"/>
  <c r="GW84" i="2"/>
  <c r="DC84" i="2"/>
  <c r="CR84" i="2"/>
  <c r="GG71" i="2"/>
  <c r="GG62" i="2"/>
  <c r="CR59" i="2"/>
  <c r="GW53" i="2"/>
  <c r="CR53" i="2"/>
  <c r="GW46" i="2"/>
  <c r="GG40" i="2"/>
  <c r="CR40" i="2"/>
  <c r="GG15" i="2"/>
  <c r="CR15" i="2"/>
  <c r="GW9" i="2"/>
  <c r="DC9" i="2"/>
  <c r="CR98" i="2"/>
  <c r="DC272" i="2"/>
  <c r="GW266" i="2"/>
  <c r="DC266" i="2"/>
  <c r="GW263" i="2"/>
  <c r="DC263" i="2"/>
  <c r="CR260" i="2"/>
  <c r="CR257" i="2"/>
  <c r="CR252" i="2"/>
  <c r="GG249" i="2"/>
  <c r="GG241" i="2"/>
  <c r="GG231" i="2"/>
  <c r="DC231" i="2"/>
  <c r="GW228" i="2"/>
  <c r="DC228" i="2"/>
  <c r="GW225" i="2"/>
  <c r="CR221" i="2"/>
  <c r="DC218" i="2"/>
  <c r="GG159" i="2"/>
  <c r="DC159" i="2"/>
  <c r="GG144" i="2"/>
  <c r="DC144" i="2"/>
  <c r="CR144" i="2"/>
  <c r="GW140" i="2"/>
  <c r="CR140" i="2"/>
  <c r="DC140" i="2"/>
  <c r="GW127" i="2"/>
  <c r="CR127" i="2"/>
  <c r="DC127" i="2"/>
  <c r="GG121" i="2"/>
  <c r="GW115" i="2"/>
  <c r="GW108" i="2"/>
  <c r="GG105" i="2"/>
  <c r="DC105" i="2"/>
  <c r="CR105" i="2"/>
  <c r="GW96" i="2"/>
  <c r="GG93" i="2"/>
  <c r="GW85" i="2"/>
  <c r="GW82" i="2"/>
  <c r="GG79" i="2"/>
  <c r="DC79" i="2"/>
  <c r="CR79" i="2"/>
  <c r="GG69" i="2"/>
  <c r="GG66" i="2"/>
  <c r="GW63" i="2"/>
  <c r="CR63" i="2"/>
  <c r="DC63" i="2"/>
  <c r="GW61" i="2"/>
  <c r="GG57" i="2"/>
  <c r="GG54" i="2"/>
  <c r="GW51" i="2"/>
  <c r="GW48" i="2"/>
  <c r="DC44" i="2"/>
  <c r="CR44" i="2"/>
  <c r="GG36" i="2"/>
  <c r="DC36" i="2"/>
  <c r="GG33" i="2"/>
  <c r="CR33" i="2"/>
  <c r="GG30" i="2"/>
  <c r="DC30" i="2"/>
  <c r="GG25" i="2"/>
  <c r="CR25" i="2"/>
  <c r="GG23" i="2"/>
  <c r="DC23" i="2"/>
  <c r="GW19" i="2"/>
  <c r="GW16" i="2"/>
  <c r="GW10" i="2"/>
  <c r="CR10" i="2"/>
  <c r="CR271" i="2"/>
  <c r="CR216" i="2"/>
  <c r="CR117" i="2"/>
  <c r="CR75" i="2"/>
  <c r="CR30" i="2"/>
  <c r="DC155" i="2"/>
  <c r="DC66" i="2"/>
  <c r="CR165" i="2"/>
  <c r="CR174" i="2"/>
  <c r="DC189" i="2"/>
  <c r="CR198" i="2"/>
  <c r="DC162" i="2"/>
  <c r="CR168" i="2"/>
  <c r="CR182" i="2"/>
  <c r="CR194" i="2"/>
  <c r="CR202" i="2"/>
  <c r="GW199" i="2"/>
  <c r="CR199" i="2"/>
  <c r="DC190" i="2"/>
  <c r="GW175" i="2"/>
  <c r="GG166" i="2"/>
  <c r="DC197" i="2"/>
  <c r="GW203" i="2"/>
  <c r="GG196" i="2"/>
  <c r="DC186" i="2"/>
  <c r="GG183" i="2"/>
  <c r="DC169" i="2"/>
  <c r="GW163" i="2"/>
  <c r="CR197" i="2"/>
  <c r="DC192" i="2"/>
  <c r="CR192" i="2"/>
  <c r="GW188" i="2"/>
  <c r="CR188" i="2"/>
  <c r="GG180" i="2"/>
  <c r="GW180" i="2"/>
  <c r="GG172" i="2"/>
  <c r="GG167" i="2"/>
  <c r="CR164" i="2"/>
  <c r="DC164" i="2"/>
  <c r="DC167" i="2"/>
  <c r="CR161" i="2"/>
  <c r="GW156" i="2"/>
  <c r="DC157" i="2"/>
  <c r="GW158" i="2"/>
  <c r="GG156" i="2"/>
  <c r="GG143" i="2"/>
  <c r="CR142" i="2"/>
  <c r="GW142" i="2"/>
  <c r="CR139" i="2"/>
  <c r="GW275" i="2"/>
  <c r="DC265" i="2"/>
  <c r="GW259" i="2"/>
  <c r="DC259" i="2"/>
  <c r="GG251" i="2"/>
  <c r="GW243" i="2"/>
  <c r="DC184" i="2"/>
  <c r="GG117" i="2"/>
  <c r="GG110" i="2"/>
  <c r="GG87" i="2"/>
  <c r="CR87" i="2"/>
  <c r="GW81" i="2"/>
  <c r="DC81" i="2"/>
  <c r="CR50" i="2"/>
  <c r="GG43" i="2"/>
  <c r="CR43" i="2"/>
  <c r="GW37" i="2"/>
  <c r="CR37" i="2"/>
  <c r="GG32" i="2"/>
  <c r="DC32" i="2"/>
  <c r="GG22" i="2"/>
  <c r="DC12" i="2"/>
  <c r="CR126" i="2"/>
  <c r="GW26" i="2"/>
  <c r="GW267" i="2"/>
  <c r="CR261" i="2"/>
  <c r="GW254" i="2"/>
  <c r="DC254" i="2"/>
  <c r="GW250" i="2"/>
  <c r="GW246" i="2"/>
  <c r="GW242" i="2"/>
  <c r="DC242" i="2"/>
  <c r="CR226" i="2"/>
  <c r="GG219" i="2"/>
  <c r="CR219" i="2"/>
  <c r="GW151" i="2"/>
  <c r="DC147" i="2"/>
  <c r="GG138" i="2"/>
  <c r="GW128" i="2"/>
  <c r="GG122" i="2"/>
  <c r="DC116" i="2"/>
  <c r="GW113" i="2"/>
  <c r="CR106" i="2"/>
  <c r="DC99" i="2"/>
  <c r="GW97" i="2"/>
  <c r="GG94" i="2"/>
  <c r="CR91" i="2"/>
  <c r="GG88" i="2"/>
  <c r="GW86" i="2"/>
  <c r="CR80" i="2"/>
  <c r="DC77" i="2"/>
  <c r="GG73" i="2"/>
  <c r="GG70" i="2"/>
  <c r="GW64" i="2"/>
  <c r="GG60" i="2"/>
  <c r="DC58" i="2"/>
  <c r="DC52" i="2"/>
  <c r="GW49" i="2"/>
  <c r="GW45" i="2"/>
  <c r="CR45" i="2"/>
  <c r="DC42" i="2"/>
  <c r="GW34" i="2"/>
  <c r="CR34" i="2"/>
  <c r="CR24" i="2"/>
  <c r="DC17" i="2"/>
  <c r="GG11" i="2"/>
  <c r="CR8" i="2"/>
  <c r="CR38" i="2"/>
  <c r="CR13" i="2"/>
  <c r="CR240" i="2"/>
  <c r="CR107" i="2"/>
  <c r="GG275" i="2"/>
  <c r="GG265" i="2"/>
  <c r="GW251" i="2"/>
  <c r="DC243" i="2"/>
  <c r="GW230" i="2"/>
  <c r="GG224" i="2"/>
  <c r="CR224" i="2"/>
  <c r="DC216" i="2"/>
  <c r="GG209" i="2"/>
  <c r="CR209" i="2"/>
  <c r="GG155" i="2"/>
  <c r="GG136" i="2"/>
  <c r="CR136" i="2"/>
  <c r="GW126" i="2"/>
  <c r="DC126" i="2"/>
  <c r="GW117" i="2"/>
  <c r="DC117" i="2"/>
  <c r="GW110" i="2"/>
  <c r="DC110" i="2"/>
  <c r="CR110" i="2"/>
  <c r="GG98" i="2"/>
  <c r="GG92" i="2"/>
  <c r="GW87" i="2"/>
  <c r="DC87" i="2"/>
  <c r="CR74" i="2"/>
  <c r="GG65" i="2"/>
  <c r="DC56" i="2"/>
  <c r="GG50" i="2"/>
  <c r="GW43" i="2"/>
  <c r="DC43" i="2"/>
  <c r="DC37" i="2"/>
  <c r="DC262" i="2"/>
  <c r="GG273" i="2"/>
  <c r="CR273" i="2"/>
  <c r="CR267" i="2"/>
  <c r="DC267" i="2"/>
  <c r="GW261" i="2"/>
  <c r="GG258" i="2"/>
  <c r="CR258" i="2"/>
  <c r="DC258" i="2"/>
  <c r="GG232" i="2"/>
  <c r="DC232" i="2"/>
  <c r="GG229" i="2"/>
  <c r="CR229" i="2"/>
  <c r="GW226" i="2"/>
  <c r="GW219" i="2"/>
  <c r="DC219" i="2"/>
  <c r="GG154" i="2"/>
  <c r="DC154" i="2"/>
  <c r="DC151" i="2"/>
  <c r="GG147" i="2"/>
  <c r="GW145" i="2"/>
  <c r="GW138" i="2"/>
  <c r="CR135" i="2"/>
  <c r="CR125" i="2"/>
  <c r="DC122" i="2"/>
  <c r="GW116" i="2"/>
  <c r="GG113" i="2"/>
  <c r="CR113" i="2"/>
  <c r="GG109" i="2"/>
  <c r="CR109" i="2"/>
  <c r="GG106" i="2"/>
  <c r="DC106" i="2"/>
  <c r="GW102" i="2"/>
  <c r="DC102" i="2"/>
  <c r="CR97" i="2"/>
  <c r="DC94" i="2"/>
  <c r="DC91" i="2"/>
  <c r="GW88" i="2"/>
  <c r="GG86" i="2"/>
  <c r="CR86" i="2"/>
  <c r="GG83" i="2"/>
  <c r="CR83" i="2"/>
  <c r="GG80" i="2"/>
  <c r="DC80" i="2"/>
  <c r="GW77" i="2"/>
  <c r="GG77" i="2"/>
  <c r="GW73" i="2"/>
  <c r="GW70" i="2"/>
  <c r="GG67" i="2"/>
  <c r="CR67" i="2"/>
  <c r="GG64" i="2"/>
  <c r="CR64" i="2"/>
  <c r="DC60" i="2"/>
  <c r="GW58" i="2"/>
  <c r="GG55" i="2"/>
  <c r="GW52" i="2"/>
  <c r="GG49" i="2"/>
  <c r="DC49" i="2"/>
  <c r="DC45" i="2"/>
  <c r="GW39" i="2"/>
  <c r="CR39" i="2"/>
  <c r="GG34" i="2"/>
  <c r="DC34" i="2"/>
  <c r="GG28" i="2"/>
  <c r="GG24" i="2"/>
  <c r="DC24" i="2"/>
  <c r="DC20" i="2"/>
  <c r="GG17" i="2"/>
  <c r="GW14" i="2"/>
  <c r="GG14" i="2"/>
  <c r="CR14" i="2"/>
  <c r="GW11" i="2"/>
  <c r="CR11" i="2"/>
  <c r="DC8" i="2"/>
  <c r="CR56" i="2"/>
  <c r="GW271" i="2"/>
  <c r="DC271" i="2"/>
  <c r="GW262" i="2"/>
  <c r="GW247" i="2"/>
  <c r="GG240" i="2"/>
  <c r="GW233" i="2"/>
  <c r="GG227" i="2"/>
  <c r="GW220" i="2"/>
  <c r="DC220" i="2"/>
  <c r="GW152" i="2"/>
  <c r="CR152" i="2"/>
  <c r="GG146" i="2"/>
  <c r="GG139" i="2"/>
  <c r="GG130" i="2"/>
  <c r="GW123" i="2"/>
  <c r="DC123" i="2"/>
  <c r="GG114" i="2"/>
  <c r="CR114" i="2"/>
  <c r="GW107" i="2"/>
  <c r="DC107" i="2"/>
  <c r="GW100" i="2"/>
  <c r="DC100" i="2"/>
  <c r="CR100" i="2"/>
  <c r="GG89" i="2"/>
  <c r="GG84" i="2"/>
  <c r="GW78" i="2"/>
  <c r="DC78" i="2"/>
  <c r="GW68" i="2"/>
  <c r="DC68" i="2"/>
  <c r="GW59" i="2"/>
  <c r="DC59" i="2"/>
  <c r="GG46" i="2"/>
  <c r="GG18" i="2"/>
  <c r="DC18" i="2"/>
  <c r="GG9" i="2"/>
  <c r="CR9" i="2"/>
  <c r="CR46" i="2"/>
  <c r="GG272" i="2"/>
  <c r="CR266" i="2"/>
  <c r="GG263" i="2"/>
  <c r="DC260" i="2"/>
  <c r="GG257" i="2"/>
  <c r="GG252" i="2"/>
  <c r="GW244" i="2"/>
  <c r="GG244" i="2"/>
  <c r="DC244" i="2"/>
  <c r="GW241" i="2"/>
  <c r="DC241" i="2"/>
  <c r="GW234" i="2"/>
  <c r="GG234" i="2"/>
  <c r="DC234" i="2"/>
  <c r="GW231" i="2"/>
  <c r="CR231" i="2"/>
  <c r="CR228" i="2"/>
  <c r="CR225" i="2"/>
  <c r="GW221" i="2"/>
  <c r="GG221" i="2"/>
  <c r="DC221" i="2"/>
  <c r="GW218" i="2"/>
  <c r="GW210" i="2"/>
  <c r="DC210" i="2"/>
  <c r="CR159" i="2"/>
  <c r="GG153" i="2"/>
  <c r="DC153" i="2"/>
  <c r="CR153" i="2"/>
  <c r="GW150" i="2"/>
  <c r="DC150" i="2"/>
  <c r="GW144" i="2"/>
  <c r="GG140" i="2"/>
  <c r="GW137" i="2"/>
  <c r="DC137" i="2"/>
  <c r="CR137" i="2"/>
  <c r="GG127" i="2"/>
  <c r="GG124" i="2"/>
  <c r="DC124" i="2"/>
  <c r="CR124" i="2"/>
  <c r="GG119" i="2"/>
  <c r="CR119" i="2"/>
  <c r="DC119" i="2"/>
  <c r="GW105" i="2"/>
  <c r="GW101" i="2"/>
  <c r="GG96" i="2"/>
  <c r="DC96" i="2"/>
  <c r="CR96" i="2"/>
  <c r="GG90" i="2"/>
  <c r="CR90" i="2"/>
  <c r="DC90" i="2"/>
  <c r="GG85" i="2"/>
  <c r="GW79" i="2"/>
  <c r="GW75" i="2"/>
  <c r="GG72" i="2"/>
  <c r="DC69" i="2"/>
  <c r="CR69" i="2"/>
  <c r="GG61" i="2"/>
  <c r="GW57" i="2"/>
  <c r="CR57" i="2"/>
  <c r="DC57" i="2"/>
  <c r="GG51" i="2"/>
  <c r="GG48" i="2"/>
  <c r="CR48" i="2"/>
  <c r="DC48" i="2"/>
  <c r="GW44" i="2"/>
  <c r="GW41" i="2"/>
  <c r="GW38" i="2"/>
  <c r="GW36" i="2"/>
  <c r="CR36" i="2"/>
  <c r="GW30" i="2"/>
  <c r="GW27" i="2"/>
  <c r="DC27" i="2"/>
  <c r="CR27" i="2"/>
  <c r="GW23" i="2"/>
  <c r="GG19" i="2"/>
  <c r="GG16" i="2"/>
  <c r="CR16" i="2"/>
  <c r="GG13" i="2"/>
  <c r="DC13" i="2"/>
  <c r="GW7" i="2"/>
  <c r="CR251" i="2"/>
  <c r="CR150" i="2"/>
  <c r="CR101" i="2"/>
  <c r="CR62" i="2"/>
  <c r="DC275" i="2"/>
  <c r="DC121" i="2"/>
  <c r="DC41" i="2"/>
  <c r="GG131" i="2"/>
  <c r="GW272" i="2"/>
  <c r="CR256" i="2"/>
  <c r="DC215" i="2"/>
  <c r="GG215" i="2"/>
  <c r="GW165" i="2"/>
  <c r="GG165" i="2"/>
  <c r="GW174" i="2"/>
  <c r="GW189" i="2"/>
  <c r="CR189" i="2"/>
  <c r="GW198" i="2"/>
  <c r="GG198" i="2"/>
  <c r="GW162" i="2"/>
  <c r="GW168" i="2"/>
  <c r="GG168" i="2"/>
  <c r="GW182" i="2"/>
  <c r="GG182" i="2"/>
  <c r="GW185" i="2"/>
  <c r="CR185" i="2"/>
  <c r="GW194" i="2"/>
  <c r="GG194" i="2"/>
  <c r="GW202" i="2"/>
  <c r="DC202" i="2"/>
  <c r="GG199" i="2"/>
  <c r="GW190" i="2"/>
  <c r="GG175" i="2"/>
  <c r="CR175" i="2"/>
  <c r="DC166" i="2"/>
  <c r="GG203" i="2"/>
  <c r="CR203" i="2"/>
  <c r="DC196" i="2"/>
  <c r="GW186" i="2"/>
  <c r="CR186" i="2"/>
  <c r="DC183" i="2"/>
  <c r="GW169" i="2"/>
  <c r="GG163" i="2"/>
  <c r="CR163" i="2"/>
  <c r="GG204" i="2"/>
  <c r="GW204" i="2"/>
  <c r="GG200" i="2"/>
  <c r="DC200" i="2"/>
  <c r="GG197" i="2"/>
  <c r="CR184" i="2"/>
  <c r="DC180" i="2"/>
  <c r="CR180" i="2"/>
  <c r="DC172" i="2"/>
  <c r="GG164" i="2"/>
  <c r="GG161" i="2"/>
  <c r="GW161" i="2"/>
  <c r="CR156" i="2"/>
  <c r="CR157" i="2"/>
  <c r="DC143" i="2"/>
  <c r="DC142" i="2"/>
  <c r="GG230" i="2"/>
  <c r="CR230" i="2"/>
  <c r="GW216" i="2"/>
  <c r="GW143" i="2"/>
  <c r="GG126" i="2"/>
  <c r="GW104" i="2"/>
  <c r="DC104" i="2"/>
  <c r="GW74" i="2"/>
  <c r="DC74" i="2"/>
  <c r="CR65" i="2"/>
  <c r="GW56" i="2"/>
  <c r="DC26" i="2"/>
  <c r="DC22" i="2"/>
  <c r="GG12" i="2"/>
  <c r="DC273" i="2"/>
  <c r="GW264" i="2"/>
  <c r="GG261" i="2"/>
  <c r="DC261" i="2"/>
  <c r="GG250" i="2"/>
  <c r="GG226" i="2"/>
  <c r="GW212" i="2"/>
  <c r="CR212" i="2"/>
  <c r="GW154" i="2"/>
  <c r="CR151" i="2"/>
  <c r="CR147" i="2"/>
  <c r="DC138" i="2"/>
  <c r="GW135" i="2"/>
  <c r="DC128" i="2"/>
  <c r="GW125" i="2"/>
  <c r="CR122" i="2"/>
  <c r="GG116" i="2"/>
  <c r="CR102" i="2"/>
  <c r="GG99" i="2"/>
  <c r="CR94" i="2"/>
  <c r="GG91" i="2"/>
  <c r="DC88" i="2"/>
  <c r="DC73" i="2"/>
  <c r="DC70" i="2"/>
  <c r="GW67" i="2"/>
  <c r="CR60" i="2"/>
  <c r="GG58" i="2"/>
  <c r="DC55" i="2"/>
  <c r="GG52" i="2"/>
  <c r="CR49" i="2"/>
  <c r="DC28" i="2"/>
  <c r="GW24" i="2"/>
  <c r="GW20" i="2"/>
  <c r="CR20" i="2"/>
  <c r="GW8" i="2"/>
  <c r="CR154" i="2"/>
  <c r="GG271" i="2"/>
  <c r="GG233" i="2"/>
  <c r="CR220" i="2"/>
  <c r="DC213" i="2"/>
  <c r="DC158" i="2"/>
  <c r="CR123" i="2"/>
  <c r="GG100" i="2"/>
  <c r="DC95" i="2"/>
  <c r="GW71" i="2"/>
  <c r="CR68" i="2"/>
  <c r="GG59" i="2"/>
  <c r="DC53" i="2"/>
  <c r="GW40" i="2"/>
  <c r="GW15" i="2"/>
  <c r="DC146" i="2"/>
  <c r="GG266" i="2"/>
  <c r="DC257" i="2"/>
  <c r="GW249" i="2"/>
  <c r="CR241" i="2"/>
  <c r="GG150" i="2"/>
  <c r="GG137" i="2"/>
  <c r="GW131" i="2"/>
  <c r="GW124" i="2"/>
  <c r="GW121" i="2"/>
  <c r="GW119" i="2"/>
  <c r="GG115" i="2"/>
  <c r="CR115" i="2"/>
  <c r="GG108" i="2"/>
  <c r="DC108" i="2"/>
  <c r="CR82" i="2"/>
  <c r="GW69" i="2"/>
  <c r="GW66" i="2"/>
  <c r="GG63" i="2"/>
  <c r="DC61" i="2"/>
  <c r="GG44" i="2"/>
  <c r="CR41" i="2"/>
  <c r="GG27" i="2"/>
  <c r="GW25" i="2"/>
  <c r="DC19" i="2"/>
  <c r="GG7" i="2"/>
  <c r="CR131" i="2"/>
  <c r="GG128" i="2"/>
  <c r="CR275" i="2"/>
  <c r="GG174" i="2"/>
  <c r="GG162" i="2"/>
  <c r="DC185" i="2"/>
  <c r="GG185" i="2"/>
  <c r="DC194" i="2"/>
  <c r="GG190" i="2"/>
  <c r="DC175" i="2"/>
  <c r="CR196" i="2"/>
  <c r="GG186" i="2"/>
  <c r="GW183" i="2"/>
  <c r="GW200" i="2"/>
  <c r="GG192" i="2"/>
  <c r="GW192" i="2"/>
  <c r="GW184" i="2"/>
  <c r="GG157" i="2"/>
  <c r="GG247" i="2"/>
  <c r="DC227" i="2"/>
  <c r="GG107" i="2"/>
  <c r="GG78" i="2"/>
  <c r="DC71" i="2"/>
  <c r="GW18" i="2"/>
  <c r="DC15" i="2"/>
  <c r="GW257" i="2"/>
  <c r="CR244" i="2"/>
  <c r="GG228" i="2"/>
  <c r="GW153" i="2"/>
  <c r="GG75" i="2"/>
  <c r="DC72" i="2"/>
  <c r="CR54" i="2"/>
  <c r="GW13" i="2"/>
  <c r="CR232" i="2"/>
  <c r="DC16" i="2"/>
  <c r="GW256" i="2"/>
  <c r="GG189" i="2"/>
  <c r="DC168" i="2"/>
  <c r="DC182" i="2"/>
  <c r="CR166" i="2"/>
  <c r="GW196" i="2"/>
  <c r="CR169" i="2"/>
  <c r="DC204" i="2"/>
  <c r="CR200" i="2"/>
  <c r="GG184" i="2"/>
  <c r="CR167" i="2"/>
  <c r="GW164" i="2"/>
  <c r="GG142" i="2"/>
  <c r="DC250" i="2"/>
  <c r="CR247" i="2"/>
  <c r="DC240" i="2"/>
  <c r="GG220" i="2"/>
  <c r="GG123" i="2"/>
  <c r="GW95" i="2"/>
  <c r="CR78" i="2"/>
  <c r="GG68" i="2"/>
  <c r="DC62" i="2"/>
  <c r="GG53" i="2"/>
  <c r="DC46" i="2"/>
  <c r="CR18" i="2"/>
  <c r="GG260" i="2"/>
  <c r="DC252" i="2"/>
  <c r="CR249" i="2"/>
  <c r="CR234" i="2"/>
  <c r="DC225" i="2"/>
  <c r="GG218" i="2"/>
  <c r="GW159" i="2"/>
  <c r="GG101" i="2"/>
  <c r="GW93" i="2"/>
  <c r="GW90" i="2"/>
  <c r="GG82" i="2"/>
  <c r="DC82" i="2"/>
  <c r="CR72" i="2"/>
  <c r="CR61" i="2"/>
  <c r="DC54" i="2"/>
  <c r="GG41" i="2"/>
  <c r="GG38" i="2"/>
  <c r="DC38" i="2"/>
  <c r="CR19" i="2"/>
  <c r="DC10" i="2"/>
  <c r="CR89" i="2"/>
  <c r="DC93" i="2"/>
  <c r="CR272" i="2"/>
  <c r="DC256" i="2"/>
  <c r="CR215" i="2"/>
  <c r="DC198" i="2"/>
  <c r="GG202" i="2"/>
  <c r="CR190" i="2"/>
  <c r="GW166" i="2"/>
  <c r="DC203" i="2"/>
  <c r="CR183" i="2"/>
  <c r="GG169" i="2"/>
  <c r="DC163" i="2"/>
  <c r="CR204" i="2"/>
  <c r="GG188" i="2"/>
  <c r="DC188" i="2"/>
  <c r="CR172" i="2"/>
  <c r="CR158" i="2"/>
  <c r="CR233" i="2"/>
  <c r="GW167" i="2"/>
  <c r="GW62" i="2"/>
  <c r="DC40" i="2"/>
  <c r="CR227" i="2"/>
  <c r="GW260" i="2"/>
  <c r="GW252" i="2"/>
  <c r="DC249" i="2"/>
  <c r="CR218" i="2"/>
  <c r="GG210" i="2"/>
  <c r="DC115" i="2"/>
  <c r="CR108" i="2"/>
  <c r="GW72" i="2"/>
  <c r="GW54" i="2"/>
  <c r="GW33" i="2"/>
  <c r="GG10" i="2"/>
  <c r="CR7" i="2"/>
  <c r="CR51" i="2"/>
  <c r="GG225" i="2"/>
  <c r="DC165" i="2"/>
  <c r="DC174" i="2"/>
  <c r="CR162" i="2"/>
  <c r="DC199" i="2"/>
  <c r="GW172" i="2"/>
  <c r="DC156" i="2"/>
  <c r="CK7" i="2"/>
  <c r="CN7" i="2" s="1"/>
  <c r="CK10" i="2"/>
  <c r="CN10" i="2" s="1"/>
  <c r="CK13" i="2"/>
  <c r="CN13" i="2" s="1"/>
  <c r="CK16" i="2"/>
  <c r="CN16" i="2" s="1"/>
  <c r="CK19" i="2"/>
  <c r="CN19" i="2" s="1"/>
  <c r="CK23" i="2"/>
  <c r="CN23" i="2" s="1"/>
  <c r="CK25" i="2"/>
  <c r="CN25" i="2" s="1"/>
  <c r="CK27" i="2"/>
  <c r="CN27" i="2" s="1"/>
  <c r="CK30" i="2"/>
  <c r="CN30" i="2" s="1"/>
  <c r="CK32" i="2"/>
  <c r="CN32" i="2" s="1"/>
  <c r="CK37" i="2"/>
  <c r="CN37" i="2" s="1"/>
  <c r="CK40" i="2"/>
  <c r="CN40" i="2" s="1"/>
  <c r="CK43" i="2"/>
  <c r="CN43" i="2" s="1"/>
  <c r="CK46" i="2"/>
  <c r="CN46" i="2" s="1"/>
  <c r="CK50" i="2"/>
  <c r="CN50" i="2" s="1"/>
  <c r="CK53" i="2"/>
  <c r="CN53" i="2" s="1"/>
  <c r="CK56" i="2"/>
  <c r="CN56" i="2" s="1"/>
  <c r="CK58" i="2"/>
  <c r="CN58" i="2" s="1"/>
  <c r="CK60" i="2"/>
  <c r="CN60" i="2" s="1"/>
  <c r="CK64" i="2"/>
  <c r="CK67" i="2"/>
  <c r="CN67" i="2" s="1"/>
  <c r="CK70" i="2"/>
  <c r="CN70" i="2" s="1"/>
  <c r="CK73" i="2"/>
  <c r="CN73" i="2" s="1"/>
  <c r="CK77" i="2"/>
  <c r="CN77" i="2" s="1"/>
  <c r="CK80" i="2"/>
  <c r="CN80" i="2" s="1"/>
  <c r="CK83" i="2"/>
  <c r="CN83" i="2" s="1"/>
  <c r="CK85" i="2"/>
  <c r="CN85" i="2" s="1"/>
  <c r="CK90" i="2"/>
  <c r="CN90" i="2" s="1"/>
  <c r="CK95" i="2"/>
  <c r="CN95" i="2" s="1"/>
  <c r="CK98" i="2"/>
  <c r="CN98" i="2" s="1"/>
  <c r="CK100" i="2"/>
  <c r="CN100" i="2" s="1"/>
  <c r="CK102" i="2"/>
  <c r="CN102" i="2" s="1"/>
  <c r="CK106" i="2"/>
  <c r="CN106" i="2" s="1"/>
  <c r="CK109" i="2"/>
  <c r="CN109" i="2" s="1"/>
  <c r="CK115" i="2"/>
  <c r="CN115" i="2" s="1"/>
  <c r="CK119" i="2"/>
  <c r="CN119" i="2" s="1"/>
  <c r="CK123" i="2"/>
  <c r="CN123" i="2" s="1"/>
  <c r="CK126" i="2"/>
  <c r="CN126" i="2" s="1"/>
  <c r="CK130" i="2"/>
  <c r="CN130" i="2" s="1"/>
  <c r="CK135" i="2"/>
  <c r="CN135" i="2" s="1"/>
  <c r="CK138" i="2"/>
  <c r="CN138" i="2" s="1"/>
  <c r="CK9" i="2"/>
  <c r="CN9" i="2" s="1"/>
  <c r="CK14" i="2"/>
  <c r="CN14" i="2" s="1"/>
  <c r="CK18" i="2"/>
  <c r="CN18" i="2" s="1"/>
  <c r="CK24" i="2"/>
  <c r="CN24" i="2" s="1"/>
  <c r="CK26" i="2"/>
  <c r="CN26" i="2" s="1"/>
  <c r="CK34" i="2"/>
  <c r="CN34" i="2" s="1"/>
  <c r="CK38" i="2"/>
  <c r="CN38" i="2" s="1"/>
  <c r="CK42" i="2"/>
  <c r="CN42" i="2" s="1"/>
  <c r="CK48" i="2"/>
  <c r="CN48" i="2" s="1"/>
  <c r="CK52" i="2"/>
  <c r="CN52" i="2" s="1"/>
  <c r="CK57" i="2"/>
  <c r="CN57" i="2" s="1"/>
  <c r="CK62" i="2"/>
  <c r="CN62" i="2" s="1"/>
  <c r="CK66" i="2"/>
  <c r="CN66" i="2" s="1"/>
  <c r="CK71" i="2"/>
  <c r="CN71" i="2" s="1"/>
  <c r="CK75" i="2"/>
  <c r="CN75" i="2" s="1"/>
  <c r="CK81" i="2"/>
  <c r="CN81" i="2" s="1"/>
  <c r="CK88" i="2"/>
  <c r="CN88" i="2" s="1"/>
  <c r="CK92" i="2"/>
  <c r="CN92" i="2" s="1"/>
  <c r="CK96" i="2"/>
  <c r="CN96" i="2" s="1"/>
  <c r="CK99" i="2"/>
  <c r="CN99" i="2" s="1"/>
  <c r="CN327" i="2" s="1"/>
  <c r="CK104" i="2"/>
  <c r="CN104" i="2" s="1"/>
  <c r="CK108" i="2"/>
  <c r="CN108" i="2" s="1"/>
  <c r="CK113" i="2"/>
  <c r="CN113" i="2" s="1"/>
  <c r="CK117" i="2"/>
  <c r="CN117" i="2" s="1"/>
  <c r="CK121" i="2"/>
  <c r="CN121" i="2" s="1"/>
  <c r="CK125" i="2"/>
  <c r="CN125" i="2" s="1"/>
  <c r="CK137" i="2"/>
  <c r="CN137" i="2" s="1"/>
  <c r="CK142" i="2"/>
  <c r="CN142" i="2" s="1"/>
  <c r="CK146" i="2"/>
  <c r="CN146" i="2" s="1"/>
  <c r="CK151" i="2"/>
  <c r="CN151" i="2" s="1"/>
  <c r="CK154" i="2"/>
  <c r="CN154" i="2" s="1"/>
  <c r="CK157" i="2"/>
  <c r="CN157" i="2" s="1"/>
  <c r="CK161" i="2"/>
  <c r="CN161" i="2" s="1"/>
  <c r="CK164" i="2"/>
  <c r="CN164" i="2" s="1"/>
  <c r="CK167" i="2"/>
  <c r="CN167" i="2" s="1"/>
  <c r="CK172" i="2"/>
  <c r="CN172" i="2" s="1"/>
  <c r="CK183" i="2"/>
  <c r="CN183" i="2" s="1"/>
  <c r="CK186" i="2"/>
  <c r="CN186" i="2" s="1"/>
  <c r="CK190" i="2"/>
  <c r="CN190" i="2" s="1"/>
  <c r="CK196" i="2"/>
  <c r="CN196" i="2" s="1"/>
  <c r="CK199" i="2"/>
  <c r="CN199" i="2" s="1"/>
  <c r="CK203" i="2"/>
  <c r="CN203" i="2" s="1"/>
  <c r="CK209" i="2"/>
  <c r="CN209" i="2" s="1"/>
  <c r="CK213" i="2"/>
  <c r="CN213" i="2" s="1"/>
  <c r="CK216" i="2"/>
  <c r="CN216" i="2" s="1"/>
  <c r="CK220" i="2"/>
  <c r="CN220" i="2" s="1"/>
  <c r="CK224" i="2"/>
  <c r="CN224" i="2" s="1"/>
  <c r="CK226" i="2"/>
  <c r="CN226" i="2" s="1"/>
  <c r="CK229" i="2"/>
  <c r="CN229" i="2" s="1"/>
  <c r="CK232" i="2"/>
  <c r="CN232" i="2" s="1"/>
  <c r="CK241" i="2"/>
  <c r="CN241" i="2" s="1"/>
  <c r="CK244" i="2"/>
  <c r="CN244" i="2" s="1"/>
  <c r="CK249" i="2"/>
  <c r="CN249" i="2" s="1"/>
  <c r="CK251" i="2"/>
  <c r="CN251" i="2" s="1"/>
  <c r="CK256" i="2"/>
  <c r="CN256" i="2" s="1"/>
  <c r="CK259" i="2"/>
  <c r="CN259" i="2" s="1"/>
  <c r="CN347" i="2" s="1"/>
  <c r="CK262" i="2"/>
  <c r="CN262" i="2" s="1"/>
  <c r="CK264" i="2"/>
  <c r="CN264" i="2" s="1"/>
  <c r="CK267" i="2"/>
  <c r="CN267" i="2" s="1"/>
  <c r="CK273" i="2"/>
  <c r="CN273" i="2" s="1"/>
  <c r="CK11" i="2"/>
  <c r="CN11" i="2" s="1"/>
  <c r="CK17" i="2"/>
  <c r="CN17" i="2" s="1"/>
  <c r="CK36" i="2"/>
  <c r="CN36" i="2" s="1"/>
  <c r="CK41" i="2"/>
  <c r="CN41" i="2" s="1"/>
  <c r="CK49" i="2"/>
  <c r="CN49" i="2" s="1"/>
  <c r="CK55" i="2"/>
  <c r="CN55" i="2" s="1"/>
  <c r="CK65" i="2"/>
  <c r="CN65" i="2" s="1"/>
  <c r="CK72" i="2"/>
  <c r="CN72" i="2" s="1"/>
  <c r="CK79" i="2"/>
  <c r="CN79" i="2" s="1"/>
  <c r="CK86" i="2"/>
  <c r="CN86" i="2" s="1"/>
  <c r="CK91" i="2"/>
  <c r="CN91" i="2" s="1"/>
  <c r="CK97" i="2"/>
  <c r="CN97" i="2" s="1"/>
  <c r="CK101" i="2"/>
  <c r="CN101" i="2" s="1"/>
  <c r="CK110" i="2"/>
  <c r="CN110" i="2" s="1"/>
  <c r="CK116" i="2"/>
  <c r="CN116" i="2" s="1"/>
  <c r="CK122" i="2"/>
  <c r="CN122" i="2" s="1"/>
  <c r="CK128" i="2"/>
  <c r="CN128" i="2" s="1"/>
  <c r="CK139" i="2"/>
  <c r="CN139" i="2" s="1"/>
  <c r="CK145" i="2"/>
  <c r="CN145" i="2" s="1"/>
  <c r="CK150" i="2"/>
  <c r="CN150" i="2" s="1"/>
  <c r="CK153" i="2"/>
  <c r="CN153" i="2" s="1"/>
  <c r="CK158" i="2"/>
  <c r="CN158" i="2" s="1"/>
  <c r="CK163" i="2"/>
  <c r="CN163" i="2" s="1"/>
  <c r="CK168" i="2"/>
  <c r="CN168" i="2" s="1"/>
  <c r="CK175" i="2"/>
  <c r="CN175" i="2" s="1"/>
  <c r="CK184" i="2"/>
  <c r="CN184" i="2" s="1"/>
  <c r="CK189" i="2"/>
  <c r="CN189" i="2" s="1"/>
  <c r="CK197" i="2"/>
  <c r="CN197" i="2" s="1"/>
  <c r="CK202" i="2"/>
  <c r="CN202" i="2" s="1"/>
  <c r="CK210" i="2"/>
  <c r="CN210" i="2" s="1"/>
  <c r="CK215" i="2"/>
  <c r="CN215" i="2" s="1"/>
  <c r="CK221" i="2"/>
  <c r="CN221" i="2" s="1"/>
  <c r="CK230" i="2"/>
  <c r="CN230" i="2" s="1"/>
  <c r="CK234" i="2"/>
  <c r="CN234" i="2" s="1"/>
  <c r="CK242" i="2"/>
  <c r="CN242" i="2" s="1"/>
  <c r="CK247" i="2"/>
  <c r="CN247" i="2" s="1"/>
  <c r="CK252" i="2"/>
  <c r="CN252" i="2" s="1"/>
  <c r="CK258" i="2"/>
  <c r="CN258" i="2" s="1"/>
  <c r="CK266" i="2"/>
  <c r="CN266" i="2" s="1"/>
  <c r="CK275" i="2"/>
  <c r="CN275" i="2" s="1"/>
  <c r="AU280" i="2"/>
  <c r="BE280" i="2" s="1"/>
  <c r="CK15" i="2"/>
  <c r="CN15" i="2" s="1"/>
  <c r="CK28" i="2"/>
  <c r="CN28" i="2" s="1"/>
  <c r="CK39" i="2"/>
  <c r="CN39" i="2" s="1"/>
  <c r="CK54" i="2"/>
  <c r="CN54" i="2" s="1"/>
  <c r="CK63" i="2"/>
  <c r="CN63" i="2" s="1"/>
  <c r="CK69" i="2"/>
  <c r="CN69" i="2" s="1"/>
  <c r="CK84" i="2"/>
  <c r="CN84" i="2" s="1"/>
  <c r="CK94" i="2"/>
  <c r="CN94" i="2" s="1"/>
  <c r="CK114" i="2"/>
  <c r="CN114" i="2" s="1"/>
  <c r="CK127" i="2"/>
  <c r="CN127" i="2" s="1"/>
  <c r="CK144" i="2"/>
  <c r="CN144" i="2" s="1"/>
  <c r="CK152" i="2"/>
  <c r="CN152" i="2" s="1"/>
  <c r="CK162" i="2"/>
  <c r="CN162" i="2" s="1"/>
  <c r="CK174" i="2"/>
  <c r="CN174" i="2" s="1"/>
  <c r="CK188" i="2"/>
  <c r="CN188" i="2" s="1"/>
  <c r="CK200" i="2"/>
  <c r="CN200" i="2" s="1"/>
  <c r="CK225" i="2"/>
  <c r="CN225" i="2" s="1"/>
  <c r="CK233" i="2"/>
  <c r="CN233" i="2" s="1"/>
  <c r="CK246" i="2"/>
  <c r="CN246" i="2" s="1"/>
  <c r="CK257" i="2"/>
  <c r="CN257" i="2" s="1"/>
  <c r="CK265" i="2"/>
  <c r="CN265" i="2" s="1"/>
  <c r="CK12" i="2"/>
  <c r="CN12" i="2" s="1"/>
  <c r="CK20" i="2"/>
  <c r="CN20" i="2" s="1"/>
  <c r="CK44" i="2"/>
  <c r="CN44" i="2" s="1"/>
  <c r="CK51" i="2"/>
  <c r="CN51" i="2" s="1"/>
  <c r="CK61" i="2"/>
  <c r="CN61" i="2" s="1"/>
  <c r="CK68" i="2"/>
  <c r="CN68" i="2" s="1"/>
  <c r="CK74" i="2"/>
  <c r="CN74" i="2" s="1"/>
  <c r="CK82" i="2"/>
  <c r="CN82" i="2" s="1"/>
  <c r="CK87" i="2"/>
  <c r="CN87" i="2" s="1"/>
  <c r="CK93" i="2"/>
  <c r="CN93" i="2" s="1"/>
  <c r="CK105" i="2"/>
  <c r="CN105" i="2" s="1"/>
  <c r="CK124" i="2"/>
  <c r="CN124" i="2" s="1"/>
  <c r="CK131" i="2"/>
  <c r="CN131" i="2" s="1"/>
  <c r="CK140" i="2"/>
  <c r="CN140" i="2" s="1"/>
  <c r="CK155" i="2"/>
  <c r="CN155" i="2" s="1"/>
  <c r="CK159" i="2"/>
  <c r="CN159" i="2" s="1"/>
  <c r="CK165" i="2"/>
  <c r="CN165" i="2" s="1"/>
  <c r="CK169" i="2"/>
  <c r="CN169" i="2" s="1"/>
  <c r="CK180" i="2"/>
  <c r="CN180" i="2" s="1"/>
  <c r="CK185" i="2"/>
  <c r="CN185" i="2" s="1"/>
  <c r="CK192" i="2"/>
  <c r="CN192" i="2" s="1"/>
  <c r="CK198" i="2"/>
  <c r="CN198" i="2" s="1"/>
  <c r="CK204" i="2"/>
  <c r="CN204" i="2" s="1"/>
  <c r="CK212" i="2"/>
  <c r="CN212" i="2" s="1"/>
  <c r="CK218" i="2"/>
  <c r="CN218" i="2" s="1"/>
  <c r="CK227" i="2"/>
  <c r="CN227" i="2" s="1"/>
  <c r="CK231" i="2"/>
  <c r="CN231" i="2" s="1"/>
  <c r="CK243" i="2"/>
  <c r="CN243" i="2" s="1"/>
  <c r="CK254" i="2"/>
  <c r="CN254" i="2" s="1"/>
  <c r="CK260" i="2"/>
  <c r="CN260" i="2" s="1"/>
  <c r="CK263" i="2"/>
  <c r="CN263" i="2" s="1"/>
  <c r="CK271" i="2"/>
  <c r="CN271" i="2" s="1"/>
  <c r="CK280" i="2"/>
  <c r="CN280" i="2" s="1"/>
  <c r="CK8" i="2"/>
  <c r="CN8" i="2" s="1"/>
  <c r="CK22" i="2"/>
  <c r="CN22" i="2" s="1"/>
  <c r="CK33" i="2"/>
  <c r="CN33" i="2" s="1"/>
  <c r="CK45" i="2"/>
  <c r="CN45" i="2" s="1"/>
  <c r="CK59" i="2"/>
  <c r="CN59" i="2" s="1"/>
  <c r="CK78" i="2"/>
  <c r="CN78" i="2" s="1"/>
  <c r="CK89" i="2"/>
  <c r="CN89" i="2" s="1"/>
  <c r="CK107" i="2"/>
  <c r="CN107" i="2" s="1"/>
  <c r="CK136" i="2"/>
  <c r="CN136" i="2" s="1"/>
  <c r="CK147" i="2"/>
  <c r="CN147" i="2" s="1"/>
  <c r="CK156" i="2"/>
  <c r="CN156" i="2" s="1"/>
  <c r="CK166" i="2"/>
  <c r="CN166" i="2" s="1"/>
  <c r="CK182" i="2"/>
  <c r="CN182" i="2" s="1"/>
  <c r="CK194" i="2"/>
  <c r="CN194" i="2" s="1"/>
  <c r="CK219" i="2"/>
  <c r="CN219" i="2" s="1"/>
  <c r="CK228" i="2"/>
  <c r="CN228" i="2" s="1"/>
  <c r="CK240" i="2"/>
  <c r="CN240" i="2" s="1"/>
  <c r="CK250" i="2"/>
  <c r="CN250" i="2" s="1"/>
  <c r="CK261" i="2"/>
  <c r="CN261" i="2" s="1"/>
  <c r="CK272" i="2"/>
  <c r="CN272" i="2" s="1"/>
  <c r="CK143" i="2"/>
  <c r="CN143" i="2" s="1"/>
  <c r="GC7" i="2"/>
  <c r="GF7" i="2" s="1"/>
  <c r="GC10" i="2"/>
  <c r="GF10" i="2" s="1"/>
  <c r="GC13" i="2"/>
  <c r="GF13" i="2" s="1"/>
  <c r="GC16" i="2"/>
  <c r="GF16" i="2" s="1"/>
  <c r="GC19" i="2"/>
  <c r="GF19" i="2" s="1"/>
  <c r="GC23" i="2"/>
  <c r="GF23" i="2" s="1"/>
  <c r="GC25" i="2"/>
  <c r="GF25" i="2" s="1"/>
  <c r="GC27" i="2"/>
  <c r="GF27" i="2" s="1"/>
  <c r="GC30" i="2"/>
  <c r="GF30" i="2" s="1"/>
  <c r="GC33" i="2"/>
  <c r="GF33" i="2" s="1"/>
  <c r="GC36" i="2"/>
  <c r="GF36" i="2" s="1"/>
  <c r="GC38" i="2"/>
  <c r="GF38" i="2" s="1"/>
  <c r="GC41" i="2"/>
  <c r="GF41" i="2" s="1"/>
  <c r="GC44" i="2"/>
  <c r="GF44" i="2" s="1"/>
  <c r="GC48" i="2"/>
  <c r="GF48" i="2" s="1"/>
  <c r="GC51" i="2"/>
  <c r="GF51" i="2" s="1"/>
  <c r="GC54" i="2"/>
  <c r="GF54" i="2" s="1"/>
  <c r="GC57" i="2"/>
  <c r="GF57" i="2" s="1"/>
  <c r="GC61" i="2"/>
  <c r="GF61" i="2" s="1"/>
  <c r="GC63" i="2"/>
  <c r="GF63" i="2" s="1"/>
  <c r="GC66" i="2"/>
  <c r="GF66" i="2" s="1"/>
  <c r="GC69" i="2"/>
  <c r="GF69" i="2" s="1"/>
  <c r="GC72" i="2"/>
  <c r="GF72" i="2" s="1"/>
  <c r="GC75" i="2"/>
  <c r="GF75" i="2" s="1"/>
  <c r="GC79" i="2"/>
  <c r="GF79" i="2" s="1"/>
  <c r="GC82" i="2"/>
  <c r="GF82" i="2" s="1"/>
  <c r="GC85" i="2"/>
  <c r="GF85" i="2" s="1"/>
  <c r="GC90" i="2"/>
  <c r="GF90" i="2" s="1"/>
  <c r="GC93" i="2"/>
  <c r="GF93" i="2" s="1"/>
  <c r="GC96" i="2"/>
  <c r="GF96" i="2" s="1"/>
  <c r="GC101" i="2"/>
  <c r="GF101" i="2" s="1"/>
  <c r="GC105" i="2"/>
  <c r="GF105" i="2" s="1"/>
  <c r="GC108" i="2"/>
  <c r="GF108" i="2" s="1"/>
  <c r="GC115" i="2"/>
  <c r="GF115" i="2" s="1"/>
  <c r="GC119" i="2"/>
  <c r="GF119" i="2" s="1"/>
  <c r="GC12" i="2"/>
  <c r="GF12" i="2" s="1"/>
  <c r="GC14" i="2"/>
  <c r="GF14" i="2" s="1"/>
  <c r="GC22" i="2"/>
  <c r="GF22" i="2" s="1"/>
  <c r="GC24" i="2"/>
  <c r="GF24" i="2" s="1"/>
  <c r="GC37" i="2"/>
  <c r="GF37" i="2" s="1"/>
  <c r="GC39" i="2"/>
  <c r="GF39" i="2" s="1"/>
  <c r="GC46" i="2"/>
  <c r="GF46" i="2" s="1"/>
  <c r="GC49" i="2"/>
  <c r="GF49" i="2" s="1"/>
  <c r="GC56" i="2"/>
  <c r="GF56" i="2" s="1"/>
  <c r="GC58" i="2"/>
  <c r="GF58" i="2" s="1"/>
  <c r="GC62" i="2"/>
  <c r="GF62" i="2" s="1"/>
  <c r="GC64" i="2"/>
  <c r="GF64" i="2" s="1"/>
  <c r="GC71" i="2"/>
  <c r="GF71" i="2" s="1"/>
  <c r="GC73" i="2"/>
  <c r="GF73" i="2" s="1"/>
  <c r="GC81" i="2"/>
  <c r="GF81" i="2" s="1"/>
  <c r="GC83" i="2"/>
  <c r="GF83" i="2" s="1"/>
  <c r="GC89" i="2"/>
  <c r="GF89" i="2" s="1"/>
  <c r="GC91" i="2"/>
  <c r="GF91" i="2" s="1"/>
  <c r="GC98" i="2"/>
  <c r="GF98" i="2" s="1"/>
  <c r="GC99" i="2"/>
  <c r="GF99" i="2" s="1"/>
  <c r="GF327" i="2" s="1"/>
  <c r="B52" i="9" s="1"/>
  <c r="GC107" i="2"/>
  <c r="GF107" i="2" s="1"/>
  <c r="GC109" i="2"/>
  <c r="GF109" i="2" s="1"/>
  <c r="GC117" i="2"/>
  <c r="GF117" i="2" s="1"/>
  <c r="GC122" i="2"/>
  <c r="GF122" i="2" s="1"/>
  <c r="GC125" i="2"/>
  <c r="GF125" i="2" s="1"/>
  <c r="GC128" i="2"/>
  <c r="GF128" i="2" s="1"/>
  <c r="GC135" i="2"/>
  <c r="GF135" i="2" s="1"/>
  <c r="GC138" i="2"/>
  <c r="GF138" i="2" s="1"/>
  <c r="GC142" i="2"/>
  <c r="GF142" i="2" s="1"/>
  <c r="GC145" i="2"/>
  <c r="GF145" i="2" s="1"/>
  <c r="GC147" i="2"/>
  <c r="GF147" i="2" s="1"/>
  <c r="GC151" i="2"/>
  <c r="GF151" i="2" s="1"/>
  <c r="GC154" i="2"/>
  <c r="GF154" i="2" s="1"/>
  <c r="GC157" i="2"/>
  <c r="GF157" i="2" s="1"/>
  <c r="GC161" i="2"/>
  <c r="GF161" i="2" s="1"/>
  <c r="GC164" i="2"/>
  <c r="GF164" i="2" s="1"/>
  <c r="GC167" i="2"/>
  <c r="GF167" i="2" s="1"/>
  <c r="GC172" i="2"/>
  <c r="GF172" i="2" s="1"/>
  <c r="GC180" i="2"/>
  <c r="GF180" i="2" s="1"/>
  <c r="GC184" i="2"/>
  <c r="GF184" i="2" s="1"/>
  <c r="GC188" i="2"/>
  <c r="GF188" i="2" s="1"/>
  <c r="GC192" i="2"/>
  <c r="GF192" i="2" s="1"/>
  <c r="GC197" i="2"/>
  <c r="GF197" i="2" s="1"/>
  <c r="GC200" i="2"/>
  <c r="GF200" i="2" s="1"/>
  <c r="GC204" i="2"/>
  <c r="GF204" i="2" s="1"/>
  <c r="GC210" i="2"/>
  <c r="GF210" i="2" s="1"/>
  <c r="GC218" i="2"/>
  <c r="GF218" i="2" s="1"/>
  <c r="GC221" i="2"/>
  <c r="GF221" i="2" s="1"/>
  <c r="GC225" i="2"/>
  <c r="GF225" i="2" s="1"/>
  <c r="GC228" i="2"/>
  <c r="GF228" i="2" s="1"/>
  <c r="GC231" i="2"/>
  <c r="GF231" i="2" s="1"/>
  <c r="GC234" i="2"/>
  <c r="GF234" i="2" s="1"/>
  <c r="GC241" i="2"/>
  <c r="GF241" i="2" s="1"/>
  <c r="GC244" i="2"/>
  <c r="GF244" i="2" s="1"/>
  <c r="GC249" i="2"/>
  <c r="GF249" i="2" s="1"/>
  <c r="GC252" i="2"/>
  <c r="GF252" i="2" s="1"/>
  <c r="GC257" i="2"/>
  <c r="GF257" i="2" s="1"/>
  <c r="GC260" i="2"/>
  <c r="GF260" i="2" s="1"/>
  <c r="GC263" i="2"/>
  <c r="GF263" i="2" s="1"/>
  <c r="GC266" i="2"/>
  <c r="GF266" i="2" s="1"/>
  <c r="GC272" i="2"/>
  <c r="GF272" i="2" s="1"/>
  <c r="GC280" i="2"/>
  <c r="GF280" i="2" s="1"/>
  <c r="FU8" i="2"/>
  <c r="GA8" i="2" s="1"/>
  <c r="FU11" i="2"/>
  <c r="GA11" i="2" s="1"/>
  <c r="FU14" i="2"/>
  <c r="GA14" i="2" s="1"/>
  <c r="FU17" i="2"/>
  <c r="GA17" i="2" s="1"/>
  <c r="FU20" i="2"/>
  <c r="GA20" i="2" s="1"/>
  <c r="FU24" i="2"/>
  <c r="GA24" i="2" s="1"/>
  <c r="FU28" i="2"/>
  <c r="GA28" i="2" s="1"/>
  <c r="FU34" i="2"/>
  <c r="GA34" i="2" s="1"/>
  <c r="FU39" i="2"/>
  <c r="GA39" i="2" s="1"/>
  <c r="FU42" i="2"/>
  <c r="GA42" i="2" s="1"/>
  <c r="FU45" i="2"/>
  <c r="GA45" i="2" s="1"/>
  <c r="FU49" i="2"/>
  <c r="GA49" i="2" s="1"/>
  <c r="FU52" i="2"/>
  <c r="GA52" i="2" s="1"/>
  <c r="FU55" i="2"/>
  <c r="GA55" i="2" s="1"/>
  <c r="FU58" i="2"/>
  <c r="GA58" i="2" s="1"/>
  <c r="FU60" i="2"/>
  <c r="GA60" i="2" s="1"/>
  <c r="FU64" i="2"/>
  <c r="GA64" i="2" s="1"/>
  <c r="FU67" i="2"/>
  <c r="GA67" i="2" s="1"/>
  <c r="FU70" i="2"/>
  <c r="GA70" i="2" s="1"/>
  <c r="FU73" i="2"/>
  <c r="GA73" i="2" s="1"/>
  <c r="FU77" i="2"/>
  <c r="GA77" i="2" s="1"/>
  <c r="FU80" i="2"/>
  <c r="GA80" i="2" s="1"/>
  <c r="FU83" i="2"/>
  <c r="GA83" i="2" s="1"/>
  <c r="FU86" i="2"/>
  <c r="GA86" i="2" s="1"/>
  <c r="FU88" i="2"/>
  <c r="GA88" i="2" s="1"/>
  <c r="FU91" i="2"/>
  <c r="GA91" i="2" s="1"/>
  <c r="FU94" i="2"/>
  <c r="GA94" i="2" s="1"/>
  <c r="FU97" i="2"/>
  <c r="GA97" i="2" s="1"/>
  <c r="FU99" i="2"/>
  <c r="GA99" i="2" s="1"/>
  <c r="GA327" i="2" s="1"/>
  <c r="I52" i="9" s="1"/>
  <c r="F19" i="15" s="1"/>
  <c r="FU102" i="2"/>
  <c r="GA102" i="2" s="1"/>
  <c r="FU106" i="2"/>
  <c r="GA106" i="2" s="1"/>
  <c r="FU109" i="2"/>
  <c r="GA109" i="2" s="1"/>
  <c r="FU113" i="2"/>
  <c r="GA113" i="2" s="1"/>
  <c r="FU116" i="2"/>
  <c r="GA116" i="2" s="1"/>
  <c r="FU122" i="2"/>
  <c r="GA122" i="2" s="1"/>
  <c r="FU125" i="2"/>
  <c r="GA125" i="2" s="1"/>
  <c r="FU128" i="2"/>
  <c r="GA128" i="2" s="1"/>
  <c r="FU135" i="2"/>
  <c r="GA135" i="2" s="1"/>
  <c r="FU138" i="2"/>
  <c r="GA138" i="2" s="1"/>
  <c r="FU142" i="2"/>
  <c r="GA142" i="2" s="1"/>
  <c r="FU145" i="2"/>
  <c r="GA145" i="2" s="1"/>
  <c r="FU147" i="2"/>
  <c r="GA147" i="2" s="1"/>
  <c r="FU151" i="2"/>
  <c r="GA151" i="2" s="1"/>
  <c r="FU154" i="2"/>
  <c r="GA154" i="2" s="1"/>
  <c r="FU157" i="2"/>
  <c r="GA157" i="2" s="1"/>
  <c r="FU161" i="2"/>
  <c r="GA161" i="2" s="1"/>
  <c r="FU164" i="2"/>
  <c r="GA164" i="2" s="1"/>
  <c r="FU167" i="2"/>
  <c r="GA167" i="2" s="1"/>
  <c r="FU172" i="2"/>
  <c r="GA172" i="2" s="1"/>
  <c r="FU180" i="2"/>
  <c r="GA180" i="2" s="1"/>
  <c r="FU184" i="2"/>
  <c r="GA184" i="2" s="1"/>
  <c r="FU188" i="2"/>
  <c r="GA188" i="2" s="1"/>
  <c r="FU192" i="2"/>
  <c r="GA192" i="2" s="1"/>
  <c r="FU197" i="2"/>
  <c r="GA197" i="2" s="1"/>
  <c r="FU200" i="2"/>
  <c r="GA200" i="2" s="1"/>
  <c r="FU204" i="2"/>
  <c r="GA204" i="2" s="1"/>
  <c r="FU210" i="2"/>
  <c r="GA210" i="2" s="1"/>
  <c r="FU218" i="2"/>
  <c r="GA218" i="2" s="1"/>
  <c r="FU221" i="2"/>
  <c r="GA221" i="2" s="1"/>
  <c r="FU225" i="2"/>
  <c r="GA225" i="2" s="1"/>
  <c r="FU228" i="2"/>
  <c r="GA228" i="2" s="1"/>
  <c r="FU231" i="2"/>
  <c r="GA231" i="2" s="1"/>
  <c r="FU234" i="2"/>
  <c r="GA234" i="2" s="1"/>
  <c r="FU241" i="2"/>
  <c r="GA241" i="2" s="1"/>
  <c r="FU244" i="2"/>
  <c r="GA244" i="2" s="1"/>
  <c r="FU249" i="2"/>
  <c r="GA249" i="2" s="1"/>
  <c r="FU252" i="2"/>
  <c r="GA252" i="2" s="1"/>
  <c r="FU257" i="2"/>
  <c r="GA257" i="2" s="1"/>
  <c r="FU260" i="2"/>
  <c r="GA260" i="2" s="1"/>
  <c r="FU263" i="2"/>
  <c r="GA263" i="2" s="1"/>
  <c r="FU266" i="2"/>
  <c r="GA266" i="2" s="1"/>
  <c r="FU272" i="2"/>
  <c r="GA272" i="2" s="1"/>
  <c r="FU280" i="2"/>
  <c r="GA280" i="2" s="1"/>
  <c r="FO8" i="2"/>
  <c r="FS8" i="2" s="1"/>
  <c r="FO11" i="2"/>
  <c r="FS11" i="2" s="1"/>
  <c r="FO14" i="2"/>
  <c r="FS14" i="2" s="1"/>
  <c r="FO17" i="2"/>
  <c r="FS17" i="2" s="1"/>
  <c r="FO20" i="2"/>
  <c r="FS20" i="2" s="1"/>
  <c r="FO24" i="2"/>
  <c r="FS24" i="2" s="1"/>
  <c r="FO28" i="2"/>
  <c r="FS28" i="2" s="1"/>
  <c r="FO34" i="2"/>
  <c r="FS34" i="2" s="1"/>
  <c r="FO39" i="2"/>
  <c r="FS39" i="2" s="1"/>
  <c r="FO42" i="2"/>
  <c r="FS42" i="2" s="1"/>
  <c r="FO45" i="2"/>
  <c r="FS45" i="2" s="1"/>
  <c r="FO49" i="2"/>
  <c r="FS49" i="2" s="1"/>
  <c r="FO52" i="2"/>
  <c r="FS52" i="2" s="1"/>
  <c r="FO55" i="2"/>
  <c r="FS55" i="2" s="1"/>
  <c r="FO58" i="2"/>
  <c r="FS58" i="2" s="1"/>
  <c r="FO60" i="2"/>
  <c r="FS60" i="2" s="1"/>
  <c r="FO64" i="2"/>
  <c r="FS64" i="2" s="1"/>
  <c r="FO67" i="2"/>
  <c r="FS67" i="2" s="1"/>
  <c r="FO70" i="2"/>
  <c r="FS70" i="2" s="1"/>
  <c r="FO73" i="2"/>
  <c r="FS73" i="2" s="1"/>
  <c r="FO77" i="2"/>
  <c r="FS77" i="2" s="1"/>
  <c r="FO80" i="2"/>
  <c r="FS80" i="2" s="1"/>
  <c r="FO83" i="2"/>
  <c r="FS83" i="2" s="1"/>
  <c r="FO86" i="2"/>
  <c r="FS86" i="2" s="1"/>
  <c r="FO88" i="2"/>
  <c r="FS88" i="2" s="1"/>
  <c r="FO91" i="2"/>
  <c r="FS91" i="2" s="1"/>
  <c r="FO94" i="2"/>
  <c r="FS94" i="2" s="1"/>
  <c r="FO97" i="2"/>
  <c r="FS97" i="2" s="1"/>
  <c r="FO99" i="2"/>
  <c r="FO102" i="2"/>
  <c r="FS102" i="2" s="1"/>
  <c r="FO106" i="2"/>
  <c r="FS106" i="2" s="1"/>
  <c r="FO109" i="2"/>
  <c r="FS109" i="2" s="1"/>
  <c r="FO113" i="2"/>
  <c r="FS113" i="2" s="1"/>
  <c r="FO116" i="2"/>
  <c r="FS116" i="2" s="1"/>
  <c r="FO122" i="2"/>
  <c r="FS122" i="2" s="1"/>
  <c r="FO125" i="2"/>
  <c r="FS125" i="2" s="1"/>
  <c r="FO128" i="2"/>
  <c r="FS128" i="2" s="1"/>
  <c r="FO135" i="2"/>
  <c r="FS135" i="2" s="1"/>
  <c r="FO138" i="2"/>
  <c r="FS138" i="2" s="1"/>
  <c r="FO142" i="2"/>
  <c r="FS142" i="2" s="1"/>
  <c r="FO145" i="2"/>
  <c r="FS145" i="2" s="1"/>
  <c r="FO147" i="2"/>
  <c r="FS147" i="2" s="1"/>
  <c r="FO151" i="2"/>
  <c r="FS151" i="2" s="1"/>
  <c r="FO154" i="2"/>
  <c r="FS154" i="2" s="1"/>
  <c r="FO157" i="2"/>
  <c r="FS157" i="2" s="1"/>
  <c r="FO161" i="2"/>
  <c r="FS161" i="2" s="1"/>
  <c r="FO164" i="2"/>
  <c r="FS164" i="2" s="1"/>
  <c r="FO167" i="2"/>
  <c r="FS167" i="2" s="1"/>
  <c r="FO172" i="2"/>
  <c r="FS172" i="2" s="1"/>
  <c r="FO180" i="2"/>
  <c r="FS180" i="2" s="1"/>
  <c r="FO184" i="2"/>
  <c r="FS184" i="2" s="1"/>
  <c r="FO188" i="2"/>
  <c r="FS188" i="2" s="1"/>
  <c r="FO192" i="2"/>
  <c r="FS192" i="2" s="1"/>
  <c r="FO197" i="2"/>
  <c r="FS197" i="2" s="1"/>
  <c r="FO200" i="2"/>
  <c r="FS200" i="2" s="1"/>
  <c r="FO204" i="2"/>
  <c r="FS204" i="2" s="1"/>
  <c r="FO210" i="2"/>
  <c r="FS210" i="2" s="1"/>
  <c r="FO218" i="2"/>
  <c r="FS218" i="2" s="1"/>
  <c r="FO221" i="2"/>
  <c r="FS221" i="2" s="1"/>
  <c r="FO225" i="2"/>
  <c r="FS225" i="2" s="1"/>
  <c r="FO228" i="2"/>
  <c r="FS228" i="2" s="1"/>
  <c r="FO231" i="2"/>
  <c r="FS231" i="2" s="1"/>
  <c r="FO234" i="2"/>
  <c r="FS234" i="2" s="1"/>
  <c r="FO241" i="2"/>
  <c r="FS241" i="2" s="1"/>
  <c r="FO244" i="2"/>
  <c r="FS244" i="2" s="1"/>
  <c r="FO249" i="2"/>
  <c r="FS249" i="2" s="1"/>
  <c r="FO252" i="2"/>
  <c r="FS252" i="2" s="1"/>
  <c r="FO257" i="2"/>
  <c r="FS257" i="2" s="1"/>
  <c r="FO260" i="2"/>
  <c r="FS260" i="2" s="1"/>
  <c r="FO263" i="2"/>
  <c r="FS263" i="2" s="1"/>
  <c r="FO266" i="2"/>
  <c r="FS266" i="2" s="1"/>
  <c r="FO272" i="2"/>
  <c r="FS272" i="2" s="1"/>
  <c r="FO280" i="2"/>
  <c r="FS280" i="2" s="1"/>
  <c r="FJ8" i="2"/>
  <c r="FM8" i="2" s="1"/>
  <c r="FJ11" i="2"/>
  <c r="FM11" i="2" s="1"/>
  <c r="FJ14" i="2"/>
  <c r="FM14" i="2" s="1"/>
  <c r="FJ17" i="2"/>
  <c r="FM17" i="2" s="1"/>
  <c r="FJ20" i="2"/>
  <c r="FM20" i="2" s="1"/>
  <c r="FJ24" i="2"/>
  <c r="FM24" i="2" s="1"/>
  <c r="FJ27" i="2"/>
  <c r="FM27" i="2" s="1"/>
  <c r="FJ30" i="2"/>
  <c r="FM30" i="2" s="1"/>
  <c r="FJ33" i="2"/>
  <c r="FM33" i="2" s="1"/>
  <c r="FJ36" i="2"/>
  <c r="FM36" i="2" s="1"/>
  <c r="FJ38" i="2"/>
  <c r="FM38" i="2" s="1"/>
  <c r="FJ41" i="2"/>
  <c r="FM41" i="2" s="1"/>
  <c r="FJ44" i="2"/>
  <c r="FM44" i="2" s="1"/>
  <c r="FJ48" i="2"/>
  <c r="FM48" i="2" s="1"/>
  <c r="FJ51" i="2"/>
  <c r="FM51" i="2" s="1"/>
  <c r="FJ54" i="2"/>
  <c r="FM54" i="2" s="1"/>
  <c r="FJ57" i="2"/>
  <c r="FM57" i="2" s="1"/>
  <c r="FJ61" i="2"/>
  <c r="FM61" i="2" s="1"/>
  <c r="FJ63" i="2"/>
  <c r="FM63" i="2" s="1"/>
  <c r="FJ66" i="2"/>
  <c r="FM66" i="2" s="1"/>
  <c r="FJ68" i="2"/>
  <c r="FM68" i="2" s="1"/>
  <c r="FJ71" i="2"/>
  <c r="FM71" i="2" s="1"/>
  <c r="FJ74" i="2"/>
  <c r="FM74" i="2" s="1"/>
  <c r="FJ78" i="2"/>
  <c r="FM78" i="2" s="1"/>
  <c r="FJ81" i="2"/>
  <c r="FM81" i="2" s="1"/>
  <c r="FJ84" i="2"/>
  <c r="FM84" i="2" s="1"/>
  <c r="FJ87" i="2"/>
  <c r="FM87" i="2" s="1"/>
  <c r="FJ89" i="2"/>
  <c r="FM89" i="2" s="1"/>
  <c r="FJ92" i="2"/>
  <c r="FM92" i="2" s="1"/>
  <c r="FJ94" i="2"/>
  <c r="FM94" i="2" s="1"/>
  <c r="FJ97" i="2"/>
  <c r="FM97" i="2" s="1"/>
  <c r="FJ99" i="2"/>
  <c r="FM99" i="2" s="1"/>
  <c r="FM327" i="2" s="1"/>
  <c r="L52" i="9" s="1"/>
  <c r="FJ102" i="2"/>
  <c r="FM102" i="2" s="1"/>
  <c r="FJ106" i="2"/>
  <c r="FM106" i="2" s="1"/>
  <c r="FJ109" i="2"/>
  <c r="FM109" i="2" s="1"/>
  <c r="FJ113" i="2"/>
  <c r="FM113" i="2" s="1"/>
  <c r="FJ116" i="2"/>
  <c r="FM116" i="2" s="1"/>
  <c r="FJ124" i="2"/>
  <c r="FM124" i="2" s="1"/>
  <c r="FJ127" i="2"/>
  <c r="FM127" i="2" s="1"/>
  <c r="FJ131" i="2"/>
  <c r="FM131" i="2" s="1"/>
  <c r="FJ137" i="2"/>
  <c r="FM137" i="2" s="1"/>
  <c r="FJ140" i="2"/>
  <c r="FM140" i="2" s="1"/>
  <c r="FJ144" i="2"/>
  <c r="FM144" i="2" s="1"/>
  <c r="FJ150" i="2"/>
  <c r="FM150" i="2" s="1"/>
  <c r="FJ153" i="2"/>
  <c r="FM153" i="2" s="1"/>
  <c r="FJ156" i="2"/>
  <c r="FM156" i="2" s="1"/>
  <c r="FJ159" i="2"/>
  <c r="FM159" i="2" s="1"/>
  <c r="FJ163" i="2"/>
  <c r="FM163" i="2" s="1"/>
  <c r="FJ166" i="2"/>
  <c r="FM166" i="2" s="1"/>
  <c r="FJ169" i="2"/>
  <c r="FM169" i="2" s="1"/>
  <c r="FJ175" i="2"/>
  <c r="FM175" i="2" s="1"/>
  <c r="FJ183" i="2"/>
  <c r="FM183" i="2" s="1"/>
  <c r="FJ186" i="2"/>
  <c r="FM186" i="2" s="1"/>
  <c r="FJ190" i="2"/>
  <c r="FM190" i="2" s="1"/>
  <c r="FJ196" i="2"/>
  <c r="FM196" i="2" s="1"/>
  <c r="FJ199" i="2"/>
  <c r="FM199" i="2" s="1"/>
  <c r="FJ203" i="2"/>
  <c r="FM203" i="2" s="1"/>
  <c r="FJ209" i="2"/>
  <c r="FM209" i="2" s="1"/>
  <c r="FJ213" i="2"/>
  <c r="FM213" i="2" s="1"/>
  <c r="FJ216" i="2"/>
  <c r="FM216" i="2" s="1"/>
  <c r="FJ220" i="2"/>
  <c r="FM220" i="2" s="1"/>
  <c r="FJ224" i="2"/>
  <c r="FM224" i="2" s="1"/>
  <c r="FJ227" i="2"/>
  <c r="FM227" i="2" s="1"/>
  <c r="FJ230" i="2"/>
  <c r="FM230" i="2" s="1"/>
  <c r="FJ233" i="2"/>
  <c r="FM233" i="2" s="1"/>
  <c r="FJ240" i="2"/>
  <c r="FM240" i="2" s="1"/>
  <c r="FJ243" i="2"/>
  <c r="FM243" i="2" s="1"/>
  <c r="FJ247" i="2"/>
  <c r="FM247" i="2" s="1"/>
  <c r="FJ250" i="2"/>
  <c r="FM250" i="2" s="1"/>
  <c r="FJ254" i="2"/>
  <c r="FM254" i="2" s="1"/>
  <c r="FJ258" i="2"/>
  <c r="FM258" i="2" s="1"/>
  <c r="FJ261" i="2"/>
  <c r="FM261" i="2" s="1"/>
  <c r="FJ264" i="2"/>
  <c r="FM264" i="2" s="1"/>
  <c r="FJ267" i="2"/>
  <c r="FM267" i="2" s="1"/>
  <c r="FJ273" i="2"/>
  <c r="FM273" i="2" s="1"/>
  <c r="GC17" i="2"/>
  <c r="GF17" i="2" s="1"/>
  <c r="GC20" i="2"/>
  <c r="GF20" i="2" s="1"/>
  <c r="GC26" i="2"/>
  <c r="GF26" i="2" s="1"/>
  <c r="GC42" i="2"/>
  <c r="GF42" i="2" s="1"/>
  <c r="GC45" i="2"/>
  <c r="GF45" i="2" s="1"/>
  <c r="GC50" i="2"/>
  <c r="GF50" i="2" s="1"/>
  <c r="GC53" i="2"/>
  <c r="GF53" i="2" s="1"/>
  <c r="GC67" i="2"/>
  <c r="GF67" i="2" s="1"/>
  <c r="GC70" i="2"/>
  <c r="GF70" i="2" s="1"/>
  <c r="GC74" i="2"/>
  <c r="GF74" i="2" s="1"/>
  <c r="GC78" i="2"/>
  <c r="GF78" i="2" s="1"/>
  <c r="GC94" i="2"/>
  <c r="GF94" i="2" s="1"/>
  <c r="GC97" i="2"/>
  <c r="GF97" i="2" s="1"/>
  <c r="GC100" i="2"/>
  <c r="GF100" i="2" s="1"/>
  <c r="GC104" i="2"/>
  <c r="GF104" i="2" s="1"/>
  <c r="GC121" i="2"/>
  <c r="GF121" i="2" s="1"/>
  <c r="GC123" i="2"/>
  <c r="GF123" i="2" s="1"/>
  <c r="GC131" i="2"/>
  <c r="GF131" i="2" s="1"/>
  <c r="GC136" i="2"/>
  <c r="GF136" i="2" s="1"/>
  <c r="GC144" i="2"/>
  <c r="GF144" i="2" s="1"/>
  <c r="GC146" i="2"/>
  <c r="GF146" i="2" s="1"/>
  <c r="GC153" i="2"/>
  <c r="GF153" i="2" s="1"/>
  <c r="GC155" i="2"/>
  <c r="GF155" i="2" s="1"/>
  <c r="GC163" i="2"/>
  <c r="GF163" i="2" s="1"/>
  <c r="GC165" i="2"/>
  <c r="GF165" i="2" s="1"/>
  <c r="GC175" i="2"/>
  <c r="GF175" i="2" s="1"/>
  <c r="GC182" i="2"/>
  <c r="GF182" i="2" s="1"/>
  <c r="GC190" i="2"/>
  <c r="GF190" i="2" s="1"/>
  <c r="GC194" i="2"/>
  <c r="GF194" i="2" s="1"/>
  <c r="GC203" i="2"/>
  <c r="GF203" i="2" s="1"/>
  <c r="GC216" i="2"/>
  <c r="GF216" i="2" s="1"/>
  <c r="GC219" i="2"/>
  <c r="GF219" i="2" s="1"/>
  <c r="GC227" i="2"/>
  <c r="GF227" i="2" s="1"/>
  <c r="GC229" i="2"/>
  <c r="GF229" i="2" s="1"/>
  <c r="GC240" i="2"/>
  <c r="GF240" i="2" s="1"/>
  <c r="GC242" i="2"/>
  <c r="GF242" i="2" s="1"/>
  <c r="GC251" i="2"/>
  <c r="GF251" i="2" s="1"/>
  <c r="GC254" i="2"/>
  <c r="GF254" i="2" s="1"/>
  <c r="GC262" i="2"/>
  <c r="GF262" i="2" s="1"/>
  <c r="GC264" i="2"/>
  <c r="GF264" i="2" s="1"/>
  <c r="GC275" i="2"/>
  <c r="GF275" i="2" s="1"/>
  <c r="FU13" i="2"/>
  <c r="GA13" i="2" s="1"/>
  <c r="FU15" i="2"/>
  <c r="GA15" i="2" s="1"/>
  <c r="FU23" i="2"/>
  <c r="GA23" i="2" s="1"/>
  <c r="FU30" i="2"/>
  <c r="GA30" i="2" s="1"/>
  <c r="FU32" i="2"/>
  <c r="GA32" i="2" s="1"/>
  <c r="FU38" i="2"/>
  <c r="GA38" i="2" s="1"/>
  <c r="FU40" i="2"/>
  <c r="GA40" i="2" s="1"/>
  <c r="FU48" i="2"/>
  <c r="GA48" i="2" s="1"/>
  <c r="FU50" i="2"/>
  <c r="GA50" i="2" s="1"/>
  <c r="FU57" i="2"/>
  <c r="GA57" i="2" s="1"/>
  <c r="FU59" i="2"/>
  <c r="GA59" i="2" s="1"/>
  <c r="FU63" i="2"/>
  <c r="GA63" i="2" s="1"/>
  <c r="FU65" i="2"/>
  <c r="GA65" i="2" s="1"/>
  <c r="FU72" i="2"/>
  <c r="GA72" i="2" s="1"/>
  <c r="FU74" i="2"/>
  <c r="GA74" i="2" s="1"/>
  <c r="FU82" i="2"/>
  <c r="GA82" i="2" s="1"/>
  <c r="FU84" i="2"/>
  <c r="GA84" i="2" s="1"/>
  <c r="FU90" i="2"/>
  <c r="GA90" i="2" s="1"/>
  <c r="FU92" i="2"/>
  <c r="GA92" i="2" s="1"/>
  <c r="FU100" i="2"/>
  <c r="GA100" i="2" s="1"/>
  <c r="FU108" i="2"/>
  <c r="GA108" i="2" s="1"/>
  <c r="FU110" i="2"/>
  <c r="GA110" i="2" s="1"/>
  <c r="FU119" i="2"/>
  <c r="GA119" i="2" s="1"/>
  <c r="FU127" i="2"/>
  <c r="GA127" i="2" s="1"/>
  <c r="FU130" i="2"/>
  <c r="GA130" i="2" s="1"/>
  <c r="FU140" i="2"/>
  <c r="GA140" i="2" s="1"/>
  <c r="FU143" i="2"/>
  <c r="GA143" i="2" s="1"/>
  <c r="FU150" i="2"/>
  <c r="GA150" i="2" s="1"/>
  <c r="FU152" i="2"/>
  <c r="GA152" i="2" s="1"/>
  <c r="FU159" i="2"/>
  <c r="GA159" i="2" s="1"/>
  <c r="FU162" i="2"/>
  <c r="GA162" i="2" s="1"/>
  <c r="FU169" i="2"/>
  <c r="GA169" i="2" s="1"/>
  <c r="FU174" i="2"/>
  <c r="GA174" i="2" s="1"/>
  <c r="FU186" i="2"/>
  <c r="GA186" i="2" s="1"/>
  <c r="FU189" i="2"/>
  <c r="GA189" i="2" s="1"/>
  <c r="FU199" i="2"/>
  <c r="GA199" i="2" s="1"/>
  <c r="FU202" i="2"/>
  <c r="GA202" i="2" s="1"/>
  <c r="FU213" i="2"/>
  <c r="GA213" i="2" s="1"/>
  <c r="FU215" i="2"/>
  <c r="GA215" i="2" s="1"/>
  <c r="FU224" i="2"/>
  <c r="GA224" i="2" s="1"/>
  <c r="FU226" i="2"/>
  <c r="GA226" i="2" s="1"/>
  <c r="FU233" i="2"/>
  <c r="GA233" i="2" s="1"/>
  <c r="FU247" i="2"/>
  <c r="GA247" i="2" s="1"/>
  <c r="FU250" i="2"/>
  <c r="GA250" i="2" s="1"/>
  <c r="FU259" i="2"/>
  <c r="GA259" i="2" s="1"/>
  <c r="GA347" i="2" s="1"/>
  <c r="FU261" i="2"/>
  <c r="GA261" i="2" s="1"/>
  <c r="FU271" i="2"/>
  <c r="GA271" i="2" s="1"/>
  <c r="FU273" i="2"/>
  <c r="GA273" i="2" s="1"/>
  <c r="FO10" i="2"/>
  <c r="FS10" i="2" s="1"/>
  <c r="FO12" i="2"/>
  <c r="FS12" i="2" s="1"/>
  <c r="FO19" i="2"/>
  <c r="FS19" i="2" s="1"/>
  <c r="FO22" i="2"/>
  <c r="FS22" i="2" s="1"/>
  <c r="FO27" i="2"/>
  <c r="FS27" i="2" s="1"/>
  <c r="FO36" i="2"/>
  <c r="FS36" i="2" s="1"/>
  <c r="FO37" i="2"/>
  <c r="FS37" i="2" s="1"/>
  <c r="FO44" i="2"/>
  <c r="FS44" i="2" s="1"/>
  <c r="FO46" i="2"/>
  <c r="FS46" i="2" s="1"/>
  <c r="FO54" i="2"/>
  <c r="FS54" i="2" s="1"/>
  <c r="FO56" i="2"/>
  <c r="FS56" i="2" s="1"/>
  <c r="FO61" i="2"/>
  <c r="FS61" i="2" s="1"/>
  <c r="FO62" i="2"/>
  <c r="FS62" i="2" s="1"/>
  <c r="FO69" i="2"/>
  <c r="FS69" i="2" s="1"/>
  <c r="FO71" i="2"/>
  <c r="FS71" i="2" s="1"/>
  <c r="FO79" i="2"/>
  <c r="FS79" i="2" s="1"/>
  <c r="FO81" i="2"/>
  <c r="FS81" i="2" s="1"/>
  <c r="FO89" i="2"/>
  <c r="FS89" i="2" s="1"/>
  <c r="FO96" i="2"/>
  <c r="FS96" i="2" s="1"/>
  <c r="FO98" i="2"/>
  <c r="FS98" i="2" s="1"/>
  <c r="FO105" i="2"/>
  <c r="FS105" i="2" s="1"/>
  <c r="FO107" i="2"/>
  <c r="FS107" i="2" s="1"/>
  <c r="FO115" i="2"/>
  <c r="FS115" i="2" s="1"/>
  <c r="FO117" i="2"/>
  <c r="FS117" i="2" s="1"/>
  <c r="FO124" i="2"/>
  <c r="FS124" i="2" s="1"/>
  <c r="FO126" i="2"/>
  <c r="FS126" i="2" s="1"/>
  <c r="FO137" i="2"/>
  <c r="FS137" i="2" s="1"/>
  <c r="FO139" i="2"/>
  <c r="FS139" i="2" s="1"/>
  <c r="FO156" i="2"/>
  <c r="FS156" i="2" s="1"/>
  <c r="FO158" i="2"/>
  <c r="FS158" i="2" s="1"/>
  <c r="FO166" i="2"/>
  <c r="FS166" i="2" s="1"/>
  <c r="FO168" i="2"/>
  <c r="FS168" i="2" s="1"/>
  <c r="FO183" i="2"/>
  <c r="FS183" i="2" s="1"/>
  <c r="FO185" i="2"/>
  <c r="FS185" i="2" s="1"/>
  <c r="FO196" i="2"/>
  <c r="FS196" i="2" s="1"/>
  <c r="FO198" i="2"/>
  <c r="FS198" i="2" s="1"/>
  <c r="FO209" i="2"/>
  <c r="FS209" i="2" s="1"/>
  <c r="FO212" i="2"/>
  <c r="FS212" i="2" s="1"/>
  <c r="FO220" i="2"/>
  <c r="FS220" i="2" s="1"/>
  <c r="FO230" i="2"/>
  <c r="FS230" i="2" s="1"/>
  <c r="FO232" i="2"/>
  <c r="FS232" i="2" s="1"/>
  <c r="FO243" i="2"/>
  <c r="FS243" i="2" s="1"/>
  <c r="FO246" i="2"/>
  <c r="FS246" i="2" s="1"/>
  <c r="FO256" i="2"/>
  <c r="FS256" i="2" s="1"/>
  <c r="FO258" i="2"/>
  <c r="FS258" i="2" s="1"/>
  <c r="GC8" i="2"/>
  <c r="GF8" i="2" s="1"/>
  <c r="GC18" i="2"/>
  <c r="GF18" i="2" s="1"/>
  <c r="GC32" i="2"/>
  <c r="GF32" i="2" s="1"/>
  <c r="GC52" i="2"/>
  <c r="GF52" i="2" s="1"/>
  <c r="GC65" i="2"/>
  <c r="GF65" i="2" s="1"/>
  <c r="GC80" i="2"/>
  <c r="GF80" i="2" s="1"/>
  <c r="GC86" i="2"/>
  <c r="GF86" i="2" s="1"/>
  <c r="GC95" i="2"/>
  <c r="GF95" i="2" s="1"/>
  <c r="GC110" i="2"/>
  <c r="GF110" i="2" s="1"/>
  <c r="GC116" i="2"/>
  <c r="GF116" i="2" s="1"/>
  <c r="GC124" i="2"/>
  <c r="GF124" i="2" s="1"/>
  <c r="GC127" i="2"/>
  <c r="GF127" i="2" s="1"/>
  <c r="GC152" i="2"/>
  <c r="GF152" i="2" s="1"/>
  <c r="GC156" i="2"/>
  <c r="GF156" i="2" s="1"/>
  <c r="GC159" i="2"/>
  <c r="GF159" i="2" s="1"/>
  <c r="GC185" i="2"/>
  <c r="GF185" i="2" s="1"/>
  <c r="GC189" i="2"/>
  <c r="GF189" i="2" s="1"/>
  <c r="GC196" i="2"/>
  <c r="GF196" i="2" s="1"/>
  <c r="GC199" i="2"/>
  <c r="GF199" i="2" s="1"/>
  <c r="GC226" i="2"/>
  <c r="GF226" i="2" s="1"/>
  <c r="GC230" i="2"/>
  <c r="GF230" i="2" s="1"/>
  <c r="GC233" i="2"/>
  <c r="GF233" i="2" s="1"/>
  <c r="GC258" i="2"/>
  <c r="GF258" i="2" s="1"/>
  <c r="GC261" i="2"/>
  <c r="GF261" i="2" s="1"/>
  <c r="GC265" i="2"/>
  <c r="GF265" i="2" s="1"/>
  <c r="GC271" i="2"/>
  <c r="GF271" i="2" s="1"/>
  <c r="FU18" i="2"/>
  <c r="GA18" i="2" s="1"/>
  <c r="FU22" i="2"/>
  <c r="GA22" i="2" s="1"/>
  <c r="FU25" i="2"/>
  <c r="GA25" i="2" s="1"/>
  <c r="FU27" i="2"/>
  <c r="GA27" i="2" s="1"/>
  <c r="FU43" i="2"/>
  <c r="GA43" i="2" s="1"/>
  <c r="FU46" i="2"/>
  <c r="GA46" i="2" s="1"/>
  <c r="FU51" i="2"/>
  <c r="GA51" i="2" s="1"/>
  <c r="FU54" i="2"/>
  <c r="GA54" i="2" s="1"/>
  <c r="FU68" i="2"/>
  <c r="GA68" i="2" s="1"/>
  <c r="FU71" i="2"/>
  <c r="GA71" i="2" s="1"/>
  <c r="FU75" i="2"/>
  <c r="GA75" i="2" s="1"/>
  <c r="FU79" i="2"/>
  <c r="GA79" i="2" s="1"/>
  <c r="FU95" i="2"/>
  <c r="GA95" i="2" s="1"/>
  <c r="FU98" i="2"/>
  <c r="GA98" i="2" s="1"/>
  <c r="FU101" i="2"/>
  <c r="GA101" i="2" s="1"/>
  <c r="FU105" i="2"/>
  <c r="GA105" i="2" s="1"/>
  <c r="FU123" i="2"/>
  <c r="GA123" i="2" s="1"/>
  <c r="FU126" i="2"/>
  <c r="GA126" i="2" s="1"/>
  <c r="FU131" i="2"/>
  <c r="GA131" i="2" s="1"/>
  <c r="FU137" i="2"/>
  <c r="GA137" i="2" s="1"/>
  <c r="FU155" i="2"/>
  <c r="GA155" i="2" s="1"/>
  <c r="FU158" i="2"/>
  <c r="GA158" i="2" s="1"/>
  <c r="FU163" i="2"/>
  <c r="GA163" i="2" s="1"/>
  <c r="FU166" i="2"/>
  <c r="GA166" i="2" s="1"/>
  <c r="FU194" i="2"/>
  <c r="GA194" i="2" s="1"/>
  <c r="FU198" i="2"/>
  <c r="GA198" i="2" s="1"/>
  <c r="FU203" i="2"/>
  <c r="GA203" i="2" s="1"/>
  <c r="FU209" i="2"/>
  <c r="GA209" i="2" s="1"/>
  <c r="FU229" i="2"/>
  <c r="GA229" i="2" s="1"/>
  <c r="FU232" i="2"/>
  <c r="GA232" i="2" s="1"/>
  <c r="FU240" i="2"/>
  <c r="GA240" i="2" s="1"/>
  <c r="FU243" i="2"/>
  <c r="GA243" i="2" s="1"/>
  <c r="FU264" i="2"/>
  <c r="GA264" i="2" s="1"/>
  <c r="FU267" i="2"/>
  <c r="GA267" i="2" s="1"/>
  <c r="FU275" i="2"/>
  <c r="GA275" i="2" s="1"/>
  <c r="FO7" i="2"/>
  <c r="FS7" i="2" s="1"/>
  <c r="FO26" i="2"/>
  <c r="FS26" i="2" s="1"/>
  <c r="FO30" i="2"/>
  <c r="FS30" i="2" s="1"/>
  <c r="FO33" i="2"/>
  <c r="FS33" i="2" s="1"/>
  <c r="FO50" i="2"/>
  <c r="FS50" i="2" s="1"/>
  <c r="FO53" i="2"/>
  <c r="FS53" i="2" s="1"/>
  <c r="FO57" i="2"/>
  <c r="FS57" i="2" s="1"/>
  <c r="FO74" i="2"/>
  <c r="FS74" i="2" s="1"/>
  <c r="FO78" i="2"/>
  <c r="FS78" i="2" s="1"/>
  <c r="FO82" i="2"/>
  <c r="FS82" i="2" s="1"/>
  <c r="FO85" i="2"/>
  <c r="FS85" i="2" s="1"/>
  <c r="FO100" i="2"/>
  <c r="FS100" i="2" s="1"/>
  <c r="FO104" i="2"/>
  <c r="FS104" i="2" s="1"/>
  <c r="FO108" i="2"/>
  <c r="FS108" i="2" s="1"/>
  <c r="FO130" i="2"/>
  <c r="FS130" i="2" s="1"/>
  <c r="FO136" i="2"/>
  <c r="FS136" i="2" s="1"/>
  <c r="FO140" i="2"/>
  <c r="FS140" i="2" s="1"/>
  <c r="FO144" i="2"/>
  <c r="FS144" i="2" s="1"/>
  <c r="FO162" i="2"/>
  <c r="FS162" i="2" s="1"/>
  <c r="FO165" i="2"/>
  <c r="FS165" i="2" s="1"/>
  <c r="FO169" i="2"/>
  <c r="FS169" i="2" s="1"/>
  <c r="FO175" i="2"/>
  <c r="FS175" i="2" s="1"/>
  <c r="FO202" i="2"/>
  <c r="FS202" i="2" s="1"/>
  <c r="FO213" i="2"/>
  <c r="FS213" i="2" s="1"/>
  <c r="FO216" i="2"/>
  <c r="FS216" i="2" s="1"/>
  <c r="FO242" i="2"/>
  <c r="FS242" i="2" s="1"/>
  <c r="FO247" i="2"/>
  <c r="FS247" i="2" s="1"/>
  <c r="FO251" i="2"/>
  <c r="FS251" i="2" s="1"/>
  <c r="FO262" i="2"/>
  <c r="FS262" i="2" s="1"/>
  <c r="FO264" i="2"/>
  <c r="FS264" i="2" s="1"/>
  <c r="FO275" i="2"/>
  <c r="FS275" i="2" s="1"/>
  <c r="FJ7" i="2"/>
  <c r="FM7" i="2" s="1"/>
  <c r="FJ12" i="2"/>
  <c r="FM12" i="2" s="1"/>
  <c r="FJ16" i="2"/>
  <c r="FM16" i="2" s="1"/>
  <c r="FJ22" i="2"/>
  <c r="FM22" i="2" s="1"/>
  <c r="FJ25" i="2"/>
  <c r="FM25" i="2" s="1"/>
  <c r="FJ28" i="2"/>
  <c r="FM28" i="2" s="1"/>
  <c r="FJ32" i="2"/>
  <c r="FM32" i="2" s="1"/>
  <c r="FJ40" i="2"/>
  <c r="FM40" i="2" s="1"/>
  <c r="FJ45" i="2"/>
  <c r="FM45" i="2" s="1"/>
  <c r="FJ50" i="2"/>
  <c r="FM50" i="2" s="1"/>
  <c r="FJ55" i="2"/>
  <c r="FM55" i="2" s="1"/>
  <c r="FJ59" i="2"/>
  <c r="FM59" i="2" s="1"/>
  <c r="FJ65" i="2"/>
  <c r="FM65" i="2" s="1"/>
  <c r="FJ69" i="2"/>
  <c r="FM69" i="2" s="1"/>
  <c r="FJ73" i="2"/>
  <c r="FM73" i="2" s="1"/>
  <c r="FJ79" i="2"/>
  <c r="FM79" i="2" s="1"/>
  <c r="FJ83" i="2"/>
  <c r="FM83" i="2" s="1"/>
  <c r="FJ91" i="2"/>
  <c r="FM91" i="2" s="1"/>
  <c r="FJ95" i="2"/>
  <c r="FM95" i="2" s="1"/>
  <c r="FJ104" i="2"/>
  <c r="FM104" i="2" s="1"/>
  <c r="FJ108" i="2"/>
  <c r="FM108" i="2" s="1"/>
  <c r="FJ114" i="2"/>
  <c r="FM114" i="2" s="1"/>
  <c r="FJ119" i="2"/>
  <c r="FM119" i="2" s="1"/>
  <c r="FJ122" i="2"/>
  <c r="FM122" i="2" s="1"/>
  <c r="FJ126" i="2"/>
  <c r="FM126" i="2" s="1"/>
  <c r="FJ135" i="2"/>
  <c r="FM135" i="2" s="1"/>
  <c r="FJ139" i="2"/>
  <c r="FM139" i="2" s="1"/>
  <c r="FJ145" i="2"/>
  <c r="FM145" i="2" s="1"/>
  <c r="FJ154" i="2"/>
  <c r="FM154" i="2" s="1"/>
  <c r="FJ158" i="2"/>
  <c r="FM158" i="2" s="1"/>
  <c r="FJ164" i="2"/>
  <c r="FM164" i="2" s="1"/>
  <c r="FJ168" i="2"/>
  <c r="FM168" i="2" s="1"/>
  <c r="FJ180" i="2"/>
  <c r="FM180" i="2" s="1"/>
  <c r="FJ185" i="2"/>
  <c r="FM185" i="2" s="1"/>
  <c r="FJ192" i="2"/>
  <c r="FM192" i="2" s="1"/>
  <c r="FJ198" i="2"/>
  <c r="FM198" i="2" s="1"/>
  <c r="FJ204" i="2"/>
  <c r="FM204" i="2" s="1"/>
  <c r="FJ212" i="2"/>
  <c r="FM212" i="2" s="1"/>
  <c r="FJ218" i="2"/>
  <c r="FM218" i="2" s="1"/>
  <c r="FJ228" i="2"/>
  <c r="FM228" i="2" s="1"/>
  <c r="FJ232" i="2"/>
  <c r="FM232" i="2" s="1"/>
  <c r="FJ241" i="2"/>
  <c r="FM241" i="2" s="1"/>
  <c r="FJ246" i="2"/>
  <c r="FM246" i="2" s="1"/>
  <c r="FJ251" i="2"/>
  <c r="FM251" i="2" s="1"/>
  <c r="FJ257" i="2"/>
  <c r="FM257" i="2" s="1"/>
  <c r="FJ262" i="2"/>
  <c r="FM262" i="2" s="1"/>
  <c r="FJ266" i="2"/>
  <c r="FM266" i="2" s="1"/>
  <c r="FJ275" i="2"/>
  <c r="FM275" i="2" s="1"/>
  <c r="GC9" i="2"/>
  <c r="GF9" i="2" s="1"/>
  <c r="GC15" i="2"/>
  <c r="GF15" i="2" s="1"/>
  <c r="GC28" i="2"/>
  <c r="GF28" i="2" s="1"/>
  <c r="GC34" i="2"/>
  <c r="GF34" i="2" s="1"/>
  <c r="GC43" i="2"/>
  <c r="GF43" i="2" s="1"/>
  <c r="GC59" i="2"/>
  <c r="GF59" i="2" s="1"/>
  <c r="GC77" i="2"/>
  <c r="GF77" i="2" s="1"/>
  <c r="GC87" i="2"/>
  <c r="GF87" i="2" s="1"/>
  <c r="GC92" i="2"/>
  <c r="GF92" i="2" s="1"/>
  <c r="GC106" i="2"/>
  <c r="GF106" i="2" s="1"/>
  <c r="GC113" i="2"/>
  <c r="GF113" i="2" s="1"/>
  <c r="GC139" i="2"/>
  <c r="GF139" i="2" s="1"/>
  <c r="GC143" i="2"/>
  <c r="GF143" i="2" s="1"/>
  <c r="GC150" i="2"/>
  <c r="GF150" i="2" s="1"/>
  <c r="GC168" i="2"/>
  <c r="GF168" i="2" s="1"/>
  <c r="GC174" i="2"/>
  <c r="GF174" i="2" s="1"/>
  <c r="GC183" i="2"/>
  <c r="GF183" i="2" s="1"/>
  <c r="GC186" i="2"/>
  <c r="GF186" i="2" s="1"/>
  <c r="GC212" i="2"/>
  <c r="GF212" i="2" s="1"/>
  <c r="GC215" i="2"/>
  <c r="GF215" i="2" s="1"/>
  <c r="GC220" i="2"/>
  <c r="GF220" i="2" s="1"/>
  <c r="GC224" i="2"/>
  <c r="GF224" i="2" s="1"/>
  <c r="GC246" i="2"/>
  <c r="GF246" i="2" s="1"/>
  <c r="GC250" i="2"/>
  <c r="GF250" i="2" s="1"/>
  <c r="GC256" i="2"/>
  <c r="GF256" i="2" s="1"/>
  <c r="GC259" i="2"/>
  <c r="GF259" i="2" s="1"/>
  <c r="GF347" i="2" s="1"/>
  <c r="FU9" i="2"/>
  <c r="GA9" i="2" s="1"/>
  <c r="FU12" i="2"/>
  <c r="GA12" i="2" s="1"/>
  <c r="FU16" i="2"/>
  <c r="GA16" i="2" s="1"/>
  <c r="FU19" i="2"/>
  <c r="GA19" i="2" s="1"/>
  <c r="FU37" i="2"/>
  <c r="GA37" i="2" s="1"/>
  <c r="FU41" i="2"/>
  <c r="GA41" i="2" s="1"/>
  <c r="FU44" i="2"/>
  <c r="GA44" i="2" s="1"/>
  <c r="FU62" i="2"/>
  <c r="GA62" i="2" s="1"/>
  <c r="FU66" i="2"/>
  <c r="GA66" i="2" s="1"/>
  <c r="FU69" i="2"/>
  <c r="GA69" i="2" s="1"/>
  <c r="FU87" i="2"/>
  <c r="GA87" i="2" s="1"/>
  <c r="FU89" i="2"/>
  <c r="GA89" i="2" s="1"/>
  <c r="FU93" i="2"/>
  <c r="GA93" i="2" s="1"/>
  <c r="FU96" i="2"/>
  <c r="GA96" i="2" s="1"/>
  <c r="FU114" i="2"/>
  <c r="GA114" i="2" s="1"/>
  <c r="FU117" i="2"/>
  <c r="GA117" i="2" s="1"/>
  <c r="FU121" i="2"/>
  <c r="GA121" i="2" s="1"/>
  <c r="FU124" i="2"/>
  <c r="GA124" i="2" s="1"/>
  <c r="FU146" i="2"/>
  <c r="GA146" i="2" s="1"/>
  <c r="FU153" i="2"/>
  <c r="GA153" i="2" s="1"/>
  <c r="FU156" i="2"/>
  <c r="GA156" i="2" s="1"/>
  <c r="FU182" i="2"/>
  <c r="GA182" i="2" s="1"/>
  <c r="FU185" i="2"/>
  <c r="GA185" i="2" s="1"/>
  <c r="FU190" i="2"/>
  <c r="GA190" i="2" s="1"/>
  <c r="FU196" i="2"/>
  <c r="GA196" i="2" s="1"/>
  <c r="FU219" i="2"/>
  <c r="GA219" i="2" s="1"/>
  <c r="FU227" i="2"/>
  <c r="GA227" i="2" s="1"/>
  <c r="FU230" i="2"/>
  <c r="GA230" i="2" s="1"/>
  <c r="FU254" i="2"/>
  <c r="GA254" i="2" s="1"/>
  <c r="FU258" i="2"/>
  <c r="GA258" i="2" s="1"/>
  <c r="FU262" i="2"/>
  <c r="GA262" i="2" s="1"/>
  <c r="FU265" i="2"/>
  <c r="GA265" i="2" s="1"/>
  <c r="FO15" i="2"/>
  <c r="FS15" i="2" s="1"/>
  <c r="FO18" i="2"/>
  <c r="FS18" i="2" s="1"/>
  <c r="FO23" i="2"/>
  <c r="FS23" i="2" s="1"/>
  <c r="FO25" i="2"/>
  <c r="FS25" i="2" s="1"/>
  <c r="FO40" i="2"/>
  <c r="FS40" i="2" s="1"/>
  <c r="FO43" i="2"/>
  <c r="FS43" i="2" s="1"/>
  <c r="FO48" i="2"/>
  <c r="FS48" i="2" s="1"/>
  <c r="FO51" i="2"/>
  <c r="FS51" i="2" s="1"/>
  <c r="FO65" i="2"/>
  <c r="FS65" i="2" s="1"/>
  <c r="FO68" i="2"/>
  <c r="FS68" i="2" s="1"/>
  <c r="FO72" i="2"/>
  <c r="FS72" i="2" s="1"/>
  <c r="FO75" i="2"/>
  <c r="FS75" i="2" s="1"/>
  <c r="GC137" i="2"/>
  <c r="GF137" i="2" s="1"/>
  <c r="GC158" i="2"/>
  <c r="GF158" i="2" s="1"/>
  <c r="GC169" i="2"/>
  <c r="GF169" i="2" s="1"/>
  <c r="GC202" i="2"/>
  <c r="GF202" i="2" s="1"/>
  <c r="GC243" i="2"/>
  <c r="GF243" i="2" s="1"/>
  <c r="GC267" i="2"/>
  <c r="GF267" i="2" s="1"/>
  <c r="FU10" i="2"/>
  <c r="GA10" i="2" s="1"/>
  <c r="FU78" i="2"/>
  <c r="GA78" i="2" s="1"/>
  <c r="FU107" i="2"/>
  <c r="GA107" i="2" s="1"/>
  <c r="FU144" i="2"/>
  <c r="GA144" i="2" s="1"/>
  <c r="FU165" i="2"/>
  <c r="GA165" i="2" s="1"/>
  <c r="FU183" i="2"/>
  <c r="GA183" i="2" s="1"/>
  <c r="FU212" i="2"/>
  <c r="GA212" i="2" s="1"/>
  <c r="FU251" i="2"/>
  <c r="GA251" i="2" s="1"/>
  <c r="FO16" i="2"/>
  <c r="FS16" i="2" s="1"/>
  <c r="FO63" i="2"/>
  <c r="FS63" i="2" s="1"/>
  <c r="FO90" i="2"/>
  <c r="FS90" i="2" s="1"/>
  <c r="FO95" i="2"/>
  <c r="FS95" i="2" s="1"/>
  <c r="FO110" i="2"/>
  <c r="FS110" i="2" s="1"/>
  <c r="FO121" i="2"/>
  <c r="FS121" i="2" s="1"/>
  <c r="FO127" i="2"/>
  <c r="FS127" i="2" s="1"/>
  <c r="FO146" i="2"/>
  <c r="FS146" i="2" s="1"/>
  <c r="FO152" i="2"/>
  <c r="FS152" i="2" s="1"/>
  <c r="FO163" i="2"/>
  <c r="FS163" i="2" s="1"/>
  <c r="FO186" i="2"/>
  <c r="FS186" i="2" s="1"/>
  <c r="FO194" i="2"/>
  <c r="FS194" i="2" s="1"/>
  <c r="FO215" i="2"/>
  <c r="FS215" i="2" s="1"/>
  <c r="FO227" i="2"/>
  <c r="FS227" i="2" s="1"/>
  <c r="FO233" i="2"/>
  <c r="FS233" i="2" s="1"/>
  <c r="FO254" i="2"/>
  <c r="FS254" i="2" s="1"/>
  <c r="FO267" i="2"/>
  <c r="FS267" i="2" s="1"/>
  <c r="FO273" i="2"/>
  <c r="FS273" i="2" s="1"/>
  <c r="FJ9" i="2"/>
  <c r="FM9" i="2" s="1"/>
  <c r="FJ15" i="2"/>
  <c r="FM15" i="2" s="1"/>
  <c r="FJ23" i="2"/>
  <c r="FM23" i="2" s="1"/>
  <c r="FJ34" i="2"/>
  <c r="FM34" i="2" s="1"/>
  <c r="FJ39" i="2"/>
  <c r="FM39" i="2" s="1"/>
  <c r="FJ46" i="2"/>
  <c r="FM46" i="2" s="1"/>
  <c r="FJ53" i="2"/>
  <c r="FM53" i="2" s="1"/>
  <c r="FJ60" i="2"/>
  <c r="FM60" i="2" s="1"/>
  <c r="FJ64" i="2"/>
  <c r="FJ70" i="2"/>
  <c r="FM70" i="2" s="1"/>
  <c r="FJ77" i="2"/>
  <c r="FM77" i="2" s="1"/>
  <c r="FJ85" i="2"/>
  <c r="FM85" i="2" s="1"/>
  <c r="FJ90" i="2"/>
  <c r="FM90" i="2" s="1"/>
  <c r="FJ96" i="2"/>
  <c r="FM96" i="2" s="1"/>
  <c r="FJ101" i="2"/>
  <c r="FM101" i="2" s="1"/>
  <c r="FJ110" i="2"/>
  <c r="FM110" i="2" s="1"/>
  <c r="FJ117" i="2"/>
  <c r="FM117" i="2" s="1"/>
  <c r="FJ123" i="2"/>
  <c r="FM123" i="2" s="1"/>
  <c r="FJ130" i="2"/>
  <c r="FM130" i="2" s="1"/>
  <c r="FJ142" i="2"/>
  <c r="FM142" i="2" s="1"/>
  <c r="FJ147" i="2"/>
  <c r="FM147" i="2" s="1"/>
  <c r="FJ155" i="2"/>
  <c r="FM155" i="2" s="1"/>
  <c r="FJ162" i="2"/>
  <c r="FM162" i="2" s="1"/>
  <c r="FJ172" i="2"/>
  <c r="FM172" i="2" s="1"/>
  <c r="FJ184" i="2"/>
  <c r="FM184" i="2" s="1"/>
  <c r="FJ194" i="2"/>
  <c r="FM194" i="2" s="1"/>
  <c r="FJ202" i="2"/>
  <c r="FM202" i="2" s="1"/>
  <c r="FJ221" i="2"/>
  <c r="FM221" i="2" s="1"/>
  <c r="FJ229" i="2"/>
  <c r="FM229" i="2" s="1"/>
  <c r="FJ256" i="2"/>
  <c r="FM256" i="2" s="1"/>
  <c r="FJ263" i="2"/>
  <c r="FM263" i="2" s="1"/>
  <c r="FJ272" i="2"/>
  <c r="FM272" i="2" s="1"/>
  <c r="FJ19" i="2"/>
  <c r="FM19" i="2" s="1"/>
  <c r="FJ52" i="2"/>
  <c r="FM52" i="2" s="1"/>
  <c r="FJ67" i="2"/>
  <c r="FM67" i="2" s="1"/>
  <c r="FJ82" i="2"/>
  <c r="FM82" i="2" s="1"/>
  <c r="FJ107" i="2"/>
  <c r="FM107" i="2" s="1"/>
  <c r="FJ121" i="2"/>
  <c r="FM121" i="2" s="1"/>
  <c r="FJ138" i="2"/>
  <c r="FM138" i="2" s="1"/>
  <c r="FJ152" i="2"/>
  <c r="FM152" i="2" s="1"/>
  <c r="FJ167" i="2"/>
  <c r="FM167" i="2" s="1"/>
  <c r="FJ189" i="2"/>
  <c r="FM189" i="2" s="1"/>
  <c r="FJ210" i="2"/>
  <c r="FM210" i="2" s="1"/>
  <c r="FJ226" i="2"/>
  <c r="FM226" i="2" s="1"/>
  <c r="FJ244" i="2"/>
  <c r="FM244" i="2" s="1"/>
  <c r="FJ260" i="2"/>
  <c r="FM260" i="2" s="1"/>
  <c r="GC11" i="2"/>
  <c r="GF11" i="2" s="1"/>
  <c r="GC40" i="2"/>
  <c r="GF40" i="2" s="1"/>
  <c r="GC55" i="2"/>
  <c r="GF55" i="2" s="1"/>
  <c r="GC68" i="2"/>
  <c r="GF68" i="2" s="1"/>
  <c r="GC84" i="2"/>
  <c r="GF84" i="2" s="1"/>
  <c r="GC114" i="2"/>
  <c r="GF114" i="2" s="1"/>
  <c r="GC126" i="2"/>
  <c r="GF126" i="2" s="1"/>
  <c r="GC140" i="2"/>
  <c r="GF140" i="2" s="1"/>
  <c r="GC162" i="2"/>
  <c r="GF162" i="2" s="1"/>
  <c r="GC209" i="2"/>
  <c r="GF209" i="2" s="1"/>
  <c r="GC232" i="2"/>
  <c r="GF232" i="2" s="1"/>
  <c r="GC247" i="2"/>
  <c r="GF247" i="2" s="1"/>
  <c r="GC273" i="2"/>
  <c r="GF273" i="2" s="1"/>
  <c r="FU33" i="2"/>
  <c r="GA33" i="2" s="1"/>
  <c r="FU53" i="2"/>
  <c r="GA53" i="2" s="1"/>
  <c r="FU61" i="2"/>
  <c r="GA61" i="2" s="1"/>
  <c r="FU81" i="2"/>
  <c r="GA81" i="2" s="1"/>
  <c r="FU136" i="2"/>
  <c r="GA136" i="2" s="1"/>
  <c r="FU168" i="2"/>
  <c r="GA168" i="2" s="1"/>
  <c r="FU216" i="2"/>
  <c r="GA216" i="2" s="1"/>
  <c r="FU242" i="2"/>
  <c r="GA242" i="2" s="1"/>
  <c r="FU256" i="2"/>
  <c r="GA256" i="2" s="1"/>
  <c r="FO9" i="2"/>
  <c r="FS9" i="2" s="1"/>
  <c r="FO38" i="2"/>
  <c r="FS38" i="2" s="1"/>
  <c r="FO59" i="2"/>
  <c r="FS59" i="2" s="1"/>
  <c r="FO66" i="2"/>
  <c r="FS66" i="2" s="1"/>
  <c r="FO87" i="2"/>
  <c r="FS87" i="2" s="1"/>
  <c r="FO92" i="2"/>
  <c r="FS92" i="2" s="1"/>
  <c r="FO101" i="2"/>
  <c r="FS101" i="2" s="1"/>
  <c r="FO119" i="2"/>
  <c r="FS119" i="2" s="1"/>
  <c r="FO123" i="2"/>
  <c r="FS123" i="2" s="1"/>
  <c r="FO143" i="2"/>
  <c r="FS143" i="2" s="1"/>
  <c r="FO153" i="2"/>
  <c r="FS153" i="2" s="1"/>
  <c r="FO159" i="2"/>
  <c r="FS159" i="2" s="1"/>
  <c r="FO182" i="2"/>
  <c r="FS182" i="2" s="1"/>
  <c r="FO189" i="2"/>
  <c r="FS189" i="2" s="1"/>
  <c r="FO203" i="2"/>
  <c r="FS203" i="2" s="1"/>
  <c r="FO224" i="2"/>
  <c r="FS224" i="2" s="1"/>
  <c r="FO229" i="2"/>
  <c r="FS229" i="2" s="1"/>
  <c r="FO250" i="2"/>
  <c r="FS250" i="2" s="1"/>
  <c r="FO261" i="2"/>
  <c r="FS261" i="2" s="1"/>
  <c r="FO265" i="2"/>
  <c r="FS265" i="2" s="1"/>
  <c r="FO271" i="2"/>
  <c r="FS271" i="2" s="1"/>
  <c r="FJ10" i="2"/>
  <c r="FM10" i="2" s="1"/>
  <c r="FJ18" i="2"/>
  <c r="FM18" i="2" s="1"/>
  <c r="FJ42" i="2"/>
  <c r="FM42" i="2" s="1"/>
  <c r="FJ49" i="2"/>
  <c r="FM49" i="2" s="1"/>
  <c r="FJ56" i="2"/>
  <c r="FM56" i="2" s="1"/>
  <c r="FJ72" i="2"/>
  <c r="FM72" i="2" s="1"/>
  <c r="FJ80" i="2"/>
  <c r="FM80" i="2" s="1"/>
  <c r="FJ86" i="2"/>
  <c r="FM86" i="2" s="1"/>
  <c r="FJ93" i="2"/>
  <c r="FM93" i="2" s="1"/>
  <c r="FJ98" i="2"/>
  <c r="FM98" i="2" s="1"/>
  <c r="FJ105" i="2"/>
  <c r="FM105" i="2" s="1"/>
  <c r="FJ125" i="2"/>
  <c r="FM125" i="2" s="1"/>
  <c r="FJ136" i="2"/>
  <c r="FM136" i="2" s="1"/>
  <c r="FJ143" i="2"/>
  <c r="FM143" i="2" s="1"/>
  <c r="FJ151" i="2"/>
  <c r="FM151" i="2" s="1"/>
  <c r="FJ157" i="2"/>
  <c r="FM157" i="2" s="1"/>
  <c r="FJ165" i="2"/>
  <c r="FM165" i="2" s="1"/>
  <c r="FJ174" i="2"/>
  <c r="FM174" i="2" s="1"/>
  <c r="FJ188" i="2"/>
  <c r="FM188" i="2" s="1"/>
  <c r="FJ197" i="2"/>
  <c r="FM197" i="2" s="1"/>
  <c r="FJ215" i="2"/>
  <c r="FM215" i="2" s="1"/>
  <c r="FJ225" i="2"/>
  <c r="FM225" i="2" s="1"/>
  <c r="FJ231" i="2"/>
  <c r="FM231" i="2" s="1"/>
  <c r="FJ242" i="2"/>
  <c r="FM242" i="2" s="1"/>
  <c r="FJ249" i="2"/>
  <c r="FM249" i="2" s="1"/>
  <c r="FJ259" i="2"/>
  <c r="FM259" i="2" s="1"/>
  <c r="FM347" i="2" s="1"/>
  <c r="FJ265" i="2"/>
  <c r="FM265" i="2" s="1"/>
  <c r="FJ280" i="2"/>
  <c r="FM280" i="2" s="1"/>
  <c r="GC60" i="2"/>
  <c r="GF60" i="2" s="1"/>
  <c r="GC88" i="2"/>
  <c r="GF88" i="2" s="1"/>
  <c r="GC102" i="2"/>
  <c r="GF102" i="2" s="1"/>
  <c r="GC130" i="2"/>
  <c r="GF130" i="2" s="1"/>
  <c r="GC166" i="2"/>
  <c r="GF166" i="2" s="1"/>
  <c r="GC198" i="2"/>
  <c r="GF198" i="2" s="1"/>
  <c r="GC213" i="2"/>
  <c r="GF213" i="2" s="1"/>
  <c r="FU7" i="2"/>
  <c r="GA7" i="2" s="1"/>
  <c r="FU26" i="2"/>
  <c r="GA26" i="2" s="1"/>
  <c r="FU36" i="2"/>
  <c r="GA36" i="2" s="1"/>
  <c r="FU56" i="2"/>
  <c r="GA56" i="2" s="1"/>
  <c r="FU85" i="2"/>
  <c r="GA85" i="2" s="1"/>
  <c r="FU104" i="2"/>
  <c r="GA104" i="2" s="1"/>
  <c r="FU115" i="2"/>
  <c r="GA115" i="2" s="1"/>
  <c r="FU139" i="2"/>
  <c r="GA139" i="2" s="1"/>
  <c r="FU175" i="2"/>
  <c r="GA175" i="2" s="1"/>
  <c r="FU220" i="2"/>
  <c r="GA220" i="2" s="1"/>
  <c r="FU246" i="2"/>
  <c r="GA246" i="2" s="1"/>
  <c r="FO13" i="2"/>
  <c r="FS13" i="2" s="1"/>
  <c r="FO32" i="2"/>
  <c r="FS32" i="2" s="1"/>
  <c r="FO41" i="2"/>
  <c r="FS41" i="2" s="1"/>
  <c r="FO84" i="2"/>
  <c r="FS84" i="2" s="1"/>
  <c r="FO93" i="2"/>
  <c r="FS93" i="2" s="1"/>
  <c r="FO114" i="2"/>
  <c r="FS114" i="2" s="1"/>
  <c r="FO131" i="2"/>
  <c r="FS131" i="2" s="1"/>
  <c r="FO150" i="2"/>
  <c r="FS150" i="2" s="1"/>
  <c r="FO155" i="2"/>
  <c r="FS155" i="2" s="1"/>
  <c r="FO174" i="2"/>
  <c r="FS174" i="2" s="1"/>
  <c r="FO190" i="2"/>
  <c r="FS190" i="2" s="1"/>
  <c r="FO199" i="2"/>
  <c r="FS199" i="2" s="1"/>
  <c r="FO219" i="2"/>
  <c r="FS219" i="2" s="1"/>
  <c r="FO226" i="2"/>
  <c r="FS226" i="2" s="1"/>
  <c r="FO240" i="2"/>
  <c r="FS240" i="2" s="1"/>
  <c r="FO259" i="2"/>
  <c r="FJ13" i="2"/>
  <c r="FM13" i="2" s="1"/>
  <c r="FJ26" i="2"/>
  <c r="FM26" i="2" s="1"/>
  <c r="FJ37" i="2"/>
  <c r="FM37" i="2" s="1"/>
  <c r="FJ43" i="2"/>
  <c r="FM43" i="2" s="1"/>
  <c r="FJ58" i="2"/>
  <c r="FM58" i="2" s="1"/>
  <c r="FJ62" i="2"/>
  <c r="FM62" i="2" s="1"/>
  <c r="FJ75" i="2"/>
  <c r="FM75" i="2" s="1"/>
  <c r="FJ88" i="2"/>
  <c r="FM88" i="2" s="1"/>
  <c r="FJ100" i="2"/>
  <c r="FM100" i="2" s="1"/>
  <c r="FJ115" i="2"/>
  <c r="FM115" i="2" s="1"/>
  <c r="FJ128" i="2"/>
  <c r="FM128" i="2" s="1"/>
  <c r="FJ146" i="2"/>
  <c r="FM146" i="2" s="1"/>
  <c r="FJ161" i="2"/>
  <c r="FM161" i="2" s="1"/>
  <c r="FJ182" i="2"/>
  <c r="FM182" i="2" s="1"/>
  <c r="FJ200" i="2"/>
  <c r="FM200" i="2" s="1"/>
  <c r="FJ219" i="2"/>
  <c r="FM219" i="2" s="1"/>
  <c r="FJ234" i="2"/>
  <c r="FM234" i="2" s="1"/>
  <c r="FJ252" i="2"/>
  <c r="FM252" i="2" s="1"/>
  <c r="FJ271" i="2"/>
  <c r="FM271" i="2" s="1"/>
  <c r="HD311" i="2"/>
  <c r="BG291" i="2"/>
  <c r="BF268" i="2" s="1"/>
  <c r="AU291" i="2"/>
  <c r="AT268" i="2" s="1"/>
  <c r="G9" i="8"/>
  <c r="P9" i="8" s="1"/>
  <c r="H6" i="15" s="1"/>
  <c r="BN291" i="2"/>
  <c r="BM205" i="2" s="1"/>
  <c r="G11" i="8"/>
  <c r="P11" i="8" s="1"/>
  <c r="H9" i="8"/>
  <c r="C49" i="11"/>
  <c r="C65" i="11" s="1"/>
  <c r="C70" i="11" s="1"/>
  <c r="B74" i="11"/>
  <c r="B75" i="11" s="1"/>
  <c r="E50" i="9"/>
  <c r="GC293" i="2"/>
  <c r="GB268" i="2" s="1"/>
  <c r="I27" i="8"/>
  <c r="F29" i="8"/>
  <c r="O29" i="8" s="1"/>
  <c r="G17" i="8"/>
  <c r="P17" i="8" s="1"/>
  <c r="D67" i="11"/>
  <c r="G67" i="11" s="1"/>
  <c r="F67" i="11" s="1"/>
  <c r="F69" i="11" s="1"/>
  <c r="F6" i="8"/>
  <c r="O6" i="8" s="1"/>
  <c r="G95" i="11"/>
  <c r="F84" i="11"/>
  <c r="F95" i="11" s="1"/>
  <c r="H13" i="8"/>
  <c r="FJ6" i="2"/>
  <c r="FM6" i="2" s="1"/>
  <c r="GC6" i="2"/>
  <c r="GF6" i="2" s="1"/>
  <c r="FU6" i="2"/>
  <c r="GA6" i="2" s="1"/>
  <c r="FO6" i="2"/>
  <c r="FS6" i="2" s="1"/>
  <c r="FJ293" i="2"/>
  <c r="FI268" i="2" s="1"/>
  <c r="DA285" i="2"/>
  <c r="AH283" i="2"/>
  <c r="E10" i="8"/>
  <c r="CK6" i="2"/>
  <c r="BN6" i="2"/>
  <c r="CB6" i="2" s="1"/>
  <c r="BG6" i="2"/>
  <c r="CD6" i="2"/>
  <c r="CI6" i="2" s="1"/>
  <c r="AM280" i="2"/>
  <c r="AS280" i="2" s="1"/>
  <c r="AG280" i="2"/>
  <c r="AK280" i="2" s="1"/>
  <c r="AG291" i="2"/>
  <c r="AF268" i="2" s="1"/>
  <c r="CK291" i="2"/>
  <c r="CJ206" i="2" s="1"/>
  <c r="GG293" i="2"/>
  <c r="E85" i="9" s="1"/>
  <c r="FU293" i="2"/>
  <c r="FT268" i="2" s="1"/>
  <c r="GW6" i="2"/>
  <c r="CR6" i="2"/>
  <c r="DC6" i="2"/>
  <c r="GG6" i="2"/>
  <c r="E56" i="9"/>
  <c r="CD291" i="2"/>
  <c r="CC268" i="2" s="1"/>
  <c r="AM291" i="2"/>
  <c r="AL268" i="2" s="1"/>
  <c r="FO293" i="2"/>
  <c r="FN268" i="2" s="1"/>
  <c r="F67" i="10"/>
  <c r="J53" i="10"/>
  <c r="J58" i="10" s="1"/>
  <c r="J67" i="10" s="1"/>
  <c r="N67" i="9"/>
  <c r="N68" i="9" s="1"/>
  <c r="O68" i="9"/>
  <c r="D30" i="10"/>
  <c r="K30" i="10"/>
  <c r="C26" i="8"/>
  <c r="O10" i="9"/>
  <c r="M16" i="10"/>
  <c r="M21" i="10" s="1"/>
  <c r="D20" i="8" l="1"/>
  <c r="O28" i="9"/>
  <c r="FI214" i="2"/>
  <c r="FN214" i="2"/>
  <c r="FM328" i="2"/>
  <c r="AT214" i="2"/>
  <c r="GA328" i="2"/>
  <c r="AL214" i="2"/>
  <c r="GB214" i="2"/>
  <c r="CC214" i="2"/>
  <c r="AF214" i="2"/>
  <c r="BM214" i="2"/>
  <c r="GF344" i="2"/>
  <c r="BF214" i="2"/>
  <c r="CJ214" i="2"/>
  <c r="FT214" i="2"/>
  <c r="O20" i="17"/>
  <c r="J20" i="17"/>
  <c r="GB141" i="2"/>
  <c r="BM141" i="2"/>
  <c r="FN141" i="2"/>
  <c r="AL141" i="2"/>
  <c r="AT141" i="2"/>
  <c r="CC141" i="2"/>
  <c r="FT141" i="2"/>
  <c r="AF141" i="2"/>
  <c r="BF141" i="2"/>
  <c r="CJ141" i="2"/>
  <c r="FI141" i="2"/>
  <c r="BL330" i="2"/>
  <c r="O60" i="7" s="1"/>
  <c r="AK330" i="2"/>
  <c r="L60" i="7" s="1"/>
  <c r="CB333" i="2"/>
  <c r="CB332" i="2" s="1"/>
  <c r="FS331" i="2"/>
  <c r="GF330" i="2"/>
  <c r="B58" i="9" s="1"/>
  <c r="CN330" i="2"/>
  <c r="H60" i="7" s="1"/>
  <c r="CN331" i="2"/>
  <c r="BE330" i="2"/>
  <c r="E60" i="7" s="1"/>
  <c r="BL326" i="2"/>
  <c r="AK333" i="2"/>
  <c r="CI333" i="2"/>
  <c r="CI326" i="2"/>
  <c r="BE326" i="2"/>
  <c r="AK332" i="2"/>
  <c r="AS326" i="2"/>
  <c r="AS331" i="2"/>
  <c r="GA344" i="2"/>
  <c r="I70" i="9" s="1"/>
  <c r="FS333" i="2"/>
  <c r="FS332" i="2" s="1"/>
  <c r="GA331" i="2"/>
  <c r="GF333" i="2"/>
  <c r="GF331" i="2"/>
  <c r="B56" i="9" s="1"/>
  <c r="BE331" i="2"/>
  <c r="CB330" i="2"/>
  <c r="B60" i="7" s="1"/>
  <c r="CI330" i="2"/>
  <c r="I60" i="7" s="1"/>
  <c r="AK331" i="2"/>
  <c r="BL333" i="2"/>
  <c r="BL332" i="2" s="1"/>
  <c r="AS333" i="2"/>
  <c r="AS332" i="2" s="1"/>
  <c r="BE344" i="2"/>
  <c r="E69" i="7" s="1"/>
  <c r="CB344" i="2"/>
  <c r="B69" i="7" s="1"/>
  <c r="B108" i="7" s="1"/>
  <c r="FM330" i="2"/>
  <c r="L58" i="9" s="1"/>
  <c r="FS330" i="2"/>
  <c r="F58" i="9" s="1"/>
  <c r="GA333" i="2"/>
  <c r="O99" i="7"/>
  <c r="BE333" i="2"/>
  <c r="BE332" i="2" s="1"/>
  <c r="AS330" i="2"/>
  <c r="S60" i="7" s="1"/>
  <c r="CI344" i="2"/>
  <c r="FM344" i="2"/>
  <c r="L70" i="9" s="1"/>
  <c r="FM331" i="2"/>
  <c r="GA330" i="2"/>
  <c r="I58" i="9" s="1"/>
  <c r="CN326" i="2"/>
  <c r="CI332" i="2"/>
  <c r="BL331" i="2"/>
  <c r="CI331" i="2"/>
  <c r="CB326" i="2"/>
  <c r="CN344" i="2"/>
  <c r="H69" i="7" s="1"/>
  <c r="V26" i="6"/>
  <c r="T26" i="6"/>
  <c r="T25" i="6" s="1"/>
  <c r="EY360" i="2"/>
  <c r="EY362" i="2" s="1"/>
  <c r="GF334" i="2"/>
  <c r="C107" i="11"/>
  <c r="C123" i="11" s="1"/>
  <c r="C128" i="11" s="1"/>
  <c r="AC26" i="6"/>
  <c r="AF26" i="6" s="1"/>
  <c r="Q25" i="6"/>
  <c r="C74" i="11"/>
  <c r="C75" i="11" s="1"/>
  <c r="C76" i="11" s="1"/>
  <c r="AK325" i="2"/>
  <c r="AT277" i="2"/>
  <c r="BF277" i="2"/>
  <c r="FT277" i="2"/>
  <c r="BF278" i="2"/>
  <c r="AT279" i="2"/>
  <c r="BF279" i="2"/>
  <c r="FN278" i="2"/>
  <c r="AL277" i="2"/>
  <c r="CJ277" i="2"/>
  <c r="FN277" i="2"/>
  <c r="AT278" i="2"/>
  <c r="AL278" i="2"/>
  <c r="AL279" i="2"/>
  <c r="AF279" i="2"/>
  <c r="CJ279" i="2"/>
  <c r="FI278" i="2"/>
  <c r="AF277" i="2"/>
  <c r="CC277" i="2"/>
  <c r="FI277" i="2"/>
  <c r="FI279" i="2"/>
  <c r="FN279" i="2"/>
  <c r="AF278" i="2"/>
  <c r="BM279" i="2"/>
  <c r="GB279" i="2"/>
  <c r="CJ278" i="2"/>
  <c r="CC279" i="2"/>
  <c r="GB278" i="2"/>
  <c r="BM277" i="2"/>
  <c r="GB277" i="2"/>
  <c r="BM278" i="2"/>
  <c r="CC278" i="2"/>
  <c r="FT279" i="2"/>
  <c r="FT278" i="2"/>
  <c r="GA326" i="2"/>
  <c r="B51" i="10"/>
  <c r="B48" i="10" s="1"/>
  <c r="B53" i="10" s="1"/>
  <c r="B58" i="10" s="1"/>
  <c r="FM326" i="2"/>
  <c r="GA334" i="2"/>
  <c r="I55" i="9" s="1"/>
  <c r="AK334" i="2"/>
  <c r="L57" i="7" s="1"/>
  <c r="L96" i="7" s="1"/>
  <c r="CI334" i="2"/>
  <c r="I57" i="7" s="1"/>
  <c r="I96" i="7" s="1"/>
  <c r="FM334" i="2"/>
  <c r="FS326" i="2"/>
  <c r="GF326" i="2"/>
  <c r="C53" i="10"/>
  <c r="C58" i="10" s="1"/>
  <c r="C67" i="10" s="1"/>
  <c r="C68" i="10" s="1"/>
  <c r="C70" i="10" s="1"/>
  <c r="CB334" i="2"/>
  <c r="B57" i="7" s="1"/>
  <c r="B96" i="7" s="1"/>
  <c r="FS334" i="2"/>
  <c r="F63" i="6"/>
  <c r="M68" i="10"/>
  <c r="CC253" i="2"/>
  <c r="FN253" i="2"/>
  <c r="AF253" i="2"/>
  <c r="BF253" i="2"/>
  <c r="GB253" i="2"/>
  <c r="CJ253" i="2"/>
  <c r="BM253" i="2"/>
  <c r="FT253" i="2"/>
  <c r="AL253" i="2"/>
  <c r="FI253" i="2"/>
  <c r="AT253" i="2"/>
  <c r="CC187" i="2"/>
  <c r="AT187" i="2"/>
  <c r="BM187" i="2"/>
  <c r="AF187" i="2"/>
  <c r="BF187" i="2"/>
  <c r="GB187" i="2"/>
  <c r="FT187" i="2"/>
  <c r="FI187" i="2"/>
  <c r="FN187" i="2"/>
  <c r="CJ187" i="2"/>
  <c r="AL187" i="2"/>
  <c r="FS99" i="2"/>
  <c r="FS327" i="2" s="1"/>
  <c r="F52" i="9" s="1"/>
  <c r="FS259" i="2"/>
  <c r="FS347" i="2" s="1"/>
  <c r="FS344" i="2" s="1"/>
  <c r="CC21" i="2"/>
  <c r="BM21" i="2"/>
  <c r="AL21" i="2"/>
  <c r="AF21" i="2"/>
  <c r="FI21" i="2"/>
  <c r="FN21" i="2"/>
  <c r="GB21" i="2"/>
  <c r="FT21" i="2"/>
  <c r="CJ21" i="2"/>
  <c r="BF21" i="2"/>
  <c r="AT21" i="2"/>
  <c r="D73" i="11"/>
  <c r="D74" i="11" s="1"/>
  <c r="D75" i="11" s="1"/>
  <c r="GB76" i="2"/>
  <c r="BM76" i="2"/>
  <c r="AL76" i="2"/>
  <c r="FT76" i="2"/>
  <c r="AT76" i="2"/>
  <c r="BF76" i="2"/>
  <c r="AF76" i="2"/>
  <c r="FN76" i="2"/>
  <c r="FI76" i="2"/>
  <c r="CJ76" i="2"/>
  <c r="CC76" i="2"/>
  <c r="CJ129" i="2"/>
  <c r="FN129" i="2"/>
  <c r="BF129" i="2"/>
  <c r="BM129" i="2"/>
  <c r="FT129" i="2"/>
  <c r="CC129" i="2"/>
  <c r="AF129" i="2"/>
  <c r="GB129" i="2"/>
  <c r="AT129" i="2"/>
  <c r="AL129" i="2"/>
  <c r="FI129" i="2"/>
  <c r="GB207" i="2"/>
  <c r="FN207" i="2"/>
  <c r="FI207" i="2"/>
  <c r="FT207" i="2"/>
  <c r="BM207" i="2"/>
  <c r="AT207" i="2"/>
  <c r="AF207" i="2"/>
  <c r="BF207" i="2"/>
  <c r="CC207" i="2"/>
  <c r="AL207" i="2"/>
  <c r="CJ207" i="2"/>
  <c r="C131" i="11"/>
  <c r="C132" i="11" s="1"/>
  <c r="C133" i="11" s="1"/>
  <c r="CX360" i="2"/>
  <c r="S63" i="7"/>
  <c r="S102" i="7" s="1"/>
  <c r="L63" i="7"/>
  <c r="M73" i="7"/>
  <c r="M112" i="7" s="1"/>
  <c r="M114" i="7" s="1"/>
  <c r="M115" i="7" s="1"/>
  <c r="G74" i="9"/>
  <c r="C74" i="9"/>
  <c r="F79" i="6" s="1"/>
  <c r="B61" i="9"/>
  <c r="K29" i="9"/>
  <c r="FN280" i="2"/>
  <c r="FI280" i="2"/>
  <c r="FT280" i="2"/>
  <c r="GB280" i="2"/>
  <c r="AF280" i="2"/>
  <c r="BM280" i="2"/>
  <c r="AT280" i="2"/>
  <c r="CJ280" i="2"/>
  <c r="BF280" i="2"/>
  <c r="AL280" i="2"/>
  <c r="CC280" i="2"/>
  <c r="D89" i="10"/>
  <c r="B114" i="11"/>
  <c r="D112" i="11"/>
  <c r="G112" i="11" s="1"/>
  <c r="CJ170" i="2"/>
  <c r="AT170" i="2"/>
  <c r="AF170" i="2"/>
  <c r="BF170" i="2"/>
  <c r="AL170" i="2"/>
  <c r="BM170" i="2"/>
  <c r="GB170" i="2"/>
  <c r="FI170" i="2"/>
  <c r="CC170" i="2"/>
  <c r="FN170" i="2"/>
  <c r="FT170" i="2"/>
  <c r="HE284" i="2"/>
  <c r="K70" i="10"/>
  <c r="K113" i="10"/>
  <c r="D25" i="15"/>
  <c r="I112" i="10"/>
  <c r="I20" i="15"/>
  <c r="D96" i="10"/>
  <c r="D93" i="10" s="1"/>
  <c r="M96" i="10"/>
  <c r="M93" i="10" s="1"/>
  <c r="N58" i="6"/>
  <c r="F58" i="6"/>
  <c r="D10" i="16"/>
  <c r="M89" i="10"/>
  <c r="B18" i="15"/>
  <c r="B24" i="15" s="1"/>
  <c r="D61" i="10"/>
  <c r="M61" i="10" s="1"/>
  <c r="D29" i="9"/>
  <c r="G19" i="15"/>
  <c r="C19" i="15"/>
  <c r="GB270" i="2"/>
  <c r="FI269" i="2"/>
  <c r="J74" i="9"/>
  <c r="F82" i="6" s="1"/>
  <c r="GB269" i="2"/>
  <c r="FN269" i="2"/>
  <c r="FT270" i="2"/>
  <c r="FI270" i="2"/>
  <c r="FT269" i="2"/>
  <c r="FN270" i="2"/>
  <c r="O54" i="7"/>
  <c r="J73" i="7"/>
  <c r="J112" i="7" s="1"/>
  <c r="J114" i="7" s="1"/>
  <c r="J115" i="7" s="1"/>
  <c r="CJ270" i="2"/>
  <c r="AT270" i="2"/>
  <c r="H54" i="7"/>
  <c r="F73" i="7"/>
  <c r="F112" i="7" s="1"/>
  <c r="F114" i="7" s="1"/>
  <c r="F115" i="7" s="1"/>
  <c r="P73" i="7"/>
  <c r="P112" i="7" s="1"/>
  <c r="P114" i="7" s="1"/>
  <c r="P115" i="7" s="1"/>
  <c r="E54" i="7"/>
  <c r="I54" i="7"/>
  <c r="CC269" i="2"/>
  <c r="CJ269" i="2"/>
  <c r="AT269" i="2"/>
  <c r="AL270" i="2"/>
  <c r="BF269" i="2"/>
  <c r="BM270" i="2"/>
  <c r="BF270" i="2"/>
  <c r="BM269" i="2"/>
  <c r="AL269" i="2"/>
  <c r="AF270" i="2"/>
  <c r="AF269" i="2"/>
  <c r="CC270" i="2"/>
  <c r="T10" i="15"/>
  <c r="P25" i="8"/>
  <c r="M30" i="10"/>
  <c r="K80" i="10"/>
  <c r="B4" i="15"/>
  <c r="D44" i="10"/>
  <c r="L61" i="9"/>
  <c r="BF205" i="2"/>
  <c r="BM206" i="2"/>
  <c r="AF206" i="2"/>
  <c r="GB206" i="2"/>
  <c r="GB205" i="2"/>
  <c r="FT205" i="2"/>
  <c r="FN206" i="2"/>
  <c r="CC205" i="2"/>
  <c r="CJ205" i="2"/>
  <c r="FI205" i="2"/>
  <c r="CC206" i="2"/>
  <c r="FN205" i="2"/>
  <c r="FI206" i="2"/>
  <c r="AT205" i="2"/>
  <c r="AT206" i="2"/>
  <c r="FT206" i="2"/>
  <c r="BF206" i="2"/>
  <c r="AF205" i="2"/>
  <c r="AL205" i="2"/>
  <c r="AL206" i="2"/>
  <c r="CJ268" i="2"/>
  <c r="H86" i="7"/>
  <c r="BM268" i="2"/>
  <c r="B86" i="7"/>
  <c r="O63" i="7"/>
  <c r="I63" i="7"/>
  <c r="B102" i="7"/>
  <c r="I61" i="9"/>
  <c r="H63" i="7"/>
  <c r="H102" i="7" s="1"/>
  <c r="E63" i="7"/>
  <c r="E102" i="7" s="1"/>
  <c r="M72" i="10"/>
  <c r="M83" i="10" s="1"/>
  <c r="J50" i="12"/>
  <c r="L50" i="12" s="1"/>
  <c r="F61" i="9"/>
  <c r="FT274" i="2"/>
  <c r="GB274" i="2"/>
  <c r="FN274" i="2"/>
  <c r="FI274" i="2"/>
  <c r="FT217" i="2"/>
  <c r="AT274" i="2"/>
  <c r="CJ217" i="2"/>
  <c r="AF274" i="2"/>
  <c r="CJ274" i="2"/>
  <c r="AL274" i="2"/>
  <c r="BM274" i="2"/>
  <c r="BF274" i="2"/>
  <c r="CC274" i="2"/>
  <c r="CC217" i="2"/>
  <c r="GB217" i="2"/>
  <c r="AL217" i="2"/>
  <c r="BF217" i="2"/>
  <c r="BM217" i="2"/>
  <c r="AF217" i="2"/>
  <c r="FN217" i="2"/>
  <c r="AT217" i="2"/>
  <c r="FI217" i="2"/>
  <c r="CJ195" i="2"/>
  <c r="FT195" i="2"/>
  <c r="AF195" i="2"/>
  <c r="CC195" i="2"/>
  <c r="FN195" i="2"/>
  <c r="AT195" i="2"/>
  <c r="GB195" i="2"/>
  <c r="AL195" i="2"/>
  <c r="FI195" i="2"/>
  <c r="BF195" i="2"/>
  <c r="BM195" i="2"/>
  <c r="FN133" i="2"/>
  <c r="BM133" i="2"/>
  <c r="GB132" i="2"/>
  <c r="FN132" i="2"/>
  <c r="BF133" i="2"/>
  <c r="FT133" i="2"/>
  <c r="BE328" i="2"/>
  <c r="E55" i="7" s="1"/>
  <c r="E94" i="7" s="1"/>
  <c r="D3" i="15"/>
  <c r="GB133" i="2"/>
  <c r="AF132" i="2"/>
  <c r="FI133" i="2"/>
  <c r="BM132" i="2"/>
  <c r="AK328" i="2"/>
  <c r="L55" i="7" s="1"/>
  <c r="FT132" i="2"/>
  <c r="AT132" i="2"/>
  <c r="CC132" i="2"/>
  <c r="FI132" i="2"/>
  <c r="AL133" i="2"/>
  <c r="AT133" i="2"/>
  <c r="AF133" i="2"/>
  <c r="CC133" i="2"/>
  <c r="BF132" i="2"/>
  <c r="CJ133" i="2"/>
  <c r="CJ132" i="2"/>
  <c r="AL132" i="2"/>
  <c r="CB328" i="2"/>
  <c r="B55" i="7" s="1"/>
  <c r="B94" i="7" s="1"/>
  <c r="GF328" i="2"/>
  <c r="B53" i="9" s="1"/>
  <c r="AS328" i="2"/>
  <c r="BL328" i="2"/>
  <c r="CI328" i="2"/>
  <c r="FS328" i="2"/>
  <c r="F53" i="9" s="1"/>
  <c r="CN328" i="2"/>
  <c r="CJ178" i="2"/>
  <c r="GB178" i="2"/>
  <c r="CC178" i="2"/>
  <c r="AT178" i="2"/>
  <c r="FI178" i="2"/>
  <c r="FT178" i="2"/>
  <c r="BM178" i="2"/>
  <c r="FM325" i="2"/>
  <c r="BF178" i="2"/>
  <c r="AL178" i="2"/>
  <c r="FN178" i="2"/>
  <c r="AF178" i="2"/>
  <c r="FN255" i="2"/>
  <c r="AL255" i="2"/>
  <c r="FT255" i="2"/>
  <c r="BF255" i="2"/>
  <c r="CC255" i="2"/>
  <c r="AF255" i="2"/>
  <c r="BM255" i="2"/>
  <c r="CJ255" i="2"/>
  <c r="GB255" i="2"/>
  <c r="FI255" i="2"/>
  <c r="AT255" i="2"/>
  <c r="FN103" i="2"/>
  <c r="AT103" i="2"/>
  <c r="BM103" i="2"/>
  <c r="FT103" i="2"/>
  <c r="CJ103" i="2"/>
  <c r="AL103" i="2"/>
  <c r="GB103" i="2"/>
  <c r="CC103" i="2"/>
  <c r="GF325" i="2"/>
  <c r="BF103" i="2"/>
  <c r="FI103" i="2"/>
  <c r="AF103" i="2"/>
  <c r="GA325" i="2"/>
  <c r="BE325" i="2"/>
  <c r="CB325" i="2"/>
  <c r="CN325" i="2"/>
  <c r="BL325" i="2"/>
  <c r="FS325" i="2"/>
  <c r="CI325" i="2"/>
  <c r="AS325" i="2"/>
  <c r="D10" i="15"/>
  <c r="AL222" i="2"/>
  <c r="P24" i="8"/>
  <c r="FT222" i="2"/>
  <c r="FI222" i="2"/>
  <c r="GB222" i="2"/>
  <c r="BF222" i="2"/>
  <c r="CC222" i="2"/>
  <c r="AT222" i="2"/>
  <c r="AF222" i="2"/>
  <c r="BM222" i="2"/>
  <c r="FN222" i="2"/>
  <c r="CJ222" i="2"/>
  <c r="H123" i="11"/>
  <c r="H128" i="11" s="1"/>
  <c r="K12" i="8"/>
  <c r="N12" i="8"/>
  <c r="M13" i="8"/>
  <c r="P13" i="8"/>
  <c r="F70" i="10"/>
  <c r="E70" i="10"/>
  <c r="B107" i="11"/>
  <c r="G70" i="10"/>
  <c r="FT208" i="2"/>
  <c r="BM208" i="2"/>
  <c r="AT208" i="2"/>
  <c r="FI208" i="2"/>
  <c r="AF208" i="2"/>
  <c r="AL208" i="2"/>
  <c r="BF208" i="2"/>
  <c r="CJ208" i="2"/>
  <c r="GB208" i="2"/>
  <c r="FN208" i="2"/>
  <c r="CC208" i="2"/>
  <c r="H93" i="11"/>
  <c r="CC148" i="2"/>
  <c r="AT148" i="2"/>
  <c r="AL148" i="2"/>
  <c r="BM148" i="2"/>
  <c r="BF148" i="2"/>
  <c r="GB148" i="2"/>
  <c r="FT148" i="2"/>
  <c r="FI148" i="2"/>
  <c r="FN148" i="2"/>
  <c r="CJ148" i="2"/>
  <c r="AF148" i="2"/>
  <c r="CC134" i="2"/>
  <c r="FN134" i="2"/>
  <c r="CJ134" i="2"/>
  <c r="AL134" i="2"/>
  <c r="FT134" i="2"/>
  <c r="BM134" i="2"/>
  <c r="FI134" i="2"/>
  <c r="AF134" i="2"/>
  <c r="BF134" i="2"/>
  <c r="GB134" i="2"/>
  <c r="AT134" i="2"/>
  <c r="J11" i="15"/>
  <c r="E80" i="10"/>
  <c r="CB327" i="2"/>
  <c r="B54" i="7" s="1"/>
  <c r="B93" i="7" s="1"/>
  <c r="GB276" i="2"/>
  <c r="BF276" i="2"/>
  <c r="FN276" i="2"/>
  <c r="CC276" i="2"/>
  <c r="BM276" i="2"/>
  <c r="AT276" i="2"/>
  <c r="FT276" i="2"/>
  <c r="FI276" i="2"/>
  <c r="AL276" i="2"/>
  <c r="CJ276" i="2"/>
  <c r="AF276" i="2"/>
  <c r="GB248" i="2"/>
  <c r="FT248" i="2"/>
  <c r="FN177" i="2"/>
  <c r="AT177" i="2"/>
  <c r="CC248" i="2"/>
  <c r="BF248" i="2"/>
  <c r="FI248" i="2"/>
  <c r="AL248" i="2"/>
  <c r="BM176" i="2"/>
  <c r="FN248" i="2"/>
  <c r="AT248" i="2"/>
  <c r="GB177" i="2"/>
  <c r="CJ248" i="2"/>
  <c r="BM248" i="2"/>
  <c r="FN176" i="2"/>
  <c r="AF248" i="2"/>
  <c r="AF176" i="2"/>
  <c r="BF176" i="2"/>
  <c r="AL177" i="2"/>
  <c r="FT176" i="2"/>
  <c r="FI176" i="2"/>
  <c r="AT176" i="2"/>
  <c r="FT177" i="2"/>
  <c r="CC177" i="2"/>
  <c r="BM177" i="2"/>
  <c r="BF177" i="2"/>
  <c r="CJ177" i="2"/>
  <c r="AL176" i="2"/>
  <c r="CJ176" i="2"/>
  <c r="AF177" i="2"/>
  <c r="GB176" i="2"/>
  <c r="FI177" i="2"/>
  <c r="CC176" i="2"/>
  <c r="FI245" i="2"/>
  <c r="CJ245" i="2"/>
  <c r="BM245" i="2"/>
  <c r="BF245" i="2"/>
  <c r="AF245" i="2"/>
  <c r="AL245" i="2"/>
  <c r="FT245" i="2"/>
  <c r="GB245" i="2"/>
  <c r="AT245" i="2"/>
  <c r="CC245" i="2"/>
  <c r="FN245" i="2"/>
  <c r="GB211" i="2"/>
  <c r="FN211" i="2"/>
  <c r="BF211" i="2"/>
  <c r="FT211" i="2"/>
  <c r="BM211" i="2"/>
  <c r="AF211" i="2"/>
  <c r="CJ211" i="2"/>
  <c r="FI211" i="2"/>
  <c r="CC211" i="2"/>
  <c r="AL211" i="2"/>
  <c r="AT211" i="2"/>
  <c r="FI201" i="2"/>
  <c r="AF201" i="2"/>
  <c r="CJ201" i="2"/>
  <c r="BF201" i="2"/>
  <c r="AL201" i="2"/>
  <c r="AT201" i="2"/>
  <c r="GB201" i="2"/>
  <c r="BM201" i="2"/>
  <c r="CC201" i="2"/>
  <c r="FN201" i="2"/>
  <c r="FT201" i="2"/>
  <c r="F80" i="10"/>
  <c r="FI181" i="2"/>
  <c r="FT181" i="2"/>
  <c r="GB181" i="2"/>
  <c r="BM181" i="2"/>
  <c r="BF181" i="2"/>
  <c r="AL181" i="2"/>
  <c r="FN181" i="2"/>
  <c r="AF181" i="2"/>
  <c r="CC181" i="2"/>
  <c r="AT181" i="2"/>
  <c r="CJ181" i="2"/>
  <c r="F99" i="6"/>
  <c r="F33" i="6" s="1"/>
  <c r="V33" i="6" s="1"/>
  <c r="H137" i="11"/>
  <c r="CJ112" i="2"/>
  <c r="AF112" i="2"/>
  <c r="FN112" i="2"/>
  <c r="AT112" i="2"/>
  <c r="AL112" i="2"/>
  <c r="CC112" i="2"/>
  <c r="BM112" i="2"/>
  <c r="G80" i="10"/>
  <c r="FI112" i="2"/>
  <c r="GB112" i="2"/>
  <c r="BF112" i="2"/>
  <c r="FT112" i="2"/>
  <c r="H80" i="11"/>
  <c r="J13" i="8"/>
  <c r="H33" i="6"/>
  <c r="M33" i="6" s="1"/>
  <c r="P33" i="6" s="1"/>
  <c r="D119" i="11"/>
  <c r="G119" i="11" s="1"/>
  <c r="F119" i="11" s="1"/>
  <c r="M24" i="8"/>
  <c r="M25" i="8"/>
  <c r="I29" i="8"/>
  <c r="L29" i="8"/>
  <c r="J9" i="8"/>
  <c r="M9" i="8"/>
  <c r="H20" i="15" s="1"/>
  <c r="F15" i="8"/>
  <c r="O15" i="8" s="1"/>
  <c r="L6" i="8"/>
  <c r="J11" i="8"/>
  <c r="M11" i="8"/>
  <c r="G19" i="8"/>
  <c r="P19" i="8" s="1"/>
  <c r="K19" i="8"/>
  <c r="J17" i="8"/>
  <c r="M17" i="8"/>
  <c r="H7" i="8"/>
  <c r="K7" i="8"/>
  <c r="B26" i="8"/>
  <c r="D26" i="8" s="1"/>
  <c r="P73" i="6"/>
  <c r="P18" i="6" s="1"/>
  <c r="BF29" i="2"/>
  <c r="AT29" i="2"/>
  <c r="AL29" i="2"/>
  <c r="CJ29" i="2"/>
  <c r="AF29" i="2"/>
  <c r="CC29" i="2"/>
  <c r="BM29" i="2"/>
  <c r="FN29" i="2"/>
  <c r="FT29" i="2"/>
  <c r="FI29" i="2"/>
  <c r="GB29" i="2"/>
  <c r="M57" i="10"/>
  <c r="J68" i="10"/>
  <c r="D117" i="11"/>
  <c r="B132" i="11"/>
  <c r="B133" i="11" s="1"/>
  <c r="B6" i="15"/>
  <c r="M44" i="10"/>
  <c r="G88" i="6"/>
  <c r="B127" i="11"/>
  <c r="D125" i="11"/>
  <c r="G125" i="11" s="1"/>
  <c r="E54" i="9"/>
  <c r="E59" i="9" s="1"/>
  <c r="E64" i="9" s="1"/>
  <c r="E73" i="9" s="1"/>
  <c r="F115" i="11"/>
  <c r="D103" i="6"/>
  <c r="GB223" i="2"/>
  <c r="FN223" i="2"/>
  <c r="AT223" i="2"/>
  <c r="BF223" i="2"/>
  <c r="AF223" i="2"/>
  <c r="FT223" i="2"/>
  <c r="CC223" i="2"/>
  <c r="F56" i="11"/>
  <c r="BM223" i="2"/>
  <c r="FI223" i="2"/>
  <c r="CJ223" i="2"/>
  <c r="AL223" i="2"/>
  <c r="BF179" i="2"/>
  <c r="FI179" i="2"/>
  <c r="BM179" i="2"/>
  <c r="FT179" i="2"/>
  <c r="CC179" i="2"/>
  <c r="AT179" i="2"/>
  <c r="AF179" i="2"/>
  <c r="AL179" i="2"/>
  <c r="CJ179" i="2"/>
  <c r="GB179" i="2"/>
  <c r="FN179" i="2"/>
  <c r="CC173" i="2"/>
  <c r="FI173" i="2"/>
  <c r="BM173" i="2"/>
  <c r="AF173" i="2"/>
  <c r="AT173" i="2"/>
  <c r="GB173" i="2"/>
  <c r="FT173" i="2"/>
  <c r="BF173" i="2"/>
  <c r="CJ173" i="2"/>
  <c r="AL173" i="2"/>
  <c r="FN173" i="2"/>
  <c r="BF149" i="2"/>
  <c r="CJ149" i="2"/>
  <c r="FT149" i="2"/>
  <c r="BM149" i="2"/>
  <c r="FI149" i="2"/>
  <c r="FN149" i="2"/>
  <c r="AL149" i="2"/>
  <c r="AT149" i="2"/>
  <c r="CC149" i="2"/>
  <c r="AF149" i="2"/>
  <c r="GB149" i="2"/>
  <c r="H65" i="11"/>
  <c r="H70" i="11" s="1"/>
  <c r="H76" i="11" s="1"/>
  <c r="CJ118" i="2"/>
  <c r="GB118" i="2"/>
  <c r="FT118" i="2"/>
  <c r="AL118" i="2"/>
  <c r="BF118" i="2"/>
  <c r="FN118" i="2"/>
  <c r="AF118" i="2"/>
  <c r="BM118" i="2"/>
  <c r="AT118" i="2"/>
  <c r="FI118" i="2"/>
  <c r="CC118" i="2"/>
  <c r="CJ47" i="2"/>
  <c r="AT47" i="2"/>
  <c r="FN47" i="2"/>
  <c r="BF47" i="2"/>
  <c r="AF47" i="2"/>
  <c r="AL47" i="2"/>
  <c r="BM47" i="2"/>
  <c r="CC47" i="2"/>
  <c r="FI47" i="2"/>
  <c r="GB47" i="2"/>
  <c r="FT47" i="2"/>
  <c r="H76" i="6"/>
  <c r="H23" i="6"/>
  <c r="N20" i="9"/>
  <c r="C103" i="6"/>
  <c r="G80" i="6"/>
  <c r="M20" i="9"/>
  <c r="M29" i="9" s="1"/>
  <c r="O15" i="9"/>
  <c r="O20" i="9" s="1"/>
  <c r="O29" i="9" s="1"/>
  <c r="H20" i="9"/>
  <c r="H29" i="9" s="1"/>
  <c r="S86" i="7"/>
  <c r="AL236" i="2"/>
  <c r="AL171" i="2"/>
  <c r="AL193" i="2"/>
  <c r="AL191" i="2"/>
  <c r="AL275" i="2"/>
  <c r="AL259" i="2"/>
  <c r="AL59" i="2"/>
  <c r="AL185" i="2"/>
  <c r="AL145" i="2"/>
  <c r="AL121" i="2"/>
  <c r="AL63" i="2"/>
  <c r="AL202" i="2"/>
  <c r="AL151" i="2"/>
  <c r="AL74" i="2"/>
  <c r="AL267" i="2"/>
  <c r="AL166" i="2"/>
  <c r="AL238" i="2"/>
  <c r="AL160" i="2"/>
  <c r="AL241" i="2"/>
  <c r="AL137" i="2"/>
  <c r="AL221" i="2"/>
  <c r="AL87" i="2"/>
  <c r="AL142" i="2"/>
  <c r="AL80" i="2"/>
  <c r="AL155" i="2"/>
  <c r="AL37" i="2"/>
  <c r="AL146" i="2"/>
  <c r="AL237" i="2"/>
  <c r="AL235" i="2"/>
  <c r="AL31" i="2"/>
  <c r="AL35" i="2"/>
  <c r="AL111" i="2"/>
  <c r="AL92" i="2"/>
  <c r="AL10" i="2"/>
  <c r="AL227" i="2"/>
  <c r="AL119" i="2"/>
  <c r="AL104" i="2"/>
  <c r="AL91" i="2"/>
  <c r="AL251" i="2"/>
  <c r="AL232" i="2"/>
  <c r="AL212" i="2"/>
  <c r="AL84" i="2"/>
  <c r="AL250" i="2"/>
  <c r="AL231" i="2"/>
  <c r="AL108" i="2"/>
  <c r="AL54" i="2"/>
  <c r="AL41" i="2"/>
  <c r="AL88" i="2"/>
  <c r="AL239" i="2"/>
  <c r="AL120" i="2"/>
  <c r="AL96" i="2"/>
  <c r="AL42" i="2"/>
  <c r="AL27" i="2"/>
  <c r="AL115" i="2"/>
  <c r="AL46" i="2"/>
  <c r="AL273" i="2"/>
  <c r="AL128" i="2"/>
  <c r="AL114" i="2"/>
  <c r="AL70" i="2"/>
  <c r="AL58" i="2"/>
  <c r="AL263" i="2"/>
  <c r="AL100" i="2"/>
  <c r="AL67" i="2"/>
  <c r="AL51" i="2"/>
  <c r="AL169" i="2"/>
  <c r="AL197" i="2"/>
  <c r="AL140" i="2"/>
  <c r="AL66" i="2"/>
  <c r="AL230" i="2"/>
  <c r="AL32" i="2"/>
  <c r="AL65" i="2"/>
  <c r="AL53" i="2"/>
  <c r="AL188" i="2"/>
  <c r="AL62" i="2"/>
  <c r="AL22" i="2"/>
  <c r="AL13" i="2"/>
  <c r="AL156" i="2"/>
  <c r="AL90" i="2"/>
  <c r="AL260" i="2"/>
  <c r="AL219" i="2"/>
  <c r="AL116" i="2"/>
  <c r="AL266" i="2"/>
  <c r="AL154" i="2"/>
  <c r="AL61" i="2"/>
  <c r="AL157" i="2"/>
  <c r="AL174" i="2"/>
  <c r="AL85" i="2"/>
  <c r="AL68" i="2"/>
  <c r="AL186" i="2"/>
  <c r="AL8" i="2"/>
  <c r="AL122" i="2"/>
  <c r="AL130" i="2"/>
  <c r="AL162" i="2"/>
  <c r="AL265" i="2"/>
  <c r="AL125" i="2"/>
  <c r="AL14" i="2"/>
  <c r="AL210" i="2"/>
  <c r="AL124" i="2"/>
  <c r="AL272" i="2"/>
  <c r="AL224" i="2"/>
  <c r="AL161" i="2"/>
  <c r="AL99" i="2"/>
  <c r="AL127" i="2"/>
  <c r="AL107" i="2"/>
  <c r="AL69" i="2"/>
  <c r="AL12" i="2"/>
  <c r="AL106" i="2"/>
  <c r="AL52" i="2"/>
  <c r="AL39" i="2"/>
  <c r="AL228" i="2"/>
  <c r="AL38" i="2"/>
  <c r="AL261" i="2"/>
  <c r="AL249" i="2"/>
  <c r="AL234" i="2"/>
  <c r="AL226" i="2"/>
  <c r="AL40" i="2"/>
  <c r="AL89" i="2"/>
  <c r="AL77" i="2"/>
  <c r="AL60" i="2"/>
  <c r="AL19" i="2"/>
  <c r="AL172" i="2"/>
  <c r="AL113" i="2"/>
  <c r="AL78" i="2"/>
  <c r="AL20" i="2"/>
  <c r="AL48" i="2"/>
  <c r="AL83" i="2"/>
  <c r="AL71" i="2"/>
  <c r="AL33" i="2"/>
  <c r="AL18" i="2"/>
  <c r="AL258" i="2"/>
  <c r="AL240" i="2"/>
  <c r="AL26" i="2"/>
  <c r="AL203" i="2"/>
  <c r="AL150" i="2"/>
  <c r="AL135" i="2"/>
  <c r="AL117" i="2"/>
  <c r="AL75" i="2"/>
  <c r="AL45" i="2"/>
  <c r="AL243" i="2"/>
  <c r="AL86" i="2"/>
  <c r="AL30" i="2"/>
  <c r="AL163" i="2"/>
  <c r="AL252" i="2"/>
  <c r="AL229" i="2"/>
  <c r="AL126" i="2"/>
  <c r="AL110" i="2"/>
  <c r="AL56" i="2"/>
  <c r="AL105" i="2"/>
  <c r="AL244" i="2"/>
  <c r="AL50" i="2"/>
  <c r="AL209" i="2"/>
  <c r="AL57" i="2"/>
  <c r="AL183" i="2"/>
  <c r="AL93" i="2"/>
  <c r="AL24" i="2"/>
  <c r="AL109" i="2"/>
  <c r="AL79" i="2"/>
  <c r="AL94" i="2"/>
  <c r="AL204" i="2"/>
  <c r="AL138" i="2"/>
  <c r="AL64" i="2"/>
  <c r="AL180" i="2"/>
  <c r="AL262" i="2"/>
  <c r="AL136" i="2"/>
  <c r="AL182" i="2"/>
  <c r="AL152" i="2"/>
  <c r="AL123" i="2"/>
  <c r="AL102" i="2"/>
  <c r="AL49" i="2"/>
  <c r="AL36" i="2"/>
  <c r="AL194" i="2"/>
  <c r="AL131" i="2"/>
  <c r="AL43" i="2"/>
  <c r="AL246" i="2"/>
  <c r="AL23" i="2"/>
  <c r="AL257" i="2"/>
  <c r="AL220" i="2"/>
  <c r="AL73" i="2"/>
  <c r="AL16" i="2"/>
  <c r="AL97" i="2"/>
  <c r="AL55" i="2"/>
  <c r="AL17" i="2"/>
  <c r="AL192" i="2"/>
  <c r="AL44" i="2"/>
  <c r="AL190" i="2"/>
  <c r="AL81" i="2"/>
  <c r="AL164" i="2"/>
  <c r="AL198" i="2"/>
  <c r="AL247" i="2"/>
  <c r="AL271" i="2"/>
  <c r="AL153" i="2"/>
  <c r="AL72" i="2"/>
  <c r="AL256" i="2"/>
  <c r="AL184" i="2"/>
  <c r="AL159" i="2"/>
  <c r="AL218" i="2"/>
  <c r="AL196" i="2"/>
  <c r="AL242" i="2"/>
  <c r="AL165" i="2"/>
  <c r="AL95" i="2"/>
  <c r="AL9" i="2"/>
  <c r="AL143" i="2"/>
  <c r="AL233" i="2"/>
  <c r="AL147" i="2"/>
  <c r="AL15" i="2"/>
  <c r="AL168" i="2"/>
  <c r="AL158" i="2"/>
  <c r="AL167" i="2"/>
  <c r="AL225" i="2"/>
  <c r="AL139" i="2"/>
  <c r="AL25" i="2"/>
  <c r="AL264" i="2"/>
  <c r="AL98" i="2"/>
  <c r="AL199" i="2"/>
  <c r="AL144" i="2"/>
  <c r="AL200" i="2"/>
  <c r="AL189" i="2"/>
  <c r="AL101" i="2"/>
  <c r="AL213" i="2"/>
  <c r="AL216" i="2"/>
  <c r="AL34" i="2"/>
  <c r="AL82" i="2"/>
  <c r="AL28" i="2"/>
  <c r="AL254" i="2"/>
  <c r="AL11" i="2"/>
  <c r="AL175" i="2"/>
  <c r="AL7" i="2"/>
  <c r="AL6" i="2"/>
  <c r="AL215" i="2"/>
  <c r="BM238" i="2"/>
  <c r="BM171" i="2"/>
  <c r="BM120" i="2"/>
  <c r="BM212" i="2"/>
  <c r="BM92" i="2"/>
  <c r="BM14" i="2"/>
  <c r="BM250" i="2"/>
  <c r="BM231" i="2"/>
  <c r="BM95" i="2"/>
  <c r="BM224" i="2"/>
  <c r="BM152" i="2"/>
  <c r="BM115" i="2"/>
  <c r="BM100" i="2"/>
  <c r="BM88" i="2"/>
  <c r="BM18" i="2"/>
  <c r="BM161" i="2"/>
  <c r="BM273" i="2"/>
  <c r="BM128" i="2"/>
  <c r="BM99" i="2"/>
  <c r="BM32" i="2"/>
  <c r="BM228" i="2"/>
  <c r="BM235" i="2"/>
  <c r="BM160" i="2"/>
  <c r="BM193" i="2"/>
  <c r="BM191" i="2"/>
  <c r="BM33" i="2"/>
  <c r="BM185" i="2"/>
  <c r="BM240" i="2"/>
  <c r="BM145" i="2"/>
  <c r="BM45" i="2"/>
  <c r="BM263" i="2"/>
  <c r="BM202" i="2"/>
  <c r="BM151" i="2"/>
  <c r="BM104" i="2"/>
  <c r="BM50" i="2"/>
  <c r="BM267" i="2"/>
  <c r="BM239" i="2"/>
  <c r="BM237" i="2"/>
  <c r="BM236" i="2"/>
  <c r="BM241" i="2"/>
  <c r="BM75" i="2"/>
  <c r="BM62" i="2"/>
  <c r="BM125" i="2"/>
  <c r="BM197" i="2"/>
  <c r="BM155" i="2"/>
  <c r="BM275" i="2"/>
  <c r="BM259" i="2"/>
  <c r="BM166" i="2"/>
  <c r="BM130" i="2"/>
  <c r="BM96" i="2"/>
  <c r="BM31" i="2"/>
  <c r="BM35" i="2"/>
  <c r="BM111" i="2"/>
  <c r="BM246" i="2"/>
  <c r="BM142" i="2"/>
  <c r="BM227" i="2"/>
  <c r="BM119" i="2"/>
  <c r="BM66" i="2"/>
  <c r="BM146" i="2"/>
  <c r="BM165" i="2"/>
  <c r="BM210" i="2"/>
  <c r="BM83" i="2"/>
  <c r="BM137" i="2"/>
  <c r="BM38" i="2"/>
  <c r="BM23" i="2"/>
  <c r="BM180" i="2"/>
  <c r="BM262" i="2"/>
  <c r="BM136" i="2"/>
  <c r="BM91" i="2"/>
  <c r="BM79" i="2"/>
  <c r="BM37" i="2"/>
  <c r="BM182" i="2"/>
  <c r="BM198" i="2"/>
  <c r="BM107" i="2"/>
  <c r="BM42" i="2"/>
  <c r="BM58" i="2"/>
  <c r="BM22" i="2"/>
  <c r="BM90" i="2"/>
  <c r="BM260" i="2"/>
  <c r="BM116" i="2"/>
  <c r="BM60" i="2"/>
  <c r="BM121" i="2"/>
  <c r="BM144" i="2"/>
  <c r="BM113" i="2"/>
  <c r="BM61" i="2"/>
  <c r="BM30" i="2"/>
  <c r="BM16" i="2"/>
  <c r="BM174" i="2"/>
  <c r="BM252" i="2"/>
  <c r="BM190" i="2"/>
  <c r="BM147" i="2"/>
  <c r="BM131" i="2"/>
  <c r="BM97" i="2"/>
  <c r="BM43" i="2"/>
  <c r="BM15" i="2"/>
  <c r="BM51" i="2"/>
  <c r="BM169" i="2"/>
  <c r="BM203" i="2"/>
  <c r="BM98" i="2"/>
  <c r="BM229" i="2"/>
  <c r="BM126" i="2"/>
  <c r="BM81" i="2"/>
  <c r="BM184" i="2"/>
  <c r="BM108" i="2"/>
  <c r="BM257" i="2"/>
  <c r="BM36" i="2"/>
  <c r="BM242" i="2"/>
  <c r="BM27" i="2"/>
  <c r="BM140" i="2"/>
  <c r="BM54" i="2"/>
  <c r="BM192" i="2"/>
  <c r="BM230" i="2"/>
  <c r="BM209" i="2"/>
  <c r="BM109" i="2"/>
  <c r="BM84" i="2"/>
  <c r="BM94" i="2"/>
  <c r="BM40" i="2"/>
  <c r="BM225" i="2"/>
  <c r="BM138" i="2"/>
  <c r="BM89" i="2"/>
  <c r="BM34" i="2"/>
  <c r="BM172" i="2"/>
  <c r="BM186" i="2"/>
  <c r="BM78" i="2"/>
  <c r="BM20" i="2"/>
  <c r="BM194" i="2"/>
  <c r="BM153" i="2"/>
  <c r="BM154" i="2"/>
  <c r="BM49" i="2"/>
  <c r="BM233" i="2"/>
  <c r="BM85" i="2"/>
  <c r="BM175" i="2"/>
  <c r="BM232" i="2"/>
  <c r="BM67" i="2"/>
  <c r="BM105" i="2"/>
  <c r="BM70" i="2"/>
  <c r="BM13" i="2"/>
  <c r="BM234" i="2"/>
  <c r="BM9" i="2"/>
  <c r="BM127" i="2"/>
  <c r="BM57" i="2"/>
  <c r="BM44" i="2"/>
  <c r="BM12" i="2"/>
  <c r="BM183" i="2"/>
  <c r="BM143" i="2"/>
  <c r="BM106" i="2"/>
  <c r="BM39" i="2"/>
  <c r="BM11" i="2"/>
  <c r="BM59" i="2"/>
  <c r="BM74" i="2"/>
  <c r="BM261" i="2"/>
  <c r="BM226" i="2"/>
  <c r="BM117" i="2"/>
  <c r="BM82" i="2"/>
  <c r="BM204" i="2"/>
  <c r="BM122" i="2"/>
  <c r="BM77" i="2"/>
  <c r="BM10" i="2"/>
  <c r="BM65" i="2"/>
  <c r="BM219" i="2"/>
  <c r="BM48" i="2"/>
  <c r="BM19" i="2"/>
  <c r="BM196" i="2"/>
  <c r="BM213" i="2"/>
  <c r="BM156" i="2"/>
  <c r="BM80" i="2"/>
  <c r="BM63" i="2"/>
  <c r="BM55" i="2"/>
  <c r="BM46" i="2"/>
  <c r="BM258" i="2"/>
  <c r="BM221" i="2"/>
  <c r="BM114" i="2"/>
  <c r="BM87" i="2"/>
  <c r="BM243" i="2"/>
  <c r="BM150" i="2"/>
  <c r="BM71" i="2"/>
  <c r="BM220" i="2"/>
  <c r="BM73" i="2"/>
  <c r="BM25" i="2"/>
  <c r="BM157" i="2"/>
  <c r="BM199" i="2"/>
  <c r="BM110" i="2"/>
  <c r="BM56" i="2"/>
  <c r="BM28" i="2"/>
  <c r="BM162" i="2"/>
  <c r="BM163" i="2"/>
  <c r="BM271" i="2"/>
  <c r="BM93" i="2"/>
  <c r="BM244" i="2"/>
  <c r="BM69" i="2"/>
  <c r="BM264" i="2"/>
  <c r="BM64" i="2"/>
  <c r="BM189" i="2"/>
  <c r="BM256" i="2"/>
  <c r="BM123" i="2"/>
  <c r="BM8" i="2"/>
  <c r="BM251" i="2"/>
  <c r="BM124" i="2"/>
  <c r="BM17" i="2"/>
  <c r="BM41" i="2"/>
  <c r="BM265" i="2"/>
  <c r="BM159" i="2"/>
  <c r="BM218" i="2"/>
  <c r="BM24" i="2"/>
  <c r="BM168" i="2"/>
  <c r="BM102" i="2"/>
  <c r="BM272" i="2"/>
  <c r="BM86" i="2"/>
  <c r="BM68" i="2"/>
  <c r="BM216" i="2"/>
  <c r="BM249" i="2"/>
  <c r="BM167" i="2"/>
  <c r="BM139" i="2"/>
  <c r="BM266" i="2"/>
  <c r="BM254" i="2"/>
  <c r="BM164" i="2"/>
  <c r="BM7" i="2"/>
  <c r="BM200" i="2"/>
  <c r="BM215" i="2"/>
  <c r="BM6" i="2"/>
  <c r="BM101" i="2"/>
  <c r="BM135" i="2"/>
  <c r="BM53" i="2"/>
  <c r="BM188" i="2"/>
  <c r="BM26" i="2"/>
  <c r="BM247" i="2"/>
  <c r="BM72" i="2"/>
  <c r="BM158" i="2"/>
  <c r="BM52" i="2"/>
  <c r="O86" i="7"/>
  <c r="Q86" i="7" s="1"/>
  <c r="BF235" i="2"/>
  <c r="BF239" i="2"/>
  <c r="BF31" i="2"/>
  <c r="BF120" i="2"/>
  <c r="BF71" i="2"/>
  <c r="BF108" i="2"/>
  <c r="BF41" i="2"/>
  <c r="BF33" i="2"/>
  <c r="BF210" i="2"/>
  <c r="BF45" i="2"/>
  <c r="BF236" i="2"/>
  <c r="BF237" i="2"/>
  <c r="BF193" i="2"/>
  <c r="BF224" i="2"/>
  <c r="BF130" i="2"/>
  <c r="BF75" i="2"/>
  <c r="BF258" i="2"/>
  <c r="BF58" i="2"/>
  <c r="BF246" i="2"/>
  <c r="BF228" i="2"/>
  <c r="BF92" i="2"/>
  <c r="BF119" i="2"/>
  <c r="BF62" i="2"/>
  <c r="BF232" i="2"/>
  <c r="BF238" i="2"/>
  <c r="BF171" i="2"/>
  <c r="BF111" i="2"/>
  <c r="BF160" i="2"/>
  <c r="BF263" i="2"/>
  <c r="BF121" i="2"/>
  <c r="BF105" i="2"/>
  <c r="BF51" i="2"/>
  <c r="BF38" i="2"/>
  <c r="BF202" i="2"/>
  <c r="BF136" i="2"/>
  <c r="BF74" i="2"/>
  <c r="BF267" i="2"/>
  <c r="BF142" i="2"/>
  <c r="BF109" i="2"/>
  <c r="BF42" i="2"/>
  <c r="BF266" i="2"/>
  <c r="BF66" i="2"/>
  <c r="BF100" i="2"/>
  <c r="BF191" i="2"/>
  <c r="BF35" i="2"/>
  <c r="BF251" i="2"/>
  <c r="BF67" i="2"/>
  <c r="BF55" i="2"/>
  <c r="BF169" i="2"/>
  <c r="BF197" i="2"/>
  <c r="BF140" i="2"/>
  <c r="BF124" i="2"/>
  <c r="BF79" i="2"/>
  <c r="BF59" i="2"/>
  <c r="BF14" i="2"/>
  <c r="BF95" i="2"/>
  <c r="BF146" i="2"/>
  <c r="BF244" i="2"/>
  <c r="BF104" i="2"/>
  <c r="BF50" i="2"/>
  <c r="BF123" i="2"/>
  <c r="BF115" i="2"/>
  <c r="BF88" i="2"/>
  <c r="BF156" i="2"/>
  <c r="BF172" i="2"/>
  <c r="BF102" i="2"/>
  <c r="BF61" i="2"/>
  <c r="BF36" i="2"/>
  <c r="BF8" i="2"/>
  <c r="BF242" i="2"/>
  <c r="BF48" i="2"/>
  <c r="BF152" i="2"/>
  <c r="BF180" i="2"/>
  <c r="BF262" i="2"/>
  <c r="BF87" i="2"/>
  <c r="BF135" i="2"/>
  <c r="BF157" i="2"/>
  <c r="BF72" i="2"/>
  <c r="BF28" i="2"/>
  <c r="BF166" i="2"/>
  <c r="BF91" i="2"/>
  <c r="BF257" i="2"/>
  <c r="BF243" i="2"/>
  <c r="BF30" i="2"/>
  <c r="BF252" i="2"/>
  <c r="BF143" i="2"/>
  <c r="BF110" i="2"/>
  <c r="BF56" i="2"/>
  <c r="BF43" i="2"/>
  <c r="BF200" i="2"/>
  <c r="BF113" i="2"/>
  <c r="BF65" i="2"/>
  <c r="BF153" i="2"/>
  <c r="BF10" i="2"/>
  <c r="BF250" i="2"/>
  <c r="BF234" i="2"/>
  <c r="BF127" i="2"/>
  <c r="BF107" i="2"/>
  <c r="BF259" i="2"/>
  <c r="BF128" i="2"/>
  <c r="BF150" i="2"/>
  <c r="BF53" i="2"/>
  <c r="BF25" i="2"/>
  <c r="BF188" i="2"/>
  <c r="BF64" i="2"/>
  <c r="BF63" i="2"/>
  <c r="BF221" i="2"/>
  <c r="BF198" i="2"/>
  <c r="BF272" i="2"/>
  <c r="BF73" i="2"/>
  <c r="BF167" i="2"/>
  <c r="BF225" i="2"/>
  <c r="BF116" i="2"/>
  <c r="BF101" i="2"/>
  <c r="BF34" i="2"/>
  <c r="BF227" i="2"/>
  <c r="BF37" i="2"/>
  <c r="BF22" i="2"/>
  <c r="BF186" i="2"/>
  <c r="BF57" i="2"/>
  <c r="BF174" i="2"/>
  <c r="BF194" i="2"/>
  <c r="BF147" i="2"/>
  <c r="BF131" i="2"/>
  <c r="BF60" i="2"/>
  <c r="BF15" i="2"/>
  <c r="BF196" i="2"/>
  <c r="BF213" i="2"/>
  <c r="BF13" i="2"/>
  <c r="BF27" i="2"/>
  <c r="BF165" i="2"/>
  <c r="BF185" i="2"/>
  <c r="BF273" i="2"/>
  <c r="BF145" i="2"/>
  <c r="BF83" i="2"/>
  <c r="BF162" i="2"/>
  <c r="BF240" i="2"/>
  <c r="BF70" i="2"/>
  <c r="BF182" i="2"/>
  <c r="BF203" i="2"/>
  <c r="BF199" i="2"/>
  <c r="BF271" i="2"/>
  <c r="BF81" i="2"/>
  <c r="BF68" i="2"/>
  <c r="BF24" i="2"/>
  <c r="BF137" i="2"/>
  <c r="BF26" i="2"/>
  <c r="BF139" i="2"/>
  <c r="BF90" i="2"/>
  <c r="BF264" i="2"/>
  <c r="BF247" i="2"/>
  <c r="BF138" i="2"/>
  <c r="BF52" i="2"/>
  <c r="BF261" i="2"/>
  <c r="BF249" i="2"/>
  <c r="BF226" i="2"/>
  <c r="BF209" i="2"/>
  <c r="BF89" i="2"/>
  <c r="BF18" i="2"/>
  <c r="BF161" i="2"/>
  <c r="BF99" i="2"/>
  <c r="BF32" i="2"/>
  <c r="BF17" i="2"/>
  <c r="BF275" i="2"/>
  <c r="BF241" i="2"/>
  <c r="BF125" i="2"/>
  <c r="BF46" i="2"/>
  <c r="BF114" i="2"/>
  <c r="BF154" i="2"/>
  <c r="BF144" i="2"/>
  <c r="BF86" i="2"/>
  <c r="BF44" i="2"/>
  <c r="BF233" i="2"/>
  <c r="BF219" i="2"/>
  <c r="BF85" i="2"/>
  <c r="BF151" i="2"/>
  <c r="BF192" i="2"/>
  <c r="BF265" i="2"/>
  <c r="BF11" i="2"/>
  <c r="BF80" i="2"/>
  <c r="BF155" i="2"/>
  <c r="BF9" i="2"/>
  <c r="BF117" i="2"/>
  <c r="BF94" i="2"/>
  <c r="BF82" i="2"/>
  <c r="BF12" i="2"/>
  <c r="BF163" i="2"/>
  <c r="BF229" i="2"/>
  <c r="BF122" i="2"/>
  <c r="BF106" i="2"/>
  <c r="BF39" i="2"/>
  <c r="BF168" i="2"/>
  <c r="BF49" i="2"/>
  <c r="BF78" i="2"/>
  <c r="BF40" i="2"/>
  <c r="BF183" i="2"/>
  <c r="BF23" i="2"/>
  <c r="BF220" i="2"/>
  <c r="BF16" i="2"/>
  <c r="BF126" i="2"/>
  <c r="BF97" i="2"/>
  <c r="BF254" i="2"/>
  <c r="BF158" i="2"/>
  <c r="BF19" i="2"/>
  <c r="BF216" i="2"/>
  <c r="BF184" i="2"/>
  <c r="BF204" i="2"/>
  <c r="BF212" i="2"/>
  <c r="BF96" i="2"/>
  <c r="BF164" i="2"/>
  <c r="BF189" i="2"/>
  <c r="BF93" i="2"/>
  <c r="BF215" i="2"/>
  <c r="BF159" i="2"/>
  <c r="BF175" i="2"/>
  <c r="BF7" i="2"/>
  <c r="BF20" i="2"/>
  <c r="BF260" i="2"/>
  <c r="BF84" i="2"/>
  <c r="BF54" i="2"/>
  <c r="BF69" i="2"/>
  <c r="BF190" i="2"/>
  <c r="BF231" i="2"/>
  <c r="BF230" i="2"/>
  <c r="BF98" i="2"/>
  <c r="BF218" i="2"/>
  <c r="BF256" i="2"/>
  <c r="BF6" i="2"/>
  <c r="BF77" i="2"/>
  <c r="CJ239" i="2"/>
  <c r="CJ35" i="2"/>
  <c r="CJ251" i="2"/>
  <c r="CJ142" i="2"/>
  <c r="CJ125" i="2"/>
  <c r="CJ109" i="2"/>
  <c r="CJ42" i="2"/>
  <c r="CJ169" i="2"/>
  <c r="CJ197" i="2"/>
  <c r="CJ140" i="2"/>
  <c r="CJ259" i="2"/>
  <c r="CJ130" i="2"/>
  <c r="CJ46" i="2"/>
  <c r="CJ165" i="2"/>
  <c r="CJ185" i="2"/>
  <c r="CJ114" i="2"/>
  <c r="CJ83" i="2"/>
  <c r="CJ137" i="2"/>
  <c r="CJ237" i="2"/>
  <c r="CJ238" i="2"/>
  <c r="CJ171" i="2"/>
  <c r="CJ31" i="2"/>
  <c r="CJ120" i="2"/>
  <c r="CJ146" i="2"/>
  <c r="CJ100" i="2"/>
  <c r="CJ71" i="2"/>
  <c r="CJ59" i="2"/>
  <c r="CJ14" i="2"/>
  <c r="CJ210" i="2"/>
  <c r="CJ95" i="2"/>
  <c r="CJ63" i="2"/>
  <c r="CJ18" i="2"/>
  <c r="CJ161" i="2"/>
  <c r="CJ180" i="2"/>
  <c r="CJ221" i="2"/>
  <c r="CJ99" i="2"/>
  <c r="CJ235" i="2"/>
  <c r="CJ236" i="2"/>
  <c r="CJ160" i="2"/>
  <c r="CJ193" i="2"/>
  <c r="CJ191" i="2"/>
  <c r="CJ224" i="2"/>
  <c r="CJ152" i="2"/>
  <c r="CJ115" i="2"/>
  <c r="CJ273" i="2"/>
  <c r="CJ240" i="2"/>
  <c r="CJ45" i="2"/>
  <c r="CJ32" i="2"/>
  <c r="CJ228" i="2"/>
  <c r="CJ166" i="2"/>
  <c r="CJ80" i="2"/>
  <c r="CJ151" i="2"/>
  <c r="CJ136" i="2"/>
  <c r="CJ104" i="2"/>
  <c r="CJ84" i="2"/>
  <c r="CJ111" i="2"/>
  <c r="CJ263" i="2"/>
  <c r="CJ92" i="2"/>
  <c r="CJ23" i="2"/>
  <c r="CJ202" i="2"/>
  <c r="CJ62" i="2"/>
  <c r="CJ50" i="2"/>
  <c r="CJ267" i="2"/>
  <c r="CJ96" i="2"/>
  <c r="CJ155" i="2"/>
  <c r="CJ124" i="2"/>
  <c r="CJ275" i="2"/>
  <c r="CJ241" i="2"/>
  <c r="CJ258" i="2"/>
  <c r="CJ128" i="2"/>
  <c r="CJ87" i="2"/>
  <c r="CJ17" i="2"/>
  <c r="CJ154" i="2"/>
  <c r="CJ232" i="2"/>
  <c r="CJ108" i="2"/>
  <c r="CJ220" i="2"/>
  <c r="CJ123" i="2"/>
  <c r="CJ157" i="2"/>
  <c r="CJ194" i="2"/>
  <c r="CJ252" i="2"/>
  <c r="CJ110" i="2"/>
  <c r="CJ97" i="2"/>
  <c r="CJ85" i="2"/>
  <c r="CJ28" i="2"/>
  <c r="CJ243" i="2"/>
  <c r="CJ44" i="2"/>
  <c r="CJ271" i="2"/>
  <c r="CJ143" i="2"/>
  <c r="CJ81" i="2"/>
  <c r="CJ68" i="2"/>
  <c r="CJ246" i="2"/>
  <c r="CJ119" i="2"/>
  <c r="CJ26" i="2"/>
  <c r="CJ162" i="2"/>
  <c r="CJ265" i="2"/>
  <c r="CJ69" i="2"/>
  <c r="CJ57" i="2"/>
  <c r="CJ106" i="2"/>
  <c r="CJ39" i="2"/>
  <c r="CJ24" i="2"/>
  <c r="CJ86" i="2"/>
  <c r="CJ233" i="2"/>
  <c r="CJ10" i="2"/>
  <c r="CJ261" i="2"/>
  <c r="CJ90" i="2"/>
  <c r="CJ67" i="2"/>
  <c r="CJ51" i="2"/>
  <c r="CJ262" i="2"/>
  <c r="CJ244" i="2"/>
  <c r="CJ91" i="2"/>
  <c r="CJ37" i="2"/>
  <c r="CJ250" i="2"/>
  <c r="CJ172" i="2"/>
  <c r="CJ198" i="2"/>
  <c r="CJ78" i="2"/>
  <c r="CJ116" i="2"/>
  <c r="CJ22" i="2"/>
  <c r="CJ113" i="2"/>
  <c r="CJ61" i="2"/>
  <c r="CJ49" i="2"/>
  <c r="CJ174" i="2"/>
  <c r="CJ147" i="2"/>
  <c r="CJ72" i="2"/>
  <c r="CJ15" i="2"/>
  <c r="CJ121" i="2"/>
  <c r="CJ144" i="2"/>
  <c r="CJ98" i="2"/>
  <c r="CJ126" i="2"/>
  <c r="CJ56" i="2"/>
  <c r="CJ184" i="2"/>
  <c r="CJ88" i="2"/>
  <c r="CJ54" i="2"/>
  <c r="CJ41" i="2"/>
  <c r="CJ9" i="2"/>
  <c r="CJ272" i="2"/>
  <c r="CJ257" i="2"/>
  <c r="CJ212" i="2"/>
  <c r="CJ27" i="2"/>
  <c r="CJ226" i="2"/>
  <c r="CJ117" i="2"/>
  <c r="CJ107" i="2"/>
  <c r="CJ138" i="2"/>
  <c r="CJ33" i="2"/>
  <c r="CJ249" i="2"/>
  <c r="CJ65" i="2"/>
  <c r="CJ101" i="2"/>
  <c r="CJ48" i="2"/>
  <c r="CJ38" i="2"/>
  <c r="CJ156" i="2"/>
  <c r="CJ20" i="2"/>
  <c r="CJ8" i="2"/>
  <c r="CJ131" i="2"/>
  <c r="CJ43" i="2"/>
  <c r="CJ175" i="2"/>
  <c r="CJ218" i="2"/>
  <c r="CJ227" i="2"/>
  <c r="CJ145" i="2"/>
  <c r="CJ70" i="2"/>
  <c r="CJ58" i="2"/>
  <c r="CJ13" i="2"/>
  <c r="CJ186" i="2"/>
  <c r="CJ135" i="2"/>
  <c r="CJ266" i="2"/>
  <c r="CJ231" i="2"/>
  <c r="CJ182" i="2"/>
  <c r="CJ203" i="2"/>
  <c r="CJ30" i="2"/>
  <c r="CJ16" i="2"/>
  <c r="CJ93" i="2"/>
  <c r="CJ11" i="2"/>
  <c r="CJ75" i="2"/>
  <c r="CJ82" i="2"/>
  <c r="CJ264" i="2"/>
  <c r="CJ229" i="2"/>
  <c r="CJ190" i="2"/>
  <c r="CJ122" i="2"/>
  <c r="CJ77" i="2"/>
  <c r="CJ64" i="2"/>
  <c r="CJ52" i="2"/>
  <c r="CJ105" i="2"/>
  <c r="CJ74" i="2"/>
  <c r="CJ234" i="2"/>
  <c r="CJ150" i="2"/>
  <c r="CJ139" i="2"/>
  <c r="CJ127" i="2"/>
  <c r="CJ40" i="2"/>
  <c r="CJ204" i="2"/>
  <c r="CJ153" i="2"/>
  <c r="CJ89" i="2"/>
  <c r="CJ60" i="2"/>
  <c r="CJ19" i="2"/>
  <c r="CJ196" i="2"/>
  <c r="CJ215" i="2"/>
  <c r="CJ230" i="2"/>
  <c r="CJ55" i="2"/>
  <c r="CJ209" i="2"/>
  <c r="CJ12" i="2"/>
  <c r="CJ242" i="2"/>
  <c r="CJ247" i="2"/>
  <c r="CJ168" i="2"/>
  <c r="CJ158" i="2"/>
  <c r="CJ73" i="2"/>
  <c r="CJ102" i="2"/>
  <c r="CJ36" i="2"/>
  <c r="CJ188" i="2"/>
  <c r="CJ183" i="2"/>
  <c r="CJ213" i="2"/>
  <c r="CJ164" i="2"/>
  <c r="CJ34" i="2"/>
  <c r="CJ6" i="2"/>
  <c r="CJ216" i="2"/>
  <c r="CJ200" i="2"/>
  <c r="CJ189" i="2"/>
  <c r="CJ79" i="2"/>
  <c r="CJ225" i="2"/>
  <c r="CJ53" i="2"/>
  <c r="CJ25" i="2"/>
  <c r="CJ192" i="2"/>
  <c r="CJ254" i="2"/>
  <c r="CJ7" i="2"/>
  <c r="CJ219" i="2"/>
  <c r="CJ260" i="2"/>
  <c r="CJ94" i="2"/>
  <c r="CJ167" i="2"/>
  <c r="CJ66" i="2"/>
  <c r="CJ163" i="2"/>
  <c r="CJ199" i="2"/>
  <c r="CJ159" i="2"/>
  <c r="CJ256" i="2"/>
  <c r="L85" i="9"/>
  <c r="FI236" i="2"/>
  <c r="FI237" i="2"/>
  <c r="FI191" i="2"/>
  <c r="FI111" i="2"/>
  <c r="FI35" i="2"/>
  <c r="FI166" i="2"/>
  <c r="FI105" i="2"/>
  <c r="FI38" i="2"/>
  <c r="FI119" i="2"/>
  <c r="FI104" i="2"/>
  <c r="FI50" i="2"/>
  <c r="FI232" i="2"/>
  <c r="FI212" i="2"/>
  <c r="FI109" i="2"/>
  <c r="FI96" i="2"/>
  <c r="FI42" i="2"/>
  <c r="FI54" i="2"/>
  <c r="FI241" i="2"/>
  <c r="FI235" i="2"/>
  <c r="FI120" i="2"/>
  <c r="FI267" i="2"/>
  <c r="FI251" i="2"/>
  <c r="FI125" i="2"/>
  <c r="FI55" i="2"/>
  <c r="FI275" i="2"/>
  <c r="FI259" i="2"/>
  <c r="FI130" i="2"/>
  <c r="FI59" i="2"/>
  <c r="FI273" i="2"/>
  <c r="FI258" i="2"/>
  <c r="FI70" i="2"/>
  <c r="FI239" i="2"/>
  <c r="FI171" i="2"/>
  <c r="FI160" i="2"/>
  <c r="FI146" i="2"/>
  <c r="FI71" i="2"/>
  <c r="FI185" i="2"/>
  <c r="FI210" i="2"/>
  <c r="FI145" i="2"/>
  <c r="FI128" i="2"/>
  <c r="FI83" i="2"/>
  <c r="FI137" i="2"/>
  <c r="FI262" i="2"/>
  <c r="FI221" i="2"/>
  <c r="FI87" i="2"/>
  <c r="FI238" i="2"/>
  <c r="FI31" i="2"/>
  <c r="FI193" i="2"/>
  <c r="FI152" i="2"/>
  <c r="FI75" i="2"/>
  <c r="FI18" i="2"/>
  <c r="FI180" i="2"/>
  <c r="FI99" i="2"/>
  <c r="FI92" i="2"/>
  <c r="FI80" i="2"/>
  <c r="FI23" i="2"/>
  <c r="FI244" i="2"/>
  <c r="FI91" i="2"/>
  <c r="FI37" i="2"/>
  <c r="FI63" i="2"/>
  <c r="FI46" i="2"/>
  <c r="FI33" i="2"/>
  <c r="FI114" i="2"/>
  <c r="FI58" i="2"/>
  <c r="FI203" i="2"/>
  <c r="FI117" i="2"/>
  <c r="FI67" i="2"/>
  <c r="FI154" i="2"/>
  <c r="FI44" i="2"/>
  <c r="FI30" i="2"/>
  <c r="FI271" i="2"/>
  <c r="FI143" i="2"/>
  <c r="FI56" i="2"/>
  <c r="FI43" i="2"/>
  <c r="FI265" i="2"/>
  <c r="FI69" i="2"/>
  <c r="FI93" i="2"/>
  <c r="FI240" i="2"/>
  <c r="FI151" i="2"/>
  <c r="FI45" i="2"/>
  <c r="FI139" i="2"/>
  <c r="FI127" i="2"/>
  <c r="FI53" i="2"/>
  <c r="FI188" i="2"/>
  <c r="FI247" i="2"/>
  <c r="FI7" i="2"/>
  <c r="FI136" i="2"/>
  <c r="FI32" i="2"/>
  <c r="FI172" i="2"/>
  <c r="FI123" i="2"/>
  <c r="FI155" i="2"/>
  <c r="FI121" i="2"/>
  <c r="FI100" i="2"/>
  <c r="FI74" i="2"/>
  <c r="FI156" i="2"/>
  <c r="FI142" i="2"/>
  <c r="FI197" i="2"/>
  <c r="FI13" i="2"/>
  <c r="FI61" i="2"/>
  <c r="FI174" i="2"/>
  <c r="FI147" i="2"/>
  <c r="FI60" i="2"/>
  <c r="FI15" i="2"/>
  <c r="FI14" i="2"/>
  <c r="FI144" i="2"/>
  <c r="FI98" i="2"/>
  <c r="FI252" i="2"/>
  <c r="FI126" i="2"/>
  <c r="FI192" i="2"/>
  <c r="FI243" i="2"/>
  <c r="FI230" i="2"/>
  <c r="FI220" i="2"/>
  <c r="FI183" i="2"/>
  <c r="FI199" i="2"/>
  <c r="FI24" i="2"/>
  <c r="FI200" i="2"/>
  <c r="FI10" i="2"/>
  <c r="FI169" i="2"/>
  <c r="FI266" i="2"/>
  <c r="FI227" i="2"/>
  <c r="FI140" i="2"/>
  <c r="FI79" i="2"/>
  <c r="FI66" i="2"/>
  <c r="FI249" i="2"/>
  <c r="FI209" i="2"/>
  <c r="FI124" i="2"/>
  <c r="FI78" i="2"/>
  <c r="FI89" i="2"/>
  <c r="FI77" i="2"/>
  <c r="FI34" i="2"/>
  <c r="FI84" i="2"/>
  <c r="FI198" i="2"/>
  <c r="FI49" i="2"/>
  <c r="FI167" i="2"/>
  <c r="FI131" i="2"/>
  <c r="FI88" i="2"/>
  <c r="FI135" i="2"/>
  <c r="FI86" i="2"/>
  <c r="FI16" i="2"/>
  <c r="FI157" i="2"/>
  <c r="FI233" i="2"/>
  <c r="FI97" i="2"/>
  <c r="FI85" i="2"/>
  <c r="FI158" i="2"/>
  <c r="FI215" i="2"/>
  <c r="FI62" i="2"/>
  <c r="FI115" i="2"/>
  <c r="FI27" i="2"/>
  <c r="FI250" i="2"/>
  <c r="FI231" i="2"/>
  <c r="FI108" i="2"/>
  <c r="FI41" i="2"/>
  <c r="FI26" i="2"/>
  <c r="FI272" i="2"/>
  <c r="FI257" i="2"/>
  <c r="FI234" i="2"/>
  <c r="FI162" i="2"/>
  <c r="FI82" i="2"/>
  <c r="FI12" i="2"/>
  <c r="FI163" i="2"/>
  <c r="FI264" i="2"/>
  <c r="FI229" i="2"/>
  <c r="FI190" i="2"/>
  <c r="FI122" i="2"/>
  <c r="FI106" i="2"/>
  <c r="FI39" i="2"/>
  <c r="FI165" i="2"/>
  <c r="FI95" i="2"/>
  <c r="FI150" i="2"/>
  <c r="FI65" i="2"/>
  <c r="FI204" i="2"/>
  <c r="FI153" i="2"/>
  <c r="FI19" i="2"/>
  <c r="FI224" i="2"/>
  <c r="FI161" i="2"/>
  <c r="FI261" i="2"/>
  <c r="FI226" i="2"/>
  <c r="FI102" i="2"/>
  <c r="FI36" i="2"/>
  <c r="FI242" i="2"/>
  <c r="FI225" i="2"/>
  <c r="FI263" i="2"/>
  <c r="FI22" i="2"/>
  <c r="FI113" i="2"/>
  <c r="FI194" i="2"/>
  <c r="FI90" i="2"/>
  <c r="FI94" i="2"/>
  <c r="FI52" i="2"/>
  <c r="FI216" i="2"/>
  <c r="FI213" i="2"/>
  <c r="FI189" i="2"/>
  <c r="FI228" i="2"/>
  <c r="FI73" i="2"/>
  <c r="FI8" i="2"/>
  <c r="FI116" i="2"/>
  <c r="FI182" i="2"/>
  <c r="FI40" i="2"/>
  <c r="FI254" i="2"/>
  <c r="FI68" i="2"/>
  <c r="FI101" i="2"/>
  <c r="FI6" i="2"/>
  <c r="FI175" i="2"/>
  <c r="FI164" i="2"/>
  <c r="FI28" i="2"/>
  <c r="FI202" i="2"/>
  <c r="FI260" i="2"/>
  <c r="FI246" i="2"/>
  <c r="FI17" i="2"/>
  <c r="FI107" i="2"/>
  <c r="FI64" i="2"/>
  <c r="FI218" i="2"/>
  <c r="FI72" i="2"/>
  <c r="FI159" i="2"/>
  <c r="FI184" i="2"/>
  <c r="FI168" i="2"/>
  <c r="FI57" i="2"/>
  <c r="FI186" i="2"/>
  <c r="FI219" i="2"/>
  <c r="FI20" i="2"/>
  <c r="FI51" i="2"/>
  <c r="FI9" i="2"/>
  <c r="FI25" i="2"/>
  <c r="FI138" i="2"/>
  <c r="FI81" i="2"/>
  <c r="FI256" i="2"/>
  <c r="FI196" i="2"/>
  <c r="FI11" i="2"/>
  <c r="FI48" i="2"/>
  <c r="FI110" i="2"/>
  <c r="D85" i="9"/>
  <c r="GB235" i="2"/>
  <c r="GB35" i="2"/>
  <c r="GB267" i="2"/>
  <c r="GB246" i="2"/>
  <c r="GB124" i="2"/>
  <c r="GB275" i="2"/>
  <c r="GB84" i="2"/>
  <c r="GB59" i="2"/>
  <c r="GB145" i="2"/>
  <c r="GB70" i="2"/>
  <c r="GB58" i="2"/>
  <c r="GB263" i="2"/>
  <c r="GB238" i="2"/>
  <c r="GB171" i="2"/>
  <c r="GB160" i="2"/>
  <c r="GB193" i="2"/>
  <c r="GB120" i="2"/>
  <c r="GB191" i="2"/>
  <c r="GB259" i="2"/>
  <c r="GB165" i="2"/>
  <c r="GB83" i="2"/>
  <c r="GB75" i="2"/>
  <c r="GB46" i="2"/>
  <c r="GB114" i="2"/>
  <c r="GB87" i="2"/>
  <c r="GB166" i="2"/>
  <c r="GB31" i="2"/>
  <c r="GB137" i="2"/>
  <c r="GB100" i="2"/>
  <c r="GB88" i="2"/>
  <c r="GB18" i="2"/>
  <c r="GB161" i="2"/>
  <c r="GB258" i="2"/>
  <c r="GB221" i="2"/>
  <c r="GB99" i="2"/>
  <c r="GB92" i="2"/>
  <c r="GB63" i="2"/>
  <c r="GB51" i="2"/>
  <c r="GB10" i="2"/>
  <c r="GB180" i="2"/>
  <c r="GB244" i="2"/>
  <c r="GB227" i="2"/>
  <c r="GB91" i="2"/>
  <c r="GB37" i="2"/>
  <c r="GB232" i="2"/>
  <c r="GB212" i="2"/>
  <c r="GB80" i="2"/>
  <c r="GB55" i="2"/>
  <c r="GB236" i="2"/>
  <c r="GB239" i="2"/>
  <c r="GB237" i="2"/>
  <c r="GB111" i="2"/>
  <c r="GB228" i="2"/>
  <c r="GB262" i="2"/>
  <c r="GB104" i="2"/>
  <c r="GB109" i="2"/>
  <c r="GB67" i="2"/>
  <c r="GB42" i="2"/>
  <c r="GB27" i="2"/>
  <c r="GB266" i="2"/>
  <c r="GB54" i="2"/>
  <c r="GB41" i="2"/>
  <c r="GB152" i="2"/>
  <c r="GB121" i="2"/>
  <c r="GB151" i="2"/>
  <c r="GB74" i="2"/>
  <c r="GB226" i="2"/>
  <c r="GB135" i="2"/>
  <c r="GB146" i="2"/>
  <c r="GB14" i="2"/>
  <c r="GB113" i="2"/>
  <c r="GB49" i="2"/>
  <c r="GB16" i="2"/>
  <c r="GB219" i="2"/>
  <c r="GB147" i="2"/>
  <c r="GB131" i="2"/>
  <c r="GB72" i="2"/>
  <c r="GB15" i="2"/>
  <c r="GB257" i="2"/>
  <c r="GB230" i="2"/>
  <c r="GB220" i="2"/>
  <c r="GB12" i="2"/>
  <c r="GB229" i="2"/>
  <c r="GB126" i="2"/>
  <c r="GB110" i="2"/>
  <c r="GB56" i="2"/>
  <c r="GB23" i="2"/>
  <c r="GB182" i="2"/>
  <c r="GB192" i="2"/>
  <c r="GB163" i="2"/>
  <c r="GB183" i="2"/>
  <c r="GB190" i="2"/>
  <c r="GB93" i="2"/>
  <c r="GB164" i="2"/>
  <c r="GB61" i="2"/>
  <c r="GB38" i="2"/>
  <c r="GB197" i="2"/>
  <c r="GB155" i="2"/>
  <c r="GB119" i="2"/>
  <c r="GB79" i="2"/>
  <c r="GB66" i="2"/>
  <c r="GB22" i="2"/>
  <c r="GB249" i="2"/>
  <c r="GB139" i="2"/>
  <c r="GB210" i="2"/>
  <c r="GB65" i="2"/>
  <c r="GB20" i="2"/>
  <c r="GB8" i="2"/>
  <c r="GB167" i="2"/>
  <c r="GB101" i="2"/>
  <c r="GB185" i="2"/>
  <c r="GB32" i="2"/>
  <c r="GB13" i="2"/>
  <c r="GB156" i="2"/>
  <c r="GB154" i="2"/>
  <c r="GB123" i="2"/>
  <c r="GB30" i="2"/>
  <c r="GB233" i="2"/>
  <c r="GB241" i="2"/>
  <c r="GB62" i="2"/>
  <c r="GB265" i="2"/>
  <c r="GB86" i="2"/>
  <c r="GB73" i="2"/>
  <c r="GB97" i="2"/>
  <c r="GB43" i="2"/>
  <c r="GB218" i="2"/>
  <c r="GB115" i="2"/>
  <c r="GB250" i="2"/>
  <c r="GB231" i="2"/>
  <c r="GB108" i="2"/>
  <c r="GB144" i="2"/>
  <c r="GB251" i="2"/>
  <c r="GB130" i="2"/>
  <c r="GB95" i="2"/>
  <c r="GB26" i="2"/>
  <c r="GB25" i="2"/>
  <c r="GB204" i="2"/>
  <c r="GB264" i="2"/>
  <c r="GB225" i="2"/>
  <c r="GB122" i="2"/>
  <c r="GB52" i="2"/>
  <c r="GB224" i="2"/>
  <c r="GB234" i="2"/>
  <c r="GB94" i="2"/>
  <c r="GB40" i="2"/>
  <c r="GB194" i="2"/>
  <c r="GB242" i="2"/>
  <c r="GB153" i="2"/>
  <c r="GB89" i="2"/>
  <c r="GB19" i="2"/>
  <c r="GB136" i="2"/>
  <c r="GB172" i="2"/>
  <c r="GB186" i="2"/>
  <c r="GB102" i="2"/>
  <c r="GB90" i="2"/>
  <c r="GB78" i="2"/>
  <c r="GB36" i="2"/>
  <c r="GB260" i="2"/>
  <c r="GB116" i="2"/>
  <c r="GB60" i="2"/>
  <c r="GB105" i="2"/>
  <c r="GB96" i="2"/>
  <c r="GB71" i="2"/>
  <c r="GB33" i="2"/>
  <c r="GB128" i="2"/>
  <c r="GB98" i="2"/>
  <c r="GB271" i="2"/>
  <c r="GB143" i="2"/>
  <c r="GB68" i="2"/>
  <c r="GB273" i="2"/>
  <c r="GB240" i="2"/>
  <c r="GB45" i="2"/>
  <c r="GB17" i="2"/>
  <c r="GB9" i="2"/>
  <c r="GB69" i="2"/>
  <c r="GB57" i="2"/>
  <c r="GB247" i="2"/>
  <c r="GB106" i="2"/>
  <c r="GB39" i="2"/>
  <c r="GB24" i="2"/>
  <c r="GB202" i="2"/>
  <c r="GB50" i="2"/>
  <c r="GB272" i="2"/>
  <c r="GB209" i="2"/>
  <c r="GB53" i="2"/>
  <c r="GB188" i="2"/>
  <c r="GB77" i="2"/>
  <c r="GB34" i="2"/>
  <c r="GB7" i="2"/>
  <c r="GB216" i="2"/>
  <c r="GB140" i="2"/>
  <c r="GB252" i="2"/>
  <c r="GB198" i="2"/>
  <c r="GB117" i="2"/>
  <c r="GB125" i="2"/>
  <c r="GB162" i="2"/>
  <c r="GB44" i="2"/>
  <c r="GB6" i="2"/>
  <c r="GB85" i="2"/>
  <c r="GB157" i="2"/>
  <c r="GB199" i="2"/>
  <c r="GB261" i="2"/>
  <c r="GB150" i="2"/>
  <c r="GB107" i="2"/>
  <c r="GB82" i="2"/>
  <c r="GB169" i="2"/>
  <c r="GB254" i="2"/>
  <c r="GB200" i="2"/>
  <c r="GB189" i="2"/>
  <c r="GB28" i="2"/>
  <c r="GB64" i="2"/>
  <c r="GB159" i="2"/>
  <c r="GB213" i="2"/>
  <c r="GB142" i="2"/>
  <c r="GB138" i="2"/>
  <c r="GB243" i="2"/>
  <c r="GB11" i="2"/>
  <c r="GB175" i="2"/>
  <c r="GB174" i="2"/>
  <c r="GB127" i="2"/>
  <c r="GB203" i="2"/>
  <c r="GB81" i="2"/>
  <c r="GB256" i="2"/>
  <c r="GB196" i="2"/>
  <c r="GB184" i="2"/>
  <c r="GB158" i="2"/>
  <c r="GB48" i="2"/>
  <c r="GB215" i="2"/>
  <c r="GB168" i="2"/>
  <c r="I86" i="7"/>
  <c r="K86" i="7" s="1"/>
  <c r="CC235" i="2"/>
  <c r="CC31" i="2"/>
  <c r="CC191" i="2"/>
  <c r="CC111" i="2"/>
  <c r="CC96" i="2"/>
  <c r="CC84" i="2"/>
  <c r="CC27" i="2"/>
  <c r="CC66" i="2"/>
  <c r="CC54" i="2"/>
  <c r="CC241" i="2"/>
  <c r="CC75" i="2"/>
  <c r="CC258" i="2"/>
  <c r="CC246" i="2"/>
  <c r="CC152" i="2"/>
  <c r="CC236" i="2"/>
  <c r="CC239" i="2"/>
  <c r="CC237" i="2"/>
  <c r="CC171" i="2"/>
  <c r="CC275" i="2"/>
  <c r="CC115" i="2"/>
  <c r="CC88" i="2"/>
  <c r="CC46" i="2"/>
  <c r="CC273" i="2"/>
  <c r="CC128" i="2"/>
  <c r="CC114" i="2"/>
  <c r="CC70" i="2"/>
  <c r="CC137" i="2"/>
  <c r="CC121" i="2"/>
  <c r="CC105" i="2"/>
  <c r="CC51" i="2"/>
  <c r="CC38" i="2"/>
  <c r="CC262" i="2"/>
  <c r="CC136" i="2"/>
  <c r="CC74" i="2"/>
  <c r="CC251" i="2"/>
  <c r="CC142" i="2"/>
  <c r="CC238" i="2"/>
  <c r="CC160" i="2"/>
  <c r="CC193" i="2"/>
  <c r="CC130" i="2"/>
  <c r="CC63" i="2"/>
  <c r="CC33" i="2"/>
  <c r="CC180" i="2"/>
  <c r="CC151" i="2"/>
  <c r="CC87" i="2"/>
  <c r="CC67" i="2"/>
  <c r="CC55" i="2"/>
  <c r="CC23" i="2"/>
  <c r="CC169" i="2"/>
  <c r="CC140" i="2"/>
  <c r="CC124" i="2"/>
  <c r="CC79" i="2"/>
  <c r="CC50" i="2"/>
  <c r="CC146" i="2"/>
  <c r="CC59" i="2"/>
  <c r="CC120" i="2"/>
  <c r="CC35" i="2"/>
  <c r="CC166" i="2"/>
  <c r="CC80" i="2"/>
  <c r="CC10" i="2"/>
  <c r="CC244" i="2"/>
  <c r="CC221" i="2"/>
  <c r="CC155" i="2"/>
  <c r="CC91" i="2"/>
  <c r="CC37" i="2"/>
  <c r="CC232" i="2"/>
  <c r="CC212" i="2"/>
  <c r="CC71" i="2"/>
  <c r="CC250" i="2"/>
  <c r="CC231" i="2"/>
  <c r="CC108" i="2"/>
  <c r="CC224" i="2"/>
  <c r="CC109" i="2"/>
  <c r="CC92" i="2"/>
  <c r="CC202" i="2"/>
  <c r="CC119" i="2"/>
  <c r="CC62" i="2"/>
  <c r="CC156" i="2"/>
  <c r="CC265" i="2"/>
  <c r="CC139" i="2"/>
  <c r="CC185" i="2"/>
  <c r="CC83" i="2"/>
  <c r="CC13" i="2"/>
  <c r="CC186" i="2"/>
  <c r="CC20" i="2"/>
  <c r="CC174" i="2"/>
  <c r="CC18" i="2"/>
  <c r="CC154" i="2"/>
  <c r="CC98" i="2"/>
  <c r="CC86" i="2"/>
  <c r="CC73" i="2"/>
  <c r="CC233" i="2"/>
  <c r="CC85" i="2"/>
  <c r="CC44" i="2"/>
  <c r="CC12" i="2"/>
  <c r="CC199" i="2"/>
  <c r="CC11" i="2"/>
  <c r="CC267" i="2"/>
  <c r="CC22" i="2"/>
  <c r="CC147" i="2"/>
  <c r="CC42" i="2"/>
  <c r="CC266" i="2"/>
  <c r="CC227" i="2"/>
  <c r="CC9" i="2"/>
  <c r="CC172" i="2"/>
  <c r="CC144" i="2"/>
  <c r="CC249" i="2"/>
  <c r="CC226" i="2"/>
  <c r="CC209" i="2"/>
  <c r="CC204" i="2"/>
  <c r="CC153" i="2"/>
  <c r="CC77" i="2"/>
  <c r="CC19" i="2"/>
  <c r="CC58" i="2"/>
  <c r="CC102" i="2"/>
  <c r="CC90" i="2"/>
  <c r="CC36" i="2"/>
  <c r="CC260" i="2"/>
  <c r="CC48" i="2"/>
  <c r="CC135" i="2"/>
  <c r="CC123" i="2"/>
  <c r="CC61" i="2"/>
  <c r="CC157" i="2"/>
  <c r="CC219" i="2"/>
  <c r="CC72" i="2"/>
  <c r="CC28" i="2"/>
  <c r="CC158" i="2"/>
  <c r="CC125" i="2"/>
  <c r="CC14" i="2"/>
  <c r="CC210" i="2"/>
  <c r="CC95" i="2"/>
  <c r="CC192" i="2"/>
  <c r="CC220" i="2"/>
  <c r="CC113" i="2"/>
  <c r="CC100" i="2"/>
  <c r="CC165" i="2"/>
  <c r="CC17" i="2"/>
  <c r="CC162" i="2"/>
  <c r="CC82" i="2"/>
  <c r="CC69" i="2"/>
  <c r="CC65" i="2"/>
  <c r="CC8" i="2"/>
  <c r="CC190" i="2"/>
  <c r="CC93" i="2"/>
  <c r="CC259" i="2"/>
  <c r="CC161" i="2"/>
  <c r="CC99" i="2"/>
  <c r="CC150" i="2"/>
  <c r="CC127" i="2"/>
  <c r="CC53" i="2"/>
  <c r="CC25" i="2"/>
  <c r="CC188" i="2"/>
  <c r="CC64" i="2"/>
  <c r="CC263" i="2"/>
  <c r="CC228" i="2"/>
  <c r="CC104" i="2"/>
  <c r="CC32" i="2"/>
  <c r="CC198" i="2"/>
  <c r="CC272" i="2"/>
  <c r="CC167" i="2"/>
  <c r="CC242" i="2"/>
  <c r="CC225" i="2"/>
  <c r="CC101" i="2"/>
  <c r="CC34" i="2"/>
  <c r="CC240" i="2"/>
  <c r="CC45" i="2"/>
  <c r="CC203" i="2"/>
  <c r="CC261" i="2"/>
  <c r="CC117" i="2"/>
  <c r="CC145" i="2"/>
  <c r="CC41" i="2"/>
  <c r="CC243" i="2"/>
  <c r="CC230" i="2"/>
  <c r="CC252" i="2"/>
  <c r="CC126" i="2"/>
  <c r="CC97" i="2"/>
  <c r="CC182" i="2"/>
  <c r="CC94" i="2"/>
  <c r="CC40" i="2"/>
  <c r="CC183" i="2"/>
  <c r="CC81" i="2"/>
  <c r="CC68" i="2"/>
  <c r="CC26" i="2"/>
  <c r="CC107" i="2"/>
  <c r="CC78" i="2"/>
  <c r="CC247" i="2"/>
  <c r="CC138" i="2"/>
  <c r="CC52" i="2"/>
  <c r="CC213" i="2"/>
  <c r="CC16" i="2"/>
  <c r="CC194" i="2"/>
  <c r="CC49" i="2"/>
  <c r="CC122" i="2"/>
  <c r="CC24" i="2"/>
  <c r="CC256" i="2"/>
  <c r="CC196" i="2"/>
  <c r="CC184" i="2"/>
  <c r="CC264" i="2"/>
  <c r="CC229" i="2"/>
  <c r="CC257" i="2"/>
  <c r="CC271" i="2"/>
  <c r="CC43" i="2"/>
  <c r="CC216" i="2"/>
  <c r="CC89" i="2"/>
  <c r="CC200" i="2"/>
  <c r="CC175" i="2"/>
  <c r="CC7" i="2"/>
  <c r="CC60" i="2"/>
  <c r="CC131" i="2"/>
  <c r="CC197" i="2"/>
  <c r="CC163" i="2"/>
  <c r="CC57" i="2"/>
  <c r="CC30" i="2"/>
  <c r="CC143" i="2"/>
  <c r="CC110" i="2"/>
  <c r="CC39" i="2"/>
  <c r="CC189" i="2"/>
  <c r="CC164" i="2"/>
  <c r="CC234" i="2"/>
  <c r="CC116" i="2"/>
  <c r="CC56" i="2"/>
  <c r="CC254" i="2"/>
  <c r="CC218" i="2"/>
  <c r="CC159" i="2"/>
  <c r="CC106" i="2"/>
  <c r="CC215" i="2"/>
  <c r="CC15" i="2"/>
  <c r="CC6" i="2"/>
  <c r="CC168" i="2"/>
  <c r="L86" i="7"/>
  <c r="AF275" i="2"/>
  <c r="AF238" i="2"/>
  <c r="AF171" i="2"/>
  <c r="AF130" i="2"/>
  <c r="AF115" i="2"/>
  <c r="AF46" i="2"/>
  <c r="AF273" i="2"/>
  <c r="AF262" i="2"/>
  <c r="AF128" i="2"/>
  <c r="AF58" i="2"/>
  <c r="AF263" i="2"/>
  <c r="AF251" i="2"/>
  <c r="AF51" i="2"/>
  <c r="AF136" i="2"/>
  <c r="AF124" i="2"/>
  <c r="AF62" i="2"/>
  <c r="AF259" i="2"/>
  <c r="AF142" i="2"/>
  <c r="AF236" i="2"/>
  <c r="AF111" i="2"/>
  <c r="AF35" i="2"/>
  <c r="AF160" i="2"/>
  <c r="AF63" i="2"/>
  <c r="AF18" i="2"/>
  <c r="AF180" i="2"/>
  <c r="AF197" i="2"/>
  <c r="AF266" i="2"/>
  <c r="AF151" i="2"/>
  <c r="AF140" i="2"/>
  <c r="AF74" i="2"/>
  <c r="AF66" i="2"/>
  <c r="AF166" i="2"/>
  <c r="AF67" i="2"/>
  <c r="AF169" i="2"/>
  <c r="AF227" i="2"/>
  <c r="AF137" i="2"/>
  <c r="AF239" i="2"/>
  <c r="AF120" i="2"/>
  <c r="AF80" i="2"/>
  <c r="AF23" i="2"/>
  <c r="AF244" i="2"/>
  <c r="AF152" i="2"/>
  <c r="AF96" i="2"/>
  <c r="AF75" i="2"/>
  <c r="AF27" i="2"/>
  <c r="AF14" i="2"/>
  <c r="AF161" i="2"/>
  <c r="AF95" i="2"/>
  <c r="AF224" i="2"/>
  <c r="AF235" i="2"/>
  <c r="AF237" i="2"/>
  <c r="AF31" i="2"/>
  <c r="AF191" i="2"/>
  <c r="AF193" i="2"/>
  <c r="AF232" i="2"/>
  <c r="AF109" i="2"/>
  <c r="AF88" i="2"/>
  <c r="AF250" i="2"/>
  <c r="AF240" i="2"/>
  <c r="AF108" i="2"/>
  <c r="AF41" i="2"/>
  <c r="AF241" i="2"/>
  <c r="AF228" i="2"/>
  <c r="AF84" i="2"/>
  <c r="AF33" i="2"/>
  <c r="AF185" i="2"/>
  <c r="AF258" i="2"/>
  <c r="AF104" i="2"/>
  <c r="AF45" i="2"/>
  <c r="AF246" i="2"/>
  <c r="AF10" i="2"/>
  <c r="AF172" i="2"/>
  <c r="AF186" i="2"/>
  <c r="AF209" i="2"/>
  <c r="AF221" i="2"/>
  <c r="AF249" i="2"/>
  <c r="AF243" i="2"/>
  <c r="AF153" i="2"/>
  <c r="AF77" i="2"/>
  <c r="AF92" i="2"/>
  <c r="AF231" i="2"/>
  <c r="AF37" i="2"/>
  <c r="AF123" i="2"/>
  <c r="AF102" i="2"/>
  <c r="AF82" i="2"/>
  <c r="AF36" i="2"/>
  <c r="AF20" i="2"/>
  <c r="AF247" i="2"/>
  <c r="AF48" i="2"/>
  <c r="AF125" i="2"/>
  <c r="AF100" i="2"/>
  <c r="AF73" i="2"/>
  <c r="AF219" i="2"/>
  <c r="AF15" i="2"/>
  <c r="AF183" i="2"/>
  <c r="AF12" i="2"/>
  <c r="AF105" i="2"/>
  <c r="AF165" i="2"/>
  <c r="AF83" i="2"/>
  <c r="AF13" i="2"/>
  <c r="AF79" i="2"/>
  <c r="AF26" i="2"/>
  <c r="AF17" i="2"/>
  <c r="AF139" i="2"/>
  <c r="AF163" i="2"/>
  <c r="AF229" i="2"/>
  <c r="AF93" i="2"/>
  <c r="AF85" i="2"/>
  <c r="AF24" i="2"/>
  <c r="AF220" i="2"/>
  <c r="AF188" i="2"/>
  <c r="AF271" i="2"/>
  <c r="AF138" i="2"/>
  <c r="AF64" i="2"/>
  <c r="AF267" i="2"/>
  <c r="AF42" i="2"/>
  <c r="AF114" i="2"/>
  <c r="AF156" i="2"/>
  <c r="AF90" i="2"/>
  <c r="AF69" i="2"/>
  <c r="AF8" i="2"/>
  <c r="AF260" i="2"/>
  <c r="AF242" i="2"/>
  <c r="AF116" i="2"/>
  <c r="AF101" i="2"/>
  <c r="AF34" i="2"/>
  <c r="AF216" i="2"/>
  <c r="AF55" i="2"/>
  <c r="AF99" i="2"/>
  <c r="AF91" i="2"/>
  <c r="AF32" i="2"/>
  <c r="AF261" i="2"/>
  <c r="AF107" i="2"/>
  <c r="AF155" i="2"/>
  <c r="AF257" i="2"/>
  <c r="AF234" i="2"/>
  <c r="AF98" i="2"/>
  <c r="AF16" i="2"/>
  <c r="AF43" i="2"/>
  <c r="AF9" i="2"/>
  <c r="AF162" i="2"/>
  <c r="AF147" i="2"/>
  <c r="AF81" i="2"/>
  <c r="AF72" i="2"/>
  <c r="AF11" i="2"/>
  <c r="AF54" i="2"/>
  <c r="AF150" i="2"/>
  <c r="AF144" i="2"/>
  <c r="AF53" i="2"/>
  <c r="AF40" i="2"/>
  <c r="AF25" i="2"/>
  <c r="AF264" i="2"/>
  <c r="AF122" i="2"/>
  <c r="AF110" i="2"/>
  <c r="AF52" i="2"/>
  <c r="AF168" i="2"/>
  <c r="AF189" i="2"/>
  <c r="AF200" i="2"/>
  <c r="AF146" i="2"/>
  <c r="AF38" i="2"/>
  <c r="AF202" i="2"/>
  <c r="AF119" i="2"/>
  <c r="AF50" i="2"/>
  <c r="AF198" i="2"/>
  <c r="AF226" i="2"/>
  <c r="AF127" i="2"/>
  <c r="AF87" i="2"/>
  <c r="AF22" i="2"/>
  <c r="AF113" i="2"/>
  <c r="AF94" i="2"/>
  <c r="AF60" i="2"/>
  <c r="AF212" i="2"/>
  <c r="AF230" i="2"/>
  <c r="AF86" i="2"/>
  <c r="AF44" i="2"/>
  <c r="AF157" i="2"/>
  <c r="AF167" i="2"/>
  <c r="AF199" i="2"/>
  <c r="AF252" i="2"/>
  <c r="AF233" i="2"/>
  <c r="AF225" i="2"/>
  <c r="AF28" i="2"/>
  <c r="AF182" i="2"/>
  <c r="AF57" i="2"/>
  <c r="AF143" i="2"/>
  <c r="AF131" i="2"/>
  <c r="AF68" i="2"/>
  <c r="AF175" i="2"/>
  <c r="AF121" i="2"/>
  <c r="AF78" i="2"/>
  <c r="AF190" i="2"/>
  <c r="AF59" i="2"/>
  <c r="AF210" i="2"/>
  <c r="AF203" i="2"/>
  <c r="AF145" i="2"/>
  <c r="AF174" i="2"/>
  <c r="AF204" i="2"/>
  <c r="AF254" i="2"/>
  <c r="AF196" i="2"/>
  <c r="AF164" i="2"/>
  <c r="AF89" i="2"/>
  <c r="AF6" i="2"/>
  <c r="AF272" i="2"/>
  <c r="AF30" i="2"/>
  <c r="AF154" i="2"/>
  <c r="AF117" i="2"/>
  <c r="AF61" i="2"/>
  <c r="AF97" i="2"/>
  <c r="AF184" i="2"/>
  <c r="AF19" i="2"/>
  <c r="AF56" i="2"/>
  <c r="AF213" i="2"/>
  <c r="AF265" i="2"/>
  <c r="AF65" i="2"/>
  <c r="AF70" i="2"/>
  <c r="AF71" i="2"/>
  <c r="AF194" i="2"/>
  <c r="AF256" i="2"/>
  <c r="AF158" i="2"/>
  <c r="AF7" i="2"/>
  <c r="AF106" i="2"/>
  <c r="AF192" i="2"/>
  <c r="AF126" i="2"/>
  <c r="AF135" i="2"/>
  <c r="AF49" i="2"/>
  <c r="AF215" i="2"/>
  <c r="AF159" i="2"/>
  <c r="AF218" i="2"/>
  <c r="AF39" i="2"/>
  <c r="H85" i="9"/>
  <c r="FN238" i="2"/>
  <c r="FN239" i="2"/>
  <c r="FN31" i="2"/>
  <c r="FN67" i="2"/>
  <c r="FN23" i="2"/>
  <c r="FN244" i="2"/>
  <c r="FN79" i="2"/>
  <c r="FN71" i="2"/>
  <c r="FN27" i="2"/>
  <c r="FN266" i="2"/>
  <c r="FN250" i="2"/>
  <c r="FN231" i="2"/>
  <c r="FN95" i="2"/>
  <c r="FN224" i="2"/>
  <c r="FN35" i="2"/>
  <c r="FN232" i="2"/>
  <c r="FN212" i="2"/>
  <c r="FN84" i="2"/>
  <c r="FN124" i="2"/>
  <c r="FN108" i="2"/>
  <c r="FN41" i="2"/>
  <c r="FN241" i="2"/>
  <c r="FN115" i="2"/>
  <c r="FN33" i="2"/>
  <c r="FN145" i="2"/>
  <c r="FN128" i="2"/>
  <c r="FN45" i="2"/>
  <c r="FN246" i="2"/>
  <c r="FN228" i="2"/>
  <c r="FN236" i="2"/>
  <c r="FN237" i="2"/>
  <c r="FN120" i="2"/>
  <c r="FN191" i="2"/>
  <c r="FN275" i="2"/>
  <c r="FN259" i="2"/>
  <c r="FN58" i="2"/>
  <c r="FN263" i="2"/>
  <c r="FN121" i="2"/>
  <c r="FN105" i="2"/>
  <c r="FN38" i="2"/>
  <c r="FN119" i="2"/>
  <c r="FN62" i="2"/>
  <c r="FN251" i="2"/>
  <c r="FN142" i="2"/>
  <c r="FN125" i="2"/>
  <c r="FN109" i="2"/>
  <c r="FN235" i="2"/>
  <c r="FN171" i="2"/>
  <c r="FN111" i="2"/>
  <c r="FN193" i="2"/>
  <c r="FN160" i="2"/>
  <c r="FN137" i="2"/>
  <c r="FN51" i="2"/>
  <c r="FN74" i="2"/>
  <c r="FN55" i="2"/>
  <c r="FN10" i="2"/>
  <c r="FN169" i="2"/>
  <c r="FN227" i="2"/>
  <c r="FN66" i="2"/>
  <c r="FN161" i="2"/>
  <c r="FN273" i="2"/>
  <c r="FN240" i="2"/>
  <c r="FN99" i="2"/>
  <c r="FN32" i="2"/>
  <c r="FN261" i="2"/>
  <c r="FN243" i="2"/>
  <c r="FN267" i="2"/>
  <c r="FN140" i="2"/>
  <c r="FN230" i="2"/>
  <c r="FN135" i="2"/>
  <c r="FN98" i="2"/>
  <c r="FN233" i="2"/>
  <c r="FN68" i="2"/>
  <c r="FN46" i="2"/>
  <c r="FN114" i="2"/>
  <c r="FN182" i="2"/>
  <c r="FN192" i="2"/>
  <c r="FN203" i="2"/>
  <c r="FN57" i="2"/>
  <c r="FN183" i="2"/>
  <c r="FN199" i="2"/>
  <c r="FN106" i="2"/>
  <c r="FN39" i="2"/>
  <c r="FN11" i="2"/>
  <c r="FN107" i="2"/>
  <c r="FN94" i="2"/>
  <c r="FN40" i="2"/>
  <c r="FN122" i="2"/>
  <c r="FN77" i="2"/>
  <c r="FN64" i="2"/>
  <c r="FN168" i="2"/>
  <c r="FN189" i="2"/>
  <c r="FN154" i="2"/>
  <c r="FN271" i="2"/>
  <c r="FN174" i="2"/>
  <c r="FN92" i="2"/>
  <c r="FN75" i="2"/>
  <c r="FN59" i="2"/>
  <c r="FN202" i="2"/>
  <c r="FN151" i="2"/>
  <c r="FN136" i="2"/>
  <c r="FN104" i="2"/>
  <c r="FN50" i="2"/>
  <c r="FN198" i="2"/>
  <c r="FN265" i="2"/>
  <c r="FN226" i="2"/>
  <c r="FN123" i="2"/>
  <c r="FN54" i="2"/>
  <c r="FN156" i="2"/>
  <c r="FN49" i="2"/>
  <c r="FN72" i="2"/>
  <c r="FN146" i="2"/>
  <c r="FN88" i="2"/>
  <c r="FN86" i="2"/>
  <c r="FN157" i="2"/>
  <c r="FN219" i="2"/>
  <c r="FN110" i="2"/>
  <c r="FN97" i="2"/>
  <c r="FN56" i="2"/>
  <c r="FN43" i="2"/>
  <c r="FN28" i="2"/>
  <c r="FN152" i="2"/>
  <c r="FN18" i="2"/>
  <c r="FN180" i="2"/>
  <c r="FN87" i="2"/>
  <c r="FN257" i="2"/>
  <c r="FN30" i="2"/>
  <c r="FN16" i="2"/>
  <c r="FN163" i="2"/>
  <c r="FN143" i="2"/>
  <c r="FN93" i="2"/>
  <c r="FN81" i="2"/>
  <c r="FN164" i="2"/>
  <c r="FN262" i="2"/>
  <c r="FN42" i="2"/>
  <c r="FN197" i="2"/>
  <c r="FN155" i="2"/>
  <c r="FN22" i="2"/>
  <c r="FN127" i="2"/>
  <c r="FN150" i="2"/>
  <c r="FN139" i="2"/>
  <c r="FN167" i="2"/>
  <c r="FN242" i="2"/>
  <c r="FN153" i="2"/>
  <c r="FN101" i="2"/>
  <c r="FN210" i="2"/>
  <c r="FN172" i="2"/>
  <c r="FN186" i="2"/>
  <c r="FN272" i="2"/>
  <c r="FN102" i="2"/>
  <c r="FN36" i="2"/>
  <c r="FN8" i="2"/>
  <c r="FN225" i="2"/>
  <c r="FN60" i="2"/>
  <c r="FN34" i="2"/>
  <c r="FN63" i="2"/>
  <c r="FN258" i="2"/>
  <c r="FN221" i="2"/>
  <c r="FN113" i="2"/>
  <c r="FN73" i="2"/>
  <c r="FN194" i="2"/>
  <c r="FN252" i="2"/>
  <c r="FN147" i="2"/>
  <c r="FN15" i="2"/>
  <c r="FN14" i="2"/>
  <c r="FN165" i="2"/>
  <c r="FN185" i="2"/>
  <c r="FN83" i="2"/>
  <c r="FN162" i="2"/>
  <c r="FN96" i="2"/>
  <c r="FN17" i="2"/>
  <c r="FN9" i="2"/>
  <c r="FN69" i="2"/>
  <c r="FN247" i="2"/>
  <c r="FN52" i="2"/>
  <c r="FN24" i="2"/>
  <c r="FN130" i="2"/>
  <c r="FN100" i="2"/>
  <c r="FN70" i="2"/>
  <c r="FN209" i="2"/>
  <c r="FN117" i="2"/>
  <c r="FN53" i="2"/>
  <c r="FN25" i="2"/>
  <c r="FN12" i="2"/>
  <c r="FN188" i="2"/>
  <c r="FN138" i="2"/>
  <c r="FN89" i="2"/>
  <c r="FN90" i="2"/>
  <c r="FN260" i="2"/>
  <c r="FN116" i="2"/>
  <c r="FN48" i="2"/>
  <c r="FN37" i="2"/>
  <c r="FN65" i="2"/>
  <c r="FN190" i="2"/>
  <c r="FN254" i="2"/>
  <c r="FN158" i="2"/>
  <c r="FN6" i="2"/>
  <c r="FN19" i="2"/>
  <c r="FN220" i="2"/>
  <c r="FN44" i="2"/>
  <c r="FN13" i="2"/>
  <c r="FN26" i="2"/>
  <c r="FN175" i="2"/>
  <c r="FN7" i="2"/>
  <c r="FN159" i="2"/>
  <c r="FN216" i="2"/>
  <c r="FN200" i="2"/>
  <c r="FN144" i="2"/>
  <c r="FN61" i="2"/>
  <c r="FN131" i="2"/>
  <c r="FN249" i="2"/>
  <c r="FN78" i="2"/>
  <c r="FN91" i="2"/>
  <c r="FN82" i="2"/>
  <c r="FN264" i="2"/>
  <c r="FN229" i="2"/>
  <c r="FN218" i="2"/>
  <c r="FN256" i="2"/>
  <c r="FN215" i="2"/>
  <c r="FN213" i="2"/>
  <c r="FN126" i="2"/>
  <c r="FN20" i="2"/>
  <c r="FN80" i="2"/>
  <c r="FN234" i="2"/>
  <c r="FN204" i="2"/>
  <c r="FN166" i="2"/>
  <c r="FN196" i="2"/>
  <c r="FN85" i="2"/>
  <c r="FN184" i="2"/>
  <c r="K85" i="9"/>
  <c r="FT120" i="2"/>
  <c r="FT111" i="2"/>
  <c r="FT228" i="2"/>
  <c r="FT80" i="2"/>
  <c r="FT10" i="2"/>
  <c r="FT266" i="2"/>
  <c r="FT227" i="2"/>
  <c r="FT155" i="2"/>
  <c r="FT91" i="2"/>
  <c r="FT37" i="2"/>
  <c r="FT146" i="2"/>
  <c r="FT14" i="2"/>
  <c r="FT108" i="2"/>
  <c r="FT41" i="2"/>
  <c r="FT235" i="2"/>
  <c r="FT31" i="2"/>
  <c r="FT191" i="2"/>
  <c r="FT109" i="2"/>
  <c r="FT96" i="2"/>
  <c r="FT42" i="2"/>
  <c r="FT27" i="2"/>
  <c r="FT250" i="2"/>
  <c r="FT231" i="2"/>
  <c r="FT54" i="2"/>
  <c r="FT152" i="2"/>
  <c r="FT100" i="2"/>
  <c r="FT185" i="2"/>
  <c r="FT240" i="2"/>
  <c r="FT58" i="2"/>
  <c r="FT32" i="2"/>
  <c r="FT263" i="2"/>
  <c r="FT171" i="2"/>
  <c r="FT193" i="2"/>
  <c r="FT59" i="2"/>
  <c r="FT46" i="2"/>
  <c r="FT165" i="2"/>
  <c r="FT114" i="2"/>
  <c r="FT70" i="2"/>
  <c r="FT246" i="2"/>
  <c r="FT202" i="2"/>
  <c r="FT74" i="2"/>
  <c r="FT267" i="2"/>
  <c r="FT67" i="2"/>
  <c r="FT239" i="2"/>
  <c r="FT237" i="2"/>
  <c r="FT238" i="2"/>
  <c r="FT236" i="2"/>
  <c r="FT35" i="2"/>
  <c r="FT160" i="2"/>
  <c r="FT224" i="2"/>
  <c r="FT121" i="2"/>
  <c r="FT63" i="2"/>
  <c r="FT161" i="2"/>
  <c r="FT151" i="2"/>
  <c r="FT136" i="2"/>
  <c r="FT87" i="2"/>
  <c r="FT251" i="2"/>
  <c r="FT166" i="2"/>
  <c r="FT142" i="2"/>
  <c r="FT125" i="2"/>
  <c r="FT197" i="2"/>
  <c r="FT140" i="2"/>
  <c r="FT79" i="2"/>
  <c r="FT259" i="2"/>
  <c r="FT232" i="2"/>
  <c r="FT212" i="2"/>
  <c r="FT130" i="2"/>
  <c r="FT18" i="2"/>
  <c r="FT221" i="2"/>
  <c r="FT45" i="2"/>
  <c r="FT150" i="2"/>
  <c r="FT144" i="2"/>
  <c r="FT86" i="2"/>
  <c r="FT73" i="2"/>
  <c r="FT199" i="2"/>
  <c r="FT126" i="2"/>
  <c r="FT275" i="2"/>
  <c r="FT241" i="2"/>
  <c r="FT71" i="2"/>
  <c r="FT145" i="2"/>
  <c r="FT162" i="2"/>
  <c r="FT163" i="2"/>
  <c r="FT24" i="2"/>
  <c r="FT75" i="2"/>
  <c r="FT17" i="2"/>
  <c r="FT9" i="2"/>
  <c r="FT117" i="2"/>
  <c r="FT82" i="2"/>
  <c r="FT25" i="2"/>
  <c r="FT204" i="2"/>
  <c r="FT264" i="2"/>
  <c r="FT153" i="2"/>
  <c r="FT138" i="2"/>
  <c r="FT52" i="2"/>
  <c r="FT256" i="2"/>
  <c r="FT216" i="2"/>
  <c r="FT92" i="2"/>
  <c r="FT50" i="2"/>
  <c r="FT226" i="2"/>
  <c r="FT84" i="2"/>
  <c r="FT23" i="2"/>
  <c r="FT180" i="2"/>
  <c r="FT62" i="2"/>
  <c r="FT182" i="2"/>
  <c r="FT154" i="2"/>
  <c r="FT186" i="2"/>
  <c r="FT272" i="2"/>
  <c r="FT261" i="2"/>
  <c r="FT234" i="2"/>
  <c r="FT102" i="2"/>
  <c r="FT90" i="2"/>
  <c r="FT36" i="2"/>
  <c r="FT194" i="2"/>
  <c r="FT242" i="2"/>
  <c r="FT219" i="2"/>
  <c r="FT131" i="2"/>
  <c r="FT48" i="2"/>
  <c r="FT115" i="2"/>
  <c r="FT258" i="2"/>
  <c r="FT83" i="2"/>
  <c r="FT135" i="2"/>
  <c r="FT16" i="2"/>
  <c r="FT85" i="2"/>
  <c r="FT262" i="2"/>
  <c r="FT203" i="2"/>
  <c r="FT44" i="2"/>
  <c r="FT271" i="2"/>
  <c r="FT252" i="2"/>
  <c r="FT229" i="2"/>
  <c r="FT190" i="2"/>
  <c r="FT110" i="2"/>
  <c r="FT68" i="2"/>
  <c r="FT11" i="2"/>
  <c r="FT51" i="2"/>
  <c r="FT124" i="2"/>
  <c r="FT172" i="2"/>
  <c r="FT230" i="2"/>
  <c r="FT55" i="2"/>
  <c r="FT209" i="2"/>
  <c r="FT94" i="2"/>
  <c r="FT53" i="2"/>
  <c r="FT40" i="2"/>
  <c r="FT188" i="2"/>
  <c r="FT247" i="2"/>
  <c r="FT64" i="2"/>
  <c r="FT19" i="2"/>
  <c r="FT128" i="2"/>
  <c r="FT78" i="2"/>
  <c r="FT20" i="2"/>
  <c r="FT260" i="2"/>
  <c r="FT116" i="2"/>
  <c r="FT22" i="2"/>
  <c r="FT13" i="2"/>
  <c r="FT123" i="2"/>
  <c r="FT61" i="2"/>
  <c r="FT49" i="2"/>
  <c r="FT174" i="2"/>
  <c r="FT72" i="2"/>
  <c r="FT28" i="2"/>
  <c r="FT88" i="2"/>
  <c r="FT273" i="2"/>
  <c r="FT210" i="2"/>
  <c r="FT95" i="2"/>
  <c r="FT220" i="2"/>
  <c r="FT113" i="2"/>
  <c r="FT169" i="2"/>
  <c r="FT66" i="2"/>
  <c r="FT192" i="2"/>
  <c r="FT265" i="2"/>
  <c r="FT257" i="2"/>
  <c r="FT57" i="2"/>
  <c r="FT183" i="2"/>
  <c r="FT81" i="2"/>
  <c r="FT26" i="2"/>
  <c r="FT139" i="2"/>
  <c r="FT127" i="2"/>
  <c r="FT107" i="2"/>
  <c r="FT137" i="2"/>
  <c r="FT33" i="2"/>
  <c r="FT99" i="2"/>
  <c r="FT198" i="2"/>
  <c r="FT249" i="2"/>
  <c r="FT65" i="2"/>
  <c r="FT8" i="2"/>
  <c r="FT167" i="2"/>
  <c r="FT101" i="2"/>
  <c r="FT147" i="2"/>
  <c r="FT69" i="2"/>
  <c r="FT56" i="2"/>
  <c r="FT89" i="2"/>
  <c r="FT159" i="2"/>
  <c r="FT215" i="2"/>
  <c r="FT15" i="2"/>
  <c r="FT200" i="2"/>
  <c r="FT175" i="2"/>
  <c r="FT60" i="2"/>
  <c r="FT143" i="2"/>
  <c r="FT38" i="2"/>
  <c r="FT104" i="2"/>
  <c r="FT157" i="2"/>
  <c r="FT233" i="2"/>
  <c r="FT119" i="2"/>
  <c r="FT12" i="2"/>
  <c r="FT122" i="2"/>
  <c r="FT93" i="2"/>
  <c r="FT213" i="2"/>
  <c r="FT189" i="2"/>
  <c r="FT7" i="2"/>
  <c r="FT98" i="2"/>
  <c r="FT30" i="2"/>
  <c r="FT156" i="2"/>
  <c r="FT105" i="2"/>
  <c r="FT225" i="2"/>
  <c r="FT39" i="2"/>
  <c r="FT164" i="2"/>
  <c r="FT34" i="2"/>
  <c r="FT97" i="2"/>
  <c r="FT196" i="2"/>
  <c r="FT43" i="2"/>
  <c r="FT77" i="2"/>
  <c r="FT6" i="2"/>
  <c r="FT243" i="2"/>
  <c r="FT244" i="2"/>
  <c r="FT106" i="2"/>
  <c r="FT254" i="2"/>
  <c r="FT168" i="2"/>
  <c r="FT184" i="2"/>
  <c r="FT218" i="2"/>
  <c r="FT158" i="2"/>
  <c r="E86" i="7"/>
  <c r="G86" i="7" s="1"/>
  <c r="AT237" i="2"/>
  <c r="AT160" i="2"/>
  <c r="AT120" i="2"/>
  <c r="AT191" i="2"/>
  <c r="AT232" i="2"/>
  <c r="AT146" i="2"/>
  <c r="AT55" i="2"/>
  <c r="AT165" i="2"/>
  <c r="AT210" i="2"/>
  <c r="AT83" i="2"/>
  <c r="AT70" i="2"/>
  <c r="AT137" i="2"/>
  <c r="AT180" i="2"/>
  <c r="AT240" i="2"/>
  <c r="AT221" i="2"/>
  <c r="AT87" i="2"/>
  <c r="AT239" i="2"/>
  <c r="AT31" i="2"/>
  <c r="AT152" i="2"/>
  <c r="AT161" i="2"/>
  <c r="AT99" i="2"/>
  <c r="AT32" i="2"/>
  <c r="AT224" i="2"/>
  <c r="AT88" i="2"/>
  <c r="AT23" i="2"/>
  <c r="AT10" i="2"/>
  <c r="AT244" i="2"/>
  <c r="AT91" i="2"/>
  <c r="AT79" i="2"/>
  <c r="AT212" i="2"/>
  <c r="AT236" i="2"/>
  <c r="AT111" i="2"/>
  <c r="AT35" i="2"/>
  <c r="AT193" i="2"/>
  <c r="AT246" i="2"/>
  <c r="AT228" i="2"/>
  <c r="AT166" i="2"/>
  <c r="AT262" i="2"/>
  <c r="AT50" i="2"/>
  <c r="AT37" i="2"/>
  <c r="AT241" i="2"/>
  <c r="AT115" i="2"/>
  <c r="AT71" i="2"/>
  <c r="AT46" i="2"/>
  <c r="AT235" i="2"/>
  <c r="AT238" i="2"/>
  <c r="AT171" i="2"/>
  <c r="AT267" i="2"/>
  <c r="AT125" i="2"/>
  <c r="AT105" i="2"/>
  <c r="AT38" i="2"/>
  <c r="AT266" i="2"/>
  <c r="AT54" i="2"/>
  <c r="AT275" i="2"/>
  <c r="AT259" i="2"/>
  <c r="AT130" i="2"/>
  <c r="AT100" i="2"/>
  <c r="AT145" i="2"/>
  <c r="AT84" i="2"/>
  <c r="AT75" i="2"/>
  <c r="AT227" i="2"/>
  <c r="AT155" i="2"/>
  <c r="AT22" i="2"/>
  <c r="AT9" i="2"/>
  <c r="AT249" i="2"/>
  <c r="AT258" i="2"/>
  <c r="AT198" i="2"/>
  <c r="AT272" i="2"/>
  <c r="AT261" i="2"/>
  <c r="AT78" i="2"/>
  <c r="AT167" i="2"/>
  <c r="AT225" i="2"/>
  <c r="AT101" i="2"/>
  <c r="AT89" i="2"/>
  <c r="AT34" i="2"/>
  <c r="AT19" i="2"/>
  <c r="AT49" i="2"/>
  <c r="AT194" i="2"/>
  <c r="AT60" i="2"/>
  <c r="AT66" i="2"/>
  <c r="AT230" i="2"/>
  <c r="AT220" i="2"/>
  <c r="AT144" i="2"/>
  <c r="AT86" i="2"/>
  <c r="AT16" i="2"/>
  <c r="AT271" i="2"/>
  <c r="AT233" i="2"/>
  <c r="AT97" i="2"/>
  <c r="AT28" i="2"/>
  <c r="AT218" i="2"/>
  <c r="AT185" i="2"/>
  <c r="AT116" i="2"/>
  <c r="AT109" i="2"/>
  <c r="AT209" i="2"/>
  <c r="AT40" i="2"/>
  <c r="AT27" i="2"/>
  <c r="AT169" i="2"/>
  <c r="AT231" i="2"/>
  <c r="AT108" i="2"/>
  <c r="AT95" i="2"/>
  <c r="AT41" i="2"/>
  <c r="AT26" i="2"/>
  <c r="AT257" i="2"/>
  <c r="AT113" i="2"/>
  <c r="AT59" i="2"/>
  <c r="AT33" i="2"/>
  <c r="AT117" i="2"/>
  <c r="AT82" i="2"/>
  <c r="AT264" i="2"/>
  <c r="AT260" i="2"/>
  <c r="AT247" i="2"/>
  <c r="AT122" i="2"/>
  <c r="AT263" i="2"/>
  <c r="AT136" i="2"/>
  <c r="AT104" i="2"/>
  <c r="AT65" i="2"/>
  <c r="AT53" i="2"/>
  <c r="AT8" i="2"/>
  <c r="AT204" i="2"/>
  <c r="AT242" i="2"/>
  <c r="AT131" i="2"/>
  <c r="AT92" i="2"/>
  <c r="AT67" i="2"/>
  <c r="AT140" i="2"/>
  <c r="AT13" i="2"/>
  <c r="AT102" i="2"/>
  <c r="AT36" i="2"/>
  <c r="AT96" i="2"/>
  <c r="AT80" i="2"/>
  <c r="AT63" i="2"/>
  <c r="AT128" i="2"/>
  <c r="AT114" i="2"/>
  <c r="AT58" i="2"/>
  <c r="AT45" i="2"/>
  <c r="AT186" i="2"/>
  <c r="AT273" i="2"/>
  <c r="AT192" i="2"/>
  <c r="AT265" i="2"/>
  <c r="AT202" i="2"/>
  <c r="AT17" i="2"/>
  <c r="AT107" i="2"/>
  <c r="AT69" i="2"/>
  <c r="AT12" i="2"/>
  <c r="AT163" i="2"/>
  <c r="AT229" i="2"/>
  <c r="AT190" i="2"/>
  <c r="AT106" i="2"/>
  <c r="AT39" i="2"/>
  <c r="AT142" i="2"/>
  <c r="AT197" i="2"/>
  <c r="AT234" i="2"/>
  <c r="AT188" i="2"/>
  <c r="AT153" i="2"/>
  <c r="AT77" i="2"/>
  <c r="AT7" i="2"/>
  <c r="AT42" i="2"/>
  <c r="AT121" i="2"/>
  <c r="AT151" i="2"/>
  <c r="AT74" i="2"/>
  <c r="AT62" i="2"/>
  <c r="AT156" i="2"/>
  <c r="AT154" i="2"/>
  <c r="AT139" i="2"/>
  <c r="AT18" i="2"/>
  <c r="AT135" i="2"/>
  <c r="AT61" i="2"/>
  <c r="AT174" i="2"/>
  <c r="AT147" i="2"/>
  <c r="AT72" i="2"/>
  <c r="AT15" i="2"/>
  <c r="AT51" i="2"/>
  <c r="AT119" i="2"/>
  <c r="AT203" i="2"/>
  <c r="AT243" i="2"/>
  <c r="AT98" i="2"/>
  <c r="AT30" i="2"/>
  <c r="AT143" i="2"/>
  <c r="AT126" i="2"/>
  <c r="AT110" i="2"/>
  <c r="AT56" i="2"/>
  <c r="AT43" i="2"/>
  <c r="AT251" i="2"/>
  <c r="AT124" i="2"/>
  <c r="AT162" i="2"/>
  <c r="AT25" i="2"/>
  <c r="AT20" i="2"/>
  <c r="AT183" i="2"/>
  <c r="AT199" i="2"/>
  <c r="AT93" i="2"/>
  <c r="AT24" i="2"/>
  <c r="AT11" i="2"/>
  <c r="AT14" i="2"/>
  <c r="AT172" i="2"/>
  <c r="AT226" i="2"/>
  <c r="AT123" i="2"/>
  <c r="AT168" i="2"/>
  <c r="AT48" i="2"/>
  <c r="AT81" i="2"/>
  <c r="AT213" i="2"/>
  <c r="AT158" i="2"/>
  <c r="AT215" i="2"/>
  <c r="AT256" i="2"/>
  <c r="AT52" i="2"/>
  <c r="AT150" i="2"/>
  <c r="AT138" i="2"/>
  <c r="AT57" i="2"/>
  <c r="AT254" i="2"/>
  <c r="AT159" i="2"/>
  <c r="AT6" i="2"/>
  <c r="AT94" i="2"/>
  <c r="AT182" i="2"/>
  <c r="AT157" i="2"/>
  <c r="AT85" i="2"/>
  <c r="AT175" i="2"/>
  <c r="AT216" i="2"/>
  <c r="AT64" i="2"/>
  <c r="AT200" i="2"/>
  <c r="AT189" i="2"/>
  <c r="AT68" i="2"/>
  <c r="AT90" i="2"/>
  <c r="AT250" i="2"/>
  <c r="AT127" i="2"/>
  <c r="AT44" i="2"/>
  <c r="AT73" i="2"/>
  <c r="AT252" i="2"/>
  <c r="AT219" i="2"/>
  <c r="AT164" i="2"/>
  <c r="AT196" i="2"/>
  <c r="AT184" i="2"/>
  <c r="GF354" i="2"/>
  <c r="C51" i="9" s="1"/>
  <c r="L59" i="7"/>
  <c r="L98" i="7" s="1"/>
  <c r="BL259" i="2"/>
  <c r="BL347" i="2" s="1"/>
  <c r="BL344" i="2" s="1"/>
  <c r="G56" i="11"/>
  <c r="D56" i="11"/>
  <c r="B56" i="11"/>
  <c r="P27" i="8"/>
  <c r="DL364" i="2"/>
  <c r="P99" i="6"/>
  <c r="F33" i="11"/>
  <c r="N28" i="9"/>
  <c r="G33" i="11"/>
  <c r="C79" i="11"/>
  <c r="D50" i="11"/>
  <c r="G50" i="11" s="1"/>
  <c r="G49" i="11" s="1"/>
  <c r="B49" i="11"/>
  <c r="AN358" i="2"/>
  <c r="AN360" i="2" s="1"/>
  <c r="AE362" i="2"/>
  <c r="AE364" i="2"/>
  <c r="FM354" i="2"/>
  <c r="I56" i="9"/>
  <c r="B58" i="7"/>
  <c r="B97" i="7" s="1"/>
  <c r="CN354" i="2"/>
  <c r="AK356" i="2"/>
  <c r="FM64" i="2"/>
  <c r="FM333" i="2" s="1"/>
  <c r="FM332" i="2" s="1"/>
  <c r="GA354" i="2"/>
  <c r="GF356" i="2"/>
  <c r="C53" i="9" s="1"/>
  <c r="BE356" i="2"/>
  <c r="CB354" i="2"/>
  <c r="C53" i="7" s="1"/>
  <c r="C92" i="7" s="1"/>
  <c r="CN64" i="2"/>
  <c r="CN333" i="2" s="1"/>
  <c r="CN332" i="2" s="1"/>
  <c r="GA356" i="2"/>
  <c r="CI356" i="2"/>
  <c r="CI354" i="2"/>
  <c r="J53" i="7" s="1"/>
  <c r="J92" i="7" s="1"/>
  <c r="BL356" i="2"/>
  <c r="BL354" i="2"/>
  <c r="P53" i="7" s="1"/>
  <c r="P92" i="7" s="1"/>
  <c r="CN356" i="2"/>
  <c r="AK354" i="2"/>
  <c r="M53" i="7" s="1"/>
  <c r="M92" i="7" s="1"/>
  <c r="AS356" i="2"/>
  <c r="AS354" i="2"/>
  <c r="FM356" i="2"/>
  <c r="FS354" i="2"/>
  <c r="FS356" i="2"/>
  <c r="BE354" i="2"/>
  <c r="F53" i="7" s="1"/>
  <c r="F92" i="7" s="1"/>
  <c r="E6" i="8"/>
  <c r="N6" i="8" s="1"/>
  <c r="G7" i="8"/>
  <c r="P7" i="8" s="1"/>
  <c r="H4" i="15" s="1"/>
  <c r="I62" i="10"/>
  <c r="I66" i="10" s="1"/>
  <c r="I67" i="10" s="1"/>
  <c r="I68" i="10" s="1"/>
  <c r="I113" i="10" s="1"/>
  <c r="AK259" i="2"/>
  <c r="AK99" i="2"/>
  <c r="AK327" i="2" s="1"/>
  <c r="L54" i="7" s="1"/>
  <c r="L93" i="7" s="1"/>
  <c r="AS347" i="2"/>
  <c r="AS344" i="2" s="1"/>
  <c r="F30" i="8"/>
  <c r="I6" i="8"/>
  <c r="I15" i="8" s="1"/>
  <c r="I20" i="8" s="1"/>
  <c r="I26" i="8" s="1"/>
  <c r="H48" i="10"/>
  <c r="H53" i="10" s="1"/>
  <c r="H58" i="10" s="1"/>
  <c r="H67" i="10" s="1"/>
  <c r="H68" i="10" s="1"/>
  <c r="G69" i="11"/>
  <c r="FO288" i="2"/>
  <c r="FU288" i="2"/>
  <c r="GW286" i="2"/>
  <c r="K95" i="6" s="1"/>
  <c r="FJ288" i="2"/>
  <c r="GC288" i="2"/>
  <c r="GG286" i="2"/>
  <c r="K80" i="6" s="1"/>
  <c r="M80" i="6" s="1"/>
  <c r="HH291" i="2"/>
  <c r="H12" i="8"/>
  <c r="G12" i="8"/>
  <c r="G10" i="8" s="1"/>
  <c r="DC286" i="2"/>
  <c r="CR286" i="2"/>
  <c r="AG287" i="2"/>
  <c r="CN6" i="2"/>
  <c r="CN334" i="2" s="1"/>
  <c r="CK287" i="2"/>
  <c r="AS6" i="2"/>
  <c r="AM287" i="2"/>
  <c r="CD287" i="2"/>
  <c r="BN287" i="2"/>
  <c r="HH292" i="2"/>
  <c r="BE6" i="2"/>
  <c r="AU287" i="2"/>
  <c r="CB356" i="2"/>
  <c r="C55" i="7" s="1"/>
  <c r="C94" i="7" s="1"/>
  <c r="BL6" i="2"/>
  <c r="BL334" i="2" s="1"/>
  <c r="BG287" i="2"/>
  <c r="CI285" i="2"/>
  <c r="H38" i="6" s="1"/>
  <c r="K73" i="7" s="1"/>
  <c r="K112" i="7" s="1"/>
  <c r="GA285" i="2"/>
  <c r="H82" i="6" s="1"/>
  <c r="K74" i="9" s="1"/>
  <c r="CB285" i="2"/>
  <c r="H45" i="6" s="1"/>
  <c r="GF285" i="2"/>
  <c r="D57" i="10"/>
  <c r="C134" i="11" l="1"/>
  <c r="GA332" i="2"/>
  <c r="I57" i="9" s="1"/>
  <c r="CO214" i="2"/>
  <c r="HD214" i="2" s="1"/>
  <c r="HH214" i="2" s="1"/>
  <c r="GF332" i="2"/>
  <c r="B57" i="9" s="1"/>
  <c r="L99" i="7"/>
  <c r="Q60" i="7"/>
  <c r="Q99" i="7" s="1"/>
  <c r="CO141" i="2"/>
  <c r="HD141" i="2" s="1"/>
  <c r="HH141" i="2" s="1"/>
  <c r="B55" i="9"/>
  <c r="N60" i="7"/>
  <c r="N99" i="7" s="1"/>
  <c r="M58" i="9"/>
  <c r="D58" i="9"/>
  <c r="H58" i="9"/>
  <c r="E99" i="7"/>
  <c r="G60" i="7"/>
  <c r="N58" i="9"/>
  <c r="I99" i="7"/>
  <c r="K60" i="7"/>
  <c r="K58" i="9"/>
  <c r="S99" i="7"/>
  <c r="B99" i="7"/>
  <c r="D60" i="7"/>
  <c r="T60" i="7"/>
  <c r="H99" i="7"/>
  <c r="U60" i="7"/>
  <c r="EY364" i="2"/>
  <c r="AE26" i="6"/>
  <c r="AH26" i="6" s="1"/>
  <c r="AG26" i="6" s="1"/>
  <c r="R25" i="6"/>
  <c r="X26" i="6"/>
  <c r="Z26" i="6" s="1"/>
  <c r="AB26" i="6" s="1"/>
  <c r="H79" i="6"/>
  <c r="D74" i="9" s="1"/>
  <c r="AC25" i="6"/>
  <c r="AC34" i="6" s="1"/>
  <c r="Q34" i="6"/>
  <c r="D131" i="11"/>
  <c r="CX362" i="2"/>
  <c r="K56" i="6"/>
  <c r="D78" i="11" s="1"/>
  <c r="CZ358" i="2"/>
  <c r="G73" i="11"/>
  <c r="G74" i="11" s="1"/>
  <c r="G75" i="11" s="1"/>
  <c r="F70" i="9"/>
  <c r="O57" i="7"/>
  <c r="O96" i="7" s="1"/>
  <c r="AS334" i="2"/>
  <c r="S57" i="7" s="1"/>
  <c r="S96" i="7" s="1"/>
  <c r="BE334" i="2"/>
  <c r="E57" i="7" s="1"/>
  <c r="E96" i="7" s="1"/>
  <c r="H57" i="7"/>
  <c r="H96" i="7" s="1"/>
  <c r="B70" i="9"/>
  <c r="I69" i="7"/>
  <c r="I108" i="7" s="1"/>
  <c r="FS285" i="2"/>
  <c r="CO253" i="2"/>
  <c r="HD253" i="2" s="1"/>
  <c r="HH253" i="2" s="1"/>
  <c r="CO187" i="2"/>
  <c r="HD187" i="2" s="1"/>
  <c r="HH187" i="2" s="1"/>
  <c r="E5" i="15"/>
  <c r="CO21" i="2"/>
  <c r="HD21" i="2" s="1"/>
  <c r="HH21" i="2" s="1"/>
  <c r="CO76" i="2"/>
  <c r="HD76" i="2" s="1"/>
  <c r="HH76" i="2" s="1"/>
  <c r="CO129" i="2"/>
  <c r="HD129" i="2" s="1"/>
  <c r="HH129" i="2" s="1"/>
  <c r="CO207" i="2"/>
  <c r="HD207" i="2" s="1"/>
  <c r="HH207" i="2" s="1"/>
  <c r="CX364" i="2"/>
  <c r="H94" i="11"/>
  <c r="H83" i="11"/>
  <c r="O30" i="8"/>
  <c r="O33" i="8" s="1"/>
  <c r="F33" i="8"/>
  <c r="B61" i="10"/>
  <c r="B62" i="10" s="1"/>
  <c r="B66" i="10" s="1"/>
  <c r="B67" i="10" s="1"/>
  <c r="G82" i="6"/>
  <c r="L55" i="9"/>
  <c r="S69" i="7"/>
  <c r="S108" i="7" s="1"/>
  <c r="D98" i="10"/>
  <c r="D103" i="10" s="1"/>
  <c r="U63" i="7"/>
  <c r="U102" i="7" s="1"/>
  <c r="I6" i="15"/>
  <c r="F112" i="11"/>
  <c r="N61" i="9"/>
  <c r="CO170" i="2"/>
  <c r="HD170" i="2" s="1"/>
  <c r="HH170" i="2" s="1"/>
  <c r="K82" i="10"/>
  <c r="K115" i="10"/>
  <c r="H113" i="10"/>
  <c r="B68" i="10"/>
  <c r="B70" i="10" s="1"/>
  <c r="D127" i="11"/>
  <c r="M98" i="10"/>
  <c r="M103" i="10" s="1"/>
  <c r="B17" i="15"/>
  <c r="B25" i="15" s="1"/>
  <c r="J70" i="10"/>
  <c r="J115" i="10" s="1"/>
  <c r="J113" i="10"/>
  <c r="I18" i="15"/>
  <c r="H134" i="11"/>
  <c r="M106" i="10"/>
  <c r="M107" i="10" s="1"/>
  <c r="M111" i="10" s="1"/>
  <c r="D106" i="10"/>
  <c r="D107" i="10" s="1"/>
  <c r="D111" i="10" s="1"/>
  <c r="C20" i="15"/>
  <c r="G82" i="10"/>
  <c r="G115" i="10"/>
  <c r="F66" i="6"/>
  <c r="G66" i="6" s="1"/>
  <c r="F115" i="10"/>
  <c r="F65" i="6"/>
  <c r="G65" i="6" s="1"/>
  <c r="E115" i="10"/>
  <c r="F64" i="6"/>
  <c r="G64" i="6" s="1"/>
  <c r="F81" i="6"/>
  <c r="L102" i="7"/>
  <c r="G54" i="7"/>
  <c r="G93" i="7" s="1"/>
  <c r="M19" i="15" s="1"/>
  <c r="E93" i="7"/>
  <c r="U69" i="7"/>
  <c r="U108" i="7" s="1"/>
  <c r="H108" i="7"/>
  <c r="Q54" i="7"/>
  <c r="Q93" i="7" s="1"/>
  <c r="P19" i="15" s="1"/>
  <c r="O93" i="7"/>
  <c r="I102" i="7"/>
  <c r="L94" i="7"/>
  <c r="E108" i="7"/>
  <c r="O102" i="7"/>
  <c r="I93" i="7"/>
  <c r="U54" i="7"/>
  <c r="U93" i="7" s="1"/>
  <c r="H93" i="7"/>
  <c r="N19" i="15" s="1"/>
  <c r="F55" i="9"/>
  <c r="B51" i="9"/>
  <c r="L53" i="9"/>
  <c r="J53" i="9"/>
  <c r="I51" i="9"/>
  <c r="G53" i="9"/>
  <c r="F56" i="9"/>
  <c r="L51" i="9"/>
  <c r="I53" i="9"/>
  <c r="J51" i="9"/>
  <c r="L56" i="9"/>
  <c r="G51" i="9"/>
  <c r="F51" i="9"/>
  <c r="O53" i="7"/>
  <c r="O92" i="7" s="1"/>
  <c r="K54" i="7"/>
  <c r="K93" i="7" s="1"/>
  <c r="O19" i="15" s="1"/>
  <c r="CO270" i="2"/>
  <c r="HD270" i="2" s="1"/>
  <c r="HH270" i="2" s="1"/>
  <c r="B53" i="7"/>
  <c r="B92" i="7" s="1"/>
  <c r="S58" i="7"/>
  <c r="J55" i="7"/>
  <c r="J52" i="7" s="1"/>
  <c r="O58" i="7"/>
  <c r="I58" i="7"/>
  <c r="I53" i="7"/>
  <c r="I92" i="7" s="1"/>
  <c r="H53" i="7"/>
  <c r="H55" i="7"/>
  <c r="H94" i="7" s="1"/>
  <c r="N20" i="15" s="1"/>
  <c r="O55" i="7"/>
  <c r="S55" i="7"/>
  <c r="S94" i="7" s="1"/>
  <c r="S20" i="15" s="1"/>
  <c r="E53" i="7"/>
  <c r="E92" i="7" s="1"/>
  <c r="L58" i="7"/>
  <c r="E58" i="7"/>
  <c r="E97" i="7" s="1"/>
  <c r="M55" i="7"/>
  <c r="N55" i="7" s="1"/>
  <c r="N94" i="7" s="1"/>
  <c r="L20" i="15" s="1"/>
  <c r="P55" i="7"/>
  <c r="F55" i="7"/>
  <c r="H58" i="7"/>
  <c r="S53" i="7"/>
  <c r="S92" i="7" s="1"/>
  <c r="S18" i="15" s="1"/>
  <c r="L53" i="7"/>
  <c r="I55" i="7"/>
  <c r="CO269" i="2"/>
  <c r="HD269" i="2" s="1"/>
  <c r="HH269" i="2" s="1"/>
  <c r="M95" i="6"/>
  <c r="B95" i="6" s="1"/>
  <c r="G28" i="8"/>
  <c r="P28" i="8" s="1"/>
  <c r="CO268" i="2"/>
  <c r="HD268" i="2" s="1"/>
  <c r="HH268" i="2" s="1"/>
  <c r="I80" i="10"/>
  <c r="M61" i="9"/>
  <c r="M63" i="9" s="1"/>
  <c r="N52" i="9"/>
  <c r="N85" i="9"/>
  <c r="M52" i="9"/>
  <c r="E82" i="10"/>
  <c r="H80" i="10"/>
  <c r="D11" i="15"/>
  <c r="CO206" i="2"/>
  <c r="HD206" i="2" s="1"/>
  <c r="HH206" i="2" s="1"/>
  <c r="CO205" i="2"/>
  <c r="HD205" i="2" s="1"/>
  <c r="HH205" i="2" s="1"/>
  <c r="T86" i="7"/>
  <c r="D86" i="7"/>
  <c r="U86" i="7"/>
  <c r="O69" i="7"/>
  <c r="O108" i="7" s="1"/>
  <c r="F60" i="6"/>
  <c r="F20" i="6" s="1"/>
  <c r="B10" i="16"/>
  <c r="D63" i="7"/>
  <c r="T63" i="7"/>
  <c r="B65" i="7"/>
  <c r="B104" i="7" s="1"/>
  <c r="C52" i="7"/>
  <c r="D54" i="7"/>
  <c r="D93" i="7" s="1"/>
  <c r="K19" i="15" s="1"/>
  <c r="T54" i="7"/>
  <c r="D58" i="7"/>
  <c r="D97" i="7" s="1"/>
  <c r="D57" i="7"/>
  <c r="D96" i="7" s="1"/>
  <c r="D55" i="7"/>
  <c r="D94" i="7" s="1"/>
  <c r="K20" i="15" s="1"/>
  <c r="B70" i="7"/>
  <c r="B109" i="7" s="1"/>
  <c r="D69" i="7"/>
  <c r="T3" i="15"/>
  <c r="T11" i="15" s="1"/>
  <c r="CO274" i="2"/>
  <c r="HD274" i="2" s="1"/>
  <c r="HH274" i="2" s="1"/>
  <c r="CO217" i="2"/>
  <c r="F82" i="10"/>
  <c r="CO195" i="2"/>
  <c r="HD195" i="2" s="1"/>
  <c r="HH195" i="2" s="1"/>
  <c r="CO132" i="2"/>
  <c r="HD132" i="2" s="1"/>
  <c r="HH132" i="2" s="1"/>
  <c r="CO133" i="2"/>
  <c r="HD133" i="2" s="1"/>
  <c r="HH133" i="2" s="1"/>
  <c r="D108" i="11"/>
  <c r="D107" i="11" s="1"/>
  <c r="CO178" i="2"/>
  <c r="HD178" i="2" s="1"/>
  <c r="HH178" i="2" s="1"/>
  <c r="N54" i="7"/>
  <c r="N93" i="7" s="1"/>
  <c r="L19" i="15" s="1"/>
  <c r="CO255" i="2"/>
  <c r="HD255" i="2" s="1"/>
  <c r="HH255" i="2" s="1"/>
  <c r="CO103" i="2"/>
  <c r="HD103" i="2" s="1"/>
  <c r="HH103" i="2" s="1"/>
  <c r="CO222" i="2"/>
  <c r="HD222" i="2" s="1"/>
  <c r="HH222" i="2" s="1"/>
  <c r="N5" i="15"/>
  <c r="K10" i="8"/>
  <c r="N10" i="8"/>
  <c r="M12" i="8"/>
  <c r="P12" i="8"/>
  <c r="CO208" i="2"/>
  <c r="HD208" i="2" s="1"/>
  <c r="CO148" i="2"/>
  <c r="HD148" i="2" s="1"/>
  <c r="HH148" i="2" s="1"/>
  <c r="CO134" i="2"/>
  <c r="HD134" i="2" s="1"/>
  <c r="HH134" i="2" s="1"/>
  <c r="CO278" i="2"/>
  <c r="HD278" i="2" s="1"/>
  <c r="CO279" i="2"/>
  <c r="HD279" i="2" s="1"/>
  <c r="CO277" i="2"/>
  <c r="HD277" i="2" s="1"/>
  <c r="B59" i="7"/>
  <c r="CO276" i="2"/>
  <c r="HD276" i="2" s="1"/>
  <c r="CO248" i="2"/>
  <c r="HD248" i="2" s="1"/>
  <c r="HH248" i="2" s="1"/>
  <c r="CO177" i="2"/>
  <c r="HD177" i="2" s="1"/>
  <c r="HH177" i="2" s="1"/>
  <c r="CO176" i="2"/>
  <c r="HD176" i="2" s="1"/>
  <c r="HH176" i="2" s="1"/>
  <c r="CO245" i="2"/>
  <c r="HD245" i="2" s="1"/>
  <c r="HH245" i="2" s="1"/>
  <c r="C76" i="9"/>
  <c r="CO211" i="2"/>
  <c r="HD211" i="2" s="1"/>
  <c r="HH211" i="2" s="1"/>
  <c r="CO201" i="2"/>
  <c r="HD201" i="2" s="1"/>
  <c r="HH201" i="2" s="1"/>
  <c r="CO181" i="2"/>
  <c r="HD181" i="2" s="1"/>
  <c r="HH181" i="2" s="1"/>
  <c r="CO112" i="2"/>
  <c r="HD112" i="2" s="1"/>
  <c r="HH112" i="2" s="1"/>
  <c r="G58" i="6"/>
  <c r="H138" i="11"/>
  <c r="D114" i="11"/>
  <c r="H61" i="9"/>
  <c r="H63" i="9" s="1"/>
  <c r="K61" i="9"/>
  <c r="K63" i="9" s="1"/>
  <c r="L63" i="9"/>
  <c r="N29" i="9"/>
  <c r="N86" i="7"/>
  <c r="H6" i="8"/>
  <c r="K6" i="8"/>
  <c r="J27" i="8"/>
  <c r="M27" i="8"/>
  <c r="D48" i="10"/>
  <c r="D53" i="10" s="1"/>
  <c r="D58" i="10" s="1"/>
  <c r="F20" i="8"/>
  <c r="O20" i="8" s="1"/>
  <c r="L15" i="8"/>
  <c r="I30" i="8"/>
  <c r="L30" i="8"/>
  <c r="C93" i="11"/>
  <c r="C137" i="11"/>
  <c r="G6" i="8"/>
  <c r="P6" i="8" s="1"/>
  <c r="H3" i="15" s="1"/>
  <c r="M7" i="8"/>
  <c r="J19" i="8"/>
  <c r="M19" i="8"/>
  <c r="D62" i="10"/>
  <c r="M62" i="10" s="1"/>
  <c r="CO29" i="2"/>
  <c r="HD29" i="2" s="1"/>
  <c r="HH29" i="2" s="1"/>
  <c r="CO123" i="2"/>
  <c r="HD123" i="2" s="1"/>
  <c r="HH123" i="2" s="1"/>
  <c r="CO91" i="2"/>
  <c r="HD91" i="2" s="1"/>
  <c r="HH91" i="2" s="1"/>
  <c r="B123" i="11"/>
  <c r="B128" i="11" s="1"/>
  <c r="CO11" i="2"/>
  <c r="HD11" i="2" s="1"/>
  <c r="HH11" i="2" s="1"/>
  <c r="CO122" i="2"/>
  <c r="HD122" i="2" s="1"/>
  <c r="HH122" i="2" s="1"/>
  <c r="CO113" i="2"/>
  <c r="HD113" i="2" s="1"/>
  <c r="HH113" i="2" s="1"/>
  <c r="CO63" i="2"/>
  <c r="HD63" i="2" s="1"/>
  <c r="HH63" i="2" s="1"/>
  <c r="CO84" i="2"/>
  <c r="HD84" i="2" s="1"/>
  <c r="HH84" i="2" s="1"/>
  <c r="I85" i="9"/>
  <c r="B85" i="9"/>
  <c r="CO223" i="2"/>
  <c r="HD223" i="2" s="1"/>
  <c r="HH223" i="2" s="1"/>
  <c r="D52" i="9"/>
  <c r="G131" i="11"/>
  <c r="D132" i="11"/>
  <c r="D133" i="11" s="1"/>
  <c r="G117" i="11"/>
  <c r="G114" i="11" s="1"/>
  <c r="K52" i="9"/>
  <c r="F5" i="15"/>
  <c r="B63" i="9"/>
  <c r="L71" i="9"/>
  <c r="L72" i="9" s="1"/>
  <c r="J80" i="10"/>
  <c r="M48" i="10"/>
  <c r="F125" i="11"/>
  <c r="F127" i="11" s="1"/>
  <c r="G127" i="11"/>
  <c r="G63" i="7"/>
  <c r="S65" i="7"/>
  <c r="CO94" i="2"/>
  <c r="HD94" i="2" s="1"/>
  <c r="HH94" i="2" s="1"/>
  <c r="CO108" i="2"/>
  <c r="HD108" i="2" s="1"/>
  <c r="HH108" i="2" s="1"/>
  <c r="CO198" i="2"/>
  <c r="HD198" i="2" s="1"/>
  <c r="HH198" i="2" s="1"/>
  <c r="CO152" i="2"/>
  <c r="HD152" i="2" s="1"/>
  <c r="HH152" i="2" s="1"/>
  <c r="CO160" i="2"/>
  <c r="HD160" i="2" s="1"/>
  <c r="HH160" i="2" s="1"/>
  <c r="CO213" i="2"/>
  <c r="HD213" i="2" s="1"/>
  <c r="HH213" i="2" s="1"/>
  <c r="CO37" i="2"/>
  <c r="HD37" i="2" s="1"/>
  <c r="HH37" i="2" s="1"/>
  <c r="CO110" i="2"/>
  <c r="HD110" i="2" s="1"/>
  <c r="HH110" i="2" s="1"/>
  <c r="CO19" i="2"/>
  <c r="HD19" i="2" s="1"/>
  <c r="HH19" i="2" s="1"/>
  <c r="CO161" i="2"/>
  <c r="HD161" i="2" s="1"/>
  <c r="HH161" i="2" s="1"/>
  <c r="CO179" i="2"/>
  <c r="HD179" i="2" s="1"/>
  <c r="HH179" i="2" s="1"/>
  <c r="CO111" i="2"/>
  <c r="HD111" i="2" s="1"/>
  <c r="HH111" i="2" s="1"/>
  <c r="CO225" i="2"/>
  <c r="HD225" i="2" s="1"/>
  <c r="HI225" i="2" s="1"/>
  <c r="CO9" i="2"/>
  <c r="HD9" i="2" s="1"/>
  <c r="HH9" i="2" s="1"/>
  <c r="CO173" i="2"/>
  <c r="HD173" i="2" s="1"/>
  <c r="HH173" i="2" s="1"/>
  <c r="CO149" i="2"/>
  <c r="HD149" i="2" s="1"/>
  <c r="HH149" i="2" s="1"/>
  <c r="CO118" i="2"/>
  <c r="HD118" i="2" s="1"/>
  <c r="HH118" i="2" s="1"/>
  <c r="CO47" i="2"/>
  <c r="HD47" i="2" s="1"/>
  <c r="HH47" i="2" s="1"/>
  <c r="CO184" i="2"/>
  <c r="HD184" i="2" s="1"/>
  <c r="HH184" i="2" s="1"/>
  <c r="G73" i="6"/>
  <c r="G18" i="6" s="1"/>
  <c r="L18" i="6" s="1"/>
  <c r="F18" i="6"/>
  <c r="CO162" i="2"/>
  <c r="HD162" i="2" s="1"/>
  <c r="HH162" i="2" s="1"/>
  <c r="CO75" i="2"/>
  <c r="HD75" i="2" s="1"/>
  <c r="HH75" i="2" s="1"/>
  <c r="CO266" i="2"/>
  <c r="HD266" i="2" s="1"/>
  <c r="HH266" i="2" s="1"/>
  <c r="CO8" i="2"/>
  <c r="HD8" i="2" s="1"/>
  <c r="HH8" i="2" s="1"/>
  <c r="CO128" i="2"/>
  <c r="CO131" i="2"/>
  <c r="HD131" i="2" s="1"/>
  <c r="HH131" i="2" s="1"/>
  <c r="CO209" i="2"/>
  <c r="HD209" i="2" s="1"/>
  <c r="HH209" i="2" s="1"/>
  <c r="CO249" i="2"/>
  <c r="HD249" i="2" s="1"/>
  <c r="HH249" i="2" s="1"/>
  <c r="CO165" i="2"/>
  <c r="HD165" i="2" s="1"/>
  <c r="HH165" i="2" s="1"/>
  <c r="CO145" i="2"/>
  <c r="HD145" i="2" s="1"/>
  <c r="HH145" i="2" s="1"/>
  <c r="CO135" i="2"/>
  <c r="HD135" i="2" s="1"/>
  <c r="HH135" i="2" s="1"/>
  <c r="CO7" i="2"/>
  <c r="HD7" i="2" s="1"/>
  <c r="HH7" i="2" s="1"/>
  <c r="CO97" i="2"/>
  <c r="HD97" i="2" s="1"/>
  <c r="HH97" i="2" s="1"/>
  <c r="CO212" i="2"/>
  <c r="HD212" i="2" s="1"/>
  <c r="HH212" i="2" s="1"/>
  <c r="CO53" i="2"/>
  <c r="HD53" i="2" s="1"/>
  <c r="HH53" i="2" s="1"/>
  <c r="CO114" i="2"/>
  <c r="HD114" i="2" s="1"/>
  <c r="CO186" i="2"/>
  <c r="HD186" i="2" s="1"/>
  <c r="HH186" i="2" s="1"/>
  <c r="CO140" i="2"/>
  <c r="HD140" i="2" s="1"/>
  <c r="HH140" i="2" s="1"/>
  <c r="CO180" i="2"/>
  <c r="HD180" i="2" s="1"/>
  <c r="HH180" i="2" s="1"/>
  <c r="CO150" i="2"/>
  <c r="HD150" i="2" s="1"/>
  <c r="HH150" i="2" s="1"/>
  <c r="CO263" i="2"/>
  <c r="HD263" i="2" s="1"/>
  <c r="HH263" i="2" s="1"/>
  <c r="CO26" i="2"/>
  <c r="HD26" i="2" s="1"/>
  <c r="HH26" i="2" s="1"/>
  <c r="CO250" i="2"/>
  <c r="HD250" i="2" s="1"/>
  <c r="HH250" i="2" s="1"/>
  <c r="CO49" i="2"/>
  <c r="HD49" i="2" s="1"/>
  <c r="HH49" i="2" s="1"/>
  <c r="CO159" i="2"/>
  <c r="HD159" i="2" s="1"/>
  <c r="HH159" i="2" s="1"/>
  <c r="CO78" i="2"/>
  <c r="HD78" i="2" s="1"/>
  <c r="HH78" i="2" s="1"/>
  <c r="CO106" i="2"/>
  <c r="HD106" i="2" s="1"/>
  <c r="CO125" i="2"/>
  <c r="HD125" i="2" s="1"/>
  <c r="HH125" i="2" s="1"/>
  <c r="CO42" i="2"/>
  <c r="HD42" i="2" s="1"/>
  <c r="HH42" i="2" s="1"/>
  <c r="CO219" i="2"/>
  <c r="HD219" i="2" s="1"/>
  <c r="HH219" i="2" s="1"/>
  <c r="CO127" i="2"/>
  <c r="HD127" i="2" s="1"/>
  <c r="HH127" i="2" s="1"/>
  <c r="CO189" i="2"/>
  <c r="HD189" i="2" s="1"/>
  <c r="HH189" i="2" s="1"/>
  <c r="CO256" i="2"/>
  <c r="HD256" i="2" s="1"/>
  <c r="HH256" i="2" s="1"/>
  <c r="CO226" i="2"/>
  <c r="HD226" i="2" s="1"/>
  <c r="HH226" i="2" s="1"/>
  <c r="CO20" i="2"/>
  <c r="HD20" i="2" s="1"/>
  <c r="HH20" i="2" s="1"/>
  <c r="CO15" i="2"/>
  <c r="HD15" i="2" s="1"/>
  <c r="HH15" i="2" s="1"/>
  <c r="CO154" i="2"/>
  <c r="HD154" i="2" s="1"/>
  <c r="HH154" i="2" s="1"/>
  <c r="CO77" i="2"/>
  <c r="HD77" i="2" s="1"/>
  <c r="HH77" i="2" s="1"/>
  <c r="CO265" i="2"/>
  <c r="HD265" i="2" s="1"/>
  <c r="HH265" i="2" s="1"/>
  <c r="CO36" i="2"/>
  <c r="HD36" i="2" s="1"/>
  <c r="HH36" i="2" s="1"/>
  <c r="CO104" i="2"/>
  <c r="HD104" i="2" s="1"/>
  <c r="CO117" i="2"/>
  <c r="HD117" i="2" s="1"/>
  <c r="HH117" i="2" s="1"/>
  <c r="CO185" i="2"/>
  <c r="HD185" i="2" s="1"/>
  <c r="HH185" i="2" s="1"/>
  <c r="CO233" i="2"/>
  <c r="HD233" i="2" s="1"/>
  <c r="HH233" i="2" s="1"/>
  <c r="CO144" i="2"/>
  <c r="HD144" i="2" s="1"/>
  <c r="CO60" i="2"/>
  <c r="HD60" i="2" s="1"/>
  <c r="HH60" i="2" s="1"/>
  <c r="CO34" i="2"/>
  <c r="HD34" i="2" s="1"/>
  <c r="HH34" i="2" s="1"/>
  <c r="CO167" i="2"/>
  <c r="HD167" i="2" s="1"/>
  <c r="HH167" i="2" s="1"/>
  <c r="CO71" i="2"/>
  <c r="HD71" i="2" s="1"/>
  <c r="HH71" i="2" s="1"/>
  <c r="CO246" i="2"/>
  <c r="HD246" i="2" s="1"/>
  <c r="HH246" i="2" s="1"/>
  <c r="CO244" i="2"/>
  <c r="HD244" i="2" s="1"/>
  <c r="HH244" i="2" s="1"/>
  <c r="CO224" i="2"/>
  <c r="HD224" i="2" s="1"/>
  <c r="HH224" i="2" s="1"/>
  <c r="CO221" i="2"/>
  <c r="HD221" i="2" s="1"/>
  <c r="HH221" i="2" s="1"/>
  <c r="CO120" i="2"/>
  <c r="CO57" i="2"/>
  <c r="HD57" i="2" s="1"/>
  <c r="HH57" i="2" s="1"/>
  <c r="CO243" i="2"/>
  <c r="HD243" i="2" s="1"/>
  <c r="HH243" i="2" s="1"/>
  <c r="CO93" i="2"/>
  <c r="HD93" i="2" s="1"/>
  <c r="HH93" i="2" s="1"/>
  <c r="CO156" i="2"/>
  <c r="HD156" i="2" s="1"/>
  <c r="HH156" i="2" s="1"/>
  <c r="CO121" i="2"/>
  <c r="HD121" i="2" s="1"/>
  <c r="HH121" i="2" s="1"/>
  <c r="CO229" i="2"/>
  <c r="HD229" i="2" s="1"/>
  <c r="HH229" i="2" s="1"/>
  <c r="CO136" i="2"/>
  <c r="HD136" i="2" s="1"/>
  <c r="CO33" i="2"/>
  <c r="HD33" i="2" s="1"/>
  <c r="HH33" i="2" s="1"/>
  <c r="CO231" i="2"/>
  <c r="HD231" i="2" s="1"/>
  <c r="HH231" i="2" s="1"/>
  <c r="CO220" i="2"/>
  <c r="HD220" i="2" s="1"/>
  <c r="HH220" i="2" s="1"/>
  <c r="CO258" i="2"/>
  <c r="HD258" i="2" s="1"/>
  <c r="HH258" i="2" s="1"/>
  <c r="CO105" i="2"/>
  <c r="HD105" i="2" s="1"/>
  <c r="HH105" i="2" s="1"/>
  <c r="CO55" i="2"/>
  <c r="HD55" i="2" s="1"/>
  <c r="HH55" i="2" s="1"/>
  <c r="CO172" i="2"/>
  <c r="HD172" i="2" s="1"/>
  <c r="CO95" i="2"/>
  <c r="HD95" i="2" s="1"/>
  <c r="HH95" i="2" s="1"/>
  <c r="CO166" i="2"/>
  <c r="HD166" i="2" s="1"/>
  <c r="HH166" i="2" s="1"/>
  <c r="CO155" i="2"/>
  <c r="HD155" i="2" s="1"/>
  <c r="HH155" i="2" s="1"/>
  <c r="FI286" i="2"/>
  <c r="K83" i="6" s="1"/>
  <c r="L75" i="9" s="1"/>
  <c r="CO261" i="2"/>
  <c r="HD261" i="2" s="1"/>
  <c r="HH261" i="2" s="1"/>
  <c r="CO27" i="2"/>
  <c r="HD27" i="2" s="1"/>
  <c r="HH27" i="2" s="1"/>
  <c r="CO171" i="2"/>
  <c r="HD171" i="2" s="1"/>
  <c r="HH171" i="2" s="1"/>
  <c r="CO51" i="2"/>
  <c r="HD51" i="2" s="1"/>
  <c r="HH51" i="2" s="1"/>
  <c r="CO82" i="2"/>
  <c r="HD82" i="2" s="1"/>
  <c r="HH82" i="2" s="1"/>
  <c r="CO50" i="2"/>
  <c r="HD50" i="2" s="1"/>
  <c r="HH50" i="2" s="1"/>
  <c r="CO163" i="2"/>
  <c r="HD163" i="2" s="1"/>
  <c r="HH163" i="2" s="1"/>
  <c r="CO83" i="2"/>
  <c r="HD83" i="2" s="1"/>
  <c r="HH83" i="2" s="1"/>
  <c r="CO67" i="2"/>
  <c r="HD67" i="2" s="1"/>
  <c r="HH67" i="2" s="1"/>
  <c r="CO46" i="2"/>
  <c r="HD46" i="2" s="1"/>
  <c r="HH46" i="2" s="1"/>
  <c r="CO41" i="2"/>
  <c r="HD41" i="2" s="1"/>
  <c r="HH41" i="2" s="1"/>
  <c r="CO251" i="2"/>
  <c r="HD251" i="2" s="1"/>
  <c r="HH251" i="2" s="1"/>
  <c r="CO267" i="2"/>
  <c r="HD267" i="2" s="1"/>
  <c r="HH267" i="2" s="1"/>
  <c r="FN286" i="2"/>
  <c r="K81" i="6" s="1"/>
  <c r="CO192" i="2"/>
  <c r="HD192" i="2" s="1"/>
  <c r="HH192" i="2" s="1"/>
  <c r="CO65" i="2"/>
  <c r="HD65" i="2" s="1"/>
  <c r="HH65" i="2" s="1"/>
  <c r="CO87" i="2"/>
  <c r="HD87" i="2" s="1"/>
  <c r="HH87" i="2" s="1"/>
  <c r="CO146" i="2"/>
  <c r="HD146" i="2" s="1"/>
  <c r="HH146" i="2" s="1"/>
  <c r="CO81" i="2"/>
  <c r="HD81" i="2" s="1"/>
  <c r="HH81" i="2" s="1"/>
  <c r="CO90" i="2"/>
  <c r="HD90" i="2" s="1"/>
  <c r="HH90" i="2" s="1"/>
  <c r="CO188" i="2"/>
  <c r="HD188" i="2" s="1"/>
  <c r="HH188" i="2" s="1"/>
  <c r="CO17" i="2"/>
  <c r="HD17" i="2" s="1"/>
  <c r="HH17" i="2" s="1"/>
  <c r="CO10" i="2"/>
  <c r="HD10" i="2" s="1"/>
  <c r="HH10" i="2" s="1"/>
  <c r="CO228" i="2"/>
  <c r="HD228" i="2" s="1"/>
  <c r="HH228" i="2" s="1"/>
  <c r="CO232" i="2"/>
  <c r="HD232" i="2" s="1"/>
  <c r="HH232" i="2" s="1"/>
  <c r="CO80" i="2"/>
  <c r="HD80" i="2" s="1"/>
  <c r="HH80" i="2" s="1"/>
  <c r="CO66" i="2"/>
  <c r="HD66" i="2" s="1"/>
  <c r="HH66" i="2" s="1"/>
  <c r="CO124" i="2"/>
  <c r="HD124" i="2" s="1"/>
  <c r="HH124" i="2" s="1"/>
  <c r="CO273" i="2"/>
  <c r="HD273" i="2" s="1"/>
  <c r="HH273" i="2" s="1"/>
  <c r="CO73" i="2"/>
  <c r="HD73" i="2" s="1"/>
  <c r="HH73" i="2" s="1"/>
  <c r="CO40" i="2"/>
  <c r="HD40" i="2" s="1"/>
  <c r="HH40" i="2" s="1"/>
  <c r="CO147" i="2"/>
  <c r="HD147" i="2" s="1"/>
  <c r="CO85" i="2"/>
  <c r="HD85" i="2" s="1"/>
  <c r="HH85" i="2" s="1"/>
  <c r="CO275" i="2"/>
  <c r="HD275" i="2" s="1"/>
  <c r="HH275" i="2" s="1"/>
  <c r="CO237" i="2"/>
  <c r="HD237" i="2" s="1"/>
  <c r="HH237" i="2" s="1"/>
  <c r="CO230" i="2"/>
  <c r="HD230" i="2" s="1"/>
  <c r="HH230" i="2" s="1"/>
  <c r="BF286" i="2"/>
  <c r="K41" i="6" s="1"/>
  <c r="CO96" i="2"/>
  <c r="HD96" i="2" s="1"/>
  <c r="HH96" i="2" s="1"/>
  <c r="CO240" i="2"/>
  <c r="HD240" i="2" s="1"/>
  <c r="HH240" i="2" s="1"/>
  <c r="CO13" i="2"/>
  <c r="HD13" i="2" s="1"/>
  <c r="HH13" i="2" s="1"/>
  <c r="CO169" i="2"/>
  <c r="HD169" i="2" s="1"/>
  <c r="HH169" i="2" s="1"/>
  <c r="CO210" i="2"/>
  <c r="HD210" i="2" s="1"/>
  <c r="HH210" i="2" s="1"/>
  <c r="CO235" i="2"/>
  <c r="HD235" i="2" s="1"/>
  <c r="HH235" i="2" s="1"/>
  <c r="CO56" i="2"/>
  <c r="HD56" i="2" s="1"/>
  <c r="HH56" i="2" s="1"/>
  <c r="BM286" i="2"/>
  <c r="K45" i="6" s="1"/>
  <c r="J45" i="6" s="1"/>
  <c r="J7" i="6" s="1"/>
  <c r="CO138" i="2"/>
  <c r="HD138" i="2" s="1"/>
  <c r="HH138" i="2" s="1"/>
  <c r="CO260" i="2"/>
  <c r="HD260" i="2" s="1"/>
  <c r="HH260" i="2" s="1"/>
  <c r="CO227" i="2"/>
  <c r="HD227" i="2" s="1"/>
  <c r="HH227" i="2" s="1"/>
  <c r="CO215" i="2"/>
  <c r="HD215" i="2" s="1"/>
  <c r="AL286" i="2"/>
  <c r="K49" i="6" s="1"/>
  <c r="S74" i="7" s="1"/>
  <c r="CO43" i="2"/>
  <c r="HD43" i="2" s="1"/>
  <c r="CO79" i="2"/>
  <c r="HD79" i="2" s="1"/>
  <c r="HH79" i="2" s="1"/>
  <c r="CO30" i="2"/>
  <c r="HD30" i="2" s="1"/>
  <c r="HH30" i="2" s="1"/>
  <c r="CO203" i="2"/>
  <c r="HD203" i="2" s="1"/>
  <c r="HH203" i="2" s="1"/>
  <c r="CO39" i="2"/>
  <c r="HD39" i="2" s="1"/>
  <c r="HH39" i="2" s="1"/>
  <c r="CO157" i="2"/>
  <c r="HD157" i="2" s="1"/>
  <c r="HH157" i="2" s="1"/>
  <c r="CO54" i="2"/>
  <c r="HD54" i="2" s="1"/>
  <c r="HH54" i="2" s="1"/>
  <c r="CO31" i="2"/>
  <c r="HD31" i="2" s="1"/>
  <c r="HH31" i="2" s="1"/>
  <c r="CO74" i="2"/>
  <c r="HD74" i="2" s="1"/>
  <c r="HH74" i="2" s="1"/>
  <c r="D56" i="9"/>
  <c r="CO191" i="2"/>
  <c r="HD191" i="2" s="1"/>
  <c r="HH191" i="2" s="1"/>
  <c r="F85" i="9"/>
  <c r="CO64" i="2"/>
  <c r="HD64" i="2" s="1"/>
  <c r="HH64" i="2" s="1"/>
  <c r="FT286" i="2"/>
  <c r="K82" i="6" s="1"/>
  <c r="K75" i="9" s="1"/>
  <c r="CO126" i="2"/>
  <c r="HD126" i="2" s="1"/>
  <c r="HH126" i="2" s="1"/>
  <c r="CO70" i="2"/>
  <c r="HD70" i="2" s="1"/>
  <c r="HH70" i="2" s="1"/>
  <c r="CO61" i="2"/>
  <c r="HD61" i="2" s="1"/>
  <c r="HH61" i="2" s="1"/>
  <c r="CO196" i="2"/>
  <c r="HD196" i="2" s="1"/>
  <c r="HH196" i="2" s="1"/>
  <c r="CO190" i="2"/>
  <c r="HD190" i="2" s="1"/>
  <c r="HH190" i="2" s="1"/>
  <c r="CO182" i="2"/>
  <c r="HD182" i="2" s="1"/>
  <c r="HH182" i="2" s="1"/>
  <c r="CO44" i="2"/>
  <c r="HD44" i="2" s="1"/>
  <c r="HH44" i="2" s="1"/>
  <c r="CO22" i="2"/>
  <c r="HD22" i="2" s="1"/>
  <c r="HH22" i="2" s="1"/>
  <c r="CO38" i="2"/>
  <c r="HD38" i="2" s="1"/>
  <c r="HH38" i="2" s="1"/>
  <c r="CO264" i="2"/>
  <c r="HD264" i="2" s="1"/>
  <c r="CO72" i="2"/>
  <c r="HD72" i="2" s="1"/>
  <c r="HH72" i="2" s="1"/>
  <c r="CO234" i="2"/>
  <c r="HD234" i="2" s="1"/>
  <c r="HH234" i="2" s="1"/>
  <c r="CO69" i="2"/>
  <c r="HD69" i="2" s="1"/>
  <c r="HH69" i="2" s="1"/>
  <c r="CO271" i="2"/>
  <c r="HD271" i="2" s="1"/>
  <c r="HH271" i="2" s="1"/>
  <c r="CO139" i="2"/>
  <c r="HD139" i="2" s="1"/>
  <c r="HH139" i="2" s="1"/>
  <c r="CO12" i="2"/>
  <c r="HD12" i="2" s="1"/>
  <c r="HH12" i="2" s="1"/>
  <c r="CO247" i="2"/>
  <c r="HD247" i="2" s="1"/>
  <c r="HH247" i="2" s="1"/>
  <c r="CO92" i="2"/>
  <c r="HD92" i="2" s="1"/>
  <c r="HH92" i="2" s="1"/>
  <c r="CO109" i="2"/>
  <c r="HD109" i="2" s="1"/>
  <c r="HH109" i="2" s="1"/>
  <c r="CO23" i="2"/>
  <c r="HD23" i="2" s="1"/>
  <c r="HH23" i="2" s="1"/>
  <c r="CO18" i="2"/>
  <c r="HD18" i="2" s="1"/>
  <c r="HH18" i="2" s="1"/>
  <c r="CO62" i="2"/>
  <c r="HD62" i="2" s="1"/>
  <c r="HH62" i="2" s="1"/>
  <c r="CO262" i="2"/>
  <c r="HD262" i="2" s="1"/>
  <c r="HH262" i="2" s="1"/>
  <c r="CO143" i="2"/>
  <c r="HD143" i="2" s="1"/>
  <c r="HH143" i="2" s="1"/>
  <c r="CO175" i="2"/>
  <c r="HD175" i="2" s="1"/>
  <c r="HH175" i="2" s="1"/>
  <c r="CO16" i="2"/>
  <c r="HD16" i="2" s="1"/>
  <c r="HH16" i="2" s="1"/>
  <c r="CO68" i="2"/>
  <c r="HD68" i="2" s="1"/>
  <c r="HH68" i="2" s="1"/>
  <c r="CO252" i="2"/>
  <c r="HD252" i="2" s="1"/>
  <c r="HH252" i="2" s="1"/>
  <c r="CO45" i="2"/>
  <c r="HD45" i="2" s="1"/>
  <c r="HH45" i="2" s="1"/>
  <c r="CO272" i="2"/>
  <c r="HD272" i="2" s="1"/>
  <c r="HH272" i="2" s="1"/>
  <c r="CO25" i="2"/>
  <c r="HD25" i="2" s="1"/>
  <c r="HH25" i="2" s="1"/>
  <c r="CO100" i="2"/>
  <c r="HD100" i="2" s="1"/>
  <c r="HH100" i="2" s="1"/>
  <c r="CO158" i="2"/>
  <c r="HD158" i="2" s="1"/>
  <c r="HH158" i="2" s="1"/>
  <c r="CO48" i="2"/>
  <c r="HD48" i="2" s="1"/>
  <c r="HH48" i="2" s="1"/>
  <c r="CO153" i="2"/>
  <c r="HD153" i="2" s="1"/>
  <c r="HH153" i="2" s="1"/>
  <c r="CC286" i="2"/>
  <c r="K38" i="6" s="1"/>
  <c r="CO59" i="2"/>
  <c r="HD59" i="2" s="1"/>
  <c r="HH59" i="2" s="1"/>
  <c r="CO193" i="2"/>
  <c r="HD193" i="2" s="1"/>
  <c r="HH193" i="2" s="1"/>
  <c r="CO236" i="2"/>
  <c r="HD236" i="2" s="1"/>
  <c r="HH236" i="2" s="1"/>
  <c r="GB286" i="2"/>
  <c r="K79" i="6" s="1"/>
  <c r="CO199" i="2"/>
  <c r="HD199" i="2" s="1"/>
  <c r="HH199" i="2" s="1"/>
  <c r="CO216" i="2"/>
  <c r="HD216" i="2" s="1"/>
  <c r="CO204" i="2"/>
  <c r="HD204" i="2" s="1"/>
  <c r="HH204" i="2" s="1"/>
  <c r="CO52" i="2"/>
  <c r="HD52" i="2" s="1"/>
  <c r="HH52" i="2" s="1"/>
  <c r="CO218" i="2"/>
  <c r="HD218" i="2" s="1"/>
  <c r="CO88" i="2"/>
  <c r="HD88" i="2" s="1"/>
  <c r="CO116" i="2"/>
  <c r="HD116" i="2" s="1"/>
  <c r="HH116" i="2" s="1"/>
  <c r="CO24" i="2"/>
  <c r="HD24" i="2" s="1"/>
  <c r="HH24" i="2" s="1"/>
  <c r="CO28" i="2"/>
  <c r="HD28" i="2" s="1"/>
  <c r="HH28" i="2" s="1"/>
  <c r="CO241" i="2"/>
  <c r="HD241" i="2" s="1"/>
  <c r="HH241" i="2" s="1"/>
  <c r="CO202" i="2"/>
  <c r="HD202" i="2" s="1"/>
  <c r="HH202" i="2" s="1"/>
  <c r="CO115" i="2"/>
  <c r="HD115" i="2" s="1"/>
  <c r="HH115" i="2" s="1"/>
  <c r="CO14" i="2"/>
  <c r="HD14" i="2" s="1"/>
  <c r="HH14" i="2" s="1"/>
  <c r="CO142" i="2"/>
  <c r="HD142" i="2" s="1"/>
  <c r="HH142" i="2" s="1"/>
  <c r="CO98" i="2"/>
  <c r="HD98" i="2" s="1"/>
  <c r="HH98" i="2" s="1"/>
  <c r="CO164" i="2"/>
  <c r="HD164" i="2" s="1"/>
  <c r="HH164" i="2" s="1"/>
  <c r="CO254" i="2"/>
  <c r="HD254" i="2" s="1"/>
  <c r="HH254" i="2" s="1"/>
  <c r="CO32" i="2"/>
  <c r="HD32" i="2" s="1"/>
  <c r="HH32" i="2" s="1"/>
  <c r="CO137" i="2"/>
  <c r="HD137" i="2" s="1"/>
  <c r="HH137" i="2" s="1"/>
  <c r="CO194" i="2"/>
  <c r="HD194" i="2" s="1"/>
  <c r="HH194" i="2" s="1"/>
  <c r="CO101" i="2"/>
  <c r="HD101" i="2" s="1"/>
  <c r="HH101" i="2" s="1"/>
  <c r="CO107" i="2"/>
  <c r="HD107" i="2" s="1"/>
  <c r="HH107" i="2" s="1"/>
  <c r="CO200" i="2"/>
  <c r="HD200" i="2" s="1"/>
  <c r="HH200" i="2" s="1"/>
  <c r="CO257" i="2"/>
  <c r="HD257" i="2" s="1"/>
  <c r="HH257" i="2" s="1"/>
  <c r="CO102" i="2"/>
  <c r="HD102" i="2" s="1"/>
  <c r="HH102" i="2" s="1"/>
  <c r="CO197" i="2"/>
  <c r="HD197" i="2" s="1"/>
  <c r="HH197" i="2" s="1"/>
  <c r="CO58" i="2"/>
  <c r="HD58" i="2" s="1"/>
  <c r="HH58" i="2" s="1"/>
  <c r="CO239" i="2"/>
  <c r="HD239" i="2" s="1"/>
  <c r="HH239" i="2" s="1"/>
  <c r="CO86" i="2"/>
  <c r="HD86" i="2" s="1"/>
  <c r="HH86" i="2" s="1"/>
  <c r="CO183" i="2"/>
  <c r="HD183" i="2" s="1"/>
  <c r="HH183" i="2" s="1"/>
  <c r="CO89" i="2"/>
  <c r="HD89" i="2" s="1"/>
  <c r="CO119" i="2"/>
  <c r="HD119" i="2" s="1"/>
  <c r="HH119" i="2" s="1"/>
  <c r="CO130" i="2"/>
  <c r="CO151" i="2"/>
  <c r="HD151" i="2" s="1"/>
  <c r="HH151" i="2" s="1"/>
  <c r="CO238" i="2"/>
  <c r="HD238" i="2" s="1"/>
  <c r="HH238" i="2" s="1"/>
  <c r="CO168" i="2"/>
  <c r="HD168" i="2" s="1"/>
  <c r="CO242" i="2"/>
  <c r="HD242" i="2" s="1"/>
  <c r="HH242" i="2" s="1"/>
  <c r="CO174" i="2"/>
  <c r="HD174" i="2" s="1"/>
  <c r="HH174" i="2" s="1"/>
  <c r="CO280" i="2"/>
  <c r="HD280" i="2" s="1"/>
  <c r="CO35" i="2"/>
  <c r="HD35" i="2" s="1"/>
  <c r="HH35" i="2" s="1"/>
  <c r="AT286" i="2"/>
  <c r="B80" i="6"/>
  <c r="H3" i="6"/>
  <c r="AF286" i="2"/>
  <c r="CJ286" i="2"/>
  <c r="K37" i="6" s="1"/>
  <c r="H74" i="7" s="1"/>
  <c r="CO6" i="2"/>
  <c r="HD6" i="2" s="1"/>
  <c r="B65" i="11"/>
  <c r="B70" i="11" s="1"/>
  <c r="D70" i="11" s="1"/>
  <c r="D76" i="11" s="1"/>
  <c r="H56" i="6" s="1"/>
  <c r="D77" i="11" s="1"/>
  <c r="G65" i="11"/>
  <c r="G70" i="11" s="1"/>
  <c r="E27" i="8"/>
  <c r="F95" i="6" s="1"/>
  <c r="F50" i="11"/>
  <c r="F49" i="11" s="1"/>
  <c r="F65" i="11" s="1"/>
  <c r="F70" i="11" s="1"/>
  <c r="D49" i="11"/>
  <c r="D65" i="11" s="1"/>
  <c r="FM285" i="2"/>
  <c r="H83" i="6" s="1"/>
  <c r="L74" i="9" s="1"/>
  <c r="H70" i="7"/>
  <c r="H7" i="6"/>
  <c r="K29" i="6"/>
  <c r="M29" i="6" s="1"/>
  <c r="H65" i="7"/>
  <c r="AN364" i="2"/>
  <c r="AN362" i="2"/>
  <c r="H52" i="9"/>
  <c r="GA358" i="2"/>
  <c r="GA360" i="2" s="1"/>
  <c r="AK347" i="2"/>
  <c r="GF358" i="2"/>
  <c r="GF360" i="2" s="1"/>
  <c r="K63" i="6"/>
  <c r="D69" i="10" s="1"/>
  <c r="DM351" i="2"/>
  <c r="DM358" i="2" s="1"/>
  <c r="DM360" i="2" s="1"/>
  <c r="AH358" i="2"/>
  <c r="AH360" i="2" s="1"/>
  <c r="J7" i="8"/>
  <c r="I70" i="10"/>
  <c r="CO259" i="2"/>
  <c r="HD259" i="2" s="1"/>
  <c r="HH259" i="2" s="1"/>
  <c r="CO99" i="2"/>
  <c r="HD99" i="2" s="1"/>
  <c r="HH99" i="2" s="1"/>
  <c r="AK285" i="2"/>
  <c r="H40" i="6" s="1"/>
  <c r="N73" i="7" s="1"/>
  <c r="N112" i="7" s="1"/>
  <c r="H70" i="10"/>
  <c r="D61" i="9"/>
  <c r="D63" i="9" s="1"/>
  <c r="C50" i="9"/>
  <c r="M75" i="7"/>
  <c r="M78" i="7" s="1"/>
  <c r="M85" i="7" s="1"/>
  <c r="E65" i="7"/>
  <c r="E104" i="7" s="1"/>
  <c r="I63" i="9"/>
  <c r="D53" i="9"/>
  <c r="F63" i="9"/>
  <c r="G76" i="9"/>
  <c r="HD287" i="2"/>
  <c r="HD288" i="2"/>
  <c r="C80" i="11"/>
  <c r="C83" i="11" s="1"/>
  <c r="E75" i="9"/>
  <c r="H10" i="8"/>
  <c r="E15" i="8"/>
  <c r="J12" i="8"/>
  <c r="I65" i="7"/>
  <c r="I104" i="7" s="1"/>
  <c r="K63" i="7"/>
  <c r="J76" i="9"/>
  <c r="F75" i="7"/>
  <c r="BE285" i="2"/>
  <c r="H39" i="6" s="1"/>
  <c r="G73" i="7" s="1"/>
  <c r="G112" i="7" s="1"/>
  <c r="AS285" i="2"/>
  <c r="H49" i="6" s="1"/>
  <c r="S73" i="7" s="1"/>
  <c r="P75" i="7"/>
  <c r="P78" i="7" s="1"/>
  <c r="P85" i="7" s="1"/>
  <c r="CN285" i="2"/>
  <c r="J75" i="7"/>
  <c r="J78" i="7" s="1"/>
  <c r="J85" i="7" s="1"/>
  <c r="BL285" i="2"/>
  <c r="H41" i="6" s="1"/>
  <c r="Q73" i="7" s="1"/>
  <c r="Q112" i="7" s="1"/>
  <c r="G69" i="7"/>
  <c r="E70" i="7"/>
  <c r="L65" i="7"/>
  <c r="N63" i="7"/>
  <c r="N102" i="7" s="1"/>
  <c r="O65" i="7"/>
  <c r="O104" i="7" s="1"/>
  <c r="Q63" i="7"/>
  <c r="D57" i="9" l="1"/>
  <c r="K57" i="9"/>
  <c r="D99" i="7"/>
  <c r="AK344" i="2"/>
  <c r="L69" i="7" s="1"/>
  <c r="T99" i="7"/>
  <c r="V60" i="7"/>
  <c r="K99" i="7"/>
  <c r="G99" i="7"/>
  <c r="U99" i="7"/>
  <c r="D18" i="17"/>
  <c r="D25" i="17" s="1"/>
  <c r="AE25" i="6"/>
  <c r="AE34" i="6" s="1"/>
  <c r="H81" i="6"/>
  <c r="H74" i="9" s="1"/>
  <c r="F73" i="11"/>
  <c r="F74" i="11" s="1"/>
  <c r="F75" i="11" s="1"/>
  <c r="CZ360" i="2"/>
  <c r="DA360" i="2" s="1"/>
  <c r="DA358" i="2"/>
  <c r="AD25" i="6"/>
  <c r="AD34" i="6" s="1"/>
  <c r="HD130" i="2"/>
  <c r="D70" i="9"/>
  <c r="D71" i="9" s="1"/>
  <c r="D72" i="9" s="1"/>
  <c r="B71" i="9"/>
  <c r="B72" i="9" s="1"/>
  <c r="D114" i="10"/>
  <c r="M69" i="10"/>
  <c r="M114" i="10" s="1"/>
  <c r="J82" i="10"/>
  <c r="E19" i="15"/>
  <c r="Q19" i="15" s="1"/>
  <c r="HI20" i="2"/>
  <c r="HH104" i="2"/>
  <c r="HH215" i="2"/>
  <c r="G132" i="11"/>
  <c r="G133" i="11" s="1"/>
  <c r="F131" i="11"/>
  <c r="F132" i="11" s="1"/>
  <c r="F133" i="11" s="1"/>
  <c r="G79" i="6"/>
  <c r="HD120" i="2"/>
  <c r="HH120" i="2" s="1"/>
  <c r="C81" i="9"/>
  <c r="C84" i="9" s="1"/>
  <c r="J81" i="9"/>
  <c r="J84" i="9" s="1"/>
  <c r="G81" i="9"/>
  <c r="G84" i="9" s="1"/>
  <c r="N55" i="9"/>
  <c r="D112" i="10"/>
  <c r="BL358" i="2"/>
  <c r="BL360" i="2" s="1"/>
  <c r="BL364" i="2" s="1"/>
  <c r="G4" i="15"/>
  <c r="H10" i="15"/>
  <c r="H18" i="15"/>
  <c r="H24" i="15" s="1"/>
  <c r="F39" i="6"/>
  <c r="F4" i="6" s="1"/>
  <c r="B4" i="16" s="1"/>
  <c r="G4" i="16" s="1"/>
  <c r="F78" i="7"/>
  <c r="F85" i="7" s="1"/>
  <c r="H82" i="10"/>
  <c r="H115" i="10"/>
  <c r="I82" i="10"/>
  <c r="I115" i="10"/>
  <c r="I24" i="15"/>
  <c r="I17" i="15"/>
  <c r="D113" i="10"/>
  <c r="M112" i="10"/>
  <c r="G50" i="9"/>
  <c r="G59" i="9" s="1"/>
  <c r="G64" i="9" s="1"/>
  <c r="G73" i="9" s="1"/>
  <c r="G18" i="15"/>
  <c r="N56" i="9"/>
  <c r="H56" i="9"/>
  <c r="G6" i="15"/>
  <c r="G20" i="15"/>
  <c r="E6" i="15"/>
  <c r="E20" i="15"/>
  <c r="M53" i="9"/>
  <c r="F20" i="15"/>
  <c r="C18" i="15"/>
  <c r="C24" i="15" s="1"/>
  <c r="J80" i="6"/>
  <c r="I83" i="6"/>
  <c r="I86" i="6" s="1"/>
  <c r="I92" i="6" s="1"/>
  <c r="F83" i="6"/>
  <c r="C61" i="7"/>
  <c r="C91" i="7"/>
  <c r="F49" i="6"/>
  <c r="S112" i="7"/>
  <c r="B56" i="7"/>
  <c r="B95" i="7" s="1"/>
  <c r="B98" i="7"/>
  <c r="J91" i="7"/>
  <c r="D70" i="7"/>
  <c r="D108" i="7"/>
  <c r="I94" i="7"/>
  <c r="G55" i="7"/>
  <c r="G94" i="7" s="1"/>
  <c r="M20" i="15" s="1"/>
  <c r="F94" i="7"/>
  <c r="O94" i="7"/>
  <c r="I97" i="7"/>
  <c r="U58" i="7"/>
  <c r="H97" i="7"/>
  <c r="S97" i="7"/>
  <c r="L104" i="7"/>
  <c r="K102" i="7"/>
  <c r="U65" i="7"/>
  <c r="U104" i="7" s="1"/>
  <c r="H104" i="7"/>
  <c r="U70" i="7"/>
  <c r="U109" i="7" s="1"/>
  <c r="H109" i="7"/>
  <c r="I37" i="6"/>
  <c r="H113" i="7"/>
  <c r="S104" i="7"/>
  <c r="V54" i="7"/>
  <c r="V93" i="7" s="1"/>
  <c r="T93" i="7"/>
  <c r="V63" i="7"/>
  <c r="V102" i="7" s="1"/>
  <c r="T102" i="7"/>
  <c r="L52" i="7"/>
  <c r="L91" i="7" s="1"/>
  <c r="L92" i="7"/>
  <c r="P52" i="7"/>
  <c r="P94" i="7"/>
  <c r="L97" i="7"/>
  <c r="O97" i="7"/>
  <c r="G108" i="7"/>
  <c r="Q102" i="7"/>
  <c r="E109" i="7"/>
  <c r="I49" i="6"/>
  <c r="S113" i="7"/>
  <c r="G58" i="7"/>
  <c r="G102" i="7"/>
  <c r="D65" i="7"/>
  <c r="D104" i="7" s="1"/>
  <c r="D102" i="7"/>
  <c r="S24" i="15"/>
  <c r="M94" i="7"/>
  <c r="U53" i="7"/>
  <c r="U92" i="7" s="1"/>
  <c r="H92" i="7"/>
  <c r="N18" i="15" s="1"/>
  <c r="N24" i="15" s="1"/>
  <c r="J94" i="7"/>
  <c r="K53" i="9"/>
  <c r="H53" i="9"/>
  <c r="G5" i="15"/>
  <c r="J50" i="9"/>
  <c r="J59" i="9" s="1"/>
  <c r="J64" i="9" s="1"/>
  <c r="J73" i="9" s="1"/>
  <c r="L57" i="9"/>
  <c r="L54" i="9" s="1"/>
  <c r="N54" i="9" s="1"/>
  <c r="F57" i="9"/>
  <c r="C6" i="15"/>
  <c r="Q58" i="7"/>
  <c r="N58" i="7"/>
  <c r="T58" i="7"/>
  <c r="U55" i="7"/>
  <c r="K58" i="7"/>
  <c r="Q55" i="7"/>
  <c r="T55" i="7"/>
  <c r="E59" i="7"/>
  <c r="T53" i="7"/>
  <c r="T92" i="7" s="1"/>
  <c r="S59" i="7"/>
  <c r="F52" i="7"/>
  <c r="I59" i="7"/>
  <c r="K55" i="7"/>
  <c r="H37" i="6"/>
  <c r="M37" i="6" s="1"/>
  <c r="H73" i="7"/>
  <c r="O59" i="7"/>
  <c r="D75" i="9"/>
  <c r="J38" i="6"/>
  <c r="J3" i="6" s="1"/>
  <c r="K74" i="7"/>
  <c r="K113" i="7" s="1"/>
  <c r="K114" i="7" s="1"/>
  <c r="K115" i="7" s="1"/>
  <c r="I63" i="6"/>
  <c r="H75" i="9"/>
  <c r="J41" i="6"/>
  <c r="J6" i="6" s="1"/>
  <c r="Q74" i="7"/>
  <c r="F41" i="6"/>
  <c r="F6" i="6" s="1"/>
  <c r="F40" i="6"/>
  <c r="F5" i="6" s="1"/>
  <c r="F38" i="6"/>
  <c r="F3" i="6" s="1"/>
  <c r="L56" i="7"/>
  <c r="V86" i="7"/>
  <c r="W86" i="7" s="1"/>
  <c r="G108" i="11"/>
  <c r="F108" i="11" s="1"/>
  <c r="F107" i="11" s="1"/>
  <c r="N75" i="9"/>
  <c r="N51" i="9"/>
  <c r="M56" i="9"/>
  <c r="M55" i="9"/>
  <c r="M85" i="9"/>
  <c r="O85" i="9" s="1"/>
  <c r="N53" i="9"/>
  <c r="C59" i="9"/>
  <c r="C64" i="9" s="1"/>
  <c r="C73" i="9" s="1"/>
  <c r="M51" i="9"/>
  <c r="M70" i="9"/>
  <c r="M71" i="9" s="1"/>
  <c r="M72" i="9" s="1"/>
  <c r="O58" i="9"/>
  <c r="K56" i="9"/>
  <c r="I54" i="9"/>
  <c r="K54" i="9" s="1"/>
  <c r="HH147" i="2"/>
  <c r="HI204" i="2"/>
  <c r="O70" i="7"/>
  <c r="Q69" i="7"/>
  <c r="O61" i="9"/>
  <c r="O63" i="9" s="1"/>
  <c r="K55" i="9"/>
  <c r="D59" i="7"/>
  <c r="HH88" i="2"/>
  <c r="HI103" i="2"/>
  <c r="HD217" i="2"/>
  <c r="HH217" i="2" s="1"/>
  <c r="HH208" i="2"/>
  <c r="D53" i="7"/>
  <c r="B52" i="7"/>
  <c r="B91" i="7" s="1"/>
  <c r="T65" i="7"/>
  <c r="B71" i="7"/>
  <c r="B110" i="7" s="1"/>
  <c r="G76" i="11"/>
  <c r="K53" i="7"/>
  <c r="K92" i="7" s="1"/>
  <c r="O18" i="15" s="1"/>
  <c r="I52" i="7"/>
  <c r="N53" i="7"/>
  <c r="M52" i="7"/>
  <c r="G53" i="7"/>
  <c r="E52" i="7"/>
  <c r="K5" i="15"/>
  <c r="S52" i="7"/>
  <c r="S91" i="7" s="1"/>
  <c r="S17" i="15" s="1"/>
  <c r="O52" i="7"/>
  <c r="Q53" i="7"/>
  <c r="Q92" i="7" s="1"/>
  <c r="P18" i="15" s="1"/>
  <c r="H52" i="7"/>
  <c r="H91" i="7" s="1"/>
  <c r="N17" i="15" s="1"/>
  <c r="K6" i="15"/>
  <c r="H70" i="9"/>
  <c r="H71" i="9" s="1"/>
  <c r="H72" i="9" s="1"/>
  <c r="F71" i="9"/>
  <c r="F72" i="9" s="1"/>
  <c r="HH89" i="2"/>
  <c r="HJ280" i="2"/>
  <c r="HJ278" i="2"/>
  <c r="HJ277" i="2"/>
  <c r="HI279" i="2"/>
  <c r="HJ279" i="2"/>
  <c r="HH216" i="2"/>
  <c r="N6" i="15"/>
  <c r="M10" i="8"/>
  <c r="P10" i="8"/>
  <c r="K15" i="8"/>
  <c r="N15" i="8"/>
  <c r="N4" i="15"/>
  <c r="S4" i="15"/>
  <c r="O5" i="15"/>
  <c r="S5" i="15"/>
  <c r="K27" i="8"/>
  <c r="N27" i="8"/>
  <c r="L6" i="15"/>
  <c r="S6" i="15"/>
  <c r="P5" i="15"/>
  <c r="M5" i="15"/>
  <c r="F76" i="11"/>
  <c r="D66" i="10"/>
  <c r="M66" i="10" s="1"/>
  <c r="B3" i="15"/>
  <c r="HI278" i="2"/>
  <c r="HH277" i="2"/>
  <c r="HI277" i="2"/>
  <c r="N59" i="7"/>
  <c r="HH276" i="2"/>
  <c r="HI276" i="2"/>
  <c r="F26" i="8"/>
  <c r="L20" i="8"/>
  <c r="C94" i="11"/>
  <c r="C138" i="11"/>
  <c r="J28" i="8"/>
  <c r="M28" i="8"/>
  <c r="J6" i="8"/>
  <c r="M6" i="8"/>
  <c r="B78" i="11"/>
  <c r="D136" i="11"/>
  <c r="G136" i="11" s="1"/>
  <c r="G56" i="6"/>
  <c r="G60" i="6" s="1"/>
  <c r="G20" i="6" s="1"/>
  <c r="H60" i="6"/>
  <c r="H20" i="6" s="1"/>
  <c r="M56" i="6"/>
  <c r="M60" i="6" s="1"/>
  <c r="HD128" i="2"/>
  <c r="HH128" i="2" s="1"/>
  <c r="M53" i="10"/>
  <c r="M58" i="10" s="1"/>
  <c r="N67" i="10" s="1"/>
  <c r="O52" i="9"/>
  <c r="I50" i="9"/>
  <c r="H55" i="9"/>
  <c r="K70" i="9"/>
  <c r="F117" i="11"/>
  <c r="F114" i="11" s="1"/>
  <c r="D51" i="9"/>
  <c r="D123" i="11"/>
  <c r="B134" i="11"/>
  <c r="D128" i="11"/>
  <c r="C5" i="15"/>
  <c r="K57" i="7"/>
  <c r="K96" i="7" s="1"/>
  <c r="Q65" i="7"/>
  <c r="N65" i="7"/>
  <c r="J61" i="7"/>
  <c r="J100" i="7" s="1"/>
  <c r="N57" i="7"/>
  <c r="N96" i="7" s="1"/>
  <c r="G65" i="7"/>
  <c r="K65" i="7"/>
  <c r="S70" i="7"/>
  <c r="S109" i="7" s="1"/>
  <c r="HH218" i="2"/>
  <c r="HH172" i="2"/>
  <c r="HH168" i="2"/>
  <c r="BE358" i="2"/>
  <c r="BE360" i="2" s="1"/>
  <c r="BE362" i="2" s="1"/>
  <c r="HH144" i="2"/>
  <c r="HH114" i="2"/>
  <c r="HH43" i="2"/>
  <c r="CB351" i="2"/>
  <c r="D74" i="7" s="1"/>
  <c r="D113" i="7" s="1"/>
  <c r="K7" i="6"/>
  <c r="M7" i="6" s="1"/>
  <c r="M41" i="6"/>
  <c r="M63" i="6"/>
  <c r="B63" i="6" s="1"/>
  <c r="B70" i="6" s="1"/>
  <c r="B76" i="6" s="1"/>
  <c r="HI280" i="2"/>
  <c r="HH264" i="2"/>
  <c r="K3" i="6"/>
  <c r="M3" i="6" s="1"/>
  <c r="K6" i="6"/>
  <c r="I71" i="9"/>
  <c r="I72" i="9" s="1"/>
  <c r="M82" i="6"/>
  <c r="B82" i="6" s="1"/>
  <c r="M45" i="6"/>
  <c r="HD286" i="2"/>
  <c r="D55" i="9"/>
  <c r="FM358" i="2"/>
  <c r="FM360" i="2" s="1"/>
  <c r="FM362" i="2" s="1"/>
  <c r="HI258" i="2"/>
  <c r="HI146" i="2"/>
  <c r="HH225" i="2"/>
  <c r="M49" i="6"/>
  <c r="M105" i="6" s="1"/>
  <c r="K39" i="6"/>
  <c r="H27" i="8"/>
  <c r="M38" i="6"/>
  <c r="M83" i="6"/>
  <c r="B83" i="6" s="1"/>
  <c r="K40" i="6"/>
  <c r="M79" i="6"/>
  <c r="B79" i="6" s="1"/>
  <c r="H4" i="6"/>
  <c r="I60" i="6"/>
  <c r="K70" i="6"/>
  <c r="H5" i="6"/>
  <c r="HI87" i="2"/>
  <c r="H6" i="6"/>
  <c r="K12" i="6"/>
  <c r="H12" i="6"/>
  <c r="B76" i="11"/>
  <c r="N74" i="9"/>
  <c r="CI358" i="2"/>
  <c r="CI360" i="2" s="1"/>
  <c r="CI362" i="2" s="1"/>
  <c r="N95" i="6"/>
  <c r="N29" i="6" s="1"/>
  <c r="HH106" i="2"/>
  <c r="HH136" i="2"/>
  <c r="HI275" i="2"/>
  <c r="HI80" i="2"/>
  <c r="H71" i="7"/>
  <c r="FS358" i="2"/>
  <c r="FS360" i="2" s="1"/>
  <c r="FS364" i="2" s="1"/>
  <c r="FS365" i="2" s="1"/>
  <c r="AS358" i="2"/>
  <c r="AS360" i="2" s="1"/>
  <c r="AS364" i="2" s="1"/>
  <c r="AH362" i="2"/>
  <c r="AH364" i="2"/>
  <c r="GF364" i="2"/>
  <c r="GF365" i="2" s="1"/>
  <c r="GF362" i="2"/>
  <c r="DM364" i="2"/>
  <c r="DM362" i="2"/>
  <c r="GA362" i="2"/>
  <c r="GA364" i="2"/>
  <c r="G78" i="11"/>
  <c r="B50" i="9"/>
  <c r="B54" i="9"/>
  <c r="D92" i="11"/>
  <c r="K60" i="6"/>
  <c r="K20" i="6" s="1"/>
  <c r="K86" i="6"/>
  <c r="E28" i="8"/>
  <c r="I95" i="6" s="1"/>
  <c r="B13" i="16" s="1"/>
  <c r="G13" i="16" s="1"/>
  <c r="G29" i="8"/>
  <c r="P29" i="8" s="1"/>
  <c r="L50" i="9"/>
  <c r="K51" i="9"/>
  <c r="F50" i="9"/>
  <c r="E76" i="9"/>
  <c r="H51" i="9"/>
  <c r="J10" i="8"/>
  <c r="G15" i="8"/>
  <c r="P15" i="8" s="1"/>
  <c r="E20" i="8"/>
  <c r="H15" i="8"/>
  <c r="CO285" i="2"/>
  <c r="HD285" i="2" s="1"/>
  <c r="HH6" i="2"/>
  <c r="G57" i="7"/>
  <c r="G96" i="7" s="1"/>
  <c r="G70" i="7"/>
  <c r="E71" i="7"/>
  <c r="E110" i="7" s="1"/>
  <c r="I73" i="7"/>
  <c r="B74" i="9"/>
  <c r="I70" i="7"/>
  <c r="K69" i="7"/>
  <c r="M81" i="6" l="1"/>
  <c r="B81" i="6" s="1"/>
  <c r="H86" i="6"/>
  <c r="H25" i="6" s="1"/>
  <c r="I29" i="6"/>
  <c r="J95" i="6"/>
  <c r="CZ364" i="2"/>
  <c r="DA364" i="2" s="1"/>
  <c r="HH130" i="2"/>
  <c r="HI140" i="2"/>
  <c r="V99" i="7"/>
  <c r="H14" i="17"/>
  <c r="X29" i="6"/>
  <c r="F74" i="9"/>
  <c r="CZ362" i="2"/>
  <c r="DA362" i="2" s="1"/>
  <c r="P61" i="7"/>
  <c r="P100" i="7" s="1"/>
  <c r="HI224" i="2"/>
  <c r="HI128" i="2"/>
  <c r="HJ281" i="2"/>
  <c r="E4" i="15"/>
  <c r="E10" i="15" s="1"/>
  <c r="E81" i="9"/>
  <c r="E84" i="9" s="1"/>
  <c r="I74" i="9"/>
  <c r="M6" i="15"/>
  <c r="O53" i="9"/>
  <c r="BL362" i="2"/>
  <c r="F18" i="15"/>
  <c r="F24" i="15" s="1"/>
  <c r="HD281" i="2"/>
  <c r="H50" i="9"/>
  <c r="O56" i="9"/>
  <c r="I4" i="15"/>
  <c r="I10" i="15" s="1"/>
  <c r="G39" i="6"/>
  <c r="G4" i="6" s="1"/>
  <c r="H11" i="15"/>
  <c r="H17" i="15"/>
  <c r="H25" i="15" s="1"/>
  <c r="I25" i="15"/>
  <c r="E18" i="15"/>
  <c r="E24" i="15" s="1"/>
  <c r="G24" i="15"/>
  <c r="H57" i="9"/>
  <c r="G141" i="11"/>
  <c r="F141" i="11" s="1"/>
  <c r="N25" i="15"/>
  <c r="K108" i="7"/>
  <c r="G109" i="7"/>
  <c r="G104" i="7"/>
  <c r="Q108" i="7"/>
  <c r="U52" i="7"/>
  <c r="U91" i="7" s="1"/>
  <c r="U94" i="7"/>
  <c r="S25" i="15"/>
  <c r="G97" i="7"/>
  <c r="U71" i="7"/>
  <c r="U110" i="7" s="1"/>
  <c r="H110" i="7"/>
  <c r="M91" i="7"/>
  <c r="O109" i="7"/>
  <c r="V58" i="7"/>
  <c r="V97" i="7" s="1"/>
  <c r="T97" i="7"/>
  <c r="Q97" i="7"/>
  <c r="N104" i="7"/>
  <c r="G52" i="7"/>
  <c r="G91" i="7" s="1"/>
  <c r="M17" i="15" s="1"/>
  <c r="G92" i="7"/>
  <c r="M18" i="15" s="1"/>
  <c r="M24" i="15" s="1"/>
  <c r="D56" i="7"/>
  <c r="D95" i="7" s="1"/>
  <c r="D98" i="7"/>
  <c r="F37" i="6"/>
  <c r="H112" i="7"/>
  <c r="H114" i="7" s="1"/>
  <c r="H115" i="7" s="1"/>
  <c r="N97" i="7"/>
  <c r="I109" i="7"/>
  <c r="K104" i="7"/>
  <c r="Q104" i="7"/>
  <c r="O91" i="7"/>
  <c r="N52" i="7"/>
  <c r="N91" i="7" s="1"/>
  <c r="L17" i="15" s="1"/>
  <c r="N92" i="7"/>
  <c r="L18" i="15" s="1"/>
  <c r="L24" i="15" s="1"/>
  <c r="D52" i="7"/>
  <c r="D91" i="7" s="1"/>
  <c r="K17" i="15" s="1"/>
  <c r="D92" i="7"/>
  <c r="K18" i="15" s="1"/>
  <c r="T69" i="7"/>
  <c r="T108" i="7" s="1"/>
  <c r="L108" i="7"/>
  <c r="O6" i="15"/>
  <c r="K94" i="7"/>
  <c r="O20" i="15" s="1"/>
  <c r="F91" i="7"/>
  <c r="S98" i="7"/>
  <c r="Q94" i="7"/>
  <c r="P20" i="15" s="1"/>
  <c r="P24" i="15" s="1"/>
  <c r="S114" i="7"/>
  <c r="S115" i="7" s="1"/>
  <c r="V65" i="7"/>
  <c r="V104" i="7" s="1"/>
  <c r="T104" i="7"/>
  <c r="E98" i="7"/>
  <c r="I112" i="7"/>
  <c r="N98" i="7"/>
  <c r="E91" i="7"/>
  <c r="I91" i="7"/>
  <c r="L95" i="7"/>
  <c r="Q113" i="7"/>
  <c r="Q114" i="7" s="1"/>
  <c r="Q115" i="7" s="1"/>
  <c r="O98" i="7"/>
  <c r="I98" i="7"/>
  <c r="T94" i="7"/>
  <c r="K97" i="7"/>
  <c r="P91" i="7"/>
  <c r="U97" i="7"/>
  <c r="D71" i="7"/>
  <c r="D110" i="7" s="1"/>
  <c r="D109" i="7"/>
  <c r="C66" i="7"/>
  <c r="C100" i="7"/>
  <c r="G107" i="11"/>
  <c r="I3" i="15" s="1"/>
  <c r="D134" i="11"/>
  <c r="G38" i="6"/>
  <c r="G3" i="6" s="1"/>
  <c r="L3" i="6" s="1"/>
  <c r="M57" i="9"/>
  <c r="K50" i="9"/>
  <c r="K59" i="9" s="1"/>
  <c r="K64" i="9" s="1"/>
  <c r="N57" i="9"/>
  <c r="N50" i="9"/>
  <c r="N59" i="9" s="1"/>
  <c r="F54" i="9"/>
  <c r="H54" i="9" s="1"/>
  <c r="F6" i="15"/>
  <c r="D76" i="9"/>
  <c r="D81" i="9" s="1"/>
  <c r="AK358" i="2"/>
  <c r="AK360" i="2" s="1"/>
  <c r="AK364" i="2" s="1"/>
  <c r="Q59" i="7"/>
  <c r="K52" i="7"/>
  <c r="K91" i="7" s="1"/>
  <c r="O17" i="15" s="1"/>
  <c r="V55" i="7"/>
  <c r="V94" i="7" s="1"/>
  <c r="M61" i="7"/>
  <c r="I56" i="7"/>
  <c r="G59" i="7"/>
  <c r="K59" i="7"/>
  <c r="T59" i="7"/>
  <c r="E56" i="7"/>
  <c r="H2" i="6"/>
  <c r="H34" i="6" s="1"/>
  <c r="F61" i="7"/>
  <c r="F66" i="7" s="1"/>
  <c r="F105" i="7" s="1"/>
  <c r="Q52" i="7"/>
  <c r="Q91" i="7" s="1"/>
  <c r="P17" i="15" s="1"/>
  <c r="G41" i="6"/>
  <c r="G6" i="6" s="1"/>
  <c r="L6" i="6" s="1"/>
  <c r="P6" i="15"/>
  <c r="B75" i="9"/>
  <c r="S56" i="7"/>
  <c r="H42" i="6"/>
  <c r="F75" i="9"/>
  <c r="H76" i="9"/>
  <c r="B3" i="16"/>
  <c r="G3" i="16" s="1"/>
  <c r="AF3" i="6"/>
  <c r="Q70" i="7"/>
  <c r="H59" i="7"/>
  <c r="O71" i="7"/>
  <c r="G40" i="6"/>
  <c r="G5" i="6" s="1"/>
  <c r="B141" i="11"/>
  <c r="J56" i="6"/>
  <c r="J60" i="6" s="1"/>
  <c r="J20" i="6" s="1"/>
  <c r="L20" i="6" s="1"/>
  <c r="J40" i="6"/>
  <c r="J5" i="6" s="1"/>
  <c r="N74" i="7"/>
  <c r="M39" i="6"/>
  <c r="G74" i="7"/>
  <c r="B6" i="16"/>
  <c r="G6" i="16" s="1"/>
  <c r="V6" i="6"/>
  <c r="AF6" i="6"/>
  <c r="B5" i="16"/>
  <c r="G5" i="16" s="1"/>
  <c r="V5" i="6"/>
  <c r="AF5" i="6"/>
  <c r="V3" i="6"/>
  <c r="N56" i="7"/>
  <c r="O56" i="7"/>
  <c r="U57" i="7"/>
  <c r="D54" i="9"/>
  <c r="D50" i="9"/>
  <c r="M50" i="9"/>
  <c r="K71" i="9"/>
  <c r="K72" i="9" s="1"/>
  <c r="O70" i="9"/>
  <c r="N70" i="9" s="1"/>
  <c r="N71" i="9" s="1"/>
  <c r="N72" i="9" s="1"/>
  <c r="N69" i="7"/>
  <c r="L70" i="7"/>
  <c r="B61" i="7"/>
  <c r="J75" i="12"/>
  <c r="J78" i="12" s="1"/>
  <c r="K79" i="12" s="1"/>
  <c r="D13" i="16"/>
  <c r="T57" i="7"/>
  <c r="T52" i="7"/>
  <c r="T91" i="7" s="1"/>
  <c r="V53" i="7"/>
  <c r="V92" i="7" s="1"/>
  <c r="CB358" i="2"/>
  <c r="CB360" i="2" s="1"/>
  <c r="CB362" i="2" s="1"/>
  <c r="B74" i="7"/>
  <c r="B113" i="7" s="1"/>
  <c r="K4" i="15"/>
  <c r="K10" i="15" s="1"/>
  <c r="HH278" i="2"/>
  <c r="HH279" i="2"/>
  <c r="N10" i="15"/>
  <c r="HE283" i="2"/>
  <c r="HH280" i="2"/>
  <c r="D67" i="10"/>
  <c r="M67" i="10" s="1"/>
  <c r="S10" i="15"/>
  <c r="K20" i="8"/>
  <c r="N20" i="8"/>
  <c r="P4" i="15"/>
  <c r="O4" i="15"/>
  <c r="N3" i="15"/>
  <c r="L4" i="15"/>
  <c r="M4" i="15"/>
  <c r="K28" i="8"/>
  <c r="N28" i="8"/>
  <c r="L5" i="15"/>
  <c r="Q5" i="15" s="1"/>
  <c r="S3" i="15"/>
  <c r="L26" i="8"/>
  <c r="O26" i="8"/>
  <c r="Q7" i="15"/>
  <c r="B10" i="15"/>
  <c r="B11" i="15" s="1"/>
  <c r="G10" i="15"/>
  <c r="M20" i="6"/>
  <c r="G92" i="11"/>
  <c r="I12" i="6"/>
  <c r="O74" i="7"/>
  <c r="O73" i="7"/>
  <c r="K76" i="9"/>
  <c r="K81" i="9" s="1"/>
  <c r="B92" i="11"/>
  <c r="J15" i="8"/>
  <c r="M15" i="8"/>
  <c r="V4" i="6"/>
  <c r="AF4" i="6"/>
  <c r="G30" i="8"/>
  <c r="G33" i="8" s="1"/>
  <c r="M29" i="8"/>
  <c r="D79" i="11"/>
  <c r="D135" i="11"/>
  <c r="G135" i="11" s="1"/>
  <c r="F135" i="11" s="1"/>
  <c r="F136" i="11"/>
  <c r="B136" i="11"/>
  <c r="AH29" i="6"/>
  <c r="B77" i="11"/>
  <c r="G77" i="11"/>
  <c r="D91" i="11"/>
  <c r="I59" i="9"/>
  <c r="I64" i="9" s="1"/>
  <c r="I73" i="9" s="1"/>
  <c r="C4" i="15"/>
  <c r="C10" i="15" s="1"/>
  <c r="I70" i="6"/>
  <c r="I76" i="6" s="1"/>
  <c r="M81" i="10"/>
  <c r="F4" i="15"/>
  <c r="F123" i="11"/>
  <c r="F128" i="11" s="1"/>
  <c r="F134" i="11" s="1"/>
  <c r="S71" i="7"/>
  <c r="P66" i="7"/>
  <c r="P105" i="7" s="1"/>
  <c r="G71" i="7"/>
  <c r="Q57" i="7"/>
  <c r="Q96" i="7" s="1"/>
  <c r="J66" i="7"/>
  <c r="J105" i="7" s="1"/>
  <c r="BE364" i="2"/>
  <c r="FM364" i="2"/>
  <c r="K23" i="6"/>
  <c r="M23" i="6" s="1"/>
  <c r="K76" i="6"/>
  <c r="I25" i="6"/>
  <c r="M6" i="6"/>
  <c r="I75" i="9"/>
  <c r="M70" i="6"/>
  <c r="M76" i="6" s="1"/>
  <c r="K5" i="6"/>
  <c r="M5" i="6" s="1"/>
  <c r="F29" i="6"/>
  <c r="G95" i="6"/>
  <c r="G29" i="6" s="1"/>
  <c r="H28" i="8"/>
  <c r="J29" i="6"/>
  <c r="D81" i="10"/>
  <c r="M12" i="6"/>
  <c r="G83" i="6"/>
  <c r="M40" i="6"/>
  <c r="J39" i="6"/>
  <c r="J4" i="6" s="1"/>
  <c r="K4" i="6"/>
  <c r="M4" i="6" s="1"/>
  <c r="I20" i="6"/>
  <c r="G81" i="6"/>
  <c r="S75" i="7"/>
  <c r="K75" i="7"/>
  <c r="N38" i="6" s="1"/>
  <c r="I74" i="7"/>
  <c r="P49" i="6"/>
  <c r="P105" i="6" s="1"/>
  <c r="L61" i="7"/>
  <c r="L100" i="7" s="1"/>
  <c r="L76" i="9"/>
  <c r="H92" i="6"/>
  <c r="CI364" i="2"/>
  <c r="CN358" i="2"/>
  <c r="CN360" i="2" s="1"/>
  <c r="CN364" i="2" s="1"/>
  <c r="FS362" i="2"/>
  <c r="K92" i="6"/>
  <c r="K25" i="6"/>
  <c r="M25" i="6" s="1"/>
  <c r="N66" i="6"/>
  <c r="Q75" i="7"/>
  <c r="N41" i="6" s="1"/>
  <c r="B47" i="6"/>
  <c r="B53" i="6" s="1"/>
  <c r="AS362" i="2"/>
  <c r="F78" i="11"/>
  <c r="F92" i="11" s="1"/>
  <c r="B59" i="9"/>
  <c r="B64" i="9" s="1"/>
  <c r="B73" i="9" s="1"/>
  <c r="B56" i="6"/>
  <c r="B60" i="6" s="1"/>
  <c r="M86" i="6"/>
  <c r="M92" i="6" s="1"/>
  <c r="E29" i="8"/>
  <c r="N29" i="8" s="1"/>
  <c r="N63" i="9"/>
  <c r="J29" i="8"/>
  <c r="L59" i="9"/>
  <c r="L64" i="9" s="1"/>
  <c r="L73" i="9" s="1"/>
  <c r="O51" i="9"/>
  <c r="O55" i="9"/>
  <c r="G20" i="8"/>
  <c r="P20" i="8" s="1"/>
  <c r="H20" i="8"/>
  <c r="E26" i="8"/>
  <c r="E73" i="7"/>
  <c r="L73" i="7"/>
  <c r="I71" i="7"/>
  <c r="K70" i="7"/>
  <c r="M10" i="15" l="1"/>
  <c r="M74" i="9"/>
  <c r="E3" i="15"/>
  <c r="E11" i="15" s="1"/>
  <c r="L81" i="9"/>
  <c r="L84" i="9" s="1"/>
  <c r="H81" i="9"/>
  <c r="Z29" i="6"/>
  <c r="AB29" i="6" s="1"/>
  <c r="Q29" i="8"/>
  <c r="H59" i="9"/>
  <c r="H64" i="9" s="1"/>
  <c r="H73" i="9" s="1"/>
  <c r="HI281" i="2"/>
  <c r="HH281" i="2"/>
  <c r="I11" i="15"/>
  <c r="O10" i="15"/>
  <c r="L4" i="6"/>
  <c r="D61" i="7"/>
  <c r="D66" i="7" s="1"/>
  <c r="D72" i="7" s="1"/>
  <c r="V69" i="7"/>
  <c r="S78" i="7"/>
  <c r="S85" i="7" s="1"/>
  <c r="F59" i="9"/>
  <c r="F64" i="9" s="1"/>
  <c r="F73" i="9" s="1"/>
  <c r="N76" i="9"/>
  <c r="N81" i="9" s="1"/>
  <c r="C17" i="15"/>
  <c r="C25" i="15" s="1"/>
  <c r="F17" i="15"/>
  <c r="F25" i="15" s="1"/>
  <c r="G17" i="15"/>
  <c r="G25" i="15" s="1"/>
  <c r="Q20" i="15"/>
  <c r="J79" i="6"/>
  <c r="G140" i="11"/>
  <c r="F140" i="11" s="1"/>
  <c r="F142" i="11" s="1"/>
  <c r="B140" i="11"/>
  <c r="B142" i="11" s="1"/>
  <c r="B143" i="11" s="1"/>
  <c r="B146" i="11" s="1"/>
  <c r="P25" i="15"/>
  <c r="L25" i="15"/>
  <c r="S110" i="7"/>
  <c r="B66" i="7"/>
  <c r="B72" i="7" s="1"/>
  <c r="B100" i="7"/>
  <c r="K24" i="15"/>
  <c r="K25" i="15" s="1"/>
  <c r="Q18" i="15"/>
  <c r="I110" i="7"/>
  <c r="G113" i="7"/>
  <c r="G114" i="7" s="1"/>
  <c r="G115" i="7" s="1"/>
  <c r="U59" i="7"/>
  <c r="U98" i="7" s="1"/>
  <c r="H98" i="7"/>
  <c r="F100" i="7"/>
  <c r="I95" i="7"/>
  <c r="C72" i="7"/>
  <c r="C105" i="7"/>
  <c r="O24" i="15"/>
  <c r="O25" i="15" s="1"/>
  <c r="L112" i="7"/>
  <c r="E112" i="7"/>
  <c r="I113" i="7"/>
  <c r="I114" i="7" s="1"/>
  <c r="I115" i="7" s="1"/>
  <c r="O112" i="7"/>
  <c r="T96" i="7"/>
  <c r="L71" i="7"/>
  <c r="L109" i="7"/>
  <c r="U96" i="7"/>
  <c r="N95" i="7"/>
  <c r="S95" i="7"/>
  <c r="K98" i="7"/>
  <c r="Q98" i="7"/>
  <c r="K109" i="7"/>
  <c r="N108" i="7"/>
  <c r="Q71" i="7"/>
  <c r="O110" i="7"/>
  <c r="T98" i="7"/>
  <c r="G98" i="7"/>
  <c r="G110" i="7"/>
  <c r="O113" i="7"/>
  <c r="O95" i="7"/>
  <c r="N113" i="7"/>
  <c r="N114" i="7" s="1"/>
  <c r="N115" i="7" s="1"/>
  <c r="Q109" i="7"/>
  <c r="E95" i="7"/>
  <c r="M100" i="7"/>
  <c r="M25" i="15"/>
  <c r="G123" i="11"/>
  <c r="G128" i="11" s="1"/>
  <c r="G134" i="11" s="1"/>
  <c r="AK362" i="2"/>
  <c r="K73" i="9"/>
  <c r="F10" i="15"/>
  <c r="O57" i="9"/>
  <c r="M66" i="7"/>
  <c r="M105" i="7" s="1"/>
  <c r="I61" i="7"/>
  <c r="I100" i="7" s="1"/>
  <c r="O50" i="9"/>
  <c r="Q6" i="15"/>
  <c r="M54" i="9"/>
  <c r="O54" i="9" s="1"/>
  <c r="M42" i="6"/>
  <c r="V52" i="7"/>
  <c r="K56" i="7"/>
  <c r="K61" i="7" s="1"/>
  <c r="E61" i="7"/>
  <c r="F76" i="9"/>
  <c r="G56" i="7"/>
  <c r="P10" i="15"/>
  <c r="J81" i="6"/>
  <c r="B76" i="9"/>
  <c r="H56" i="7"/>
  <c r="H95" i="7" s="1"/>
  <c r="L5" i="6"/>
  <c r="S61" i="7"/>
  <c r="J82" i="6"/>
  <c r="D59" i="9"/>
  <c r="D64" i="9" s="1"/>
  <c r="D73" i="9" s="1"/>
  <c r="D137" i="11"/>
  <c r="N56" i="6"/>
  <c r="N60" i="6" s="1"/>
  <c r="N20" i="6" s="1"/>
  <c r="D11" i="16" s="1"/>
  <c r="G22" i="17" s="1"/>
  <c r="I22" i="17" s="1"/>
  <c r="N70" i="7"/>
  <c r="Q56" i="7"/>
  <c r="T56" i="7"/>
  <c r="G3" i="15"/>
  <c r="G11" i="15" s="1"/>
  <c r="M75" i="9"/>
  <c r="T70" i="7"/>
  <c r="C13" i="16"/>
  <c r="H13" i="16" s="1"/>
  <c r="I13" i="16" s="1"/>
  <c r="J13" i="16" s="1"/>
  <c r="G14" i="17"/>
  <c r="I14" i="17" s="1"/>
  <c r="J14" i="17" s="1"/>
  <c r="K14" i="17" s="1"/>
  <c r="V57" i="7"/>
  <c r="CB364" i="2"/>
  <c r="K3" i="15"/>
  <c r="K11" i="15" s="1"/>
  <c r="N11" i="15"/>
  <c r="S11" i="15"/>
  <c r="L10" i="15"/>
  <c r="K26" i="8"/>
  <c r="N26" i="8"/>
  <c r="M30" i="8"/>
  <c r="P30" i="8"/>
  <c r="P33" i="8" s="1"/>
  <c r="L3" i="15"/>
  <c r="P3" i="15"/>
  <c r="O3" i="15"/>
  <c r="M3" i="15"/>
  <c r="M11" i="15" s="1"/>
  <c r="Q4" i="15"/>
  <c r="D80" i="11"/>
  <c r="D93" i="11"/>
  <c r="J30" i="8"/>
  <c r="O75" i="7"/>
  <c r="T105" i="6"/>
  <c r="HD283" i="2"/>
  <c r="J49" i="6"/>
  <c r="J12" i="6" s="1"/>
  <c r="G75" i="7"/>
  <c r="B135" i="11"/>
  <c r="J20" i="8"/>
  <c r="M20" i="8"/>
  <c r="H29" i="8"/>
  <c r="K29" i="8"/>
  <c r="V29" i="6"/>
  <c r="AF29" i="6"/>
  <c r="AG29" i="6" s="1"/>
  <c r="G137" i="11"/>
  <c r="G138" i="11" s="1"/>
  <c r="V20" i="6"/>
  <c r="AF20" i="6"/>
  <c r="F137" i="11"/>
  <c r="F138" i="11" s="1"/>
  <c r="G91" i="11"/>
  <c r="F77" i="11"/>
  <c r="F91" i="11" s="1"/>
  <c r="G79" i="11"/>
  <c r="B91" i="11"/>
  <c r="B79" i="11"/>
  <c r="O71" i="9"/>
  <c r="O72" i="9" s="1"/>
  <c r="I23" i="6"/>
  <c r="J63" i="6"/>
  <c r="J70" i="6" s="1"/>
  <c r="J76" i="6" s="1"/>
  <c r="L66" i="7"/>
  <c r="L105" i="7" s="1"/>
  <c r="P72" i="7"/>
  <c r="F72" i="7"/>
  <c r="N61" i="7"/>
  <c r="N100" i="7" s="1"/>
  <c r="J72" i="7"/>
  <c r="I76" i="9"/>
  <c r="N70" i="6"/>
  <c r="N23" i="6" s="1"/>
  <c r="H12" i="17" s="1"/>
  <c r="N76" i="6"/>
  <c r="L74" i="7"/>
  <c r="N75" i="7"/>
  <c r="G86" i="6"/>
  <c r="G25" i="6" s="1"/>
  <c r="N3" i="6"/>
  <c r="D3" i="16" s="1"/>
  <c r="N6" i="6"/>
  <c r="D6" i="16" s="1"/>
  <c r="L29" i="6"/>
  <c r="F12" i="6"/>
  <c r="G49" i="6"/>
  <c r="G12" i="6" s="1"/>
  <c r="F2" i="6"/>
  <c r="G37" i="6"/>
  <c r="F42" i="6"/>
  <c r="E74" i="7"/>
  <c r="F86" i="6"/>
  <c r="I75" i="7"/>
  <c r="P12" i="6"/>
  <c r="O61" i="7"/>
  <c r="O100" i="7" s="1"/>
  <c r="CN362" i="2"/>
  <c r="N64" i="9"/>
  <c r="N73" i="9" s="1"/>
  <c r="H53" i="6"/>
  <c r="H101" i="6" s="1"/>
  <c r="E30" i="8"/>
  <c r="N86" i="6"/>
  <c r="B86" i="6"/>
  <c r="B92" i="6" s="1"/>
  <c r="G26" i="8"/>
  <c r="P26" i="8" s="1"/>
  <c r="H26" i="8"/>
  <c r="K71" i="7"/>
  <c r="M72" i="7" l="1"/>
  <c r="CB365" i="2"/>
  <c r="D73" i="7"/>
  <c r="O59" i="9"/>
  <c r="O64" i="9" s="1"/>
  <c r="O73" i="9" s="1"/>
  <c r="O74" i="9"/>
  <c r="N30" i="8"/>
  <c r="N33" i="8" s="1"/>
  <c r="E33" i="8"/>
  <c r="D138" i="11"/>
  <c r="D83" i="11"/>
  <c r="L79" i="12"/>
  <c r="M79" i="12" s="1"/>
  <c r="B81" i="9"/>
  <c r="B84" i="9" s="1"/>
  <c r="I81" i="9"/>
  <c r="I84" i="9" s="1"/>
  <c r="K82" i="9"/>
  <c r="K84" i="9" s="1"/>
  <c r="F81" i="9"/>
  <c r="F84" i="9" s="1"/>
  <c r="H82" i="9"/>
  <c r="H84" i="9" s="1"/>
  <c r="O11" i="15"/>
  <c r="D100" i="7"/>
  <c r="V108" i="7"/>
  <c r="G142" i="11"/>
  <c r="G143" i="11" s="1"/>
  <c r="G146" i="11" s="1"/>
  <c r="V59" i="7"/>
  <c r="V98" i="7" s="1"/>
  <c r="I78" i="7"/>
  <c r="I85" i="7" s="1"/>
  <c r="O78" i="7"/>
  <c r="O85" i="7" s="1"/>
  <c r="Q24" i="15"/>
  <c r="M59" i="9"/>
  <c r="M64" i="9" s="1"/>
  <c r="M73" i="9" s="1"/>
  <c r="E17" i="15"/>
  <c r="U56" i="7"/>
  <c r="U61" i="7" s="1"/>
  <c r="G80" i="11"/>
  <c r="O114" i="7"/>
  <c r="O115" i="7" s="1"/>
  <c r="F111" i="7"/>
  <c r="L110" i="7"/>
  <c r="J111" i="7"/>
  <c r="T71" i="7"/>
  <c r="T110" i="7" s="1"/>
  <c r="T95" i="7"/>
  <c r="E66" i="7"/>
  <c r="E100" i="7"/>
  <c r="B111" i="7"/>
  <c r="B105" i="7"/>
  <c r="E113" i="7"/>
  <c r="E114" i="7" s="1"/>
  <c r="E115" i="7" s="1"/>
  <c r="K100" i="7"/>
  <c r="Q110" i="7"/>
  <c r="P111" i="7"/>
  <c r="H61" i="7"/>
  <c r="H100" i="7" s="1"/>
  <c r="V96" i="7"/>
  <c r="V70" i="7"/>
  <c r="T109" i="7"/>
  <c r="Q95" i="7"/>
  <c r="S66" i="7"/>
  <c r="S105" i="7" s="1"/>
  <c r="S100" i="7"/>
  <c r="K95" i="7"/>
  <c r="D111" i="7"/>
  <c r="D105" i="7"/>
  <c r="N71" i="7"/>
  <c r="N109" i="7"/>
  <c r="K110" i="7"/>
  <c r="L113" i="7"/>
  <c r="L114" i="7" s="1"/>
  <c r="L115" i="7" s="1"/>
  <c r="M111" i="7"/>
  <c r="I66" i="7"/>
  <c r="K66" i="7" s="1"/>
  <c r="G95" i="7"/>
  <c r="W52" i="7"/>
  <c r="V91" i="7"/>
  <c r="C73" i="7"/>
  <c r="C111" i="7"/>
  <c r="Q10" i="15"/>
  <c r="J86" i="6"/>
  <c r="J92" i="6" s="1"/>
  <c r="G61" i="7"/>
  <c r="P11" i="15"/>
  <c r="N40" i="6"/>
  <c r="N5" i="6" s="1"/>
  <c r="N39" i="6"/>
  <c r="N4" i="6" s="1"/>
  <c r="M76" i="9"/>
  <c r="M81" i="9" s="1"/>
  <c r="F143" i="11"/>
  <c r="F146" i="11" s="1"/>
  <c r="N14" i="17"/>
  <c r="C3" i="16"/>
  <c r="H3" i="16" s="1"/>
  <c r="I3" i="16" s="1"/>
  <c r="J3" i="16" s="1"/>
  <c r="G3" i="17"/>
  <c r="H22" i="17"/>
  <c r="K13" i="16"/>
  <c r="C6" i="16"/>
  <c r="H6" i="16" s="1"/>
  <c r="I6" i="16" s="1"/>
  <c r="J6" i="16" s="1"/>
  <c r="G6" i="17"/>
  <c r="J12" i="17"/>
  <c r="K12" i="17" s="1"/>
  <c r="O12" i="17" s="1"/>
  <c r="T61" i="7"/>
  <c r="T74" i="7"/>
  <c r="T113" i="7" s="1"/>
  <c r="J29" i="12"/>
  <c r="L29" i="12" s="1"/>
  <c r="L30" i="12" s="1"/>
  <c r="L31" i="12" s="1"/>
  <c r="L32" i="12" s="1"/>
  <c r="L33" i="12" s="1"/>
  <c r="L34" i="12" s="1"/>
  <c r="L35" i="12" s="1"/>
  <c r="L36" i="12" s="1"/>
  <c r="L37" i="12" s="1"/>
  <c r="L11" i="15"/>
  <c r="AH20" i="6"/>
  <c r="AG20" i="6" s="1"/>
  <c r="X20" i="6"/>
  <c r="C3" i="15"/>
  <c r="F3" i="15"/>
  <c r="F11" i="15" s="1"/>
  <c r="D94" i="11"/>
  <c r="O75" i="9"/>
  <c r="P20" i="6"/>
  <c r="L12" i="6"/>
  <c r="J86" i="12"/>
  <c r="J87" i="12" s="1"/>
  <c r="K88" i="12" s="1"/>
  <c r="F79" i="11"/>
  <c r="F80" i="11" s="1"/>
  <c r="J26" i="8"/>
  <c r="M26" i="8"/>
  <c r="H30" i="8"/>
  <c r="K30" i="8"/>
  <c r="AH23" i="6"/>
  <c r="X6" i="6"/>
  <c r="W6" i="6" s="1"/>
  <c r="AH6" i="6"/>
  <c r="AG6" i="6" s="1"/>
  <c r="X3" i="6"/>
  <c r="Z3" i="6" s="1"/>
  <c r="AB3" i="6" s="1"/>
  <c r="AH3" i="6"/>
  <c r="AG3" i="6" s="1"/>
  <c r="G93" i="11"/>
  <c r="B80" i="11"/>
  <c r="B83" i="11" s="1"/>
  <c r="J23" i="6"/>
  <c r="Q61" i="7"/>
  <c r="N66" i="7"/>
  <c r="N105" i="7" s="1"/>
  <c r="L72" i="7"/>
  <c r="O66" i="7"/>
  <c r="L75" i="7"/>
  <c r="L78" i="7" s="1"/>
  <c r="L85" i="7" s="1"/>
  <c r="G92" i="6"/>
  <c r="E75" i="7"/>
  <c r="G2" i="6"/>
  <c r="G42" i="6"/>
  <c r="F25" i="6"/>
  <c r="F92" i="6"/>
  <c r="P23" i="6"/>
  <c r="X23" i="6"/>
  <c r="H103" i="6"/>
  <c r="N92" i="6"/>
  <c r="N25" i="6"/>
  <c r="B101" i="6"/>
  <c r="B106" i="6" s="1"/>
  <c r="B34" i="6"/>
  <c r="J22" i="17" l="1"/>
  <c r="K22" i="17" s="1"/>
  <c r="N22" i="17" s="1"/>
  <c r="F94" i="11"/>
  <c r="F83" i="11"/>
  <c r="G94" i="11"/>
  <c r="G83" i="11"/>
  <c r="M82" i="9"/>
  <c r="M84" i="9" s="1"/>
  <c r="D82" i="9"/>
  <c r="D84" i="9" s="1"/>
  <c r="Q78" i="7"/>
  <c r="Q85" i="7" s="1"/>
  <c r="K78" i="7"/>
  <c r="K85" i="7" s="1"/>
  <c r="W20" i="6"/>
  <c r="N78" i="7"/>
  <c r="N85" i="7" s="1"/>
  <c r="V56" i="7"/>
  <c r="V95" i="7" s="1"/>
  <c r="H66" i="7"/>
  <c r="H105" i="7" s="1"/>
  <c r="U95" i="7"/>
  <c r="G66" i="7"/>
  <c r="G105" i="7" s="1"/>
  <c r="V71" i="7"/>
  <c r="V110" i="7" s="1"/>
  <c r="W95" i="7"/>
  <c r="E78" i="7"/>
  <c r="E85" i="7" s="1"/>
  <c r="E25" i="15"/>
  <c r="Q17" i="15"/>
  <c r="Q25" i="15" s="1"/>
  <c r="T66" i="7"/>
  <c r="T72" i="7" s="1"/>
  <c r="T100" i="7"/>
  <c r="G100" i="7"/>
  <c r="C75" i="7"/>
  <c r="C78" i="7" s="1"/>
  <c r="C85" i="7" s="1"/>
  <c r="C112" i="7"/>
  <c r="C114" i="7" s="1"/>
  <c r="C115" i="7" s="1"/>
  <c r="U73" i="7"/>
  <c r="U112" i="7" s="1"/>
  <c r="N110" i="7"/>
  <c r="V109" i="7"/>
  <c r="L111" i="7"/>
  <c r="S72" i="7"/>
  <c r="K105" i="7"/>
  <c r="I72" i="7"/>
  <c r="I105" i="7"/>
  <c r="U66" i="7"/>
  <c r="U100" i="7"/>
  <c r="E72" i="7"/>
  <c r="E105" i="7"/>
  <c r="Q66" i="7"/>
  <c r="O105" i="7"/>
  <c r="Q100" i="7"/>
  <c r="D112" i="7"/>
  <c r="D114" i="7" s="1"/>
  <c r="D115" i="7" s="1"/>
  <c r="J25" i="6"/>
  <c r="L25" i="6" s="1"/>
  <c r="D75" i="7"/>
  <c r="B73" i="7"/>
  <c r="AH5" i="6"/>
  <c r="AG5" i="6" s="1"/>
  <c r="D5" i="16"/>
  <c r="G5" i="17" s="1"/>
  <c r="X5" i="6"/>
  <c r="Z5" i="6" s="1"/>
  <c r="AB5" i="6" s="1"/>
  <c r="D4" i="16"/>
  <c r="X4" i="6"/>
  <c r="Z4" i="6" s="1"/>
  <c r="AB4" i="6" s="1"/>
  <c r="AH4" i="6"/>
  <c r="AG4" i="6" s="1"/>
  <c r="L12" i="17"/>
  <c r="L25" i="17" s="1"/>
  <c r="K3" i="16"/>
  <c r="H3" i="17"/>
  <c r="J3" i="17" s="1"/>
  <c r="I3" i="17"/>
  <c r="H18" i="17"/>
  <c r="J51" i="12"/>
  <c r="L51" i="12" s="1"/>
  <c r="L52" i="12" s="1"/>
  <c r="L53" i="12" s="1"/>
  <c r="L54" i="12" s="1"/>
  <c r="L55" i="12" s="1"/>
  <c r="L56" i="12" s="1"/>
  <c r="L57" i="12" s="1"/>
  <c r="L58" i="12" s="1"/>
  <c r="L59" i="12" s="1"/>
  <c r="L60" i="12" s="1"/>
  <c r="L61" i="12" s="1"/>
  <c r="H6" i="17"/>
  <c r="J6" i="17" s="1"/>
  <c r="I6" i="17"/>
  <c r="W91" i="7"/>
  <c r="Z20" i="6"/>
  <c r="AB20" i="6" s="1"/>
  <c r="C11" i="15"/>
  <c r="Q3" i="15"/>
  <c r="Q11" i="15" s="1"/>
  <c r="F93" i="11"/>
  <c r="Z6" i="6"/>
  <c r="AB6" i="6" s="1"/>
  <c r="W3" i="6"/>
  <c r="J39" i="12"/>
  <c r="K40" i="12" s="1"/>
  <c r="V25" i="6"/>
  <c r="AF25" i="6"/>
  <c r="B94" i="11"/>
  <c r="B138" i="11"/>
  <c r="X25" i="6"/>
  <c r="AB25" i="6" s="1"/>
  <c r="AH25" i="6"/>
  <c r="O76" i="9"/>
  <c r="N72" i="7"/>
  <c r="O72" i="7"/>
  <c r="O111" i="7" s="1"/>
  <c r="Z23" i="6"/>
  <c r="B103" i="6"/>
  <c r="H72" i="7" l="1"/>
  <c r="O81" i="9"/>
  <c r="Q76" i="9"/>
  <c r="O82" i="9"/>
  <c r="N82" i="9" s="1"/>
  <c r="N84" i="9" s="1"/>
  <c r="G78" i="7"/>
  <c r="G85" i="7" s="1"/>
  <c r="K18" i="17"/>
  <c r="J18" i="17"/>
  <c r="V61" i="7"/>
  <c r="W56" i="7"/>
  <c r="W100" i="7"/>
  <c r="B75" i="7"/>
  <c r="B78" i="7" s="1"/>
  <c r="B85" i="7" s="1"/>
  <c r="B112" i="7"/>
  <c r="B114" i="7" s="1"/>
  <c r="B115" i="7" s="1"/>
  <c r="E111" i="7"/>
  <c r="G72" i="7"/>
  <c r="N111" i="7"/>
  <c r="S111" i="7"/>
  <c r="Q105" i="7"/>
  <c r="T111" i="7"/>
  <c r="U72" i="7"/>
  <c r="V72" i="7" s="1"/>
  <c r="V111" i="7" s="1"/>
  <c r="U105" i="7"/>
  <c r="I111" i="7"/>
  <c r="K72" i="7"/>
  <c r="H111" i="7"/>
  <c r="F45" i="6"/>
  <c r="F7" i="6" s="1"/>
  <c r="V66" i="7"/>
  <c r="T105" i="7"/>
  <c r="W4" i="6"/>
  <c r="C5" i="16"/>
  <c r="H5" i="16" s="1"/>
  <c r="I5" i="16" s="1"/>
  <c r="J5" i="16" s="1"/>
  <c r="N45" i="6"/>
  <c r="N7" i="6" s="1"/>
  <c r="P34" i="6" s="1"/>
  <c r="T73" i="7"/>
  <c r="W5" i="6"/>
  <c r="C4" i="16"/>
  <c r="H4" i="16" s="1"/>
  <c r="I4" i="16" s="1"/>
  <c r="G4" i="17"/>
  <c r="K6" i="16"/>
  <c r="L40" i="12"/>
  <c r="M40" i="12" s="1"/>
  <c r="AB23" i="6"/>
  <c r="L88" i="12"/>
  <c r="M88" i="12" s="1"/>
  <c r="H5" i="17"/>
  <c r="J5" i="17" s="1"/>
  <c r="I5" i="17"/>
  <c r="J63" i="12"/>
  <c r="K64" i="12" s="1"/>
  <c r="AG25" i="6"/>
  <c r="Z25" i="6"/>
  <c r="Q72" i="7"/>
  <c r="W25" i="6"/>
  <c r="O84" i="9" l="1"/>
  <c r="W61" i="7"/>
  <c r="O18" i="17"/>
  <c r="O25" i="17" s="1"/>
  <c r="V100" i="7"/>
  <c r="T75" i="7"/>
  <c r="T77" i="7" s="1"/>
  <c r="T78" i="7"/>
  <c r="T85" i="7" s="1"/>
  <c r="D78" i="7"/>
  <c r="D85" i="7" s="1"/>
  <c r="K111" i="7"/>
  <c r="G111" i="7"/>
  <c r="V105" i="7"/>
  <c r="W66" i="7"/>
  <c r="U111" i="7"/>
  <c r="Q111" i="7"/>
  <c r="V73" i="7"/>
  <c r="T112" i="7"/>
  <c r="T114" i="7" s="1"/>
  <c r="T115" i="7" s="1"/>
  <c r="K5" i="16"/>
  <c r="X7" i="6"/>
  <c r="AH7" i="6"/>
  <c r="W72" i="7"/>
  <c r="D7" i="16"/>
  <c r="G7" i="17" s="1"/>
  <c r="H4" i="17"/>
  <c r="J4" i="17" s="1"/>
  <c r="I4" i="17"/>
  <c r="J4" i="16"/>
  <c r="K4" i="16"/>
  <c r="P25" i="17"/>
  <c r="L64" i="12"/>
  <c r="M64" i="12" s="1"/>
  <c r="AF7" i="6"/>
  <c r="B7" i="16"/>
  <c r="V7" i="6"/>
  <c r="G45" i="6"/>
  <c r="G7" i="6" s="1"/>
  <c r="L7" i="6" s="1"/>
  <c r="F53" i="6"/>
  <c r="K2" i="6"/>
  <c r="K42" i="6"/>
  <c r="U74" i="7"/>
  <c r="V112" i="7" l="1"/>
  <c r="X73" i="7"/>
  <c r="Z7" i="6"/>
  <c r="AB7" i="6" s="1"/>
  <c r="V74" i="7"/>
  <c r="U113" i="7"/>
  <c r="U114" i="7" s="1"/>
  <c r="U115" i="7" s="1"/>
  <c r="W73" i="7"/>
  <c r="W7" i="6"/>
  <c r="AG7" i="6"/>
  <c r="I7" i="17"/>
  <c r="H7" i="17"/>
  <c r="J7" i="17" s="1"/>
  <c r="G7" i="16"/>
  <c r="C7" i="16"/>
  <c r="H7" i="16" s="1"/>
  <c r="G53" i="6"/>
  <c r="K34" i="6"/>
  <c r="M2" i="6"/>
  <c r="M34" i="6" s="1"/>
  <c r="M53" i="6"/>
  <c r="M101" i="6" s="1"/>
  <c r="K53" i="6"/>
  <c r="K101" i="6" s="1"/>
  <c r="H75" i="7"/>
  <c r="H78" i="7" s="1"/>
  <c r="H85" i="7" s="1"/>
  <c r="W74" i="7" l="1"/>
  <c r="V113" i="7"/>
  <c r="V114" i="7" s="1"/>
  <c r="V115" i="7" s="1"/>
  <c r="U75" i="7"/>
  <c r="N37" i="6"/>
  <c r="N42" i="6" s="1"/>
  <c r="N53" i="6" s="1"/>
  <c r="N101" i="6" s="1"/>
  <c r="I7" i="16"/>
  <c r="K7" i="16" s="1"/>
  <c r="K103" i="6"/>
  <c r="I2" i="6"/>
  <c r="I42" i="6"/>
  <c r="I53" i="6" s="1"/>
  <c r="I101" i="6" s="1"/>
  <c r="J37" i="6"/>
  <c r="M103" i="6"/>
  <c r="B2" i="16" l="1"/>
  <c r="G2" i="16" s="1"/>
  <c r="V2" i="6"/>
  <c r="V75" i="7"/>
  <c r="U77" i="7"/>
  <c r="J7" i="16"/>
  <c r="N2" i="6"/>
  <c r="AF2" i="6"/>
  <c r="J2" i="6"/>
  <c r="J42" i="6"/>
  <c r="J53" i="6" s="1"/>
  <c r="J101" i="6" s="1"/>
  <c r="I34" i="6"/>
  <c r="I103" i="6" s="1"/>
  <c r="W75" i="7" l="1"/>
  <c r="V77" i="7"/>
  <c r="U78" i="7"/>
  <c r="U85" i="7" s="1"/>
  <c r="J99" i="12"/>
  <c r="J111" i="12" s="1"/>
  <c r="K112" i="12" s="1"/>
  <c r="D2" i="16"/>
  <c r="G2" i="17" s="1"/>
  <c r="N34" i="6"/>
  <c r="N103" i="6" s="1"/>
  <c r="X2" i="6"/>
  <c r="AH2" i="6"/>
  <c r="L2" i="6"/>
  <c r="J34" i="6"/>
  <c r="J103" i="6" s="1"/>
  <c r="AH34" i="6" l="1"/>
  <c r="W114" i="7"/>
  <c r="V78" i="7"/>
  <c r="G8" i="17"/>
  <c r="H2" i="17"/>
  <c r="I2" i="17"/>
  <c r="C2" i="16"/>
  <c r="H2" i="16" s="1"/>
  <c r="I2" i="16" s="1"/>
  <c r="J2" i="16" s="1"/>
  <c r="D15" i="16"/>
  <c r="Z2" i="6"/>
  <c r="W2" i="6"/>
  <c r="AG2" i="6"/>
  <c r="B93" i="11"/>
  <c r="B137" i="11"/>
  <c r="V85" i="7" l="1"/>
  <c r="L112" i="12"/>
  <c r="M112" i="12" s="1"/>
  <c r="AB2" i="6"/>
  <c r="I8" i="17"/>
  <c r="H8" i="17"/>
  <c r="H25" i="17" s="1"/>
  <c r="J2" i="17"/>
  <c r="J8" i="17" s="1"/>
  <c r="J25" i="17" s="1"/>
  <c r="K2" i="16"/>
  <c r="I29" i="17" l="1"/>
  <c r="I25" i="17"/>
  <c r="I27" i="17" s="1"/>
  <c r="K8" i="17"/>
  <c r="B15" i="16"/>
  <c r="C11" i="16"/>
  <c r="H11" i="16" s="1"/>
  <c r="G11" i="16"/>
  <c r="C10" i="16"/>
  <c r="G10" i="16"/>
  <c r="K25" i="17" l="1"/>
  <c r="M26" i="17" s="1"/>
  <c r="N8" i="17"/>
  <c r="N25" i="17" s="1"/>
  <c r="O26" i="17" s="1"/>
  <c r="I11" i="16"/>
  <c r="J11" i="16" s="1"/>
  <c r="G15" i="16"/>
  <c r="C15" i="16"/>
  <c r="H10" i="16"/>
  <c r="I10" i="16" s="1"/>
  <c r="J10" i="16" s="1"/>
  <c r="J15" i="16" l="1"/>
  <c r="K10" i="16"/>
  <c r="I15" i="16"/>
  <c r="H15" i="16"/>
  <c r="D80" i="10"/>
  <c r="D70" i="10"/>
  <c r="M70" i="10" s="1"/>
  <c r="F70" i="6"/>
  <c r="D82" i="10" l="1"/>
  <c r="D115" i="10"/>
  <c r="M80" i="10"/>
  <c r="M113" i="10"/>
  <c r="F23" i="6"/>
  <c r="F76" i="6"/>
  <c r="F101" i="6" s="1"/>
  <c r="G63" i="6"/>
  <c r="G70" i="6" s="1"/>
  <c r="M82" i="10" l="1"/>
  <c r="M115" i="10"/>
  <c r="G76" i="6"/>
  <c r="G101" i="6" s="1"/>
  <c r="G23" i="6"/>
  <c r="F34" i="6"/>
  <c r="F103" i="6" s="1"/>
  <c r="V23" i="6"/>
  <c r="AF23" i="6"/>
  <c r="L23" i="6" l="1"/>
  <c r="L34" i="6" s="1"/>
  <c r="G34" i="6"/>
  <c r="G103" i="6" s="1"/>
  <c r="AF34" i="6"/>
  <c r="AG23" i="6"/>
  <c r="AG34" i="6" s="1"/>
  <c r="V34" i="6"/>
  <c r="W23" i="6"/>
  <c r="T34" i="6" l="1"/>
  <c r="R34" i="6"/>
  <c r="X34" i="6"/>
  <c r="W34" i="6" l="1"/>
  <c r="AB34" i="6" l="1"/>
  <c r="Z34" i="6"/>
  <c r="L38" i="9"/>
  <c r="F38" i="9"/>
  <c r="E38" i="9"/>
  <c r="I38" i="9"/>
  <c r="J38" i="9"/>
  <c r="G38" i="9"/>
  <c r="K38" i="9" l="1"/>
  <c r="J40" i="9"/>
  <c r="M38" i="9"/>
  <c r="H38" i="9"/>
  <c r="O38" i="9" l="1"/>
  <c r="N38" i="9" l="1"/>
  <c r="P40" i="9" l="1"/>
  <c r="G39" i="9"/>
  <c r="G40" i="9" s="1"/>
  <c r="E39" i="9"/>
  <c r="I39" i="9"/>
  <c r="F39" i="9"/>
  <c r="L39" i="9"/>
  <c r="L40" i="9" s="1"/>
  <c r="E40" i="9" l="1"/>
  <c r="H39" i="9"/>
  <c r="H40" i="9" s="1"/>
  <c r="M39" i="9"/>
  <c r="M40" i="9" s="1"/>
  <c r="I40" i="9"/>
  <c r="F40" i="9"/>
  <c r="K39" i="9"/>
  <c r="K40" i="9" s="1"/>
  <c r="O39" i="9" l="1"/>
  <c r="O40" i="9" l="1"/>
  <c r="N39" i="9"/>
  <c r="N4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Magonyné Szabó Melinda</author>
  </authors>
  <commentList>
    <comment ref="C42" authorId="0" shapeId="0" xr:uid="{00000000-0006-0000-0D00-000001000000}">
      <text>
        <r>
          <rPr>
            <b/>
            <sz val="9"/>
            <color indexed="81"/>
            <rFont val="Segoe UI"/>
            <family val="2"/>
            <charset val="238"/>
          </rPr>
          <t>Magonyné Szabó Melinda:</t>
        </r>
        <r>
          <rPr>
            <sz val="9"/>
            <color indexed="81"/>
            <rFont val="Segoe UI"/>
            <family val="2"/>
            <charset val="238"/>
          </rPr>
          <t xml:space="preserve">
7fő őr kerületőrséghez
</t>
        </r>
      </text>
    </comment>
  </commentList>
</comments>
</file>

<file path=xl/sharedStrings.xml><?xml version="1.0" encoding="utf-8"?>
<sst xmlns="http://schemas.openxmlformats.org/spreadsheetml/2006/main" count="6076" uniqueCount="1878">
  <si>
    <t>UID</t>
  </si>
  <si>
    <t>PWD</t>
  </si>
  <si>
    <t>Database</t>
  </si>
  <si>
    <t>Nyelv_ID</t>
  </si>
  <si>
    <t>Oszlopok</t>
  </si>
  <si>
    <t>Rend1</t>
  </si>
  <si>
    <t>Rend2</t>
  </si>
  <si>
    <t>Rend3</t>
  </si>
  <si>
    <t>Rend4</t>
  </si>
  <si>
    <t>Rend5</t>
  </si>
  <si>
    <t>Reszletezes</t>
  </si>
  <si>
    <t>TeljDatumtol</t>
  </si>
  <si>
    <t>TeljDatumig</t>
  </si>
  <si>
    <t>FSzamCsop</t>
  </si>
  <si>
    <t>RFSzamCsop</t>
  </si>
  <si>
    <t>KHelyCsop</t>
  </si>
  <si>
    <t>TSzam</t>
  </si>
  <si>
    <t>TSzamCsop</t>
  </si>
  <si>
    <t>FSzam</t>
  </si>
  <si>
    <t>RFSzam</t>
  </si>
  <si>
    <t>KHely</t>
  </si>
  <si>
    <t>SERVER</t>
  </si>
  <si>
    <t>Datumtol</t>
  </si>
  <si>
    <t>DatumIg</t>
  </si>
  <si>
    <t>Naplojeltol</t>
  </si>
  <si>
    <t>Naplojelig</t>
  </si>
  <si>
    <t>Listasor</t>
  </si>
  <si>
    <t>APPNAME</t>
  </si>
  <si>
    <t>APPPWD</t>
  </si>
  <si>
    <t>Ugyfel</t>
  </si>
  <si>
    <t>FeladatlanBizonylat</t>
  </si>
  <si>
    <t>Pszam</t>
  </si>
  <si>
    <t>Cegfuggo</t>
  </si>
  <si>
    <t>FSzamKeplet</t>
  </si>
  <si>
    <t>RFSzamKeplet</t>
  </si>
  <si>
    <t>KHelyKeplet</t>
  </si>
  <si>
    <t>TSzamKeplet</t>
  </si>
  <si>
    <t>PSzamKeplet</t>
  </si>
  <si>
    <t>UgyfelKeplet</t>
  </si>
  <si>
    <t>Deviza_ID</t>
  </si>
  <si>
    <t>FeliratNyelv_ID</t>
  </si>
  <si>
    <t>Parameterek</t>
  </si>
  <si>
    <t>HasznTSzam</t>
  </si>
  <si>
    <t>HasznKHely</t>
  </si>
  <si>
    <t>HasznPSzam</t>
  </si>
  <si>
    <t>ProjektTSzamBesorolasXML</t>
  </si>
  <si>
    <t>ProjektTSzamBesorolasKapcsolat</t>
  </si>
  <si>
    <t>JGKSERVER1</t>
  </si>
  <si>
    <t>JGK</t>
  </si>
  <si>
    <t>sERPa3</t>
  </si>
  <si>
    <t>5*+8*+9*</t>
  </si>
  <si>
    <t>20170101</t>
  </si>
  <si>
    <t>20170630</t>
  </si>
  <si>
    <t>Összesen, 2017.01.01. - 2017.06.30.,   Főkönyvi szám: 5*+8*+9*</t>
  </si>
  <si>
    <t/>
  </si>
  <si>
    <t>51111</t>
  </si>
  <si>
    <t>Vásárolt anyagok költségei - ép.ip. jav.fennt.tev.</t>
  </si>
  <si>
    <t>51121</t>
  </si>
  <si>
    <t>Üzemanyagok költségei</t>
  </si>
  <si>
    <t>51122</t>
  </si>
  <si>
    <t>Gépkocsik egyéb anyagok költségei</t>
  </si>
  <si>
    <t>513111</t>
  </si>
  <si>
    <t>Számítástechnikai segédanyagok</t>
  </si>
  <si>
    <t>513112</t>
  </si>
  <si>
    <t>Fénymásolási segédanyagok (toner, festék)</t>
  </si>
  <si>
    <t>513113</t>
  </si>
  <si>
    <t>Egyéb nyomtatvány és irodaszer</t>
  </si>
  <si>
    <t>513114</t>
  </si>
  <si>
    <t>Egyéb anyagok és felszerelések</t>
  </si>
  <si>
    <t>513115</t>
  </si>
  <si>
    <t>Karbantartási anyagok és felszerelések</t>
  </si>
  <si>
    <t>51321</t>
  </si>
  <si>
    <t>Munkaruha</t>
  </si>
  <si>
    <t>51322</t>
  </si>
  <si>
    <t>Védőruha, védőeszköz</t>
  </si>
  <si>
    <t>51323</t>
  </si>
  <si>
    <t>Védőital (jogszabály szerint)</t>
  </si>
  <si>
    <t>51331</t>
  </si>
  <si>
    <t>Vízdíj</t>
  </si>
  <si>
    <t>51333</t>
  </si>
  <si>
    <t>Áramdíj</t>
  </si>
  <si>
    <t>51334</t>
  </si>
  <si>
    <t>Gázdíj</t>
  </si>
  <si>
    <t>52111</t>
  </si>
  <si>
    <t>Fuvarozási díj szállítás és raktár költségei</t>
  </si>
  <si>
    <t>52113</t>
  </si>
  <si>
    <t>Taxi</t>
  </si>
  <si>
    <t>5212</t>
  </si>
  <si>
    <t>Csatornadíj</t>
  </si>
  <si>
    <t>5221</t>
  </si>
  <si>
    <t>Bérleti díjak</t>
  </si>
  <si>
    <t>52311</t>
  </si>
  <si>
    <t>Személygépkocsi javítási és karbantartási költsége</t>
  </si>
  <si>
    <t>52312</t>
  </si>
  <si>
    <t>Tehergépkocsik javítási és karbantartási költsége</t>
  </si>
  <si>
    <t>52313</t>
  </si>
  <si>
    <t>Gépkocsik egyéb költségei</t>
  </si>
  <si>
    <t>52322</t>
  </si>
  <si>
    <t>Fénymásolók javítási és karbantartási költségei</t>
  </si>
  <si>
    <t>52324</t>
  </si>
  <si>
    <t>Telefonközpont, telefon javítási és karb költség</t>
  </si>
  <si>
    <t>52325</t>
  </si>
  <si>
    <t>Egyéb irodai eszköz és bútor javítási költségei</t>
  </si>
  <si>
    <t>52331</t>
  </si>
  <si>
    <t>Irodák, műhelyek javítási és karb. költségei</t>
  </si>
  <si>
    <t>52335</t>
  </si>
  <si>
    <t>Parkok fenntartási munkái:szerződés szerint</t>
  </si>
  <si>
    <t>52337</t>
  </si>
  <si>
    <t>Egyéb karbantartási,szerelési munkák.</t>
  </si>
  <si>
    <t>Parkolással kapcs karb., üzemeltetés</t>
  </si>
  <si>
    <t>52341</t>
  </si>
  <si>
    <t>Szgépes programok karb költség</t>
  </si>
  <si>
    <t>5241</t>
  </si>
  <si>
    <t>Hirdetés, reklám és propaganda költségei</t>
  </si>
  <si>
    <t>5251</t>
  </si>
  <si>
    <t>Oktatás- és továbbképzés költségei (tanfolyam)</t>
  </si>
  <si>
    <t>52531</t>
  </si>
  <si>
    <t>Oktatás- és továbbképzés költségei (1,19*16%)</t>
  </si>
  <si>
    <t>5271</t>
  </si>
  <si>
    <t>Könyvelés, könyvvizsgálat</t>
  </si>
  <si>
    <t>5281</t>
  </si>
  <si>
    <t>Ügyviteli munka, szgépes adatfeldolg</t>
  </si>
  <si>
    <t>5282</t>
  </si>
  <si>
    <t>Ingatlan-árveréssel kapcs költség</t>
  </si>
  <si>
    <t>5283</t>
  </si>
  <si>
    <t>Tul.képv.kapcs költség</t>
  </si>
  <si>
    <t>5285</t>
  </si>
  <si>
    <t>Értékesítéssel kapcs kts</t>
  </si>
  <si>
    <t>5286</t>
  </si>
  <si>
    <t>Értékbecslés</t>
  </si>
  <si>
    <t>52911</t>
  </si>
  <si>
    <t>Más szerveknek fizetett szakértői díj</t>
  </si>
  <si>
    <t>52912</t>
  </si>
  <si>
    <t>Jogi személynek fizetett tagsági díj</t>
  </si>
  <si>
    <t>52913</t>
  </si>
  <si>
    <t>Jogi költségek</t>
  </si>
  <si>
    <t>52916</t>
  </si>
  <si>
    <t>Rendészet és vagyonvédelmi költségek</t>
  </si>
  <si>
    <t>5291602</t>
  </si>
  <si>
    <t>Vagyonvédelem, őrszolgálat, őrzés</t>
  </si>
  <si>
    <t>5291604</t>
  </si>
  <si>
    <t>Pénzszállítás,érmeszámlálás</t>
  </si>
  <si>
    <t>52919</t>
  </si>
  <si>
    <t>Önkorm.épületek víz és villanyóra leolvasása.</t>
  </si>
  <si>
    <t>52921</t>
  </si>
  <si>
    <t>Postaköltség</t>
  </si>
  <si>
    <t>529221</t>
  </si>
  <si>
    <t>Telefon költség + 10%</t>
  </si>
  <si>
    <t>529222</t>
  </si>
  <si>
    <t>Telefon költség 20%</t>
  </si>
  <si>
    <t>529223</t>
  </si>
  <si>
    <t>Telefon költség 70%</t>
  </si>
  <si>
    <t>529224</t>
  </si>
  <si>
    <t>Telefon költség parkoló automata</t>
  </si>
  <si>
    <t>52923</t>
  </si>
  <si>
    <t>Előfizetési díj (szakkönyv, újság)</t>
  </si>
  <si>
    <t>52924</t>
  </si>
  <si>
    <t>Internet, GPS,datacargo,TV előfizetési díj</t>
  </si>
  <si>
    <t>52925</t>
  </si>
  <si>
    <t>Parkolási díj</t>
  </si>
  <si>
    <t>52926</t>
  </si>
  <si>
    <t>Szemétszállítási (kuka) költségei</t>
  </si>
  <si>
    <t>52927</t>
  </si>
  <si>
    <t>Kéményseprési díj</t>
  </si>
  <si>
    <t>5292801</t>
  </si>
  <si>
    <t>Takarítás</t>
  </si>
  <si>
    <t>5292802</t>
  </si>
  <si>
    <t>Portaszolgálat</t>
  </si>
  <si>
    <t>52929</t>
  </si>
  <si>
    <t>Fénymásolási ktg</t>
  </si>
  <si>
    <t>5312</t>
  </si>
  <si>
    <t>Illetékek, hatós.igazgatási, szolg. díjak</t>
  </si>
  <si>
    <t>5314</t>
  </si>
  <si>
    <t>Közjegyzői díj</t>
  </si>
  <si>
    <t>5317</t>
  </si>
  <si>
    <t>VH költségek - előlegek</t>
  </si>
  <si>
    <t>5321</t>
  </si>
  <si>
    <t>Bankköltség, forgalmi jutalék</t>
  </si>
  <si>
    <t>5331</t>
  </si>
  <si>
    <t>Gépjármű- és vagyonbiztosítási díjak</t>
  </si>
  <si>
    <t>5332</t>
  </si>
  <si>
    <t>Szakmai felelősségbiztosítási díj</t>
  </si>
  <si>
    <t>5333</t>
  </si>
  <si>
    <t>Kockázati élet- és balesetbiztosítás</t>
  </si>
  <si>
    <t>54111</t>
  </si>
  <si>
    <t>Fizikai és szellemi bérköltség</t>
  </si>
  <si>
    <t>54112</t>
  </si>
  <si>
    <t>Bérpótlék 15 %</t>
  </si>
  <si>
    <t>54113</t>
  </si>
  <si>
    <t>Szabadság megváltás</t>
  </si>
  <si>
    <t>54114</t>
  </si>
  <si>
    <t>Műszak pótlék</t>
  </si>
  <si>
    <t>54115</t>
  </si>
  <si>
    <t>Fűtési pótlék</t>
  </si>
  <si>
    <t>541172</t>
  </si>
  <si>
    <t>Túlóra  150%; 200%</t>
  </si>
  <si>
    <t>541173</t>
  </si>
  <si>
    <t>Túlmunka díj</t>
  </si>
  <si>
    <t>54118</t>
  </si>
  <si>
    <t>Helyettesítési díj</t>
  </si>
  <si>
    <t>54119</t>
  </si>
  <si>
    <t>Felmentési időre járó díj</t>
  </si>
  <si>
    <t>54122</t>
  </si>
  <si>
    <t>Jutalom</t>
  </si>
  <si>
    <t>54125</t>
  </si>
  <si>
    <t>Tiszteletdíj</t>
  </si>
  <si>
    <t>54127</t>
  </si>
  <si>
    <t>Megbízási díjak</t>
  </si>
  <si>
    <t>54129</t>
  </si>
  <si>
    <t>Előző havi korrekciók</t>
  </si>
  <si>
    <t>55111</t>
  </si>
  <si>
    <t>Távolsági utazás (bérlethjár.)</t>
  </si>
  <si>
    <t>55112</t>
  </si>
  <si>
    <t>Helyi utazási költség(BKV) 25% alap</t>
  </si>
  <si>
    <t>55114</t>
  </si>
  <si>
    <t>Adóköteles  költségtérítés</t>
  </si>
  <si>
    <t>55115</t>
  </si>
  <si>
    <t>Betegszabadság</t>
  </si>
  <si>
    <t>55116</t>
  </si>
  <si>
    <t>TB táppénz hozzájárulás 1/3-a</t>
  </si>
  <si>
    <t>55119</t>
  </si>
  <si>
    <t>Végkielégítés</t>
  </si>
  <si>
    <t>55121</t>
  </si>
  <si>
    <t>Étkezési utalvány (meleg)</t>
  </si>
  <si>
    <t>5521</t>
  </si>
  <si>
    <t>Dolgozók (nyugdíjasok) szociális ellátása</t>
  </si>
  <si>
    <t>5591</t>
  </si>
  <si>
    <t>Reprezentációs költség (TA köteles)</t>
  </si>
  <si>
    <t>5594</t>
  </si>
  <si>
    <t>Egészségügyi szolgáltatások</t>
  </si>
  <si>
    <t>5595</t>
  </si>
  <si>
    <t>Védőital ( jogszabály szerint)</t>
  </si>
  <si>
    <t>55962</t>
  </si>
  <si>
    <t>SZÉP kártya</t>
  </si>
  <si>
    <t>55963</t>
  </si>
  <si>
    <t>Utazási költségtérítés (BKV jegy )</t>
  </si>
  <si>
    <t>55966</t>
  </si>
  <si>
    <t>Kultúra utalvány</t>
  </si>
  <si>
    <t>55967</t>
  </si>
  <si>
    <t>Adómentes lakáshitel támogatás</t>
  </si>
  <si>
    <t>55968</t>
  </si>
  <si>
    <t>Adómentes védőszemüveg</t>
  </si>
  <si>
    <t>55969</t>
  </si>
  <si>
    <t>100eFt juttatott pénzösszeg</t>
  </si>
  <si>
    <t>55991</t>
  </si>
  <si>
    <t>Béren kívüli juttatás 16 % alap (2011)</t>
  </si>
  <si>
    <t>55992</t>
  </si>
  <si>
    <t>Repr után szja</t>
  </si>
  <si>
    <t>55993</t>
  </si>
  <si>
    <t>Cégtelefonadó után szja</t>
  </si>
  <si>
    <t>55994</t>
  </si>
  <si>
    <t>Egyes megh. juttatás 16 % alap (2011)</t>
  </si>
  <si>
    <t>56174</t>
  </si>
  <si>
    <t>NAV Szociális hozzájárulási adó (TB helyett 2012)</t>
  </si>
  <si>
    <t>56212</t>
  </si>
  <si>
    <t>Egészségügyi hozzájárulás  27 % (2011)</t>
  </si>
  <si>
    <t>5622</t>
  </si>
  <si>
    <t>EHO százalékos (cégautó,cégtel, repr)</t>
  </si>
  <si>
    <t>5641</t>
  </si>
  <si>
    <t>Szakképzési hozzájárulás</t>
  </si>
  <si>
    <t>5691</t>
  </si>
  <si>
    <t>Rehabilitációs hozzájárulás</t>
  </si>
  <si>
    <t>5692</t>
  </si>
  <si>
    <t>Cégautó adó</t>
  </si>
  <si>
    <t>5711</t>
  </si>
  <si>
    <t>Terv szerinti értékcsökkenési leírás</t>
  </si>
  <si>
    <t>5712</t>
  </si>
  <si>
    <t>Terv szerinti écs. leírás fejlesztési támogatás</t>
  </si>
  <si>
    <t>5713</t>
  </si>
  <si>
    <t>Terv sz. écs - játszótéri berend.2011.01.01-től</t>
  </si>
  <si>
    <t>5721</t>
  </si>
  <si>
    <t>Használatbavételkor egy összegben elszámolt écs.</t>
  </si>
  <si>
    <t>5722</t>
  </si>
  <si>
    <t>8151</t>
  </si>
  <si>
    <t>Továbbszámlázott közüzemi és egyéb szolgáltatások</t>
  </si>
  <si>
    <t>8156</t>
  </si>
  <si>
    <t>Közvetített szolgáltatások (tovább számlázott)</t>
  </si>
  <si>
    <t>815821511</t>
  </si>
  <si>
    <t>Továbbszámlázandó közüzemi parkolás főváros</t>
  </si>
  <si>
    <t>815821512</t>
  </si>
  <si>
    <t>Továbbszámlázandó anyagbesz parkolás főváros</t>
  </si>
  <si>
    <t>815821521</t>
  </si>
  <si>
    <t>Továbbszámlázandó egyéb szolg parkolás főváros</t>
  </si>
  <si>
    <t>8631</t>
  </si>
  <si>
    <t>Káreseményekkel kapcsolatos kifizetések</t>
  </si>
  <si>
    <t>8632</t>
  </si>
  <si>
    <t>Bírságok, kötbérek, késedelmi kamatok, kártérítés</t>
  </si>
  <si>
    <t>8636</t>
  </si>
  <si>
    <t>Adóalapot növelő tételek</t>
  </si>
  <si>
    <t>8639</t>
  </si>
  <si>
    <t>Kerekítés</t>
  </si>
  <si>
    <t>86715</t>
  </si>
  <si>
    <t>Áfa arányosítás</t>
  </si>
  <si>
    <t>86722</t>
  </si>
  <si>
    <t>Gépjárműadó kötelezettség (súlyadó)</t>
  </si>
  <si>
    <t>86723</t>
  </si>
  <si>
    <t>Bírság, mulasztási bírság, önellenőrzés</t>
  </si>
  <si>
    <t>8694</t>
  </si>
  <si>
    <t>Különféle egyéb ráfordítások</t>
  </si>
  <si>
    <t>91112</t>
  </si>
  <si>
    <t>Kezelési díj - társasházi</t>
  </si>
  <si>
    <t>91122</t>
  </si>
  <si>
    <t>Szolgáltatási díj - társasházi (Ing.szolg.ir. )</t>
  </si>
  <si>
    <t>91132</t>
  </si>
  <si>
    <t>Közreműködési díj - társasáházi (ügyviteli díj)</t>
  </si>
  <si>
    <t>91147</t>
  </si>
  <si>
    <t>Egyéb bevételek - lakásgazd. - pályázati anyag</t>
  </si>
  <si>
    <t>9115301</t>
  </si>
  <si>
    <t>Eljárási díj</t>
  </si>
  <si>
    <t>9115302</t>
  </si>
  <si>
    <t>Pályázati díj</t>
  </si>
  <si>
    <t>9115303</t>
  </si>
  <si>
    <t>Lakás és helyiség árverés díj</t>
  </si>
  <si>
    <t>91182</t>
  </si>
  <si>
    <t>Elidegenítéssel kapcs feladatok</t>
  </si>
  <si>
    <t>91183</t>
  </si>
  <si>
    <t>Vagyongazdálkodással kapcs feladatok</t>
  </si>
  <si>
    <t>91301</t>
  </si>
  <si>
    <t>Fővárosi parkolás üzemeltetési bevétel</t>
  </si>
  <si>
    <t>91302</t>
  </si>
  <si>
    <t>Józsefvárosi parkolás üzemeltetési bevétel</t>
  </si>
  <si>
    <t>91303</t>
  </si>
  <si>
    <t>Parkolás saját üzemeltetési bevétel</t>
  </si>
  <si>
    <t>913101</t>
  </si>
  <si>
    <t>JIK Önkormányzati takarítás</t>
  </si>
  <si>
    <t>913201</t>
  </si>
  <si>
    <t>Városüzemeltetési bevétel lomtalanítás</t>
  </si>
  <si>
    <t>913301</t>
  </si>
  <si>
    <t>Teleki téri piac üzemeltetési bevétel</t>
  </si>
  <si>
    <t>9141</t>
  </si>
  <si>
    <t>Eladott anyagok bevétele</t>
  </si>
  <si>
    <t>9151</t>
  </si>
  <si>
    <t>Továbbszámlázott telefon,közüzemi díjak bevétele</t>
  </si>
  <si>
    <t>9153</t>
  </si>
  <si>
    <t>Továbbszámlázott szolg. költöztetés szállítás</t>
  </si>
  <si>
    <t>9154</t>
  </si>
  <si>
    <t>Továbbszámlázott egyéb szolgáltatások bev</t>
  </si>
  <si>
    <t>9156</t>
  </si>
  <si>
    <t>Továbbszámlázott egyéb szolgáltatások bevétele</t>
  </si>
  <si>
    <t>921</t>
  </si>
  <si>
    <t>Egyéb bevételek</t>
  </si>
  <si>
    <t>923</t>
  </si>
  <si>
    <t>Egyéb bevételek - bérleti díjak</t>
  </si>
  <si>
    <t>9631</t>
  </si>
  <si>
    <t>Káreseményekkel kapcsolatos bevételek</t>
  </si>
  <si>
    <t>9632</t>
  </si>
  <si>
    <t>Kapott bírságok,kötbérek,kés.kamat,kárt.</t>
  </si>
  <si>
    <t>9634</t>
  </si>
  <si>
    <t>Ktgek,ráf. ellent.kapott támog.,juttatás</t>
  </si>
  <si>
    <t>9635</t>
  </si>
  <si>
    <t>Egyéb kapott összegek</t>
  </si>
  <si>
    <t>9636</t>
  </si>
  <si>
    <t>Bérenkívüli juttatás megtérítése</t>
  </si>
  <si>
    <t>9637</t>
  </si>
  <si>
    <t>Végrehajtásból befolyt összeg</t>
  </si>
  <si>
    <t>968944</t>
  </si>
  <si>
    <t>Támogatás Tavaszmező u.2</t>
  </si>
  <si>
    <t>968945</t>
  </si>
  <si>
    <t>Támogatás Őr u.8.</t>
  </si>
  <si>
    <t>968946</t>
  </si>
  <si>
    <t>Támogatás fejlesztési 2016</t>
  </si>
  <si>
    <t>9699</t>
  </si>
  <si>
    <t>Egyéb különféle bevételek</t>
  </si>
  <si>
    <t>97412</t>
  </si>
  <si>
    <t>Forgóe.kim.kölcs,váltóköv.pe.kamat egyéb</t>
  </si>
  <si>
    <t>Összesen</t>
  </si>
  <si>
    <t>Költséghely</t>
  </si>
  <si>
    <t>Főkönyvi szám</t>
  </si>
  <si>
    <t>Név</t>
  </si>
  <si>
    <t>(üres)</t>
  </si>
  <si>
    <t>Egyenleg</t>
  </si>
  <si>
    <t>660</t>
  </si>
  <si>
    <t>661</t>
  </si>
  <si>
    <t>662</t>
  </si>
  <si>
    <t>663</t>
  </si>
  <si>
    <t>664</t>
  </si>
  <si>
    <t>665</t>
  </si>
  <si>
    <t>666</t>
  </si>
  <si>
    <t>667</t>
  </si>
  <si>
    <t>70100</t>
  </si>
  <si>
    <t>70110</t>
  </si>
  <si>
    <t>70120</t>
  </si>
  <si>
    <t>70130</t>
  </si>
  <si>
    <t>70200</t>
  </si>
  <si>
    <t>70210</t>
  </si>
  <si>
    <t>70220</t>
  </si>
  <si>
    <t>75100</t>
  </si>
  <si>
    <t>75113</t>
  </si>
  <si>
    <t>75115</t>
  </si>
  <si>
    <t>75117</t>
  </si>
  <si>
    <t>75120</t>
  </si>
  <si>
    <t>75121</t>
  </si>
  <si>
    <t>75122</t>
  </si>
  <si>
    <t>75123</t>
  </si>
  <si>
    <t>75124</t>
  </si>
  <si>
    <t>75131</t>
  </si>
  <si>
    <t>751310</t>
  </si>
  <si>
    <t>751311</t>
  </si>
  <si>
    <t>751312</t>
  </si>
  <si>
    <t>751313</t>
  </si>
  <si>
    <t>751314</t>
  </si>
  <si>
    <t>751315</t>
  </si>
  <si>
    <t>75132</t>
  </si>
  <si>
    <t>75133</t>
  </si>
  <si>
    <t>75211</t>
  </si>
  <si>
    <t>75212</t>
  </si>
  <si>
    <t>75221</t>
  </si>
  <si>
    <t>75300</t>
  </si>
  <si>
    <t>75301</t>
  </si>
  <si>
    <t>75303</t>
  </si>
  <si>
    <t>75304</t>
  </si>
  <si>
    <t>75511</t>
  </si>
  <si>
    <t>75512</t>
  </si>
  <si>
    <t>75513</t>
  </si>
  <si>
    <t>80100</t>
  </si>
  <si>
    <t>80101</t>
  </si>
  <si>
    <t>80102</t>
  </si>
  <si>
    <t>80200</t>
  </si>
  <si>
    <t>80300</t>
  </si>
  <si>
    <t>81000</t>
  </si>
  <si>
    <t>81010</t>
  </si>
  <si>
    <t>81011</t>
  </si>
  <si>
    <t>81012</t>
  </si>
  <si>
    <t>81013</t>
  </si>
  <si>
    <t>81014</t>
  </si>
  <si>
    <t>81015</t>
  </si>
  <si>
    <t>81101</t>
  </si>
  <si>
    <t>81102</t>
  </si>
  <si>
    <t>81103</t>
  </si>
  <si>
    <t>81104</t>
  </si>
  <si>
    <t>81105</t>
  </si>
  <si>
    <t>81107</t>
  </si>
  <si>
    <t>81108</t>
  </si>
  <si>
    <t>81109</t>
  </si>
  <si>
    <t>81110</t>
  </si>
  <si>
    <t>81111</t>
  </si>
  <si>
    <t>81200</t>
  </si>
  <si>
    <t>8120020</t>
  </si>
  <si>
    <t>8120021</t>
  </si>
  <si>
    <t>8120040</t>
  </si>
  <si>
    <t>8120050</t>
  </si>
  <si>
    <t>8120060</t>
  </si>
  <si>
    <t>8120070</t>
  </si>
  <si>
    <t>8120080</t>
  </si>
  <si>
    <t>8120090</t>
  </si>
  <si>
    <t>8120100</t>
  </si>
  <si>
    <t>8120110</t>
  </si>
  <si>
    <t>8120120</t>
  </si>
  <si>
    <t>8120130</t>
  </si>
  <si>
    <t>8120131</t>
  </si>
  <si>
    <t>8120140</t>
  </si>
  <si>
    <t>8120150</t>
  </si>
  <si>
    <t>8120160</t>
  </si>
  <si>
    <t>8120170</t>
  </si>
  <si>
    <t>82000</t>
  </si>
  <si>
    <t>82010</t>
  </si>
  <si>
    <t>82100</t>
  </si>
  <si>
    <t>82200</t>
  </si>
  <si>
    <t>82300</t>
  </si>
  <si>
    <t>82400</t>
  </si>
  <si>
    <t>82401</t>
  </si>
  <si>
    <t>82402</t>
  </si>
  <si>
    <t>82500</t>
  </si>
  <si>
    <t>82600</t>
  </si>
  <si>
    <t>82730</t>
  </si>
  <si>
    <t>82731</t>
  </si>
  <si>
    <t>82732</t>
  </si>
  <si>
    <t>82733</t>
  </si>
  <si>
    <t>82734</t>
  </si>
  <si>
    <t>82740</t>
  </si>
  <si>
    <t>83000</t>
  </si>
  <si>
    <t>83100</t>
  </si>
  <si>
    <t>Közp. Baross u.</t>
  </si>
  <si>
    <t>Őr u 8</t>
  </si>
  <si>
    <t>Losonci u</t>
  </si>
  <si>
    <t>grund</t>
  </si>
  <si>
    <t>Parkolás</t>
  </si>
  <si>
    <t>JIK</t>
  </si>
  <si>
    <t>Vagyongazd</t>
  </si>
  <si>
    <t>JVSZ</t>
  </si>
  <si>
    <t>informatika</t>
  </si>
  <si>
    <t>Közbeszerzési referens</t>
  </si>
  <si>
    <t>Személyügy</t>
  </si>
  <si>
    <t>Gazdasági</t>
  </si>
  <si>
    <t>pénzügyi</t>
  </si>
  <si>
    <t>Bérelszámolási referens</t>
  </si>
  <si>
    <t>Vagyonkezelési</t>
  </si>
  <si>
    <t>ÖHK</t>
  </si>
  <si>
    <t>Műszaki</t>
  </si>
  <si>
    <t>Házelszámolás</t>
  </si>
  <si>
    <t>Harmónia</t>
  </si>
  <si>
    <t>Real-Team</t>
  </si>
  <si>
    <t>LGI</t>
  </si>
  <si>
    <t>Lakásgazd és hátralék</t>
  </si>
  <si>
    <t>Lakásgazdálkodási</t>
  </si>
  <si>
    <t>Hátralékkezelési</t>
  </si>
  <si>
    <t>Díjbeszedési</t>
  </si>
  <si>
    <t xml:space="preserve">Ingatlanszolg </t>
  </si>
  <si>
    <t>intézmények, utak, háziorvosi rendelők</t>
  </si>
  <si>
    <t>Elidegenítés</t>
  </si>
  <si>
    <t>Bérbeadás</t>
  </si>
  <si>
    <t>Tul.képv.</t>
  </si>
  <si>
    <t>Parkolás üzemeltetés</t>
  </si>
  <si>
    <t>Parkolás ügyfélszolg</t>
  </si>
  <si>
    <t>Főváros</t>
  </si>
  <si>
    <t>Józsefváros</t>
  </si>
  <si>
    <t>JIK Központ</t>
  </si>
  <si>
    <t>uszoda Losonci u iskola</t>
  </si>
  <si>
    <t>Sportsátor</t>
  </si>
  <si>
    <t>Iskolabusz</t>
  </si>
  <si>
    <t>Németh Iskola</t>
  </si>
  <si>
    <t>Molnár Iskola</t>
  </si>
  <si>
    <t>Deák-diák iskola</t>
  </si>
  <si>
    <t>Losonci iskola</t>
  </si>
  <si>
    <t>VAjdaPéter iskola</t>
  </si>
  <si>
    <t>Lakatos iskola</t>
  </si>
  <si>
    <t>Zeneiskola</t>
  </si>
  <si>
    <t>JEGYMKÁI</t>
  </si>
  <si>
    <t>JEPSZ</t>
  </si>
  <si>
    <t>JIK HIvatalai takarítók</t>
  </si>
  <si>
    <t>Óvodák</t>
  </si>
  <si>
    <t>Napraforgó</t>
  </si>
  <si>
    <t>NEO</t>
  </si>
  <si>
    <t>Várunk Rád</t>
  </si>
  <si>
    <t>Tátika</t>
  </si>
  <si>
    <t>Napsugár</t>
  </si>
  <si>
    <t>Százszorszép</t>
  </si>
  <si>
    <t>Koszorú</t>
  </si>
  <si>
    <t>Hátszínvirág</t>
  </si>
  <si>
    <t>Szivárvány</t>
  </si>
  <si>
    <t>Mesepalota</t>
  </si>
  <si>
    <t>Gyerek-virág</t>
  </si>
  <si>
    <t>Katica Óvoda</t>
  </si>
  <si>
    <t>katica Bölcsöde</t>
  </si>
  <si>
    <t>Csodasziget</t>
  </si>
  <si>
    <t>Kincskereső</t>
  </si>
  <si>
    <t>Pitypang</t>
  </si>
  <si>
    <t>Tesz-vesz</t>
  </si>
  <si>
    <t>JVSZ központ</t>
  </si>
  <si>
    <t>Életmentő pont</t>
  </si>
  <si>
    <t>titkárság</t>
  </si>
  <si>
    <t>Kerületőrség</t>
  </si>
  <si>
    <t>Karbantartó iroda</t>
  </si>
  <si>
    <t>Közterület köztisztaság</t>
  </si>
  <si>
    <t>JVSZ Parkoló takarítók</t>
  </si>
  <si>
    <t>10106/26/400</t>
  </si>
  <si>
    <t>Kertészet</t>
  </si>
  <si>
    <t>10106/26/421 Karbantartók</t>
  </si>
  <si>
    <t>10106/26/421 egyéb kisegítő</t>
  </si>
  <si>
    <t>10106/26/421 munkavezető I</t>
  </si>
  <si>
    <t>10106/26/421 munkavezető II</t>
  </si>
  <si>
    <t>10106/26/421 JIK takarító</t>
  </si>
  <si>
    <t>Teleki téri piac központ</t>
  </si>
  <si>
    <t>piac takarítók</t>
  </si>
  <si>
    <t>társasházi tulajdonosi képviselet</t>
  </si>
  <si>
    <t>önként vállalt feladat</t>
  </si>
  <si>
    <t>11401 cím Parkolás ( önkormányzati tulajdonú parkolóhelyekre számolva)</t>
  </si>
  <si>
    <t>megjegyzés</t>
  </si>
  <si>
    <t>terek, parkok, fasorok, közösségi kertek fenntartása, gondozása, közterületi játszóeszközök, bútrok, műtárgyak karbantratása, LÉLEK programban részvevők foglalkoztatásával együtt</t>
  </si>
  <si>
    <t>közfoglalkoz-tatás</t>
  </si>
  <si>
    <t>utak, járdák fenntartása, karbantartása,LÉLEK programban részvevők foglalkoztatásával együtt</t>
  </si>
  <si>
    <t>köztisztasági feladatok, LÉLEK programban részvevők foglalkoztatásával együtt</t>
  </si>
  <si>
    <t>Kerületőrség,LÉLEK programban részvevők foglalkoztatá-sával együtt</t>
  </si>
  <si>
    <t>28/2014. (VII,01.) önk. rendeletben meghatározott céltratalék felhasználás</t>
  </si>
  <si>
    <t>összesen</t>
  </si>
  <si>
    <t>iskolabusz</t>
  </si>
  <si>
    <t xml:space="preserve"> ÖSSZESEN</t>
  </si>
  <si>
    <t xml:space="preserve">kötelező fea. </t>
  </si>
  <si>
    <t>önként vállalt fea. Cafeteria, alkalmazottak biztosítása</t>
  </si>
  <si>
    <t>kötelező fea.</t>
  </si>
  <si>
    <t>önként vállalt fea.(pl. felújítások, beruházások,közösségi kertek, cafeteria, kerületgondokok)</t>
  </si>
  <si>
    <t>önként vállalt fea. ( felújítások,beruházások, cafateria)</t>
  </si>
  <si>
    <t>kötelező fea. (Önkormány-zati tulajdonú terület takarítása)</t>
  </si>
  <si>
    <t>önként vállalt fea. ( illegális szemétszállítás, Főv. Területen takarítás,cafateria,)</t>
  </si>
  <si>
    <t>önként vállalt fea.</t>
  </si>
  <si>
    <t>kötelező feladat</t>
  </si>
  <si>
    <t>Operatív igazgató</t>
  </si>
  <si>
    <t>Közösképviselet és Házkezelési Divízió</t>
  </si>
  <si>
    <t>Házkezelő csoport</t>
  </si>
  <si>
    <t>Társasházkezelők</t>
  </si>
  <si>
    <t>Lakáskezelő csoport</t>
  </si>
  <si>
    <t>Társasházi tulajdonosi képviselet</t>
  </si>
  <si>
    <t>Ingatlanszolgáltatási iroda (műszak)</t>
  </si>
  <si>
    <t>KLIK feladatok</t>
  </si>
  <si>
    <t>Önkormányzati karbantartás</t>
  </si>
  <si>
    <t>JVSZ megbízásos takarítók (volt közfogl)</t>
  </si>
  <si>
    <t>10106/26/465</t>
  </si>
  <si>
    <t>Központi felosztandó</t>
  </si>
  <si>
    <t>Központi nem felosztott</t>
  </si>
  <si>
    <t>felosztás</t>
  </si>
  <si>
    <t>JVSZ központi létszám szerint</t>
  </si>
  <si>
    <t>házkezelés (takarítás)</t>
  </si>
  <si>
    <t>lakásgazdálkodás és bérbeadás</t>
  </si>
  <si>
    <t>műszak</t>
  </si>
  <si>
    <t>nem lakás céljára szolgáló helyiségek bérbeadása</t>
  </si>
  <si>
    <t>közös képviselet</t>
  </si>
  <si>
    <t>mindösszesen közös képviselet nélkül</t>
  </si>
  <si>
    <t>külső feladat</t>
  </si>
  <si>
    <t>11602 cím lakások, helyiségek elidegenítése</t>
  </si>
  <si>
    <t>Új Teleki téri piac üzemeltetése, őstermelői ideiglenes piacok üzemeltése, működtetése</t>
  </si>
  <si>
    <t>önként vállalt fea. Cafeteria</t>
  </si>
  <si>
    <t>ÖSSZESEN</t>
  </si>
  <si>
    <t>önként vállalt</t>
  </si>
  <si>
    <t>KÖTELEZŐ FEA.</t>
  </si>
  <si>
    <t>ÖNKÉNT VÁLLALT FEA.</t>
  </si>
  <si>
    <t>MIND ÖSSZESEN</t>
  </si>
  <si>
    <t xml:space="preserve">Iskolák működtetése 11601-01 cím </t>
  </si>
  <si>
    <t>közszolg.összesen</t>
  </si>
  <si>
    <t>önként vállalt feladatok</t>
  </si>
  <si>
    <t>intézményműködtetés központi költségek</t>
  </si>
  <si>
    <t>uszoda (hasznosítások tanórai foglalkozáson kívüli, működtetés, fenntartás, karbantartás)</t>
  </si>
  <si>
    <t>sportsátor (működtetés, fenntartás, szabad  kapacitás hasznosítása)</t>
  </si>
  <si>
    <t>iskolai egyéb telefonktsg, ballonos víz</t>
  </si>
  <si>
    <t>iskolai egyéb hasznosí-tással kapcsolatos tételek (Pensio Losonci + GNM Németh L)</t>
  </si>
  <si>
    <t>össz parkolási ktg. Terv 2017. év ( Fővárosi,más kerületi, önkormányzati )</t>
  </si>
  <si>
    <t>önkormányzati hányad 80%</t>
  </si>
  <si>
    <t>Fővárosi Önk. hányad 19 %</t>
  </si>
  <si>
    <t>más kerületi hányad 1%</t>
  </si>
  <si>
    <t>házkezelés (takarítás + Vagyongazd központi összesen</t>
  </si>
  <si>
    <t>Vagyongazdálkodási központ felosztott</t>
  </si>
  <si>
    <t>Támogatás elsz korrekció</t>
  </si>
  <si>
    <t>Vagyongazd összes felosztandó</t>
  </si>
  <si>
    <t>Központi irányítási felosztott</t>
  </si>
  <si>
    <t>közös képviselet + vagyongazd központi összesen</t>
  </si>
  <si>
    <t>lakásgazdálkodás és bérbeadás + vagyongazd központi összesen</t>
  </si>
  <si>
    <t>társasházi tulajdonosi képviselet + vgayongazd központi összesen</t>
  </si>
  <si>
    <t>Műszak + vgayongazd központi összesen</t>
  </si>
  <si>
    <t>nem lakás céljára szolgáló helyiségek bérbeadása + vagyongazd központi összesen</t>
  </si>
  <si>
    <t>Elidegenítés + vagyongazd központi összesen</t>
  </si>
  <si>
    <t>Vagyongazdálkodás mindösszesen központi felosztottal</t>
  </si>
  <si>
    <t>Vagyongazdálkodás közös képv és központi nélkül</t>
  </si>
  <si>
    <t>Józsefváros összesen</t>
  </si>
  <si>
    <t>Parkolás mindösszesen</t>
  </si>
  <si>
    <t>JIK Hivatali takarítók összesen</t>
  </si>
  <si>
    <t>JIK összesen JIK központival</t>
  </si>
  <si>
    <t>JIK mindösszesen</t>
  </si>
  <si>
    <t>JIK összesen hivatali takarítók nélkül</t>
  </si>
  <si>
    <t>JVSZ kompenzáció</t>
  </si>
  <si>
    <t>JVSZ központ felosztandó</t>
  </si>
  <si>
    <t>JVSZ központ felosztott</t>
  </si>
  <si>
    <t>Kerületőrség + JVSZ központi felosztott</t>
  </si>
  <si>
    <t>Karbantartó + JVSZ központi felosztott</t>
  </si>
  <si>
    <t>Közterület + JVSZ központi felosztott</t>
  </si>
  <si>
    <t>Kertészet + JVSZ központi felosztott</t>
  </si>
  <si>
    <t>Közfogl összesen</t>
  </si>
  <si>
    <t>28/2014 Fakataszter</t>
  </si>
  <si>
    <t>JVSZ összesen</t>
  </si>
  <si>
    <t>Piac összesen közp irányítási nélkül</t>
  </si>
  <si>
    <t>JIK központ összesen közp irányítási nélkül</t>
  </si>
  <si>
    <t>Központ</t>
  </si>
  <si>
    <t>Igazgatóság</t>
  </si>
  <si>
    <t>Baross u.</t>
  </si>
  <si>
    <t>Gazd és pü ir</t>
  </si>
  <si>
    <t>Ig</t>
  </si>
  <si>
    <t>Házkez. Kis J</t>
  </si>
  <si>
    <t>Házkez. Őr</t>
  </si>
  <si>
    <t>Lakásgazd</t>
  </si>
  <si>
    <t>Ingatlanszolg</t>
  </si>
  <si>
    <t>Műszaki div</t>
  </si>
  <si>
    <t>elid</t>
  </si>
  <si>
    <t>központ</t>
  </si>
  <si>
    <t>iskolák</t>
  </si>
  <si>
    <t>óvodák</t>
  </si>
  <si>
    <t>hivatali takarítók</t>
  </si>
  <si>
    <t>kerületőrség</t>
  </si>
  <si>
    <t>karbantartók</t>
  </si>
  <si>
    <t>kertész</t>
  </si>
  <si>
    <t>köztisztaság</t>
  </si>
  <si>
    <t>közfogl</t>
  </si>
  <si>
    <t>közfogl iroda</t>
  </si>
  <si>
    <t>parkoló takarító</t>
  </si>
  <si>
    <t>Piac</t>
  </si>
  <si>
    <t>Tulajdonosi képv</t>
  </si>
  <si>
    <t>Központi felosztott</t>
  </si>
  <si>
    <t>Vagyongazd felosztott</t>
  </si>
  <si>
    <t>JVSZ felosztott</t>
  </si>
  <si>
    <t>Mindösszesen</t>
  </si>
  <si>
    <t>Megnevezés</t>
  </si>
  <si>
    <t>kompenzáció beruházással</t>
  </si>
  <si>
    <t>összes költség</t>
  </si>
  <si>
    <t>kompenzáció</t>
  </si>
  <si>
    <t>Vagyongazdálkodás összesen</t>
  </si>
  <si>
    <t>Parkolás összesen</t>
  </si>
  <si>
    <t>Piac összesen</t>
  </si>
  <si>
    <t>Nem felosztott központi költség</t>
  </si>
  <si>
    <t>nem lakáscélú helyiségek bérbeadása</t>
  </si>
  <si>
    <t>lakásgazdálkodás/bérbeadás</t>
  </si>
  <si>
    <t>műszaki feladatok</t>
  </si>
  <si>
    <t>lakások és helyiségek elidegenítése</t>
  </si>
  <si>
    <t xml:space="preserve">Fővárosi,más kerületi, önkormányzati </t>
  </si>
  <si>
    <t>uszoda</t>
  </si>
  <si>
    <t>sportsátor</t>
  </si>
  <si>
    <t>terek, parkok, fasorok, közösségi kertek fenntartása, gondozása,</t>
  </si>
  <si>
    <t>közfoglaltatás</t>
  </si>
  <si>
    <t>utak, járdák fenntartása, karbantartása,</t>
  </si>
  <si>
    <t>köztisztasági feladatok</t>
  </si>
  <si>
    <t>Új Teleki téri piac üzemeltetése</t>
  </si>
  <si>
    <t>különbség</t>
  </si>
  <si>
    <r>
      <t>társasházi közös képviselet</t>
    </r>
    <r>
      <rPr>
        <sz val="10"/>
        <color indexed="10"/>
        <rFont val="Arial"/>
        <family val="2"/>
        <charset val="238"/>
      </rPr>
      <t xml:space="preserve"> (piaci)</t>
    </r>
  </si>
  <si>
    <t>Eredmény (veszteség!!!)</t>
  </si>
  <si>
    <t xml:space="preserve">Józsefvárosi Gazdálkodási Központ Zrt. </t>
  </si>
  <si>
    <t>ezer forintban</t>
  </si>
  <si>
    <t xml:space="preserve"> rovat megnevezése</t>
  </si>
  <si>
    <t>KOMPENZÁCIÓ IGÉNY</t>
  </si>
  <si>
    <t>irányítási ktg. felosztása</t>
  </si>
  <si>
    <t>szolgáltatási díj  összesen ( nettó)</t>
  </si>
  <si>
    <t>szolgálatás díj összesen ( bruttó)</t>
  </si>
  <si>
    <t>Józsefvárosi Gazdálkodási Központ Zrt.</t>
  </si>
  <si>
    <t xml:space="preserve"> 11407 cím</t>
  </si>
  <si>
    <t>KIADÁS</t>
  </si>
  <si>
    <t>irányítási ktg. Felosztása</t>
  </si>
  <si>
    <t>KOMPENZÁCIÓ/KÖLTSÉGTÉRITÉS ÖSSZESEN</t>
  </si>
  <si>
    <t xml:space="preserve">közfoglalkoztatottak száma: </t>
  </si>
  <si>
    <t xml:space="preserve">Központi irányítás felosztott költsége </t>
  </si>
  <si>
    <t>KOMPENZÁCIÓ ÖSSZESEN</t>
  </si>
  <si>
    <t>86721</t>
  </si>
  <si>
    <t>86713</t>
  </si>
  <si>
    <t>Innovációs járulék</t>
  </si>
  <si>
    <t>Iparűzési adó kötelezettség</t>
  </si>
  <si>
    <t>JIK iskolák</t>
  </si>
  <si>
    <t>JIK óvodák</t>
  </si>
  <si>
    <t>Kód</t>
  </si>
  <si>
    <t>Könyvelés dátum</t>
  </si>
  <si>
    <t>Könyvelési szám</t>
  </si>
  <si>
    <t>Szöveg</t>
  </si>
  <si>
    <t>Bizonylatszám</t>
  </si>
  <si>
    <t>Kézi számlaszám</t>
  </si>
  <si>
    <t>Ügyfél</t>
  </si>
  <si>
    <t>Ellenszámla</t>
  </si>
  <si>
    <t>Tartozik</t>
  </si>
  <si>
    <t>Követel</t>
  </si>
  <si>
    <t>478000</t>
  </si>
  <si>
    <t>Önkormányzat által adott JGK támogatás</t>
  </si>
  <si>
    <t>Főkönyvi nyitás</t>
  </si>
  <si>
    <t>4912</t>
  </si>
  <si>
    <t>Záró forgalom</t>
  </si>
  <si>
    <t>Záró egyenleg</t>
  </si>
  <si>
    <t>478001</t>
  </si>
  <si>
    <t>Önkormányzati támogatás JIK</t>
  </si>
  <si>
    <t>Önkorm</t>
  </si>
  <si>
    <t>384001</t>
  </si>
  <si>
    <t>478002</t>
  </si>
  <si>
    <t>Önkormányzati támogatás JVSZ</t>
  </si>
  <si>
    <t>478003</t>
  </si>
  <si>
    <t>Önkormányzati beruházási támogatás</t>
  </si>
  <si>
    <t>478004</t>
  </si>
  <si>
    <t>Önkormányzati piaci működés támogatás</t>
  </si>
  <si>
    <t>311801, 4670, 478004</t>
  </si>
  <si>
    <t>4670, 478004</t>
  </si>
  <si>
    <t>478005</t>
  </si>
  <si>
    <t>Önkormányzati parkolás működés támogatás</t>
  </si>
  <si>
    <t>Közterületi várakozóhelyek üzemeltetésével, karban</t>
  </si>
  <si>
    <t>311801, 4670, 478005</t>
  </si>
  <si>
    <t>4670, 478005</t>
  </si>
  <si>
    <t>478006</t>
  </si>
  <si>
    <t>Önkormányzati vagyongazdálkodás működés támogatás</t>
  </si>
  <si>
    <t>Elidegenítéssel kapcsolatos feladatok ellátása</t>
  </si>
  <si>
    <t>311801, 4670, 478006</t>
  </si>
  <si>
    <t>4670, 478006</t>
  </si>
  <si>
    <t>51312</t>
  </si>
  <si>
    <t>Számítástehnikai kellékanyagok</t>
  </si>
  <si>
    <t>52323</t>
  </si>
  <si>
    <t>52328</t>
  </si>
  <si>
    <t>Tűzoltókészülékek javítási és karb. költségei</t>
  </si>
  <si>
    <t>54128</t>
  </si>
  <si>
    <t>Apanap (szabadság, MÁK megtéríti)</t>
  </si>
  <si>
    <t>54140</t>
  </si>
  <si>
    <t>Alkalmi munka egysz</t>
  </si>
  <si>
    <t>55124</t>
  </si>
  <si>
    <t>Iskolakezdési támogatás</t>
  </si>
  <si>
    <t>5528</t>
  </si>
  <si>
    <t>Önkéntes EB pénztár</t>
  </si>
  <si>
    <t>56176</t>
  </si>
  <si>
    <t>Egyszerűsített közt</t>
  </si>
  <si>
    <t>8165221701</t>
  </si>
  <si>
    <t>Lakóház gázenergia le nem vonható 27%</t>
  </si>
  <si>
    <t>8165224600</t>
  </si>
  <si>
    <t>Lakóház víz-, csatornadíj 27%</t>
  </si>
  <si>
    <t>8165224611</t>
  </si>
  <si>
    <t>Lakóház víz-, csatornadíj arányosított 27%</t>
  </si>
  <si>
    <t>8165224701</t>
  </si>
  <si>
    <t>Lakóház víz-, csatornadíj le nem vonható 27%</t>
  </si>
  <si>
    <t>8165274100</t>
  </si>
  <si>
    <t>Egyéb lakóház fenntart. kapcs. kiadás M</t>
  </si>
  <si>
    <t>9160</t>
  </si>
  <si>
    <t>Üzemeltetési bevételek - közüzemi számlák</t>
  </si>
  <si>
    <t>9611</t>
  </si>
  <si>
    <t>Értékesített  tárgyi eszközök</t>
  </si>
  <si>
    <t>9633</t>
  </si>
  <si>
    <t>Behajthatalannak min.,leírt köv.kapott ö</t>
  </si>
  <si>
    <t>70230</t>
  </si>
  <si>
    <t>70240</t>
  </si>
  <si>
    <t>JIK karbantartás</t>
  </si>
  <si>
    <t>81016</t>
  </si>
  <si>
    <t>Önkormányzat átvállalt végkiel</t>
  </si>
  <si>
    <t>Önkormányzat átvállalt cafeteria</t>
  </si>
  <si>
    <t>JIK Iskolák</t>
  </si>
  <si>
    <t>81017</t>
  </si>
  <si>
    <t>81018</t>
  </si>
  <si>
    <t>81100</t>
  </si>
  <si>
    <t>Vagyongazd központi létszám szerint</t>
  </si>
  <si>
    <t>Közösképviselet és Házkezelési Divízió KORREKCIÓ</t>
  </si>
  <si>
    <t>WTbér</t>
  </si>
  <si>
    <t>főkönyv</t>
  </si>
  <si>
    <t>létszám</t>
  </si>
  <si>
    <t xml:space="preserve">MŰKÖDÉSI KIADÁSOK </t>
  </si>
  <si>
    <t xml:space="preserve"> Személyi juttatás</t>
  </si>
  <si>
    <t xml:space="preserve"> - alkalmazottak bére</t>
  </si>
  <si>
    <t xml:space="preserve"> - alkalmazottak juttatásai, költségtérítései</t>
  </si>
  <si>
    <t xml:space="preserve"> - megbízási szerződés keretében foglalkoztatottak</t>
  </si>
  <si>
    <t>Munkaadót terhelő járulékok és szociális hozzájárulási adó</t>
  </si>
  <si>
    <t>Dologi kiadások</t>
  </si>
  <si>
    <t xml:space="preserve"> - közüzem</t>
  </si>
  <si>
    <t xml:space="preserve"> - szolgáltatások </t>
  </si>
  <si>
    <t xml:space="preserve"> - beszerzések ( irodaszer, nyomatatvány, karbantartási anyagok, berendezések, felszerlések, tisztítószer)</t>
  </si>
  <si>
    <t>MŰKÖDÉSI KIADÁSOK ÖSSZESEN:</t>
  </si>
  <si>
    <t xml:space="preserve">FELHALMOZÁSI KIADÁSOK </t>
  </si>
  <si>
    <t>Beruházások</t>
  </si>
  <si>
    <t>Felújítások</t>
  </si>
  <si>
    <t>FELHALMOZÁSI KIADÁSOK ÖSSZESEN</t>
  </si>
  <si>
    <t xml:space="preserve"> KIADÁSOK   ÖSSZESEN</t>
  </si>
  <si>
    <t>BEVÉTELEK</t>
  </si>
  <si>
    <t xml:space="preserve">MŰKÖDÉSI BEVÉTELEK </t>
  </si>
  <si>
    <t>Működési bevételek hasznosítások</t>
  </si>
  <si>
    <t>MŰKÖDÉSI BEVÉTELEK ÖSSZESEN</t>
  </si>
  <si>
    <t>FELHALMOZÁSI BEVÉTELEK</t>
  </si>
  <si>
    <t>Egyéb tárgyi eszközök értékesítése</t>
  </si>
  <si>
    <t>FELHALMOZÁSI BEVÉTELEK ÖSSZESEN</t>
  </si>
  <si>
    <t xml:space="preserve"> BEVÉTELEK ÖSSZESEN</t>
  </si>
  <si>
    <t>cafeteria</t>
  </si>
  <si>
    <t>cafeteria járulék</t>
  </si>
  <si>
    <t>mindösszesen</t>
  </si>
  <si>
    <t>cafeteria nélkül</t>
  </si>
  <si>
    <t>központi nélkül</t>
  </si>
  <si>
    <t>Személyi juttatás</t>
  </si>
  <si>
    <t xml:space="preserve"> - megbízási szerződés keretében megbízási díjak</t>
  </si>
  <si>
    <t xml:space="preserve"> - közüzemi díjak</t>
  </si>
  <si>
    <t xml:space="preserve"> - szolgáltatások ( karbantartás, stb)</t>
  </si>
  <si>
    <t xml:space="preserve"> - beszerzések ( irodaszer, nyomatvány, tisztítószer, stb)</t>
  </si>
  <si>
    <t>pl. megtérülések</t>
  </si>
  <si>
    <t xml:space="preserve"> - adók, befizetések, értékcsökkenési leírás</t>
  </si>
  <si>
    <t>telefon</t>
  </si>
  <si>
    <t xml:space="preserve"> - beszerzések</t>
  </si>
  <si>
    <t>szolgáltatási szerződés keretén belül működési bevételek  ( őstermelői piacok esetében, megtérült költségek, stb.)</t>
  </si>
  <si>
    <t xml:space="preserve"> - megbízási díjak</t>
  </si>
  <si>
    <t xml:space="preserve"> - szolgáltatások</t>
  </si>
  <si>
    <t xml:space="preserve"> - beszerzések ( irodaszer, nyomatvány, karbantartási anyagok, stb)</t>
  </si>
  <si>
    <t xml:space="preserve">Működési bevételek (pl. megtérülések) </t>
  </si>
  <si>
    <t>Átvállalt végkielégítés</t>
  </si>
  <si>
    <t>Átvállalt cafeteria</t>
  </si>
  <si>
    <t>523381</t>
  </si>
  <si>
    <t>523382</t>
  </si>
  <si>
    <t>523383</t>
  </si>
  <si>
    <t>523384</t>
  </si>
  <si>
    <t>523385</t>
  </si>
  <si>
    <t>52914</t>
  </si>
  <si>
    <t>52991</t>
  </si>
  <si>
    <t>52992</t>
  </si>
  <si>
    <t>52993</t>
  </si>
  <si>
    <t>52994</t>
  </si>
  <si>
    <t>8165221100</t>
  </si>
  <si>
    <t>8165221700</t>
  </si>
  <si>
    <t>8165222100</t>
  </si>
  <si>
    <t>8165222600</t>
  </si>
  <si>
    <t>8165222611</t>
  </si>
  <si>
    <t>8165222700</t>
  </si>
  <si>
    <t>8165223100</t>
  </si>
  <si>
    <t>8165223500</t>
  </si>
  <si>
    <t>8165223600</t>
  </si>
  <si>
    <t>8165223800</t>
  </si>
  <si>
    <t>8165224100</t>
  </si>
  <si>
    <t>8165251000</t>
  </si>
  <si>
    <t>8165252000</t>
  </si>
  <si>
    <t>8165252100</t>
  </si>
  <si>
    <t>8165255000</t>
  </si>
  <si>
    <t>8165256000</t>
  </si>
  <si>
    <t>8165257000</t>
  </si>
  <si>
    <t>8165271300</t>
  </si>
  <si>
    <t>8165271311</t>
  </si>
  <si>
    <t>8165271312</t>
  </si>
  <si>
    <t>8165272311</t>
  </si>
  <si>
    <t>8165273311</t>
  </si>
  <si>
    <t>8165274300</t>
  </si>
  <si>
    <t>8165274400</t>
  </si>
  <si>
    <t>8165274500</t>
  </si>
  <si>
    <t>81681511</t>
  </si>
  <si>
    <t>81681513</t>
  </si>
  <si>
    <t>81684351</t>
  </si>
  <si>
    <t>81684352</t>
  </si>
  <si>
    <t>86724</t>
  </si>
  <si>
    <t>9165</t>
  </si>
  <si>
    <t>70111</t>
  </si>
  <si>
    <t>70112</t>
  </si>
  <si>
    <t>70140</t>
  </si>
  <si>
    <t>70141</t>
  </si>
  <si>
    <t>82741</t>
  </si>
  <si>
    <t>75125</t>
  </si>
  <si>
    <t>668</t>
  </si>
  <si>
    <t>75500</t>
  </si>
  <si>
    <t>82610</t>
  </si>
  <si>
    <t>Műszaki feladatok</t>
  </si>
  <si>
    <t>elidegenítés</t>
  </si>
  <si>
    <t>81000 Szeip korr</t>
  </si>
  <si>
    <t>hivatali takarítás</t>
  </si>
  <si>
    <t>9641</t>
  </si>
  <si>
    <t>Várható kötelezettségekre képzett céltartalék felh</t>
  </si>
  <si>
    <t>8165221711</t>
  </si>
  <si>
    <t>8165272300</t>
  </si>
  <si>
    <t>8165273300</t>
  </si>
  <si>
    <t>Parkoló automaták és egyéb bérleti díjak</t>
  </si>
  <si>
    <t>Parkolással kapcsolatos karbantartások</t>
  </si>
  <si>
    <t>Mobilparkolás továbbértékesítési díj</t>
  </si>
  <si>
    <t>Parkolás üzemeltetéshez kapcs szolgáltatási fel</t>
  </si>
  <si>
    <t>Közbeszerzési költségek</t>
  </si>
  <si>
    <t>Egyéb anyagjellegű szolg mellékvízmérők felsz</t>
  </si>
  <si>
    <t>Egyéb anyagjellegű szolgáltatások rovarirtás</t>
  </si>
  <si>
    <t>Egyéb anyagjellegű szolg elhullott állatok elszáll</t>
  </si>
  <si>
    <t>Egyéb anyagjellegű szolgáltatások minden egyéb</t>
  </si>
  <si>
    <t>NAV késedelmi pótlék</t>
  </si>
  <si>
    <t>Karbantartás, gyorsszolgálat</t>
  </si>
  <si>
    <t>82742</t>
  </si>
  <si>
    <t>Parkolás üzemeltetéhez kapcsolódó egyéb szolgáltat</t>
  </si>
  <si>
    <t>Internet, GPS,datacargo,TV előfiz, mobil alk</t>
  </si>
  <si>
    <t>815831512</t>
  </si>
  <si>
    <t>Továbbszámlázandó anyagbesz parkolás Józsefváros</t>
  </si>
  <si>
    <t>Lakóház gázenergia levonható 27%</t>
  </si>
  <si>
    <t>Lakóház gázenergiaarányosított 27%</t>
  </si>
  <si>
    <t>Lakóház Villamosenergia ÁHK</t>
  </si>
  <si>
    <t>Lakóház villamosenergia levonható 27%</t>
  </si>
  <si>
    <t>Lakóház villamosenergia arányosított 27%</t>
  </si>
  <si>
    <t>Lakóház villamosenergia le nem vonható 27%</t>
  </si>
  <si>
    <t>Lakóház távhő levonható szolg 5%</t>
  </si>
  <si>
    <t>Intézmény távhő le nem vonható 5%</t>
  </si>
  <si>
    <t>8165224500</t>
  </si>
  <si>
    <t>Helyiség karbantartás levonható 27% alap</t>
  </si>
  <si>
    <t>Lakás le nem vonható karbantartás 27% alap</t>
  </si>
  <si>
    <t>Épület arányosítható karbantartás 27% alap</t>
  </si>
  <si>
    <t>Helyiség gyorszolgálat 27% alap</t>
  </si>
  <si>
    <t>Lakás le nem vonható gyorszolgálat 27% alap</t>
  </si>
  <si>
    <t>Egyéb épület arányosítható gyorszolgálat 27% alap</t>
  </si>
  <si>
    <t>Le nem levonható lomt.,- hull-sittszállítás 27%</t>
  </si>
  <si>
    <t>Fakivágás kiadásai arányosított 27%</t>
  </si>
  <si>
    <t>Egyéb lakóház fenntart. kapcs. kiadás 27%</t>
  </si>
  <si>
    <t>Lakás egyéb üzemeltetés 27% nem levonható</t>
  </si>
  <si>
    <t>Arányosított egyéb üzemeltetés 27%</t>
  </si>
  <si>
    <t>Közvetített szolg. (közüzemi díjak) Mentes</t>
  </si>
  <si>
    <t>Közvetített szolg. (közüzemi díjak) 27% alap</t>
  </si>
  <si>
    <t>Késedelmi kamat</t>
  </si>
  <si>
    <t>Behajtási költség általány</t>
  </si>
  <si>
    <t>2016-TE/000011</t>
  </si>
  <si>
    <t>Ford Új Focus Technology 5 ajtós személygépkocsi</t>
  </si>
  <si>
    <t>60199</t>
  </si>
  <si>
    <t>Nyitó (M.ért.: 0)</t>
  </si>
  <si>
    <t>Automatikus leírás</t>
  </si>
  <si>
    <t>Záró (M.ért.: 0)</t>
  </si>
  <si>
    <t>2016-TE/000029</t>
  </si>
  <si>
    <t>Ford Új Kuga Trend Technology</t>
  </si>
  <si>
    <t>60253</t>
  </si>
  <si>
    <t>Nem felosztandó szgk écs</t>
  </si>
  <si>
    <t>JIK kompenzáció + Szeip korr</t>
  </si>
  <si>
    <t>75500 Korr</t>
  </si>
  <si>
    <t>JIK korr Seregné</t>
  </si>
  <si>
    <t>91184</t>
  </si>
  <si>
    <t>Helyiség bérbeadás feladatok</t>
  </si>
  <si>
    <t>91185</t>
  </si>
  <si>
    <t>Lakásgazdálkodás feladatok</t>
  </si>
  <si>
    <t>91186</t>
  </si>
  <si>
    <t>Házkezelés feladatok</t>
  </si>
  <si>
    <t>91187</t>
  </si>
  <si>
    <t>Társasházi tulajdonosi képv feladatok</t>
  </si>
  <si>
    <t>91188</t>
  </si>
  <si>
    <t>Műszaki, karbantartási feladatok</t>
  </si>
  <si>
    <t>Városüz vagyongazd átvez</t>
  </si>
  <si>
    <t>Elszámolt écs 2018</t>
  </si>
  <si>
    <t>Beruházás támogatás 2018 écs</t>
  </si>
  <si>
    <t>Önkéntes feladat ellátás</t>
  </si>
  <si>
    <t>Kötelező feladat ellátás</t>
  </si>
  <si>
    <t>Kötelező feladat + központi felosztott összesen</t>
  </si>
  <si>
    <t>Központi felosztott kötelező</t>
  </si>
  <si>
    <t>Központi felosztott önkéntes</t>
  </si>
  <si>
    <t>Központi felosztott összesen</t>
  </si>
  <si>
    <r>
      <rPr>
        <b/>
        <sz val="9"/>
        <rFont val="Arial Narrow"/>
        <family val="2"/>
        <charset val="238"/>
      </rPr>
      <t>Főkönyvi karton</t>
    </r>
  </si>
  <si>
    <r>
      <rPr>
        <b/>
        <sz val="9"/>
        <rFont val="Arial Narrow"/>
        <family val="2"/>
        <charset val="238"/>
      </rPr>
      <t>Józsefvárosi Gazdálkodási Központ Zrt.</t>
    </r>
  </si>
  <si>
    <t>kerekítés</t>
  </si>
  <si>
    <t>96723</t>
  </si>
  <si>
    <t xml:space="preserve">önkormányzati hányad </t>
  </si>
  <si>
    <t xml:space="preserve">Fővárosi Önk. hányad </t>
  </si>
  <si>
    <t xml:space="preserve">más kerületi hányad </t>
  </si>
  <si>
    <t>5252</t>
  </si>
  <si>
    <t>Oktatás és továbbképzés költségei (szakképz.elsz.)</t>
  </si>
  <si>
    <t>55960</t>
  </si>
  <si>
    <t>Elmaradt 2018.évi cafeteria</t>
  </si>
  <si>
    <t>Haszn.vételkor egy összegben elsz.écs(szoftver)</t>
  </si>
  <si>
    <t>8153</t>
  </si>
  <si>
    <t>Továbbszámlázott költöztetés szállítás</t>
  </si>
  <si>
    <t>8165224610</t>
  </si>
  <si>
    <t>Épület arányosított víz-, csatornadíj 25%</t>
  </si>
  <si>
    <t>8165226311</t>
  </si>
  <si>
    <t>Lakóház hulladék kezelés arányosított 27%</t>
  </si>
  <si>
    <t>86921</t>
  </si>
  <si>
    <t>Selejtezett tárgyi eszközök könyv szerinti értéke</t>
  </si>
  <si>
    <t xml:space="preserve"> - alkalmazottak bére szakterületre közvetlenül elszámolt</t>
  </si>
  <si>
    <t xml:space="preserve"> - alkalmazottak bére szakterületre felosztott parkoláson belül parkolóhely arányában</t>
  </si>
  <si>
    <t xml:space="preserve"> - megbízási díjak szakterületre közvetlenül elszámolt</t>
  </si>
  <si>
    <t xml:space="preserve"> - megbízási díjak szakterületre felosztott parkoláson belül parkolóhely arányában</t>
  </si>
  <si>
    <t xml:space="preserve"> - munkaadót terhelő járulékok és szociális hozzájárulási adó szakterületre közvetlenül elszámolt</t>
  </si>
  <si>
    <t xml:space="preserve"> - munkaadót terhelő járulékok és szociális hozzájárulási adó szakterületre  felosztott parkoláson belül parkolóhely arányában</t>
  </si>
  <si>
    <t xml:space="preserve"> - beszerzések szakterületre közvetlenül elszámolt</t>
  </si>
  <si>
    <t xml:space="preserve"> - beszerzések szakterületre felosztott parkoláson belül parkolóhely arányában</t>
  </si>
  <si>
    <t xml:space="preserve"> - közüzemi díjak szakterületre közvetlenül elszámolt</t>
  </si>
  <si>
    <t xml:space="preserve"> - közüzemi díjak szakterületre felosztott parkoláson belülparkolóhely arányában</t>
  </si>
  <si>
    <t xml:space="preserve"> - szolgáltatások szakterületre közvetlenül elszámolt</t>
  </si>
  <si>
    <t xml:space="preserve"> - szolgáltatások szakterületre felosztott parkoláson belül parkolóhely arányában</t>
  </si>
  <si>
    <t xml:space="preserve"> - adók, befizetések, értékcsökkenési leírás szakterületre közvetlenül elszámolt</t>
  </si>
  <si>
    <t xml:space="preserve"> - adók, befizetések, értékcsökkenési leírás szakterületre felosztott parkoláson belül parkolóhely arányában</t>
  </si>
  <si>
    <t>2019</t>
  </si>
  <si>
    <t>központi költségvetés</t>
  </si>
  <si>
    <t>központi eltérés</t>
  </si>
  <si>
    <t>Belső ellátás és anyagbesz</t>
  </si>
  <si>
    <t>Belső adatv. és komm.</t>
  </si>
  <si>
    <t>Adminisztráció</t>
  </si>
  <si>
    <t>Közbesz + op</t>
  </si>
  <si>
    <t>Kecskeméti László Zsolt dr.</t>
  </si>
  <si>
    <t>Molnár Veronika Anna</t>
  </si>
  <si>
    <t>Igazgató</t>
  </si>
  <si>
    <t>Lakatosné Bíró Erzsébet</t>
  </si>
  <si>
    <t>Öszterreicher Katalin</t>
  </si>
  <si>
    <t>Reichenbach Erika</t>
  </si>
  <si>
    <t>Szvetlikné Hurták Erika</t>
  </si>
  <si>
    <t>Közbesz és beszerzési iroda</t>
  </si>
  <si>
    <t>Beruh és fejl</t>
  </si>
  <si>
    <t>Dávid Zoltán</t>
  </si>
  <si>
    <t>Lavotta Miklós</t>
  </si>
  <si>
    <t>Surányi József</t>
  </si>
  <si>
    <t xml:space="preserve">Zsidi Lajos </t>
  </si>
  <si>
    <t>Beruh és mérnöki iroda</t>
  </si>
  <si>
    <t>Szeip István László</t>
  </si>
  <si>
    <t>Adamecz János</t>
  </si>
  <si>
    <t>Deák István János</t>
  </si>
  <si>
    <t>Harkály Erika</t>
  </si>
  <si>
    <t>Horváth Ildikó Ibolya</t>
  </si>
  <si>
    <t>Jakab Tibor</t>
  </si>
  <si>
    <t>Jurkovics István</t>
  </si>
  <si>
    <t>Mokosné Mező Erzsébet</t>
  </si>
  <si>
    <t>Oszmann Lászlóné</t>
  </si>
  <si>
    <t>Pázmándi Katalin</t>
  </si>
  <si>
    <t>Pintér László</t>
  </si>
  <si>
    <t>Plech Ágnes</t>
  </si>
  <si>
    <t>Sulyok Attila</t>
  </si>
  <si>
    <t>Mátyás tér</t>
  </si>
  <si>
    <t>Baross u 81</t>
  </si>
  <si>
    <t>Őr u.8</t>
  </si>
  <si>
    <t>Andrási-Kovács Dóra dr.</t>
  </si>
  <si>
    <t>üres álláshely koordinációs referens</t>
  </si>
  <si>
    <t>István András dr.</t>
  </si>
  <si>
    <t>Csekk Boglárka</t>
  </si>
  <si>
    <t>Balogh Veronika Erzsébet</t>
  </si>
  <si>
    <t>Kovács Barbara</t>
  </si>
  <si>
    <t>Láng Bálint Gergő dr.</t>
  </si>
  <si>
    <t>Tárnok Éva dr.</t>
  </si>
  <si>
    <t>Igazgatás és op irányítás</t>
  </si>
  <si>
    <t>Sápi-Cerovácz Ildikó</t>
  </si>
  <si>
    <t>Hapek István</t>
  </si>
  <si>
    <t>Németh Zoltán</t>
  </si>
  <si>
    <t>Hiripi Gábor</t>
  </si>
  <si>
    <t>Ébert Zoltán</t>
  </si>
  <si>
    <t>üres álláshely gépjármű referens</t>
  </si>
  <si>
    <t>Róna Vilmos</t>
  </si>
  <si>
    <t>Szaszkó Péter</t>
  </si>
  <si>
    <t>Vadné Király Márta</t>
  </si>
  <si>
    <t>Alattyányi Kitti</t>
  </si>
  <si>
    <t>Hegyi Ildikó</t>
  </si>
  <si>
    <t>Lakatos Pál Mártonné</t>
  </si>
  <si>
    <t>Takács Zsolt</t>
  </si>
  <si>
    <t>üres álláshely iktató (Nagy Éva)</t>
  </si>
  <si>
    <t>Győriné Nagy Margit</t>
  </si>
  <si>
    <t>Szabó Katalin</t>
  </si>
  <si>
    <t>Eigenbrót Jenő</t>
  </si>
  <si>
    <t>Kovács Attiláné</t>
  </si>
  <si>
    <t>Petró Gyula</t>
  </si>
  <si>
    <t>adminisztrátor</t>
  </si>
  <si>
    <t>anyagbeszerző - gépkocsivezető</t>
  </si>
  <si>
    <t>belső adatvéd.és ügyfélkapcs.vezető</t>
  </si>
  <si>
    <t>belső ellátás irodavezető</t>
  </si>
  <si>
    <t xml:space="preserve">belső ellátás referens </t>
  </si>
  <si>
    <t>gépjármű referens</t>
  </si>
  <si>
    <t xml:space="preserve">inform. csoportvezető </t>
  </si>
  <si>
    <t>inform. rendszergazda</t>
  </si>
  <si>
    <t>iratkezelő</t>
  </si>
  <si>
    <t>irodavezető</t>
  </si>
  <si>
    <t>irodavezető-helyettes</t>
  </si>
  <si>
    <t>kézbesítő</t>
  </si>
  <si>
    <t>Baross u 84.</t>
  </si>
  <si>
    <t>Borosné Gáspár Margit</t>
  </si>
  <si>
    <t>Csernákné Szabó Tímea</t>
  </si>
  <si>
    <t>Csikósné Horváth Julianna Katalin</t>
  </si>
  <si>
    <t>Deichler Edit</t>
  </si>
  <si>
    <t>Kovács Ivett Edit</t>
  </si>
  <si>
    <t>Földesi Csilla</t>
  </si>
  <si>
    <t>Gere-Hudy Andrea</t>
  </si>
  <si>
    <t>Hajduné Horváth Krisztina</t>
  </si>
  <si>
    <t>Hevesiné Teleki Anita</t>
  </si>
  <si>
    <t>Ebervein Mária Magdolna</t>
  </si>
  <si>
    <t>Kovácsné Grenák Barbara</t>
  </si>
  <si>
    <t xml:space="preserve">Körmöndiné Keringer Katalin </t>
  </si>
  <si>
    <t>Kőszegi Mihály</t>
  </si>
  <si>
    <t xml:space="preserve">Láng Gáborné </t>
  </si>
  <si>
    <t xml:space="preserve">Lévai Adrienne </t>
  </si>
  <si>
    <t>Mezei Gabriella</t>
  </si>
  <si>
    <t>Muszuláné Magyaróvári Katalin</t>
  </si>
  <si>
    <t>Nagy Anikó</t>
  </si>
  <si>
    <t>Nagy Gyöngyi</t>
  </si>
  <si>
    <t>Nagy Mária</t>
  </si>
  <si>
    <t>Örkényi Gyöngyi</t>
  </si>
  <si>
    <t>Csákiné Czirják Anita</t>
  </si>
  <si>
    <t>Szabó Adrienn</t>
  </si>
  <si>
    <t>Szakaliné Nagy Judit</t>
  </si>
  <si>
    <t>Székely Anna</t>
  </si>
  <si>
    <t>Szombathelyi-Borsós Edina</t>
  </si>
  <si>
    <t>Tóth Erika</t>
  </si>
  <si>
    <t>Valia Viktor</t>
  </si>
  <si>
    <t>Zsemba Mária</t>
  </si>
  <si>
    <t>Vájer Erzsébet</t>
  </si>
  <si>
    <t>Halászné Suska Mária</t>
  </si>
  <si>
    <t>adminisztratív szakképzettséggel</t>
  </si>
  <si>
    <t>csoportvezető</t>
  </si>
  <si>
    <t>divízióvezető</t>
  </si>
  <si>
    <t>házelsz irodavezető</t>
  </si>
  <si>
    <t>referens adminisztrátor</t>
  </si>
  <si>
    <t xml:space="preserve">referens bér-TB </t>
  </si>
  <si>
    <t>referens bér-TB admin.</t>
  </si>
  <si>
    <t>referens gazdasági</t>
  </si>
  <si>
    <t>referens házelszámolás</t>
  </si>
  <si>
    <t>referens pénztáros</t>
  </si>
  <si>
    <t>referens személyügyi</t>
  </si>
  <si>
    <t>személyügyi irodavezető</t>
  </si>
  <si>
    <t>személyügyi referens</t>
  </si>
  <si>
    <t xml:space="preserve">személyügyi referens </t>
  </si>
  <si>
    <t>Losonci u.2.</t>
  </si>
  <si>
    <t>Piac általános költségek</t>
  </si>
  <si>
    <t>Tűz és munkavédelem</t>
  </si>
  <si>
    <t>Belső ellátás</t>
  </si>
  <si>
    <t>Belső adatvédelem és kommunikáció</t>
  </si>
  <si>
    <t>Személyügyi referens</t>
  </si>
  <si>
    <t>Számvitel és Házelszámolás</t>
  </si>
  <si>
    <t>Tulajdonosi képviselet</t>
  </si>
  <si>
    <t>Vagyonhasznosítás</t>
  </si>
  <si>
    <t>JVSZ 200 db fa ültetés terek, parkok, kertészet</t>
  </si>
  <si>
    <t>10106/26/480</t>
  </si>
  <si>
    <t>82743</t>
  </si>
  <si>
    <t>10106/26/499</t>
  </si>
  <si>
    <t>10106/26/515</t>
  </si>
  <si>
    <t>Dajka Győző</t>
  </si>
  <si>
    <t>Bálint Ágnes</t>
  </si>
  <si>
    <t>Bánné Bereczki Zita</t>
  </si>
  <si>
    <t>Csástyu Antalné</t>
  </si>
  <si>
    <t>Druzsbovszki Éva</t>
  </si>
  <si>
    <t>Fenyvesi Katalin</t>
  </si>
  <si>
    <t>Holló Krisztina</t>
  </si>
  <si>
    <t>Jakots Andrea</t>
  </si>
  <si>
    <t>Jancsó Roland</t>
  </si>
  <si>
    <t>Marosiné Klausz Enikő</t>
  </si>
  <si>
    <t>Ments Ferencné</t>
  </si>
  <si>
    <t>Nagy Zsófia</t>
  </si>
  <si>
    <t>Ódor Ilona Katalin</t>
  </si>
  <si>
    <t>Szabó Szilvia</t>
  </si>
  <si>
    <t xml:space="preserve">Szekerák László </t>
  </si>
  <si>
    <t>Tamás Lajos</t>
  </si>
  <si>
    <t>Fekete Zoltán</t>
  </si>
  <si>
    <t>Figula Tünde</t>
  </si>
  <si>
    <t>Gajdó János</t>
  </si>
  <si>
    <t>Golarits Éva</t>
  </si>
  <si>
    <t>Kiszel Ernő</t>
  </si>
  <si>
    <t>Kővári Éva</t>
  </si>
  <si>
    <t xml:space="preserve">Szerényi-Nánási Emőke </t>
  </si>
  <si>
    <t>Szőke Ágnes</t>
  </si>
  <si>
    <t>Varga Lívia Irén</t>
  </si>
  <si>
    <t>Vámosné Csábi Katalin</t>
  </si>
  <si>
    <t>tulajdonosi képviselet</t>
  </si>
  <si>
    <t xml:space="preserve">Adu Attiláné </t>
  </si>
  <si>
    <t>Bangó Lajosné házfelügyelő</t>
  </si>
  <si>
    <t>Bene László házfelügyelő</t>
  </si>
  <si>
    <t>Berki Lászlóné házfelügyelő</t>
  </si>
  <si>
    <t>Czibi Mihály házfelügyelő</t>
  </si>
  <si>
    <t>Faragó József házfelügyelő</t>
  </si>
  <si>
    <t>Farkasné Gyáni Ágnes házfelügyelő</t>
  </si>
  <si>
    <t>Gurbai Györgyné takarító</t>
  </si>
  <si>
    <t>Holenzer Károly József takarító teljes munkaidős</t>
  </si>
  <si>
    <t>Holenzer Károly takarító teljes munkaidős</t>
  </si>
  <si>
    <t>Horthy Sándor házfelügyelő teljes munkaidős</t>
  </si>
  <si>
    <t>Horváth Lászlóné házfelügyelő teljes munkaidős</t>
  </si>
  <si>
    <t>Jaraba Péter liftkezelő</t>
  </si>
  <si>
    <t>Kozák Elvira házfelügyelő</t>
  </si>
  <si>
    <t>Lakatos András házfelügyelő</t>
  </si>
  <si>
    <t>Lakatos János takarító</t>
  </si>
  <si>
    <t>László Miklós takarító</t>
  </si>
  <si>
    <t>Lencsés Ferencné házfelügyelő</t>
  </si>
  <si>
    <t>Mráz Ferenc házfelügyelő</t>
  </si>
  <si>
    <t>Nagy Józsefné teljes munkaidős takarító ellenőr</t>
  </si>
  <si>
    <t>Nagy László házfelügyelő</t>
  </si>
  <si>
    <t>Ötvös Jánosné takarító</t>
  </si>
  <si>
    <t>Ötvös Róbert takarító teljes munkaidős</t>
  </si>
  <si>
    <t>Patály József házfelügyelő</t>
  </si>
  <si>
    <t>Radvánszki Zsoltné takarító, teljes munkaidős</t>
  </si>
  <si>
    <t>Rafael Gusztávné házfelügyelő</t>
  </si>
  <si>
    <t>Rontó András házfelügyelő</t>
  </si>
  <si>
    <t>Smider Attila takarító</t>
  </si>
  <si>
    <t>Stigráth Anikó házfelügyelő</t>
  </si>
  <si>
    <t>Sulyok Tibor Tamásné takarító teljes munkaidős</t>
  </si>
  <si>
    <t>Szabó Jenőné házfelügyelő</t>
  </si>
  <si>
    <t>Szénássy Tiborné takarító teljes munkaidős</t>
  </si>
  <si>
    <t>Tóth Györgyné takarító</t>
  </si>
  <si>
    <t>Vajda Mihály takarító</t>
  </si>
  <si>
    <t>Varga Barnabásné takarító</t>
  </si>
  <si>
    <t>háztakarítás</t>
  </si>
  <si>
    <t>Tavaszmező</t>
  </si>
  <si>
    <t>Görcsös Mónika dr.</t>
  </si>
  <si>
    <t>Raffay Réka</t>
  </si>
  <si>
    <t>Dér Lászlóné</t>
  </si>
  <si>
    <t xml:space="preserve">Balog Erika </t>
  </si>
  <si>
    <t>Balogh Zoltán</t>
  </si>
  <si>
    <t>Deák Nikolett</t>
  </si>
  <si>
    <t>Dóka László</t>
  </si>
  <si>
    <t>Dónát Zsuzsanna</t>
  </si>
  <si>
    <t>Gendur Nikolett</t>
  </si>
  <si>
    <t>Kubánka-Berghammer Petra</t>
  </si>
  <si>
    <t>Oláh Tibor</t>
  </si>
  <si>
    <t>Paál Marcell dr.</t>
  </si>
  <si>
    <t>Vörös Réka</t>
  </si>
  <si>
    <t>helyiségbérbeadás</t>
  </si>
  <si>
    <t>Balaton Boglárka</t>
  </si>
  <si>
    <t>Hajnal Krisztina</t>
  </si>
  <si>
    <t>Liszi Mónika</t>
  </si>
  <si>
    <t>Mezei Irén</t>
  </si>
  <si>
    <t>Miksy Erika</t>
  </si>
  <si>
    <t xml:space="preserve">Jakab Andrea </t>
  </si>
  <si>
    <t>Árvai Éva</t>
  </si>
  <si>
    <t xml:space="preserve">Bódy Anikó </t>
  </si>
  <si>
    <t>Csatári Ilona Gabriella</t>
  </si>
  <si>
    <t>Csíkné Fehér Klára</t>
  </si>
  <si>
    <t>Farkas László</t>
  </si>
  <si>
    <t>Farkas Veronika</t>
  </si>
  <si>
    <t>Fazekas-Papp Ágnes Csilla</t>
  </si>
  <si>
    <t xml:space="preserve">Ferenc Erika </t>
  </si>
  <si>
    <t>Gulyásné Marada Judit</t>
  </si>
  <si>
    <t>Gurbainé Schneider Katalin</t>
  </si>
  <si>
    <t>Harkály Gyöngyi</t>
  </si>
  <si>
    <t>Héliszné Matalin Nóra</t>
  </si>
  <si>
    <t>Horváth Anikó</t>
  </si>
  <si>
    <t xml:space="preserve">Jasinka Attiláné </t>
  </si>
  <si>
    <t>Kaiser Edvin</t>
  </si>
  <si>
    <t>Keresztesi Zoltánné</t>
  </si>
  <si>
    <t xml:space="preserve">Mészáros Marianna </t>
  </si>
  <si>
    <t>Nahaj Nikoletta</t>
  </si>
  <si>
    <t>Oláhné Hegedűs Katalin</t>
  </si>
  <si>
    <t>Orgonás Éva</t>
  </si>
  <si>
    <t>Pusztai Gyöngyi</t>
  </si>
  <si>
    <t>Rontó András</t>
  </si>
  <si>
    <t>Rubus Balázs Károly</t>
  </si>
  <si>
    <t>Szabó Éva</t>
  </si>
  <si>
    <t>Szabó Nikolett</t>
  </si>
  <si>
    <t>Zeffer Kinga</t>
  </si>
  <si>
    <t>lakásgazdálkodás</t>
  </si>
  <si>
    <t>házkezelő</t>
  </si>
  <si>
    <t>díjbesz</t>
  </si>
  <si>
    <t>lakásgazd</t>
  </si>
  <si>
    <t>hátralék</t>
  </si>
  <si>
    <t>Horváthné Beke Tünde</t>
  </si>
  <si>
    <t>főváros</t>
  </si>
  <si>
    <t>Szmrek Szilvia</t>
  </si>
  <si>
    <t>Varró István</t>
  </si>
  <si>
    <t>Horváth Lajos</t>
  </si>
  <si>
    <t>Karács László</t>
  </si>
  <si>
    <t>Kótai Márió</t>
  </si>
  <si>
    <t>Kovács Norbert</t>
  </si>
  <si>
    <t>Szikla Kálmán</t>
  </si>
  <si>
    <t>Szirmai Nándor Béla</t>
  </si>
  <si>
    <t>Balogh Győző</t>
  </si>
  <si>
    <t>Szépvölgyi Csaba</t>
  </si>
  <si>
    <t>Bakó Attila</t>
  </si>
  <si>
    <t>Botos Norbert</t>
  </si>
  <si>
    <t>Csemer Tamás</t>
  </si>
  <si>
    <t>Fábián Márton</t>
  </si>
  <si>
    <t>Farkas János</t>
  </si>
  <si>
    <t>Fehér János</t>
  </si>
  <si>
    <t>Lakatos Ferenc</t>
  </si>
  <si>
    <t>Nagy Zsolt</t>
  </si>
  <si>
    <t>Nagyhajú János</t>
  </si>
  <si>
    <t>Pap Miklós</t>
  </si>
  <si>
    <t>Varga Olivér</t>
  </si>
  <si>
    <t>Váradi László</t>
  </si>
  <si>
    <t>betöltetlen állás hely</t>
  </si>
  <si>
    <t>Pénzes Attila igazgató</t>
  </si>
  <si>
    <t>közös</t>
  </si>
  <si>
    <t xml:space="preserve">Magyar Balázs </t>
  </si>
  <si>
    <t>Beringer Dávid</t>
  </si>
  <si>
    <t>Balázs Ferenc</t>
  </si>
  <si>
    <t xml:space="preserve">Somogyi István </t>
  </si>
  <si>
    <t>Varga Zsolt</t>
  </si>
  <si>
    <t>Pádár Ildikó</t>
  </si>
  <si>
    <t>Bereczki Zoltán</t>
  </si>
  <si>
    <t>Molnár Rita</t>
  </si>
  <si>
    <t>Illés-Jakab Krisztina</t>
  </si>
  <si>
    <t>Hajas Andrea</t>
  </si>
  <si>
    <t>Cserhalminé Dévai Enikő</t>
  </si>
  <si>
    <t>parkolás</t>
  </si>
  <si>
    <t>Német u.</t>
  </si>
  <si>
    <t>Berki Tibor</t>
  </si>
  <si>
    <t>Czegeni Klára</t>
  </si>
  <si>
    <t>Czinege János</t>
  </si>
  <si>
    <t>Gazdag József</t>
  </si>
  <si>
    <t>Gerendásy Gabriella</t>
  </si>
  <si>
    <t>Hoffner Márton Pál</t>
  </si>
  <si>
    <t>Hornyák Szilvia</t>
  </si>
  <si>
    <t>Kántor Imre</t>
  </si>
  <si>
    <t>Legény Zoltán</t>
  </si>
  <si>
    <t>Nagy Gyula</t>
  </si>
  <si>
    <t>Németh Zoltán Mihály</t>
  </si>
  <si>
    <t>Rácz Vince</t>
  </si>
  <si>
    <t>Seregné Tekulics Gabriella</t>
  </si>
  <si>
    <t>Szenyán István</t>
  </si>
  <si>
    <t>Trikkál Zsolt</t>
  </si>
  <si>
    <t>Intézményműk</t>
  </si>
  <si>
    <t>Baross u.81</t>
  </si>
  <si>
    <t>Bangó Lajosné</t>
  </si>
  <si>
    <t>Csík Irén</t>
  </si>
  <si>
    <t>Fiteró Júlia</t>
  </si>
  <si>
    <t>Horváth Erika</t>
  </si>
  <si>
    <t>Kecskés Eliza szülési szabadságon</t>
  </si>
  <si>
    <t>Konstantin Józsefné</t>
  </si>
  <si>
    <t>Kökény Nikoletta</t>
  </si>
  <si>
    <t>Spievla Györgyné</t>
  </si>
  <si>
    <t>Szénási Jennifer GYED-en</t>
  </si>
  <si>
    <t>Szilágyi Erika</t>
  </si>
  <si>
    <t>Wagner Edgár Györgyné</t>
  </si>
  <si>
    <t>Városüz</t>
  </si>
  <si>
    <t>Angi István</t>
  </si>
  <si>
    <t>Erdei Alex</t>
  </si>
  <si>
    <t>Halmaghi Gyöngyike</t>
  </si>
  <si>
    <t>Szórádi János</t>
  </si>
  <si>
    <t>Varga Zita Beáta</t>
  </si>
  <si>
    <t>Virágh Viktória Katalin</t>
  </si>
  <si>
    <t>kertészet</t>
  </si>
  <si>
    <t>Adu Attila</t>
  </si>
  <si>
    <t>Bagi Gábor</t>
  </si>
  <si>
    <t>Bíró Lajos</t>
  </si>
  <si>
    <t>Czegle Tímea Rita</t>
  </si>
  <si>
    <t>Gyöngyösi Lajos</t>
  </si>
  <si>
    <t>Jónás Sándor</t>
  </si>
  <si>
    <t>Pap Ferenc</t>
  </si>
  <si>
    <t>Pércsi Imre</t>
  </si>
  <si>
    <t>Pongrácz Attila</t>
  </si>
  <si>
    <t>Racskó Géza</t>
  </si>
  <si>
    <t>Rézműves Béla</t>
  </si>
  <si>
    <t>Stoósz László</t>
  </si>
  <si>
    <t>karbantartás</t>
  </si>
  <si>
    <t>Albrechtovics Károly</t>
  </si>
  <si>
    <t>Aradi Attila</t>
  </si>
  <si>
    <t>Balogh Andrea</t>
  </si>
  <si>
    <t>Baranyai Jánosné</t>
  </si>
  <si>
    <t>Bazsonyi Péter</t>
  </si>
  <si>
    <t>Bihari Mátyás</t>
  </si>
  <si>
    <t>Bódi Krisztina</t>
  </si>
  <si>
    <t>Bognár Vilma</t>
  </si>
  <si>
    <t>Borsodi Tibor</t>
  </si>
  <si>
    <t>Buri Ágnes</t>
  </si>
  <si>
    <t>Csányi István</t>
  </si>
  <si>
    <t>Csikja Ágnes</t>
  </si>
  <si>
    <t>Csiklya Tiborné</t>
  </si>
  <si>
    <t>Dányi Attiláné</t>
  </si>
  <si>
    <t>Dzvonyár Bertalan Attila</t>
  </si>
  <si>
    <t>Földvárszki Ferenc</t>
  </si>
  <si>
    <t>Gáspár József</t>
  </si>
  <si>
    <t>Haga Karolina</t>
  </si>
  <si>
    <t>Hajnal Krisztián</t>
  </si>
  <si>
    <t>Horváth Barnabás</t>
  </si>
  <si>
    <t>Jónás József</t>
  </si>
  <si>
    <t>Kassai Balázsné</t>
  </si>
  <si>
    <t>Kálmáncsi József</t>
  </si>
  <si>
    <t>Kecskeméti László Béla</t>
  </si>
  <si>
    <t>Kiss András</t>
  </si>
  <si>
    <t>Kotnyek Ferenc</t>
  </si>
  <si>
    <t>Kovács Adrienn</t>
  </si>
  <si>
    <t>Krupa László Attila</t>
  </si>
  <si>
    <t>Lakatos Lajos Gábor</t>
  </si>
  <si>
    <t>Lakatos Zsolt</t>
  </si>
  <si>
    <t>Lázár Gábor</t>
  </si>
  <si>
    <t>Lőrincz József</t>
  </si>
  <si>
    <t>Mohácsi Károly</t>
  </si>
  <si>
    <t>Molnár László</t>
  </si>
  <si>
    <t>Németh Ivánné</t>
  </si>
  <si>
    <t>Ötvös János</t>
  </si>
  <si>
    <t>Palarczik Mária</t>
  </si>
  <si>
    <t>Pálinkóné Balogh Viola</t>
  </si>
  <si>
    <t>Palotai Gyuláné</t>
  </si>
  <si>
    <t>Parragi József</t>
  </si>
  <si>
    <t>Pataky Béla</t>
  </si>
  <si>
    <t>Pusoma György</t>
  </si>
  <si>
    <t>Rein Miklós</t>
  </si>
  <si>
    <t>Sami József</t>
  </si>
  <si>
    <t>Sánta István</t>
  </si>
  <si>
    <t>Sánta László</t>
  </si>
  <si>
    <t>Szép Ilona</t>
  </si>
  <si>
    <t>Szőnyi Zsolt</t>
  </si>
  <si>
    <t>Sztankó József</t>
  </si>
  <si>
    <t>Tokos Csaba</t>
  </si>
  <si>
    <t>Varga Viola</t>
  </si>
  <si>
    <t>Zson Istvánné</t>
  </si>
  <si>
    <t>Bandor Barna</t>
  </si>
  <si>
    <t>Banya Zsolt</t>
  </si>
  <si>
    <t>Csonka Tamás</t>
  </si>
  <si>
    <t>Danyi Rómeó</t>
  </si>
  <si>
    <t>Elekes Szilárd</t>
  </si>
  <si>
    <t>Eőry Dénes</t>
  </si>
  <si>
    <t>Farkas Vilmos</t>
  </si>
  <si>
    <t>Ganyi István László</t>
  </si>
  <si>
    <t>Geiger Imre</t>
  </si>
  <si>
    <t xml:space="preserve">Horváth Tamás   </t>
  </si>
  <si>
    <t>Janó Vilmos</t>
  </si>
  <si>
    <t>Jordán Lajos</t>
  </si>
  <si>
    <t>Kovács Endre</t>
  </si>
  <si>
    <t>Kővári Zsolt</t>
  </si>
  <si>
    <t>Mága Róbert Csaba</t>
  </si>
  <si>
    <t>Marics László</t>
  </si>
  <si>
    <t>Máté Dezső</t>
  </si>
  <si>
    <t>Maza Tibor</t>
  </si>
  <si>
    <t>Mida László</t>
  </si>
  <si>
    <t>Mida László id</t>
  </si>
  <si>
    <t>Nagy József</t>
  </si>
  <si>
    <t>Nagy Sándor</t>
  </si>
  <si>
    <t>Oláh József id</t>
  </si>
  <si>
    <t>Oláh József</t>
  </si>
  <si>
    <t>Pálfalvi Zoltán</t>
  </si>
  <si>
    <t>Sági László</t>
  </si>
  <si>
    <t>Sallay Jenő</t>
  </si>
  <si>
    <t>Szakács József</t>
  </si>
  <si>
    <t>Szénási József</t>
  </si>
  <si>
    <t>Tóth József</t>
  </si>
  <si>
    <t>Vadas Miklós</t>
  </si>
  <si>
    <t xml:space="preserve">Varga Sándor </t>
  </si>
  <si>
    <t>Varga Sándor Gyula</t>
  </si>
  <si>
    <t>Viszlay László</t>
  </si>
  <si>
    <t>Ács Péter</t>
  </si>
  <si>
    <t>Kishonti Milán Márk</t>
  </si>
  <si>
    <t>Sztanek Endre</t>
  </si>
  <si>
    <t>Weisz Gábor</t>
  </si>
  <si>
    <t>Német u</t>
  </si>
  <si>
    <t>Unger Roland dr.</t>
  </si>
  <si>
    <t>Bella Beáta Zsuzsanna</t>
  </si>
  <si>
    <t>László Gabriella</t>
  </si>
  <si>
    <t>Hajdu Zsófia Eszter</t>
  </si>
  <si>
    <t>Márton Imre</t>
  </si>
  <si>
    <t>Joóbová-Doboczki Mária</t>
  </si>
  <si>
    <t>Katona Lászlóné</t>
  </si>
  <si>
    <t>Doboczki Ferenc Sándor</t>
  </si>
  <si>
    <t>Veller Sándor</t>
  </si>
  <si>
    <t>Fehér Ferenc</t>
  </si>
  <si>
    <t>Balogh Tímea</t>
  </si>
  <si>
    <t>asszisztens</t>
  </si>
  <si>
    <t>parkoló ellenőr</t>
  </si>
  <si>
    <t>takarító piac</t>
  </si>
  <si>
    <t>Közbesz</t>
  </si>
  <si>
    <t>52321</t>
  </si>
  <si>
    <t>Számítástechnikai eszközök jav. és karb. költségei</t>
  </si>
  <si>
    <t>753000</t>
  </si>
  <si>
    <t>2019.II.</t>
  </si>
  <si>
    <t>Műszaki közbeszerzési</t>
  </si>
  <si>
    <t>Lakóház gázenergia szolgáltatás</t>
  </si>
  <si>
    <t>NYIT/19.01.01/000546</t>
  </si>
  <si>
    <t>BANK/19.03.01/000007</t>
  </si>
  <si>
    <t>sk:2696         34/2019. (I.21.) vi ssza nem térít</t>
  </si>
  <si>
    <t>34/2019/00043</t>
  </si>
  <si>
    <t>sk:2697         34/2019. (I.21.) vi ssza nem térít</t>
  </si>
  <si>
    <t>384101</t>
  </si>
  <si>
    <t>Piac üzemeltetés</t>
  </si>
  <si>
    <t>Nem lakás céljára szolgáló helyiségek bérbeadásáva</t>
  </si>
  <si>
    <t>Lakásgazdálkodással és bérbeadással kapcsolatos fe</t>
  </si>
  <si>
    <t>Társasházi tulajdonosi képviseleti feladatok ellát...</t>
  </si>
  <si>
    <t>életmentő</t>
  </si>
  <si>
    <t xml:space="preserve"> ÖSSZESEN hiv tak nélkül</t>
  </si>
  <si>
    <t>ebből 2018.évi pénzmaradvány kompenzáció</t>
  </si>
  <si>
    <t>82744</t>
  </si>
  <si>
    <t>5519</t>
  </si>
  <si>
    <t>Egyéb munkajövedelmek</t>
  </si>
  <si>
    <t>8634</t>
  </si>
  <si>
    <t>Költségek ell. adott támogatás, juttatás</t>
  </si>
  <si>
    <t>913202</t>
  </si>
  <si>
    <t>Városüzemeltetési bevétel</t>
  </si>
  <si>
    <t>8165225400</t>
  </si>
  <si>
    <t>Le nem vonható kéményseprés 27% lakás</t>
  </si>
  <si>
    <t>5</t>
  </si>
  <si>
    <t>feltöltés</t>
  </si>
  <si>
    <t>54</t>
  </si>
  <si>
    <t>55</t>
  </si>
  <si>
    <t>56</t>
  </si>
  <si>
    <t>Parkolás főv</t>
  </si>
  <si>
    <t>Múszak</t>
  </si>
  <si>
    <t xml:space="preserve">Összesen </t>
  </si>
  <si>
    <t>70113</t>
  </si>
  <si>
    <t>56177</t>
  </si>
  <si>
    <t>NAV Szociális hozzájjrulási adó eho helyett</t>
  </si>
  <si>
    <t>8152</t>
  </si>
  <si>
    <t>Továbbszámlázott szolgáltatások</t>
  </si>
  <si>
    <t>8611</t>
  </si>
  <si>
    <t>Értékesített javak könyvszerinti értéke</t>
  </si>
  <si>
    <t>754301</t>
  </si>
  <si>
    <t>BANK/19.09.27/000001</t>
  </si>
  <si>
    <t>2018.02.22-én Informatikai támog at ás maradvány</t>
  </si>
  <si>
    <t>44/2019/073/2019</t>
  </si>
  <si>
    <t>VEGY2/19.09.30/000055</t>
  </si>
  <si>
    <t>Informatikai tám elsz (1)</t>
  </si>
  <si>
    <t>V/JGK/55</t>
  </si>
  <si>
    <t>483305, 9634</t>
  </si>
  <si>
    <t>BANK/19.12.19/000001</t>
  </si>
  <si>
    <t>Fel nem használt informatikai támog atás</t>
  </si>
  <si>
    <t>44/2019/131/2019</t>
  </si>
  <si>
    <t>VEGY2/19.12.31/000100</t>
  </si>
  <si>
    <t>V/JGK/100</t>
  </si>
  <si>
    <t>483306, 9634</t>
  </si>
  <si>
    <t>VEGY2/19.12.31/000101</t>
  </si>
  <si>
    <t>V/JGK/101</t>
  </si>
  <si>
    <t>483307, 9634</t>
  </si>
  <si>
    <t>86911</t>
  </si>
  <si>
    <t>Behajthatatlan követelés leírt összege</t>
  </si>
  <si>
    <t xml:space="preserve">Kötelező feladat </t>
  </si>
  <si>
    <t>kompenzáció összesen</t>
  </si>
  <si>
    <t>Parkolás Főváros</t>
  </si>
  <si>
    <t>Parkolás Józsefváros</t>
  </si>
  <si>
    <t>VEGY2/20.06.30/000040</t>
  </si>
  <si>
    <t>V/JGK/40</t>
  </si>
  <si>
    <t>VEGY2/20.06.30/000048</t>
  </si>
  <si>
    <t>V/JGK/48</t>
  </si>
  <si>
    <t>NYIT/20.01.01/000100</t>
  </si>
  <si>
    <t>BANK/20.05.07/000001</t>
  </si>
  <si>
    <t>2019. évi elszámolás intézményműködtetés</t>
  </si>
  <si>
    <t>44/2020/085/2020</t>
  </si>
  <si>
    <t>BANK/20.02.10/000002</t>
  </si>
  <si>
    <t>sk:34326        Közszolgálati sz er ződés 4. sz. m</t>
  </si>
  <si>
    <t>44/2020/027/2020</t>
  </si>
  <si>
    <t>BANK/20.02.13/000010</t>
  </si>
  <si>
    <t>sk:34325        Közszolgálati sz er ződés 4. sz. m</t>
  </si>
  <si>
    <t>44/2020/030/2020</t>
  </si>
  <si>
    <t>BANK/20.03.20/000002</t>
  </si>
  <si>
    <t>sk:40259        Közszolgálati sz er ződés 4. sz. m</t>
  </si>
  <si>
    <t>44/2020/055/2020</t>
  </si>
  <si>
    <t>sk:40258        Közszolgálati sz er ződés 4. sz. m</t>
  </si>
  <si>
    <t>BANK/20.04.28/000004</t>
  </si>
  <si>
    <t>sk:42383        Közszolgálati sz er ződés 4. sz. m</t>
  </si>
  <si>
    <t>44/2020/079/2020</t>
  </si>
  <si>
    <t>BANK/20.06.04/000005</t>
  </si>
  <si>
    <t>sk:43977        Közszolgálati sz er ződés 4. sz. m</t>
  </si>
  <si>
    <t>44/2020/104/2020</t>
  </si>
  <si>
    <t>BANK/20.06.30/000014</t>
  </si>
  <si>
    <t>sk:46347        Közszolgálati sz er ződés 4. sz. m</t>
  </si>
  <si>
    <t>44/2020/121/2020</t>
  </si>
  <si>
    <t>NYIT/20.01.01/000391</t>
  </si>
  <si>
    <t>BANK/20.02.28/000005</t>
  </si>
  <si>
    <t>sk:38711        Közszolgálati sz er ződés 2. számú</t>
  </si>
  <si>
    <t>44/2020/040/2020</t>
  </si>
  <si>
    <t>sk:38712        Közszolgálati sz er ződés 2. számú</t>
  </si>
  <si>
    <t>sk:40324        Közszolgálati sz er ződés 2. számú</t>
  </si>
  <si>
    <t>sk:40323        Közszolgálati szerz ődés 2. számú</t>
  </si>
  <si>
    <t>sk:42382        Közszolgálati sz er ződés 2. számú</t>
  </si>
  <si>
    <t>2019. évi elszámolás városüzemeltetés</t>
  </si>
  <si>
    <t>sk:43978        Közszolgálati sz er ződés 2. számú</t>
  </si>
  <si>
    <t>2020.II.félév</t>
  </si>
  <si>
    <r>
      <rPr>
        <b/>
        <sz val="7"/>
        <rFont val="Arial Narrow"/>
        <family val="2"/>
        <charset val="238"/>
      </rPr>
      <t>Könyvelés dátum:</t>
    </r>
    <r>
      <rPr>
        <sz val="7"/>
        <rFont val="Arial Narrow"/>
        <family val="2"/>
        <charset val="238"/>
      </rPr>
      <t> 2020.01.01.-2020.06.30.</t>
    </r>
    <r>
      <rPr>
        <sz val="9"/>
        <rFont val="Arial Narrow"/>
        <family val="2"/>
        <charset val="238"/>
      </rPr>
      <t>,</t>
    </r>
    <r>
      <rPr>
        <b/>
        <sz val="7"/>
        <rFont val="Arial Narrow"/>
        <family val="2"/>
        <charset val="238"/>
      </rPr>
      <t>Deviza:</t>
    </r>
    <r>
      <rPr>
        <sz val="7"/>
        <rFont val="Arial Narrow"/>
        <family val="2"/>
        <charset val="238"/>
      </rPr>
      <t> HUF</t>
    </r>
    <r>
      <rPr>
        <sz val="9"/>
        <rFont val="Arial Narrow"/>
        <family val="2"/>
        <charset val="238"/>
      </rPr>
      <t>,</t>
    </r>
    <r>
      <rPr>
        <b/>
        <sz val="7"/>
        <rFont val="Arial Narrow"/>
        <family val="2"/>
        <charset val="238"/>
      </rPr>
      <t>Naplójel:</t>
    </r>
    <r>
      <rPr>
        <sz val="7"/>
        <rFont val="Arial Narrow"/>
        <family val="2"/>
        <charset val="238"/>
      </rPr>
      <t> NYIT-TERM6</t>
    </r>
    <r>
      <rPr>
        <sz val="9"/>
        <rFont val="Arial Narrow"/>
        <family val="2"/>
        <charset val="238"/>
      </rPr>
      <t>,</t>
    </r>
    <r>
      <rPr>
        <b/>
        <sz val="7"/>
        <rFont val="Arial Narrow"/>
        <family val="2"/>
        <charset val="238"/>
      </rPr>
      <t>Főkönyvi szám:</t>
    </r>
    <r>
      <rPr>
        <sz val="7"/>
        <rFont val="Arial Narrow"/>
        <family val="2"/>
        <charset val="238"/>
      </rPr>
      <t> 478000-478006</t>
    </r>
  </si>
  <si>
    <t>NYIT/20.01.01/000752</t>
  </si>
  <si>
    <t>BANK/20.06.19/000001</t>
  </si>
  <si>
    <t>Jóteljesítési biztosíték Futó u.27. 2.815.537,- +</t>
  </si>
  <si>
    <t>44/2020/114/2020</t>
  </si>
  <si>
    <t>Hufer</t>
  </si>
  <si>
    <t>NYIT/20.01.01/000298</t>
  </si>
  <si>
    <t>VSZL/20.04.30/000058</t>
  </si>
  <si>
    <t>2020-JÖNK/000056</t>
  </si>
  <si>
    <t>NYIT/20.01.01/000199</t>
  </si>
  <si>
    <t>VSZL/20.04.30/000057</t>
  </si>
  <si>
    <t>2020-JÖNK/000055</t>
  </si>
  <si>
    <t>NYIT/20.01.01/000851</t>
  </si>
  <si>
    <t>VSZL/20.04.30/000053</t>
  </si>
  <si>
    <t>2020-JÖNK/000051</t>
  </si>
  <si>
    <t>VSZL/20.04.30/000054</t>
  </si>
  <si>
    <t>2020-JÖNK/000052</t>
  </si>
  <si>
    <t>VSZL/20.04.30/000055</t>
  </si>
  <si>
    <t>2020-JÖNK/000053</t>
  </si>
  <si>
    <t>VSZL/20.04.30/000056</t>
  </si>
  <si>
    <t>2020-JÖNK/000054</t>
  </si>
  <si>
    <t>Eladás</t>
  </si>
  <si>
    <t>754302</t>
  </si>
  <si>
    <t>54150</t>
  </si>
  <si>
    <t>Tanuló szakmai gyakorlat</t>
  </si>
  <si>
    <t>8165226100</t>
  </si>
  <si>
    <t>lakóház hulladék kezelés M</t>
  </si>
  <si>
    <t>9166</t>
  </si>
  <si>
    <t>Áram bérlői feltöltés</t>
  </si>
  <si>
    <t>Üzemeltetési div. Háztakarító csoport</t>
  </si>
  <si>
    <t>műszak, házkezelés</t>
  </si>
  <si>
    <t xml:space="preserve">Háztakarító </t>
  </si>
  <si>
    <t>Életmentő pont 2019. évi pénzmaradvány elszámolás</t>
  </si>
  <si>
    <t>létszám 2020. december 31.</t>
  </si>
  <si>
    <t xml:space="preserve">központi létszám szerinti </t>
  </si>
  <si>
    <t>56178</t>
  </si>
  <si>
    <t>Szociális hozzájárulási kiegészítés</t>
  </si>
  <si>
    <t>56179</t>
  </si>
  <si>
    <t>TB járulék kiegészítés</t>
  </si>
  <si>
    <t>BANK/20.08.03/000004</t>
  </si>
  <si>
    <t>sk:49552        Közszolgálati sz er ződés 4. sz. m</t>
  </si>
  <si>
    <t>44/2020/144/2020</t>
  </si>
  <si>
    <t>BANK/20.08.26/000005</t>
  </si>
  <si>
    <t>sk:50895        Közszolgálati sz er ződés 4. sz. m</t>
  </si>
  <si>
    <t>44/2020/159/2020</t>
  </si>
  <si>
    <t>BANK/20.09.30/000014</t>
  </si>
  <si>
    <t>sk:53699        Közszolgálati sz er ződés 4. sz. m</t>
  </si>
  <si>
    <t>44/2020/184/2020</t>
  </si>
  <si>
    <t>BANK/20.11.06/000004</t>
  </si>
  <si>
    <t>sk:56366        Közszolgálati sz er ződés 4. sz. m</t>
  </si>
  <si>
    <t>44/2020/210/2020</t>
  </si>
  <si>
    <t>VEGY2/20.06.30/000065</t>
  </si>
  <si>
    <t>2020.06.30-i korr (15)</t>
  </si>
  <si>
    <t>V/JGK/65</t>
  </si>
  <si>
    <t>46307, 4695, 478004, 478005, 478006, 9634, 9635</t>
  </si>
  <si>
    <t>2020.06.30-i korr (17)</t>
  </si>
  <si>
    <t>BANK/20.07.06/000002</t>
  </si>
  <si>
    <t>Közszolg.szerz.2.sz.mell.Átmeneti g azd.+2020 NOTP</t>
  </si>
  <si>
    <t>44/2020/125/2020</t>
  </si>
  <si>
    <t>sk:49551        Közszolgálati sz er ződés 2. számú</t>
  </si>
  <si>
    <t>sk:50901        Közszolgálati sz er ződés 2. számú</t>
  </si>
  <si>
    <t>sk:53692        Közszolgálati sz er ződés 2. számú</t>
  </si>
  <si>
    <t>sk:56333        Közszolgálati sz er ződés 2. számú</t>
  </si>
  <si>
    <t>8165225300</t>
  </si>
  <si>
    <t>Kéményseprés levonható 27% helyiség</t>
  </si>
  <si>
    <t>86716</t>
  </si>
  <si>
    <t>Áfa le nem vonható</t>
  </si>
  <si>
    <t>968947</t>
  </si>
  <si>
    <t>Támogatás fejlesztési selejtezett eszköz után</t>
  </si>
  <si>
    <t>Társasházkezelés</t>
  </si>
  <si>
    <t>Háztakarító</t>
  </si>
  <si>
    <t>Helyiség bérbeadás</t>
  </si>
  <si>
    <t>BANK/20.09.29/000001</t>
  </si>
  <si>
    <t>Fel nem használt inf. támogatásviss zautalása 34/2</t>
  </si>
  <si>
    <t>44/2020/183/2020</t>
  </si>
  <si>
    <t>Fel nem haszn.szoftverfejl.tám.viss zautalása 34/2</t>
  </si>
  <si>
    <t>BANK/20.12.08/000006</t>
  </si>
  <si>
    <t>sk:58220        Közszolgálati szerz ődés 4. sz. me</t>
  </si>
  <si>
    <t>44/2020/232/2020</t>
  </si>
  <si>
    <t>BANK/20.12.03/000007</t>
  </si>
  <si>
    <t>sk:58048        Közszolgálati szerz ődés 2. számú</t>
  </si>
  <si>
    <t>44/2020/229/2020</t>
  </si>
  <si>
    <t>56214</t>
  </si>
  <si>
    <t>Egészségügyi szolg járulék</t>
  </si>
  <si>
    <t>életmentő 2020.06.30-i korr (19)</t>
  </si>
  <si>
    <t>VEGY2/20.12.31/000125</t>
  </si>
  <si>
    <t>2020.évi Városüz tám korr pénzmaradvány (43)</t>
  </si>
  <si>
    <t>V/JGK/125</t>
  </si>
  <si>
    <t>1320, 13921, 36502, 36503, 478002, 483309, 483310,</t>
  </si>
  <si>
    <t>önk. ktv. címrend</t>
  </si>
  <si>
    <t>Vagyongazdálkodás, lakóházüzemeltetés</t>
  </si>
  <si>
    <t>Intézményműködtetés</t>
  </si>
  <si>
    <t>Új Teleki téri Piac</t>
  </si>
  <si>
    <t xml:space="preserve">Városüzemeltetés </t>
  </si>
  <si>
    <r>
      <t xml:space="preserve">közszolgáltatási szerződés megnevezése </t>
    </r>
    <r>
      <rPr>
        <b/>
        <sz val="10"/>
        <rFont val="Arial"/>
        <family val="2"/>
        <charset val="238"/>
      </rPr>
      <t>(Bruttó)</t>
    </r>
  </si>
  <si>
    <t>bruttó</t>
  </si>
  <si>
    <t>Kompenzáció zárolt</t>
  </si>
  <si>
    <t>Kompenzáció nem átutalt</t>
  </si>
  <si>
    <t>ÁT NEM UTALT</t>
  </si>
  <si>
    <t>KOMPENZÁCIÓ NEM ÁTUTALT</t>
  </si>
  <si>
    <t>visszafizetendő számlázott</t>
  </si>
  <si>
    <r>
      <t xml:space="preserve">kompenzáció tervszáma Ft </t>
    </r>
    <r>
      <rPr>
        <b/>
        <sz val="10"/>
        <rFont val="Arial"/>
        <family val="2"/>
        <charset val="238"/>
      </rPr>
      <t>nettó számlázott</t>
    </r>
  </si>
  <si>
    <r>
      <t xml:space="preserve">kompenzáció tervszáma Ft </t>
    </r>
    <r>
      <rPr>
        <b/>
        <sz val="10"/>
        <rFont val="Arial"/>
        <family val="2"/>
        <charset val="238"/>
      </rPr>
      <t xml:space="preserve">bruttó </t>
    </r>
    <r>
      <rPr>
        <b/>
        <sz val="10"/>
        <color rgb="FFFF0000"/>
        <rFont val="Arial"/>
        <family val="2"/>
        <charset val="238"/>
      </rPr>
      <t>zárolt nélkül</t>
    </r>
  </si>
  <si>
    <t>át nem utalt kompenzáció összege Ft</t>
  </si>
  <si>
    <r>
      <t xml:space="preserve">kompenzáció elszámolt összege Ft </t>
    </r>
    <r>
      <rPr>
        <b/>
        <sz val="10"/>
        <rFont val="Arial"/>
        <family val="2"/>
        <charset val="238"/>
      </rPr>
      <t>nettó számlázott</t>
    </r>
  </si>
  <si>
    <r>
      <t xml:space="preserve">kompenzáció elszámolt összege Ft </t>
    </r>
    <r>
      <rPr>
        <b/>
        <sz val="10"/>
        <rFont val="Arial"/>
        <family val="2"/>
        <charset val="238"/>
      </rPr>
      <t>bruttó</t>
    </r>
  </si>
  <si>
    <r>
      <t xml:space="preserve">visszafizetendő kompenzáció összege Ft </t>
    </r>
    <r>
      <rPr>
        <b/>
        <sz val="10"/>
        <rFont val="Arial"/>
        <family val="2"/>
        <charset val="238"/>
      </rPr>
      <t>nettó számlázott</t>
    </r>
  </si>
  <si>
    <r>
      <t xml:space="preserve">visszafizetendő kompenzáció összege Ft </t>
    </r>
    <r>
      <rPr>
        <b/>
        <sz val="10"/>
        <rFont val="Arial"/>
        <family val="2"/>
        <charset val="238"/>
      </rPr>
      <t>bruttó</t>
    </r>
  </si>
  <si>
    <r>
      <t>átutalandó kompenzáció összesen Ft</t>
    </r>
    <r>
      <rPr>
        <b/>
        <sz val="10"/>
        <rFont val="Arial"/>
        <family val="2"/>
        <charset val="238"/>
      </rPr>
      <t xml:space="preserve"> bruttó</t>
    </r>
  </si>
  <si>
    <t>52329</t>
  </si>
  <si>
    <t>Termelő gépek javítási és karbantartási költségei</t>
  </si>
  <si>
    <t>8165251100</t>
  </si>
  <si>
    <t>Adómentes karbantartás M</t>
  </si>
  <si>
    <t>8168632</t>
  </si>
  <si>
    <t>Bírságok, kötbérek és kamatok, kártérítés</t>
  </si>
  <si>
    <t>8169632</t>
  </si>
  <si>
    <t>9152</t>
  </si>
  <si>
    <t>Továbbszámlázott jogi szolgáltatások bevétele</t>
  </si>
  <si>
    <t>96725</t>
  </si>
  <si>
    <t>96726</t>
  </si>
  <si>
    <t>Támogatás fejlesztési 2016_tól</t>
  </si>
  <si>
    <t>intézményműködtetés központi költségek kötelező</t>
  </si>
  <si>
    <t>intézményműködtetés központi költségek önként vállalt</t>
  </si>
  <si>
    <t>intézményműködtetés központi költségek összesen</t>
  </si>
  <si>
    <t>uszoda (hasznosítások tanórai foglalkozáson kívüli, működtetés, fenntartás, karbantartás) önként vállalt</t>
  </si>
  <si>
    <t>sportsátor (működtetés, fenntartás, szabad  kapacitás hasznosítása) önként vállalt</t>
  </si>
  <si>
    <t>iskolabusz önként vállalt</t>
  </si>
  <si>
    <t>iskolai egyéb telefonktsg, ballonos víz önként vállalt</t>
  </si>
  <si>
    <t>iskolai egyéb hasznosí-tással kapcsolatos tételek (Pensio Losonci + GNM Németh L) önként vállalt</t>
  </si>
  <si>
    <t>hivatali takarítás piaci</t>
  </si>
  <si>
    <t>intézmény összesen, hivatali takarítás nélkül kötelező</t>
  </si>
  <si>
    <t>intézmény összesen, hivatali takarítás nélkül önként vállalt</t>
  </si>
  <si>
    <t>intézmény összesen, hivatali takarítás nélkül összesen</t>
  </si>
  <si>
    <t xml:space="preserve"> - beszerzések </t>
  </si>
  <si>
    <t>2021.12.31. tény</t>
  </si>
  <si>
    <t>2021.12.31 % arány</t>
  </si>
  <si>
    <t>2021.12.31. % arány</t>
  </si>
  <si>
    <t>lakásgazdálkodási divízió</t>
  </si>
  <si>
    <t>Vagyonhasznosítási divízió</t>
  </si>
  <si>
    <t>társasházi divízió</t>
  </si>
  <si>
    <t>21102. és 21105. cím vagyongazdálkodás</t>
  </si>
  <si>
    <t>össz parkolási ktg. Terv 2021. év ( Fővárosi,más kerületi, önkormányzati )</t>
  </si>
  <si>
    <t>2021 végleges</t>
  </si>
  <si>
    <t>pénzmaradvány</t>
  </si>
  <si>
    <t>szolgáltatási díj mindösszesen (nettó)</t>
  </si>
  <si>
    <t>KOMPENZÁCIÓ/KÖLTSÉGTÉRITÉS MINDÖSSZESEN</t>
  </si>
  <si>
    <t>ÖSSZESEN 2020.évi pénzmaradvánnyal</t>
  </si>
  <si>
    <t>8165224400</t>
  </si>
  <si>
    <t>Lakóház víz-, csatornadíj 20%</t>
  </si>
  <si>
    <t>816843500</t>
  </si>
  <si>
    <t>Kés. kamat, kötb.,per ktg. kapcs. ráfordítások</t>
  </si>
  <si>
    <t>751317</t>
  </si>
  <si>
    <t>Lakásgazd pályázati csoport</t>
  </si>
  <si>
    <t>82201</t>
  </si>
  <si>
    <t>Városüzem. Kerületőrség objektumvédelmi csoport</t>
  </si>
  <si>
    <t>Városüzem. közösségi kertek</t>
  </si>
  <si>
    <t>82601</t>
  </si>
  <si>
    <t>Összesen, 2021.01.01. - 2021.11.30.,   Főkönyvi szám: 5*+8*+9*</t>
  </si>
  <si>
    <t>Összesen, 2021.01.01. - 2021.12.31.,   Főkönyvi szám: 5*+8*+9*</t>
  </si>
  <si>
    <t>2021.09.23.KT galambmentesítés - önk.</t>
  </si>
  <si>
    <t>2.362.205. + ÁFA</t>
  </si>
  <si>
    <t>754300</t>
  </si>
  <si>
    <t>8165273313</t>
  </si>
  <si>
    <t>Fakivágás kiadásai le nem vonható 27% (lakás)</t>
  </si>
  <si>
    <t>vagyongazdálkodás beruh</t>
  </si>
  <si>
    <t>szolgáltatási díj mindösszesen (bruttó)</t>
  </si>
  <si>
    <t>Teljesült Beruházások</t>
  </si>
  <si>
    <t>Különbség Beruházások</t>
  </si>
  <si>
    <t>Intézményműk összesen</t>
  </si>
  <si>
    <t>Intézményműk központ</t>
  </si>
  <si>
    <t>Városüz összesen</t>
  </si>
  <si>
    <t>Városüz Polgármesteri Hivatal megb</t>
  </si>
  <si>
    <t>Városüz központ</t>
  </si>
  <si>
    <t>Városüz mindösszesen</t>
  </si>
  <si>
    <t>nettó össz</t>
  </si>
  <si>
    <t>pénzmaradvány 2021</t>
  </si>
  <si>
    <t>visszafizetendő nem számlázott</t>
  </si>
  <si>
    <t>21101 cím Parkolás ( önkormányzati tulajdonú parkolóhelyekre számolva)</t>
  </si>
  <si>
    <t xml:space="preserve"> 21106 cím</t>
  </si>
  <si>
    <t>településüzemeltetési feladatok 21104 cím</t>
  </si>
  <si>
    <t xml:space="preserve">Iskolák működtetése 21103 cím </t>
  </si>
  <si>
    <t>2021. évi kompenzáció elszámoláshoz kapcsolódó előirányzat rendezés - dologi</t>
  </si>
  <si>
    <t>2021. évi kompenzáció elszámoláshoz kapcsolódó előirányzat rendezés - felhalmozási</t>
  </si>
  <si>
    <t>ELSZÁMOLANDÓ KOMPENZÁCIÓ/KÖLTSÉGTÉRITÉS MINDÖSSZESEN</t>
  </si>
  <si>
    <t>szolgálatás díj mindösszesen ( bruttó)</t>
  </si>
  <si>
    <t>forintban</t>
  </si>
  <si>
    <t>Városüz beruházás kompenzáció</t>
  </si>
  <si>
    <t>Városüzemeltetés beruházás</t>
  </si>
  <si>
    <t>Parkolás beruh pénzmaradvány 2021</t>
  </si>
  <si>
    <t>Parkolás beruházás</t>
  </si>
  <si>
    <t>5141</t>
  </si>
  <si>
    <t>Le nem vonható áfa anyagköltség</t>
  </si>
  <si>
    <t>5293</t>
  </si>
  <si>
    <t>Le nem vonható áfa anyagjell szolg</t>
  </si>
  <si>
    <t>55999</t>
  </si>
  <si>
    <t>Le nem vonható áfa egyéb jutt</t>
  </si>
  <si>
    <t>81999</t>
  </si>
  <si>
    <t>Le nem vonható áfa egyéb</t>
  </si>
  <si>
    <t>Önkormányzat utalja 2022-ben számlázva</t>
  </si>
  <si>
    <t>75309</t>
  </si>
  <si>
    <t>82302</t>
  </si>
  <si>
    <t>82303</t>
  </si>
  <si>
    <t>Városüzem. köztisztasági karbantartó csoport</t>
  </si>
  <si>
    <t>Városüzem. játszóterek felújítása</t>
  </si>
  <si>
    <t>83001</t>
  </si>
  <si>
    <t>Pénzmaradvány műszak</t>
  </si>
  <si>
    <t>8159</t>
  </si>
  <si>
    <t>továbbszámlázott, vissza nem igényelt lev áfa</t>
  </si>
  <si>
    <t>8161523</t>
  </si>
  <si>
    <t>Befejezetlen felújítások állománya</t>
  </si>
  <si>
    <t>8165263000</t>
  </si>
  <si>
    <t>Szakvélemények 27%</t>
  </si>
  <si>
    <t>915803</t>
  </si>
  <si>
    <t>Továbbszámlázott egyéb szolg bev értékbecslés</t>
  </si>
  <si>
    <t>Kompenzáció 2022. terv</t>
  </si>
  <si>
    <t>létszám 2022. január 1.</t>
  </si>
  <si>
    <t>piaci</t>
  </si>
  <si>
    <t>2022. évi terv</t>
  </si>
  <si>
    <t xml:space="preserve"> 2022. évi terv </t>
  </si>
  <si>
    <t xml:space="preserve"> 2022. tény</t>
  </si>
  <si>
    <t xml:space="preserve"> 2022.12.31. eltérés</t>
  </si>
  <si>
    <t xml:space="preserve"> 2022.06.30. eltérés</t>
  </si>
  <si>
    <t xml:space="preserve"> 2022. % arány</t>
  </si>
  <si>
    <t>létszám 2022.12.31</t>
  </si>
  <si>
    <t xml:space="preserve">terek, parkok, fasorok, közösségi kertek fenntartása, gondozása, </t>
  </si>
  <si>
    <t>utak, járdák, közt.játszóeszközök, utcabútorok fenntartása, karbantartása,</t>
  </si>
  <si>
    <t>köztisztasági feladatok, közterületi mellékhelyisége üzemeltetése</t>
  </si>
  <si>
    <t>2022. terv</t>
  </si>
  <si>
    <t>iskolai egyéb ktsg, cafeteria, ballonos víz önként vállalt</t>
  </si>
  <si>
    <t>2022 végleges</t>
  </si>
  <si>
    <t>össz parkolási ktg. Terv 2022. év ( Fővárosi,más kerületi, önkormányzati )</t>
  </si>
  <si>
    <t>2022. tény</t>
  </si>
  <si>
    <t>össz parkolási ktg. 2022. év ( Fővárosi,más kerületi, önkormányzati )</t>
  </si>
  <si>
    <t>2022. év különbözet</t>
  </si>
  <si>
    <t>Városüz pénzmaradvány 2021</t>
  </si>
  <si>
    <t>2022.06.30 komp előleg önkéntes</t>
  </si>
  <si>
    <t>2022.06.30 komp előleg kötelező</t>
  </si>
  <si>
    <t>2022.06.30 komp előleg összesen</t>
  </si>
  <si>
    <t>2022.06.30 komp előleg különbözet önkéntes</t>
  </si>
  <si>
    <t>2022.06.30 komp előleg különbözet kötelező</t>
  </si>
  <si>
    <t>2022.06.30 komp előleg különbözet összesen</t>
  </si>
  <si>
    <t>2022. év tény</t>
  </si>
  <si>
    <t>2022 évi komp előleg önkéntes</t>
  </si>
  <si>
    <t>2022 évi komp előleg kötelező</t>
  </si>
  <si>
    <t>2022 évi komp nem átutalt</t>
  </si>
  <si>
    <t>2022 évi komp előleg összesen</t>
  </si>
  <si>
    <t>2022.évi komp előleg különbözet önkéntes</t>
  </si>
  <si>
    <t>2022 évi komp előleg különbözet kötelező</t>
  </si>
  <si>
    <t>2022.évi komp előleg különbözet összesen</t>
  </si>
  <si>
    <t>Összesen visszautalandó 2022.12.31 nettó</t>
  </si>
  <si>
    <t>Összesen visszautalandó 2022.12.31 bruttó</t>
  </si>
  <si>
    <t>2022.06.30 különbözet</t>
  </si>
  <si>
    <t>2022. évi tény</t>
  </si>
  <si>
    <t>ÖSSZESEN 2021.évi pénzmaradvánnyal</t>
  </si>
  <si>
    <t>létszám 2022.12.31.</t>
  </si>
  <si>
    <t>1 db. új elektromos haszongépjármű</t>
  </si>
  <si>
    <t>1 db. árokásó traktor beszerzés</t>
  </si>
  <si>
    <t>elektromos haszongépjárművekhez töltőállomás Dankó u.</t>
  </si>
  <si>
    <t>új szemetesedények beszerzése közterületre (kb. 80 db)</t>
  </si>
  <si>
    <t>1 db.új takarítógép beszerzése</t>
  </si>
  <si>
    <t>1 db.új térkőtisztítógép beszerzése</t>
  </si>
  <si>
    <t>1 db. nagynyomású adapter beszerzése meglévő takarítógépekhez</t>
  </si>
  <si>
    <t>1 db. melegvizes nagynyomású mosó beszerzése meglévő takarítógépekhez</t>
  </si>
  <si>
    <t>beruházás Tám 2022</t>
  </si>
  <si>
    <t>elszámolt écs Tám 2022</t>
  </si>
  <si>
    <t>Összesen, 2022.01.01. - 2022.10.31.,   Főkönyvi szám: 5*+8*+9*</t>
  </si>
  <si>
    <t>Gázzal működő berendezések jav. és karb. költségei</t>
  </si>
  <si>
    <t>Arányosított lakóház takarítás, rovarírtás 27%</t>
  </si>
  <si>
    <t>11-12. havi várható</t>
  </si>
  <si>
    <t>önkorm.lakásokba páramentesítő készülékek vásárlása</t>
  </si>
  <si>
    <t xml:space="preserve">informatikai fejlesztések, szoftverek </t>
  </si>
  <si>
    <t>informatikai fejlesztések hardver és hálózat</t>
  </si>
  <si>
    <t>8722</t>
  </si>
  <si>
    <t>Kölcsönök,hitelek egyéb fizetendő kamata</t>
  </si>
  <si>
    <t>80231</t>
  </si>
  <si>
    <t>Főváros parkolás beflen</t>
  </si>
  <si>
    <t xml:space="preserve"> - adók, befizetések,écs</t>
  </si>
  <si>
    <t>beruh Tám2022  nélkül</t>
  </si>
  <si>
    <t>Inhouse</t>
  </si>
  <si>
    <t>2022. évi kompenzáció elszámoláshoz kapcsolódó előirányzat rendezés - dologi</t>
  </si>
  <si>
    <t>2022. évi kompenzáció elszámoláshoz kapcsolódó előirányzat rendezés - felhalmozási</t>
  </si>
  <si>
    <t>2022.évi pénzmaradvány</t>
  </si>
  <si>
    <t>létszám 2022. december 31.</t>
  </si>
  <si>
    <t>2021.évről nyitó pénzmaradvány</t>
  </si>
  <si>
    <t>2023-ben számlázva nettó</t>
  </si>
  <si>
    <t>eredmény (veszteség) + inhouse</t>
  </si>
  <si>
    <t>mindösszesen közös képviselet és inhouse nélkül</t>
  </si>
  <si>
    <t>piac pénzmaradvány 2021</t>
  </si>
  <si>
    <t>Táppénz 1%</t>
  </si>
  <si>
    <t>5699</t>
  </si>
  <si>
    <t>Szocho önell</t>
  </si>
  <si>
    <t>8655</t>
  </si>
  <si>
    <t>Dolgozóknak adott kölcsön elsz.értékvesztése</t>
  </si>
  <si>
    <t>Összesen, 2022.01.01. - 2022.12.31.,   Főkönyvi szám: +5*+8*+9*</t>
  </si>
  <si>
    <t>Városüzemeltetés (pénzmaradvány )</t>
  </si>
  <si>
    <r>
      <t xml:space="preserve">2023-ben elszámolandó pénzmaradvány </t>
    </r>
    <r>
      <rPr>
        <b/>
        <sz val="10"/>
        <color rgb="FFFF0000"/>
        <rFont val="Arial"/>
        <family val="2"/>
        <charset val="238"/>
      </rPr>
      <t>nettó</t>
    </r>
  </si>
  <si>
    <r>
      <t>2023-ben elszámolandó pénzmaradvány bru</t>
    </r>
    <r>
      <rPr>
        <b/>
        <sz val="10"/>
        <color rgb="FFFF0000"/>
        <rFont val="Arial"/>
        <family val="2"/>
        <charset val="238"/>
      </rPr>
      <t>ttó</t>
    </r>
  </si>
  <si>
    <t>pénzmaradvány (bruttó) elszámolása 2022-ben történik</t>
  </si>
  <si>
    <t>Beruh támogatás 2021-ról</t>
  </si>
  <si>
    <t>Beruházás és dologi  támogatás 2021-2022</t>
  </si>
  <si>
    <t>2022. évi beruházási támogatás</t>
  </si>
  <si>
    <t>2022.évi pénzmaradvány felhalmozási célú pénzeszköz átadás</t>
  </si>
  <si>
    <t>2022.évi felhalmozási célú pénzeszköz átadás</t>
  </si>
  <si>
    <t>Át nem utalt 2022.évi felhalmozási célú pénzeszköz átadás</t>
  </si>
  <si>
    <t>2022-ben teljesült Beruházások</t>
  </si>
  <si>
    <t>2023-ban teljesült beruházás pénzmaradványból</t>
  </si>
  <si>
    <t>Át nem utalt felhalmozási kompenzáció</t>
  </si>
  <si>
    <t>2022.évi komp előleg különbözet összesen nettó</t>
  </si>
  <si>
    <t>2022.évi komp előleg különbözet összesen bruttó</t>
  </si>
  <si>
    <t>Vagyongazdálkodás informatikai fejlesztés 2022</t>
  </si>
  <si>
    <t>Beruh támogatás 2022</t>
  </si>
  <si>
    <t>Beruházás kompenzáció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</si>
</sst>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##\ ###\ ###\ ##0\ \T;[Red]###\ ###\ ###\ ##0\ \K"/>
    <numFmt numFmtId="166" formatCode="_-* #,##0.0\ _F_t_-;\-* #,##0.0\ _F_t_-;_-* &quot;-&quot;??\ _F_t_-;_-@_-"/>
    <numFmt numFmtId="167" formatCode="#,##0.0"/>
    <numFmt numFmtId="168" formatCode="_-* #,##0\ _F_t_-;\-* #,##0\ _F_t_-;_-* &quot;-&quot;??\ _F_t_-;_-@_-"/>
    <numFmt numFmtId="169" formatCode="yyyy/mm/dd;@"/>
    <numFmt numFmtId="170" formatCode="#,##0_ ;\-#,##0\ "/>
    <numFmt numFmtId="171" formatCode="#,##0;[Red]#,##0"/>
  </numFmts>
  <fonts count="1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8"/>
      <name val="MS Sans Serif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name val="Arial Narrow"/>
      <family val="2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00B0F0"/>
      <name val="Arial"/>
      <family val="2"/>
      <charset val="238"/>
    </font>
    <font>
      <sz val="9"/>
      <color rgb="FF00B0F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color theme="1"/>
      <name val="Times New Roman"/>
      <family val="1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name val="Arial Narrow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7"/>
      <name val="Arial Narrow"/>
      <family val="2"/>
      <charset val="238"/>
    </font>
    <font>
      <b/>
      <sz val="7"/>
      <name val="Arial Narrow"/>
      <family val="2"/>
      <charset val="238"/>
    </font>
    <font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9"/>
      <name val="Arial Narrow"/>
      <family val="2"/>
      <charset val="238"/>
    </font>
    <font>
      <sz val="8"/>
      <color rgb="FF00B050"/>
      <name val="Calibri"/>
      <family val="2"/>
      <charset val="238"/>
      <scheme val="minor"/>
    </font>
    <font>
      <i/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00B050"/>
      <name val="Times New Roman"/>
      <family val="1"/>
      <charset val="238"/>
    </font>
    <font>
      <b/>
      <sz val="8"/>
      <color rgb="FF00B050"/>
      <name val="Times New Roman"/>
      <family val="1"/>
      <charset val="238"/>
    </font>
    <font>
      <b/>
      <sz val="8"/>
      <color rgb="FF00B050"/>
      <name val="Arial"/>
      <family val="2"/>
      <charset val="238"/>
    </font>
    <font>
      <b/>
      <sz val="8"/>
      <color rgb="FF00B0F0"/>
      <name val="Arial"/>
      <family val="2"/>
      <charset val="238"/>
    </font>
    <font>
      <sz val="8"/>
      <color rgb="FF00B0F0"/>
      <name val="Times New Roman"/>
      <family val="1"/>
      <charset val="238"/>
    </font>
    <font>
      <b/>
      <sz val="8"/>
      <color rgb="FF00B0F0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color rgb="FF00B0F0"/>
      <name val="Arial"/>
      <family val="2"/>
      <charset val="238"/>
    </font>
    <font>
      <b/>
      <sz val="9"/>
      <color rgb="FFFF0000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Calibri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0D0D0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632B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79D0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686">
    <xf numFmtId="0" fontId="0" fillId="0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8" fillId="0" borderId="0"/>
    <xf numFmtId="0" fontId="14" fillId="0" borderId="0"/>
    <xf numFmtId="0" fontId="14" fillId="0" borderId="0"/>
    <xf numFmtId="0" fontId="25" fillId="0" borderId="0"/>
    <xf numFmtId="0" fontId="35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97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164" fontId="8" fillId="0" borderId="0" applyFont="0" applyFill="0" applyBorder="0" applyAlignment="0" applyProtection="0"/>
    <xf numFmtId="0" fontId="14" fillId="0" borderId="0"/>
    <xf numFmtId="9" fontId="8" fillId="0" borderId="0" applyFont="0" applyFill="0" applyBorder="0" applyAlignment="0" applyProtection="0"/>
    <xf numFmtId="0" fontId="6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1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102" fillId="0" borderId="0"/>
    <xf numFmtId="0" fontId="106" fillId="0" borderId="0"/>
    <xf numFmtId="0" fontId="107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14" fillId="0" borderId="0"/>
    <xf numFmtId="0" fontId="1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12" fillId="0" borderId="0"/>
  </cellStyleXfs>
  <cellXfs count="1194">
    <xf numFmtId="0" fontId="0" fillId="0" borderId="0" xfId="0"/>
    <xf numFmtId="49" fontId="0" fillId="0" borderId="0" xfId="0" applyNumberFormat="1"/>
    <xf numFmtId="0" fontId="9" fillId="0" borderId="0" xfId="0" applyFont="1"/>
    <xf numFmtId="49" fontId="12" fillId="0" borderId="0" xfId="0" applyNumberFormat="1" applyFont="1"/>
    <xf numFmtId="49" fontId="0" fillId="0" borderId="1" xfId="0" applyNumberFormat="1" applyBorder="1"/>
    <xf numFmtId="49" fontId="12" fillId="0" borderId="1" xfId="0" applyNumberFormat="1" applyFont="1" applyBorder="1"/>
    <xf numFmtId="165" fontId="10" fillId="0" borderId="1" xfId="0" applyNumberFormat="1" applyFont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49" fontId="0" fillId="2" borderId="2" xfId="0" applyNumberFormat="1" applyFill="1" applyBorder="1"/>
    <xf numFmtId="49" fontId="0" fillId="2" borderId="3" xfId="0" applyNumberFormat="1" applyFill="1" applyBorder="1"/>
    <xf numFmtId="165" fontId="10" fillId="2" borderId="2" xfId="0" applyNumberFormat="1" applyFont="1" applyFill="1" applyBorder="1" applyAlignment="1">
      <alignment horizontal="right"/>
    </xf>
    <xf numFmtId="165" fontId="0" fillId="2" borderId="2" xfId="0" applyNumberForma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49" fontId="0" fillId="2" borderId="4" xfId="0" applyNumberFormat="1" applyFill="1" applyBorder="1"/>
    <xf numFmtId="49" fontId="0" fillId="2" borderId="5" xfId="0" applyNumberFormat="1" applyFill="1" applyBorder="1"/>
    <xf numFmtId="165" fontId="10" fillId="2" borderId="4" xfId="0" applyNumberFormat="1" applyFont="1" applyFill="1" applyBorder="1" applyAlignment="1">
      <alignment horizontal="right"/>
    </xf>
    <xf numFmtId="165" fontId="0" fillId="2" borderId="4" xfId="0" applyNumberFormat="1" applyFill="1" applyBorder="1" applyAlignment="1">
      <alignment horizontal="right"/>
    </xf>
    <xf numFmtId="165" fontId="11" fillId="2" borderId="4" xfId="0" applyNumberFormat="1" applyFont="1" applyFill="1" applyBorder="1" applyAlignment="1">
      <alignment horizontal="right"/>
    </xf>
    <xf numFmtId="0" fontId="13" fillId="0" borderId="0" xfId="26" applyFont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165" fontId="9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15" fillId="0" borderId="0" xfId="28" applyFont="1" applyAlignment="1">
      <alignment vertical="top" wrapText="1"/>
    </xf>
    <xf numFmtId="0" fontId="15" fillId="0" borderId="0" xfId="28" applyFont="1" applyAlignment="1">
      <alignment vertical="top"/>
    </xf>
    <xf numFmtId="0" fontId="14" fillId="0" borderId="0" xfId="29" applyAlignment="1">
      <alignment vertical="top" wrapText="1"/>
    </xf>
    <xf numFmtId="165" fontId="9" fillId="2" borderId="3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7" fontId="36" fillId="0" borderId="6" xfId="0" applyNumberFormat="1" applyFont="1" applyBorder="1" applyAlignment="1">
      <alignment horizontal="center" wrapText="1"/>
    </xf>
    <xf numFmtId="0" fontId="0" fillId="0" borderId="0" xfId="0" applyAlignment="1">
      <alignment vertical="top" wrapText="1"/>
    </xf>
    <xf numFmtId="3" fontId="0" fillId="0" borderId="0" xfId="0" applyNumberFormat="1"/>
    <xf numFmtId="3" fontId="0" fillId="2" borderId="3" xfId="0" applyNumberFormat="1" applyFill="1" applyBorder="1"/>
    <xf numFmtId="3" fontId="0" fillId="2" borderId="5" xfId="0" applyNumberFormat="1" applyFill="1" applyBorder="1"/>
    <xf numFmtId="3" fontId="9" fillId="0" borderId="0" xfId="0" applyNumberFormat="1" applyFont="1"/>
    <xf numFmtId="3" fontId="12" fillId="0" borderId="0" xfId="0" applyNumberFormat="1" applyFont="1"/>
    <xf numFmtId="165" fontId="38" fillId="0" borderId="1" xfId="0" applyNumberFormat="1" applyFont="1" applyBorder="1" applyAlignment="1">
      <alignment horizontal="right"/>
    </xf>
    <xf numFmtId="0" fontId="39" fillId="0" borderId="0" xfId="28" applyFont="1" applyAlignment="1">
      <alignment vertical="top" wrapText="1"/>
    </xf>
    <xf numFmtId="165" fontId="38" fillId="2" borderId="2" xfId="0" applyNumberFormat="1" applyFont="1" applyFill="1" applyBorder="1" applyAlignment="1">
      <alignment horizontal="right"/>
    </xf>
    <xf numFmtId="165" fontId="38" fillId="2" borderId="4" xfId="0" applyNumberFormat="1" applyFont="1" applyFill="1" applyBorder="1" applyAlignment="1">
      <alignment horizontal="right"/>
    </xf>
    <xf numFmtId="165" fontId="9" fillId="24" borderId="1" xfId="0" applyNumberFormat="1" applyFont="1" applyFill="1" applyBorder="1" applyAlignment="1">
      <alignment horizontal="center" vertical="top" wrapText="1"/>
    </xf>
    <xf numFmtId="0" fontId="0" fillId="24" borderId="0" xfId="0" applyFill="1" applyAlignment="1">
      <alignment vertical="top" wrapText="1"/>
    </xf>
    <xf numFmtId="165" fontId="9" fillId="25" borderId="1" xfId="0" applyNumberFormat="1" applyFont="1" applyFill="1" applyBorder="1" applyAlignment="1">
      <alignment horizontal="center" vertical="top" wrapText="1"/>
    </xf>
    <xf numFmtId="0" fontId="0" fillId="25" borderId="0" xfId="0" applyFill="1" applyAlignment="1">
      <alignment vertical="top" wrapText="1"/>
    </xf>
    <xf numFmtId="0" fontId="0" fillId="26" borderId="0" xfId="0" applyFill="1" applyAlignment="1">
      <alignment vertical="top" wrapText="1"/>
    </xf>
    <xf numFmtId="165" fontId="9" fillId="27" borderId="1" xfId="0" applyNumberFormat="1" applyFont="1" applyFill="1" applyBorder="1" applyAlignment="1">
      <alignment horizontal="center" vertical="top" wrapText="1"/>
    </xf>
    <xf numFmtId="165" fontId="9" fillId="28" borderId="1" xfId="0" applyNumberFormat="1" applyFont="1" applyFill="1" applyBorder="1" applyAlignment="1">
      <alignment horizontal="center" vertical="top" wrapText="1"/>
    </xf>
    <xf numFmtId="0" fontId="0" fillId="28" borderId="0" xfId="0" applyFill="1" applyAlignment="1">
      <alignment vertical="top" wrapText="1"/>
    </xf>
    <xf numFmtId="165" fontId="9" fillId="29" borderId="1" xfId="0" applyNumberFormat="1" applyFont="1" applyFill="1" applyBorder="1" applyAlignment="1">
      <alignment horizontal="center" vertical="top" wrapText="1"/>
    </xf>
    <xf numFmtId="0" fontId="0" fillId="30" borderId="0" xfId="0" applyFill="1" applyAlignment="1">
      <alignment vertical="top" wrapText="1"/>
    </xf>
    <xf numFmtId="165" fontId="9" fillId="3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/>
    <xf numFmtId="2" fontId="9" fillId="0" borderId="0" xfId="0" applyNumberFormat="1" applyFont="1"/>
    <xf numFmtId="0" fontId="40" fillId="0" borderId="6" xfId="0" applyFont="1" applyBorder="1" applyAlignment="1">
      <alignment vertical="center" wrapText="1"/>
    </xf>
    <xf numFmtId="0" fontId="40" fillId="0" borderId="7" xfId="0" applyFont="1" applyBorder="1" applyAlignment="1">
      <alignment vertical="center" wrapText="1"/>
    </xf>
    <xf numFmtId="0" fontId="40" fillId="0" borderId="8" xfId="0" applyFont="1" applyBorder="1" applyAlignment="1">
      <alignment vertical="center" wrapText="1"/>
    </xf>
    <xf numFmtId="0" fontId="40" fillId="0" borderId="9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1" fillId="0" borderId="6" xfId="0" applyFont="1" applyBorder="1"/>
    <xf numFmtId="166" fontId="42" fillId="0" borderId="12" xfId="22" applyNumberFormat="1" applyFont="1" applyBorder="1" applyAlignment="1">
      <alignment vertical="center" wrapText="1"/>
    </xf>
    <xf numFmtId="166" fontId="42" fillId="0" borderId="7" xfId="22" applyNumberFormat="1" applyFont="1" applyBorder="1" applyAlignment="1">
      <alignment vertical="center" wrapText="1"/>
    </xf>
    <xf numFmtId="166" fontId="42" fillId="0" borderId="13" xfId="22" applyNumberFormat="1" applyFont="1" applyBorder="1" applyAlignment="1">
      <alignment vertical="center" wrapText="1"/>
    </xf>
    <xf numFmtId="166" fontId="42" fillId="0" borderId="6" xfId="22" applyNumberFormat="1" applyFont="1" applyBorder="1" applyAlignment="1">
      <alignment vertical="center" wrapText="1"/>
    </xf>
    <xf numFmtId="166" fontId="42" fillId="0" borderId="8" xfId="22" applyNumberFormat="1" applyFont="1" applyBorder="1" applyAlignment="1">
      <alignment vertical="center" wrapText="1"/>
    </xf>
    <xf numFmtId="167" fontId="43" fillId="0" borderId="14" xfId="0" applyNumberFormat="1" applyFont="1" applyBorder="1" applyAlignment="1">
      <alignment horizontal="center" vertical="center"/>
    </xf>
    <xf numFmtId="167" fontId="43" fillId="0" borderId="14" xfId="0" applyNumberFormat="1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167" fontId="43" fillId="0" borderId="15" xfId="0" applyNumberFormat="1" applyFont="1" applyBorder="1" applyAlignment="1">
      <alignment horizontal="center" vertical="center" wrapText="1"/>
    </xf>
    <xf numFmtId="167" fontId="43" fillId="30" borderId="15" xfId="0" applyNumberFormat="1" applyFont="1" applyFill="1" applyBorder="1" applyAlignment="1">
      <alignment horizontal="center" vertical="center" wrapText="1"/>
    </xf>
    <xf numFmtId="167" fontId="43" fillId="32" borderId="15" xfId="0" applyNumberFormat="1" applyFont="1" applyFill="1" applyBorder="1" applyAlignment="1">
      <alignment horizontal="center" vertical="center" wrapText="1"/>
    </xf>
    <xf numFmtId="167" fontId="43" fillId="0" borderId="16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right"/>
    </xf>
    <xf numFmtId="165" fontId="9" fillId="2" borderId="0" xfId="0" applyNumberFormat="1" applyFont="1" applyFill="1" applyAlignment="1">
      <alignment horizontal="right"/>
    </xf>
    <xf numFmtId="165" fontId="10" fillId="2" borderId="3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5" fontId="45" fillId="0" borderId="1" xfId="0" applyNumberFormat="1" applyFont="1" applyBorder="1" applyAlignment="1">
      <alignment horizontal="center" vertical="top" wrapText="1"/>
    </xf>
    <xf numFmtId="165" fontId="9" fillId="31" borderId="0" xfId="0" applyNumberFormat="1" applyFont="1" applyFill="1" applyAlignment="1">
      <alignment horizontal="center" vertical="top" wrapText="1"/>
    </xf>
    <xf numFmtId="165" fontId="46" fillId="0" borderId="0" xfId="0" applyNumberFormat="1" applyFont="1" applyAlignment="1">
      <alignment horizontal="center" vertical="top" wrapText="1"/>
    </xf>
    <xf numFmtId="165" fontId="38" fillId="0" borderId="1" xfId="0" applyNumberFormat="1" applyFont="1" applyBorder="1" applyAlignment="1">
      <alignment horizontal="center" vertical="top" wrapText="1"/>
    </xf>
    <xf numFmtId="165" fontId="16" fillId="0" borderId="1" xfId="0" applyNumberFormat="1" applyFont="1" applyBorder="1" applyAlignment="1">
      <alignment horizontal="center" vertical="top" wrapText="1"/>
    </xf>
    <xf numFmtId="165" fontId="47" fillId="0" borderId="1" xfId="0" applyNumberFormat="1" applyFont="1" applyBorder="1" applyAlignment="1">
      <alignment horizontal="center" vertical="top" wrapText="1"/>
    </xf>
    <xf numFmtId="165" fontId="48" fillId="0" borderId="1" xfId="0" applyNumberFormat="1" applyFont="1" applyBorder="1" applyAlignment="1">
      <alignment horizontal="center" vertical="top" wrapText="1"/>
    </xf>
    <xf numFmtId="165" fontId="48" fillId="0" borderId="0" xfId="0" applyNumberFormat="1" applyFont="1" applyAlignment="1">
      <alignment horizontal="center" vertical="top" wrapText="1"/>
    </xf>
    <xf numFmtId="165" fontId="45" fillId="31" borderId="1" xfId="0" applyNumberFormat="1" applyFont="1" applyFill="1" applyBorder="1" applyAlignment="1">
      <alignment horizontal="center" vertical="top" wrapText="1"/>
    </xf>
    <xf numFmtId="165" fontId="46" fillId="0" borderId="1" xfId="0" applyNumberFormat="1" applyFont="1" applyBorder="1" applyAlignment="1">
      <alignment horizontal="center" vertical="top" wrapText="1"/>
    </xf>
    <xf numFmtId="49" fontId="48" fillId="0" borderId="0" xfId="0" applyNumberFormat="1" applyFont="1" applyAlignment="1">
      <alignment vertical="top" wrapText="1"/>
    </xf>
    <xf numFmtId="165" fontId="49" fillId="0" borderId="1" xfId="0" applyNumberFormat="1" applyFont="1" applyBorder="1" applyAlignment="1">
      <alignment horizontal="center" vertical="top" wrapText="1"/>
    </xf>
    <xf numFmtId="0" fontId="48" fillId="0" borderId="0" xfId="29" applyFont="1" applyAlignment="1">
      <alignment vertical="top" wrapText="1"/>
    </xf>
    <xf numFmtId="0" fontId="49" fillId="0" borderId="0" xfId="29" applyFont="1" applyAlignment="1">
      <alignment vertical="top" wrapText="1"/>
    </xf>
    <xf numFmtId="0" fontId="50" fillId="26" borderId="0" xfId="0" applyFont="1" applyFill="1" applyAlignment="1">
      <alignment vertical="top" wrapText="1"/>
    </xf>
    <xf numFmtId="0" fontId="50" fillId="24" borderId="0" xfId="0" applyFont="1" applyFill="1" applyAlignment="1">
      <alignment vertical="top" wrapText="1"/>
    </xf>
    <xf numFmtId="165" fontId="50" fillId="25" borderId="0" xfId="0" applyNumberFormat="1" applyFont="1" applyFill="1" applyAlignment="1">
      <alignment horizontal="center" vertical="top" wrapText="1"/>
    </xf>
    <xf numFmtId="165" fontId="50" fillId="30" borderId="1" xfId="0" applyNumberFormat="1" applyFont="1" applyFill="1" applyBorder="1" applyAlignment="1">
      <alignment horizontal="center" vertical="top" wrapText="1"/>
    </xf>
    <xf numFmtId="0" fontId="50" fillId="28" borderId="0" xfId="0" applyFont="1" applyFill="1" applyAlignment="1">
      <alignment vertical="top" wrapText="1"/>
    </xf>
    <xf numFmtId="165" fontId="50" fillId="27" borderId="1" xfId="0" applyNumberFormat="1" applyFont="1" applyFill="1" applyBorder="1" applyAlignment="1">
      <alignment horizontal="center" vertical="top" wrapText="1"/>
    </xf>
    <xf numFmtId="165" fontId="50" fillId="29" borderId="1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49" fontId="9" fillId="0" borderId="0" xfId="0" applyNumberFormat="1" applyFont="1"/>
    <xf numFmtId="165" fontId="45" fillId="0" borderId="1" xfId="0" applyNumberFormat="1" applyFont="1" applyBorder="1" applyAlignment="1">
      <alignment horizontal="right"/>
    </xf>
    <xf numFmtId="165" fontId="48" fillId="0" borderId="1" xfId="0" applyNumberFormat="1" applyFont="1" applyBorder="1" applyAlignment="1">
      <alignment horizontal="right"/>
    </xf>
    <xf numFmtId="165" fontId="50" fillId="0" borderId="1" xfId="0" applyNumberFormat="1" applyFont="1" applyBorder="1" applyAlignment="1">
      <alignment horizontal="right"/>
    </xf>
    <xf numFmtId="165" fontId="50" fillId="2" borderId="2" xfId="0" applyNumberFormat="1" applyFont="1" applyFill="1" applyBorder="1" applyAlignment="1">
      <alignment horizontal="right"/>
    </xf>
    <xf numFmtId="165" fontId="50" fillId="2" borderId="4" xfId="0" applyNumberFormat="1" applyFont="1" applyFill="1" applyBorder="1" applyAlignment="1">
      <alignment horizontal="right"/>
    </xf>
    <xf numFmtId="0" fontId="18" fillId="0" borderId="0" xfId="0" applyFont="1" applyAlignment="1">
      <alignment vertical="top" wrapText="1"/>
    </xf>
    <xf numFmtId="3" fontId="18" fillId="0" borderId="0" xfId="0" applyNumberFormat="1" applyFont="1" applyAlignment="1">
      <alignment vertical="top" wrapText="1"/>
    </xf>
    <xf numFmtId="168" fontId="18" fillId="0" borderId="0" xfId="22" applyNumberFormat="1" applyFont="1" applyAlignment="1">
      <alignment vertical="top" wrapText="1"/>
    </xf>
    <xf numFmtId="49" fontId="9" fillId="0" borderId="0" xfId="0" applyNumberFormat="1" applyFont="1" applyAlignment="1">
      <alignment wrapText="1"/>
    </xf>
    <xf numFmtId="3" fontId="9" fillId="0" borderId="0" xfId="0" applyNumberFormat="1" applyFont="1" applyAlignment="1">
      <alignment wrapText="1"/>
    </xf>
    <xf numFmtId="168" fontId="0" fillId="0" borderId="0" xfId="22" applyNumberFormat="1" applyFont="1"/>
    <xf numFmtId="168" fontId="0" fillId="0" borderId="0" xfId="22" applyNumberFormat="1" applyFont="1" applyAlignment="1">
      <alignment horizontal="right"/>
    </xf>
    <xf numFmtId="168" fontId="0" fillId="0" borderId="0" xfId="0" applyNumberFormat="1"/>
    <xf numFmtId="0" fontId="9" fillId="0" borderId="0" xfId="29" applyFont="1" applyAlignment="1">
      <alignment wrapText="1"/>
    </xf>
    <xf numFmtId="3" fontId="9" fillId="0" borderId="0" xfId="29" applyNumberFormat="1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24" borderId="0" xfId="0" applyNumberFormat="1" applyFill="1" applyAlignment="1">
      <alignment wrapText="1"/>
    </xf>
    <xf numFmtId="3" fontId="0" fillId="0" borderId="0" xfId="22" applyNumberFormat="1" applyFont="1"/>
    <xf numFmtId="3" fontId="9" fillId="24" borderId="0" xfId="22" applyNumberFormat="1" applyFont="1" applyFill="1"/>
    <xf numFmtId="168" fontId="9" fillId="0" borderId="0" xfId="22" applyNumberFormat="1" applyFont="1"/>
    <xf numFmtId="0" fontId="18" fillId="0" borderId="0" xfId="0" applyFont="1" applyAlignment="1">
      <alignment wrapText="1"/>
    </xf>
    <xf numFmtId="3" fontId="18" fillId="0" borderId="0" xfId="22" applyNumberFormat="1" applyFont="1"/>
    <xf numFmtId="168" fontId="18" fillId="0" borderId="0" xfId="22" applyNumberFormat="1" applyFont="1"/>
    <xf numFmtId="0" fontId="18" fillId="0" borderId="0" xfId="0" applyFont="1"/>
    <xf numFmtId="3" fontId="18" fillId="24" borderId="0" xfId="22" applyNumberFormat="1" applyFont="1" applyFill="1"/>
    <xf numFmtId="0" fontId="9" fillId="0" borderId="0" xfId="0" applyFont="1" applyAlignment="1">
      <alignment wrapText="1"/>
    </xf>
    <xf numFmtId="3" fontId="18" fillId="24" borderId="0" xfId="0" applyNumberFormat="1" applyFont="1" applyFill="1" applyAlignment="1">
      <alignment wrapText="1"/>
    </xf>
    <xf numFmtId="3" fontId="18" fillId="0" borderId="0" xfId="0" applyNumberFormat="1" applyFont="1" applyAlignment="1">
      <alignment wrapText="1"/>
    </xf>
    <xf numFmtId="3" fontId="18" fillId="31" borderId="0" xfId="0" applyNumberFormat="1" applyFont="1" applyFill="1" applyAlignment="1">
      <alignment wrapText="1"/>
    </xf>
    <xf numFmtId="168" fontId="18" fillId="0" borderId="0" xfId="0" applyNumberFormat="1" applyFont="1"/>
    <xf numFmtId="49" fontId="18" fillId="0" borderId="0" xfId="0" applyNumberFormat="1" applyFont="1" applyAlignment="1">
      <alignment wrapText="1"/>
    </xf>
    <xf numFmtId="168" fontId="0" fillId="0" borderId="0" xfId="22" applyNumberFormat="1" applyFont="1" applyAlignment="1">
      <alignment wrapText="1"/>
    </xf>
    <xf numFmtId="168" fontId="0" fillId="0" borderId="0" xfId="22" applyNumberFormat="1" applyFont="1" applyAlignment="1">
      <alignment horizontal="right" wrapText="1"/>
    </xf>
    <xf numFmtId="49" fontId="0" fillId="0" borderId="0" xfId="0" applyNumberFormat="1" applyAlignment="1">
      <alignment wrapText="1"/>
    </xf>
    <xf numFmtId="168" fontId="18" fillId="0" borderId="0" xfId="22" applyNumberFormat="1" applyFont="1" applyAlignment="1">
      <alignment horizontal="right" wrapText="1"/>
    </xf>
    <xf numFmtId="0" fontId="50" fillId="0" borderId="0" xfId="0" applyFont="1" applyAlignment="1">
      <alignment wrapText="1"/>
    </xf>
    <xf numFmtId="0" fontId="9" fillId="31" borderId="0" xfId="0" applyFont="1" applyFill="1" applyAlignment="1">
      <alignment wrapText="1"/>
    </xf>
    <xf numFmtId="168" fontId="0" fillId="31" borderId="0" xfId="0" applyNumberFormat="1" applyFill="1"/>
    <xf numFmtId="0" fontId="19" fillId="0" borderId="21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51" fillId="0" borderId="38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167" fontId="52" fillId="0" borderId="6" xfId="0" applyNumberFormat="1" applyFont="1" applyBorder="1"/>
    <xf numFmtId="0" fontId="51" fillId="0" borderId="6" xfId="0" applyFont="1" applyBorder="1" applyAlignment="1">
      <alignment horizontal="left" vertical="center" wrapText="1"/>
    </xf>
    <xf numFmtId="167" fontId="52" fillId="0" borderId="6" xfId="0" applyNumberFormat="1" applyFont="1" applyBorder="1" applyAlignment="1">
      <alignment horizont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3" fontId="53" fillId="0" borderId="6" xfId="0" applyNumberFormat="1" applyFont="1" applyBorder="1"/>
    <xf numFmtId="167" fontId="51" fillId="0" borderId="6" xfId="0" applyNumberFormat="1" applyFont="1" applyBorder="1"/>
    <xf numFmtId="9" fontId="53" fillId="0" borderId="17" xfId="32" applyFont="1" applyBorder="1"/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center" vertical="center" wrapText="1"/>
    </xf>
    <xf numFmtId="166" fontId="55" fillId="0" borderId="0" xfId="22" applyNumberFormat="1" applyFont="1"/>
    <xf numFmtId="0" fontId="15" fillId="0" borderId="0" xfId="0" applyFont="1"/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59" fillId="0" borderId="0" xfId="0" applyFont="1" applyAlignment="1">
      <alignment horizontal="left" vertical="center" wrapText="1"/>
    </xf>
    <xf numFmtId="167" fontId="60" fillId="0" borderId="0" xfId="0" applyNumberFormat="1" applyFont="1"/>
    <xf numFmtId="167" fontId="61" fillId="0" borderId="0" xfId="0" applyNumberFormat="1" applyFont="1"/>
    <xf numFmtId="0" fontId="59" fillId="0" borderId="43" xfId="0" applyFont="1" applyBorder="1" applyAlignment="1">
      <alignment horizontal="center" vertical="center" wrapText="1"/>
    </xf>
    <xf numFmtId="167" fontId="60" fillId="0" borderId="38" xfId="0" applyNumberFormat="1" applyFont="1" applyBorder="1"/>
    <xf numFmtId="0" fontId="59" fillId="0" borderId="14" xfId="0" applyFont="1" applyBorder="1" applyAlignment="1">
      <alignment horizontal="center" vertical="center" wrapText="1"/>
    </xf>
    <xf numFmtId="167" fontId="60" fillId="0" borderId="14" xfId="0" applyNumberFormat="1" applyFont="1" applyBorder="1" applyAlignment="1">
      <alignment horizontal="center" vertical="center"/>
    </xf>
    <xf numFmtId="167" fontId="60" fillId="0" borderId="14" xfId="0" applyNumberFormat="1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wrapText="1"/>
    </xf>
    <xf numFmtId="167" fontId="60" fillId="0" borderId="15" xfId="0" applyNumberFormat="1" applyFont="1" applyBorder="1" applyAlignment="1">
      <alignment horizontal="center" vertical="center" wrapText="1"/>
    </xf>
    <xf numFmtId="167" fontId="60" fillId="30" borderId="15" xfId="0" applyNumberFormat="1" applyFont="1" applyFill="1" applyBorder="1" applyAlignment="1">
      <alignment horizontal="center" vertical="center" wrapText="1"/>
    </xf>
    <xf numFmtId="167" fontId="60" fillId="32" borderId="15" xfId="0" applyNumberFormat="1" applyFont="1" applyFill="1" applyBorder="1" applyAlignment="1">
      <alignment horizontal="center" vertical="center" wrapText="1"/>
    </xf>
    <xf numFmtId="167" fontId="60" fillId="0" borderId="16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167" fontId="64" fillId="0" borderId="37" xfId="0" applyNumberFormat="1" applyFont="1" applyBorder="1"/>
    <xf numFmtId="167" fontId="64" fillId="0" borderId="21" xfId="0" applyNumberFormat="1" applyFont="1" applyBorder="1"/>
    <xf numFmtId="9" fontId="62" fillId="0" borderId="39" xfId="32" applyFont="1" applyBorder="1"/>
    <xf numFmtId="0" fontId="22" fillId="0" borderId="0" xfId="0" applyFont="1"/>
    <xf numFmtId="167" fontId="55" fillId="0" borderId="6" xfId="0" applyNumberFormat="1" applyFont="1" applyBorder="1"/>
    <xf numFmtId="167" fontId="55" fillId="0" borderId="6" xfId="0" applyNumberFormat="1" applyFont="1" applyBorder="1" applyAlignment="1">
      <alignment horizontal="center" wrapText="1"/>
    </xf>
    <xf numFmtId="0" fontId="55" fillId="0" borderId="6" xfId="0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3" fontId="65" fillId="0" borderId="17" xfId="0" applyNumberFormat="1" applyFont="1" applyBorder="1"/>
    <xf numFmtId="3" fontId="65" fillId="0" borderId="18" xfId="0" applyNumberFormat="1" applyFont="1" applyBorder="1"/>
    <xf numFmtId="3" fontId="57" fillId="0" borderId="17" xfId="0" applyNumberFormat="1" applyFont="1" applyBorder="1"/>
    <xf numFmtId="3" fontId="65" fillId="0" borderId="21" xfId="0" applyNumberFormat="1" applyFont="1" applyBorder="1"/>
    <xf numFmtId="3" fontId="22" fillId="0" borderId="0" xfId="0" applyNumberFormat="1" applyFont="1"/>
    <xf numFmtId="9" fontId="65" fillId="0" borderId="17" xfId="32" applyFont="1" applyBorder="1"/>
    <xf numFmtId="4" fontId="0" fillId="0" borderId="0" xfId="0" applyNumberFormat="1"/>
    <xf numFmtId="0" fontId="36" fillId="0" borderId="21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/>
    </xf>
    <xf numFmtId="49" fontId="0" fillId="0" borderId="0" xfId="0" applyNumberFormat="1" applyAlignment="1">
      <alignment vertical="top"/>
    </xf>
    <xf numFmtId="165" fontId="8" fillId="0" borderId="1" xfId="0" applyNumberFormat="1" applyFont="1" applyBorder="1" applyAlignment="1">
      <alignment horizontal="center" vertical="top" wrapText="1"/>
    </xf>
    <xf numFmtId="165" fontId="8" fillId="2" borderId="2" xfId="0" applyNumberFormat="1" applyFont="1" applyFill="1" applyBorder="1" applyAlignment="1">
      <alignment horizontal="right"/>
    </xf>
    <xf numFmtId="0" fontId="8" fillId="0" borderId="0" xfId="0" applyFont="1"/>
    <xf numFmtId="49" fontId="0" fillId="0" borderId="1" xfId="0" applyNumberFormat="1" applyBorder="1" applyAlignment="1">
      <alignment vertical="top"/>
    </xf>
    <xf numFmtId="165" fontId="10" fillId="0" borderId="1" xfId="0" applyNumberFormat="1" applyFont="1" applyBorder="1" applyAlignment="1">
      <alignment horizontal="right" vertical="top"/>
    </xf>
    <xf numFmtId="0" fontId="13" fillId="0" borderId="0" xfId="27" applyFont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2" borderId="3" xfId="0" applyNumberFormat="1" applyFont="1" applyFill="1" applyBorder="1" applyAlignment="1">
      <alignment horizontal="right"/>
    </xf>
    <xf numFmtId="49" fontId="0" fillId="0" borderId="1" xfId="0" applyNumberFormat="1" applyBorder="1" applyAlignment="1">
      <alignment wrapText="1"/>
    </xf>
    <xf numFmtId="165" fontId="10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wrapText="1"/>
    </xf>
    <xf numFmtId="168" fontId="8" fillId="0" borderId="0" xfId="22" applyNumberFormat="1"/>
    <xf numFmtId="3" fontId="8" fillId="0" borderId="0" xfId="0" applyNumberFormat="1" applyFont="1"/>
    <xf numFmtId="49" fontId="0" fillId="31" borderId="1" xfId="0" applyNumberFormat="1" applyFill="1" applyBorder="1"/>
    <xf numFmtId="49" fontId="0" fillId="31" borderId="0" xfId="0" applyNumberFormat="1" applyFill="1"/>
    <xf numFmtId="165" fontId="10" fillId="31" borderId="1" xfId="0" applyNumberFormat="1" applyFont="1" applyFill="1" applyBorder="1" applyAlignment="1">
      <alignment horizontal="right"/>
    </xf>
    <xf numFmtId="165" fontId="0" fillId="31" borderId="1" xfId="0" applyNumberFormat="1" applyFill="1" applyBorder="1" applyAlignment="1">
      <alignment horizontal="right"/>
    </xf>
    <xf numFmtId="165" fontId="38" fillId="31" borderId="1" xfId="0" applyNumberFormat="1" applyFont="1" applyFill="1" applyBorder="1" applyAlignment="1">
      <alignment horizontal="right"/>
    </xf>
    <xf numFmtId="165" fontId="10" fillId="31" borderId="0" xfId="0" applyNumberFormat="1" applyFont="1" applyFill="1" applyAlignment="1">
      <alignment horizontal="right"/>
    </xf>
    <xf numFmtId="165" fontId="0" fillId="31" borderId="0" xfId="0" applyNumberFormat="1" applyFill="1"/>
    <xf numFmtId="0" fontId="0" fillId="31" borderId="0" xfId="0" applyFill="1"/>
    <xf numFmtId="165" fontId="45" fillId="31" borderId="1" xfId="0" applyNumberFormat="1" applyFont="1" applyFill="1" applyBorder="1" applyAlignment="1">
      <alignment horizontal="right"/>
    </xf>
    <xf numFmtId="165" fontId="50" fillId="31" borderId="1" xfId="0" applyNumberFormat="1" applyFont="1" applyFill="1" applyBorder="1" applyAlignment="1">
      <alignment horizontal="right"/>
    </xf>
    <xf numFmtId="165" fontId="11" fillId="31" borderId="1" xfId="0" applyNumberFormat="1" applyFont="1" applyFill="1" applyBorder="1" applyAlignment="1">
      <alignment horizontal="right"/>
    </xf>
    <xf numFmtId="3" fontId="0" fillId="31" borderId="0" xfId="0" applyNumberFormat="1" applyFill="1"/>
    <xf numFmtId="3" fontId="9" fillId="31" borderId="0" xfId="0" applyNumberFormat="1" applyFont="1" applyFill="1"/>
    <xf numFmtId="3" fontId="18" fillId="0" borderId="0" xfId="0" applyNumberFormat="1" applyFont="1"/>
    <xf numFmtId="49" fontId="8" fillId="0" borderId="0" xfId="0" applyNumberFormat="1" applyFont="1"/>
    <xf numFmtId="3" fontId="8" fillId="26" borderId="0" xfId="0" applyNumberFormat="1" applyFont="1" applyFill="1"/>
    <xf numFmtId="0" fontId="51" fillId="0" borderId="12" xfId="0" applyFont="1" applyBorder="1" applyAlignment="1">
      <alignment horizontal="left" vertical="center" wrapText="1"/>
    </xf>
    <xf numFmtId="3" fontId="66" fillId="0" borderId="12" xfId="0" applyNumberFormat="1" applyFont="1" applyBorder="1" applyAlignment="1">
      <alignment horizontal="left" vertical="center" wrapText="1"/>
    </xf>
    <xf numFmtId="3" fontId="67" fillId="0" borderId="49" xfId="0" applyNumberFormat="1" applyFont="1" applyBorder="1" applyAlignment="1">
      <alignment horizontal="left" vertical="center" wrapText="1"/>
    </xf>
    <xf numFmtId="3" fontId="68" fillId="0" borderId="49" xfId="0" applyNumberFormat="1" applyFont="1" applyBorder="1" applyAlignment="1">
      <alignment horizontal="left" vertical="center" wrapText="1"/>
    </xf>
    <xf numFmtId="3" fontId="51" fillId="0" borderId="12" xfId="0" applyNumberFormat="1" applyFont="1" applyBorder="1" applyAlignment="1">
      <alignment horizontal="left" vertical="center" wrapText="1"/>
    </xf>
    <xf numFmtId="0" fontId="66" fillId="0" borderId="12" xfId="0" applyFont="1" applyBorder="1" applyAlignment="1">
      <alignment horizontal="left" vertical="center" wrapText="1"/>
    </xf>
    <xf numFmtId="0" fontId="67" fillId="0" borderId="49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67" fillId="0" borderId="6" xfId="0" applyFont="1" applyBorder="1" applyAlignment="1">
      <alignment horizontal="left" vertical="center" wrapText="1"/>
    </xf>
    <xf numFmtId="49" fontId="67" fillId="0" borderId="6" xfId="0" applyNumberFormat="1" applyFont="1" applyBorder="1"/>
    <xf numFmtId="165" fontId="48" fillId="0" borderId="0" xfId="0" applyNumberFormat="1" applyFont="1" applyAlignment="1">
      <alignment horizontal="right"/>
    </xf>
    <xf numFmtId="165" fontId="48" fillId="0" borderId="18" xfId="0" applyNumberFormat="1" applyFont="1" applyBorder="1" applyAlignment="1">
      <alignment horizontal="right"/>
    </xf>
    <xf numFmtId="0" fontId="26" fillId="0" borderId="6" xfId="0" applyFont="1" applyBorder="1" applyAlignment="1">
      <alignment horizontal="left" vertical="center" wrapText="1"/>
    </xf>
    <xf numFmtId="3" fontId="27" fillId="0" borderId="6" xfId="0" applyNumberFormat="1" applyFont="1" applyBorder="1" applyAlignment="1">
      <alignment horizontal="left" vertical="center" wrapText="1"/>
    </xf>
    <xf numFmtId="3" fontId="28" fillId="0" borderId="6" xfId="0" applyNumberFormat="1" applyFont="1" applyBorder="1" applyAlignment="1">
      <alignment horizontal="left" vertical="center" wrapText="1"/>
    </xf>
    <xf numFmtId="3" fontId="29" fillId="0" borderId="6" xfId="0" applyNumberFormat="1" applyFont="1" applyBorder="1" applyAlignment="1">
      <alignment horizontal="left" vertical="center" wrapText="1"/>
    </xf>
    <xf numFmtId="3" fontId="26" fillId="0" borderId="6" xfId="0" applyNumberFormat="1" applyFont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44" fillId="0" borderId="6" xfId="0" applyFont="1" applyBorder="1" applyAlignment="1">
      <alignment horizontal="left" vertical="center" wrapText="1"/>
    </xf>
    <xf numFmtId="167" fontId="0" fillId="0" borderId="6" xfId="0" applyNumberFormat="1" applyBorder="1"/>
    <xf numFmtId="3" fontId="69" fillId="0" borderId="6" xfId="0" applyNumberFormat="1" applyFont="1" applyBorder="1" applyAlignment="1">
      <alignment horizontal="left" vertical="center" wrapText="1"/>
    </xf>
    <xf numFmtId="3" fontId="71" fillId="0" borderId="6" xfId="0" applyNumberFormat="1" applyFont="1" applyBorder="1" applyAlignment="1">
      <alignment horizontal="left" vertical="center" wrapText="1"/>
    </xf>
    <xf numFmtId="3" fontId="72" fillId="0" borderId="6" xfId="0" applyNumberFormat="1" applyFont="1" applyBorder="1" applyAlignment="1">
      <alignment horizontal="left" vertical="center" wrapText="1"/>
    </xf>
    <xf numFmtId="3" fontId="71" fillId="0" borderId="38" xfId="0" applyNumberFormat="1" applyFont="1" applyBorder="1" applyAlignment="1">
      <alignment horizontal="left" vertical="center" wrapText="1"/>
    </xf>
    <xf numFmtId="3" fontId="44" fillId="0" borderId="17" xfId="0" applyNumberFormat="1" applyFont="1" applyBorder="1" applyAlignment="1">
      <alignment horizontal="left" vertical="center" wrapText="1"/>
    </xf>
    <xf numFmtId="3" fontId="44" fillId="0" borderId="21" xfId="0" applyNumberFormat="1" applyFont="1" applyBorder="1" applyAlignment="1">
      <alignment horizontal="left" vertical="center" wrapText="1"/>
    </xf>
    <xf numFmtId="0" fontId="44" fillId="0" borderId="17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0" fontId="71" fillId="0" borderId="6" xfId="0" applyFont="1" applyBorder="1" applyAlignment="1">
      <alignment horizontal="left" vertical="center" wrapText="1"/>
    </xf>
    <xf numFmtId="0" fontId="44" fillId="0" borderId="38" xfId="0" applyFont="1" applyBorder="1" applyAlignment="1">
      <alignment horizontal="left" vertical="center" wrapText="1"/>
    </xf>
    <xf numFmtId="9" fontId="37" fillId="0" borderId="6" xfId="32" applyFont="1" applyBorder="1"/>
    <xf numFmtId="9" fontId="0" fillId="0" borderId="6" xfId="32" applyFont="1" applyBorder="1"/>
    <xf numFmtId="9" fontId="0" fillId="0" borderId="38" xfId="32" applyFont="1" applyBorder="1"/>
    <xf numFmtId="9" fontId="0" fillId="0" borderId="17" xfId="32" applyFont="1" applyBorder="1"/>
    <xf numFmtId="9" fontId="0" fillId="0" borderId="21" xfId="32" applyFont="1" applyBorder="1"/>
    <xf numFmtId="166" fontId="22" fillId="0" borderId="6" xfId="22" applyNumberFormat="1" applyFont="1" applyBorder="1"/>
    <xf numFmtId="166" fontId="22" fillId="0" borderId="7" xfId="22" applyNumberFormat="1" applyFont="1" applyBorder="1"/>
    <xf numFmtId="166" fontId="22" fillId="0" borderId="12" xfId="22" applyNumberFormat="1" applyFont="1" applyBorder="1"/>
    <xf numFmtId="166" fontId="22" fillId="0" borderId="8" xfId="22" applyNumberFormat="1" applyFont="1" applyBorder="1"/>
    <xf numFmtId="166" fontId="22" fillId="0" borderId="13" xfId="22" applyNumberFormat="1" applyFont="1" applyBorder="1"/>
    <xf numFmtId="0" fontId="75" fillId="0" borderId="12" xfId="0" applyFont="1" applyBorder="1" applyAlignment="1">
      <alignment horizontal="left" vertical="center" wrapText="1"/>
    </xf>
    <xf numFmtId="167" fontId="76" fillId="0" borderId="12" xfId="0" applyNumberFormat="1" applyFont="1" applyBorder="1"/>
    <xf numFmtId="167" fontId="77" fillId="0" borderId="61" xfId="0" applyNumberFormat="1" applyFont="1" applyBorder="1"/>
    <xf numFmtId="3" fontId="78" fillId="0" borderId="12" xfId="0" applyNumberFormat="1" applyFont="1" applyBorder="1" applyAlignment="1">
      <alignment horizontal="left" vertical="center" wrapText="1"/>
    </xf>
    <xf numFmtId="3" fontId="80" fillId="0" borderId="12" xfId="0" applyNumberFormat="1" applyFont="1" applyBorder="1" applyAlignment="1">
      <alignment horizontal="left" vertical="center" wrapText="1"/>
    </xf>
    <xf numFmtId="3" fontId="81" fillId="0" borderId="12" xfId="0" applyNumberFormat="1" applyFont="1" applyBorder="1" applyAlignment="1">
      <alignment horizontal="left" vertical="center" wrapText="1"/>
    </xf>
    <xf numFmtId="3" fontId="80" fillId="0" borderId="49" xfId="0" applyNumberFormat="1" applyFont="1" applyBorder="1" applyAlignment="1">
      <alignment horizontal="left" vertical="center" wrapText="1"/>
    </xf>
    <xf numFmtId="3" fontId="80" fillId="0" borderId="62" xfId="0" applyNumberFormat="1" applyFont="1" applyBorder="1" applyAlignment="1">
      <alignment horizontal="left" vertical="center" wrapText="1"/>
    </xf>
    <xf numFmtId="3" fontId="78" fillId="0" borderId="44" xfId="0" applyNumberFormat="1" applyFont="1" applyBorder="1" applyAlignment="1">
      <alignment horizontal="left" vertical="center" wrapText="1"/>
    </xf>
    <xf numFmtId="3" fontId="75" fillId="0" borderId="63" xfId="0" applyNumberFormat="1" applyFont="1" applyBorder="1" applyAlignment="1">
      <alignment horizontal="left" vertical="center" wrapText="1"/>
    </xf>
    <xf numFmtId="0" fontId="78" fillId="0" borderId="44" xfId="0" applyFont="1" applyBorder="1" applyAlignment="1">
      <alignment horizontal="left" vertical="center" wrapText="1"/>
    </xf>
    <xf numFmtId="0" fontId="75" fillId="0" borderId="63" xfId="0" applyFont="1" applyBorder="1" applyAlignment="1">
      <alignment horizontal="left" vertical="center" wrapText="1"/>
    </xf>
    <xf numFmtId="0" fontId="75" fillId="0" borderId="49" xfId="0" applyFont="1" applyBorder="1" applyAlignment="1">
      <alignment horizontal="left" vertical="center" wrapText="1"/>
    </xf>
    <xf numFmtId="0" fontId="80" fillId="0" borderId="49" xfId="0" applyFont="1" applyBorder="1" applyAlignment="1">
      <alignment horizontal="left" vertical="center" wrapText="1"/>
    </xf>
    <xf numFmtId="0" fontId="78" fillId="0" borderId="64" xfId="0" applyFont="1" applyBorder="1" applyAlignment="1">
      <alignment horizontal="left" vertical="center" wrapText="1"/>
    </xf>
    <xf numFmtId="0" fontId="80" fillId="0" borderId="62" xfId="0" applyFont="1" applyBorder="1" applyAlignment="1">
      <alignment horizontal="left" vertical="center" wrapText="1"/>
    </xf>
    <xf numFmtId="167" fontId="32" fillId="0" borderId="6" xfId="0" applyNumberFormat="1" applyFont="1" applyBorder="1"/>
    <xf numFmtId="166" fontId="21" fillId="0" borderId="12" xfId="22" applyNumberFormat="1" applyFont="1" applyBorder="1" applyAlignment="1">
      <alignment vertical="center" wrapText="1"/>
    </xf>
    <xf numFmtId="166" fontId="21" fillId="0" borderId="13" xfId="22" applyNumberFormat="1" applyFont="1" applyBorder="1" applyAlignment="1">
      <alignment vertical="center" wrapText="1"/>
    </xf>
    <xf numFmtId="0" fontId="15" fillId="31" borderId="0" xfId="0" applyFont="1" applyFill="1"/>
    <xf numFmtId="4" fontId="53" fillId="0" borderId="6" xfId="0" applyNumberFormat="1" applyFont="1" applyBorder="1"/>
    <xf numFmtId="4" fontId="65" fillId="0" borderId="17" xfId="0" applyNumberFormat="1" applyFont="1" applyBorder="1"/>
    <xf numFmtId="4" fontId="65" fillId="0" borderId="21" xfId="0" applyNumberFormat="1" applyFont="1" applyBorder="1"/>
    <xf numFmtId="4" fontId="64" fillId="0" borderId="41" xfId="0" applyNumberFormat="1" applyFont="1" applyBorder="1"/>
    <xf numFmtId="4" fontId="64" fillId="0" borderId="37" xfId="0" applyNumberFormat="1" applyFont="1" applyBorder="1"/>
    <xf numFmtId="4" fontId="64" fillId="0" borderId="21" xfId="0" applyNumberFormat="1" applyFont="1" applyBorder="1"/>
    <xf numFmtId="4" fontId="62" fillId="0" borderId="45" xfId="0" applyNumberFormat="1" applyFont="1" applyBorder="1"/>
    <xf numFmtId="0" fontId="8" fillId="0" borderId="0" xfId="29" applyFont="1" applyAlignment="1">
      <alignment wrapText="1"/>
    </xf>
    <xf numFmtId="165" fontId="0" fillId="24" borderId="1" xfId="0" applyNumberFormat="1" applyFill="1" applyBorder="1" applyAlignment="1">
      <alignment horizontal="right"/>
    </xf>
    <xf numFmtId="2" fontId="9" fillId="31" borderId="1" xfId="0" applyNumberFormat="1" applyFont="1" applyFill="1" applyBorder="1"/>
    <xf numFmtId="2" fontId="10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38" fillId="0" borderId="1" xfId="0" applyNumberFormat="1" applyFont="1" applyBorder="1" applyAlignment="1">
      <alignment horizontal="right"/>
    </xf>
    <xf numFmtId="2" fontId="10" fillId="0" borderId="0" xfId="0" applyNumberFormat="1" applyFont="1" applyAlignment="1">
      <alignment horizontal="right"/>
    </xf>
    <xf numFmtId="2" fontId="0" fillId="0" borderId="0" xfId="0" applyNumberFormat="1"/>
    <xf numFmtId="2" fontId="50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2" fontId="8" fillId="0" borderId="0" xfId="0" applyNumberFormat="1" applyFont="1"/>
    <xf numFmtId="2" fontId="0" fillId="0" borderId="1" xfId="0" applyNumberFormat="1" applyBorder="1"/>
    <xf numFmtId="2" fontId="8" fillId="0" borderId="1" xfId="0" applyNumberFormat="1" applyFont="1" applyBorder="1" applyAlignment="1">
      <alignment horizontal="right"/>
    </xf>
    <xf numFmtId="165" fontId="45" fillId="0" borderId="0" xfId="0" applyNumberFormat="1" applyFont="1" applyAlignment="1">
      <alignment horizontal="center" vertical="top" wrapText="1"/>
    </xf>
    <xf numFmtId="49" fontId="0" fillId="2" borderId="1" xfId="0" applyNumberFormat="1" applyFill="1" applyBorder="1"/>
    <xf numFmtId="49" fontId="0" fillId="2" borderId="0" xfId="0" applyNumberFormat="1" applyFill="1"/>
    <xf numFmtId="165" fontId="10" fillId="2" borderId="1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wrapText="1"/>
    </xf>
    <xf numFmtId="0" fontId="55" fillId="0" borderId="0" xfId="0" applyFont="1" applyAlignment="1">
      <alignment vertical="center" wrapText="1"/>
    </xf>
    <xf numFmtId="0" fontId="55" fillId="0" borderId="6" xfId="0" applyFont="1" applyBorder="1" applyAlignment="1">
      <alignment vertical="center" wrapText="1"/>
    </xf>
    <xf numFmtId="0" fontId="55" fillId="0" borderId="8" xfId="0" applyFont="1" applyBorder="1" applyAlignment="1">
      <alignment vertical="center" wrapText="1"/>
    </xf>
    <xf numFmtId="0" fontId="55" fillId="0" borderId="7" xfId="0" applyFont="1" applyBorder="1" applyAlignment="1">
      <alignment vertical="center" wrapText="1"/>
    </xf>
    <xf numFmtId="0" fontId="83" fillId="0" borderId="0" xfId="0" applyFont="1"/>
    <xf numFmtId="4" fontId="55" fillId="0" borderId="6" xfId="0" applyNumberFormat="1" applyFont="1" applyBorder="1" applyAlignment="1">
      <alignment vertical="center" wrapText="1"/>
    </xf>
    <xf numFmtId="4" fontId="65" fillId="0" borderId="18" xfId="0" applyNumberFormat="1" applyFont="1" applyBorder="1"/>
    <xf numFmtId="4" fontId="57" fillId="0" borderId="17" xfId="0" applyNumberFormat="1" applyFont="1" applyBorder="1"/>
    <xf numFmtId="0" fontId="32" fillId="0" borderId="0" xfId="0" applyFont="1"/>
    <xf numFmtId="3" fontId="18" fillId="0" borderId="0" xfId="22" applyNumberFormat="1" applyFont="1" applyAlignment="1">
      <alignment horizontal="right"/>
    </xf>
    <xf numFmtId="168" fontId="18" fillId="0" borderId="0" xfId="22" applyNumberFormat="1" applyFont="1" applyAlignment="1">
      <alignment horizontal="right"/>
    </xf>
    <xf numFmtId="0" fontId="85" fillId="0" borderId="0" xfId="0" applyFont="1"/>
    <xf numFmtId="4" fontId="85" fillId="0" borderId="0" xfId="0" applyNumberFormat="1" applyFont="1"/>
    <xf numFmtId="49" fontId="8" fillId="0" borderId="1" xfId="0" applyNumberFormat="1" applyFont="1" applyBorder="1"/>
    <xf numFmtId="165" fontId="10" fillId="2" borderId="2" xfId="0" quotePrefix="1" applyNumberFormat="1" applyFont="1" applyFill="1" applyBorder="1" applyAlignment="1">
      <alignment horizontal="right"/>
    </xf>
    <xf numFmtId="49" fontId="8" fillId="31" borderId="1" xfId="0" applyNumberFormat="1" applyFont="1" applyFill="1" applyBorder="1"/>
    <xf numFmtId="0" fontId="14" fillId="0" borderId="0" xfId="28"/>
    <xf numFmtId="4" fontId="14" fillId="0" borderId="0" xfId="28" applyNumberFormat="1"/>
    <xf numFmtId="169" fontId="14" fillId="0" borderId="0" xfId="28" applyNumberFormat="1"/>
    <xf numFmtId="0" fontId="85" fillId="0" borderId="0" xfId="28" applyFont="1"/>
    <xf numFmtId="4" fontId="85" fillId="0" borderId="0" xfId="28" applyNumberFormat="1" applyFont="1"/>
    <xf numFmtId="4" fontId="85" fillId="0" borderId="75" xfId="28" applyNumberFormat="1" applyFont="1" applyBorder="1"/>
    <xf numFmtId="4" fontId="85" fillId="31" borderId="0" xfId="28" applyNumberFormat="1" applyFont="1" applyFill="1"/>
    <xf numFmtId="165" fontId="8" fillId="31" borderId="1" xfId="0" applyNumberFormat="1" applyFont="1" applyFill="1" applyBorder="1" applyAlignment="1">
      <alignment horizontal="center" vertical="top" wrapText="1"/>
    </xf>
    <xf numFmtId="165" fontId="45" fillId="26" borderId="1" xfId="0" applyNumberFormat="1" applyFont="1" applyFill="1" applyBorder="1" applyAlignment="1">
      <alignment horizontal="center" vertical="top" wrapText="1"/>
    </xf>
    <xf numFmtId="2" fontId="8" fillId="31" borderId="0" xfId="0" applyNumberFormat="1" applyFont="1" applyFill="1"/>
    <xf numFmtId="3" fontId="15" fillId="0" borderId="0" xfId="0" applyNumberFormat="1" applyFont="1"/>
    <xf numFmtId="167" fontId="0" fillId="0" borderId="0" xfId="0" applyNumberFormat="1"/>
    <xf numFmtId="168" fontId="50" fillId="0" borderId="0" xfId="22" applyNumberFormat="1" applyFont="1"/>
    <xf numFmtId="3" fontId="9" fillId="0" borderId="0" xfId="22" applyNumberFormat="1" applyFont="1"/>
    <xf numFmtId="168" fontId="48" fillId="0" borderId="0" xfId="22" applyNumberFormat="1" applyFont="1" applyAlignment="1">
      <alignment horizontal="right"/>
    </xf>
    <xf numFmtId="0" fontId="86" fillId="0" borderId="0" xfId="0" applyFont="1"/>
    <xf numFmtId="0" fontId="88" fillId="0" borderId="0" xfId="0" applyFont="1" applyAlignment="1">
      <alignment horizontal="right"/>
    </xf>
    <xf numFmtId="0" fontId="89" fillId="33" borderId="22" xfId="0" applyFont="1" applyFill="1" applyBorder="1" applyAlignment="1">
      <alignment horizontal="center" vertical="center" wrapText="1"/>
    </xf>
    <xf numFmtId="169" fontId="0" fillId="0" borderId="0" xfId="0" applyNumberFormat="1"/>
    <xf numFmtId="0" fontId="87" fillId="0" borderId="0" xfId="0" applyFont="1"/>
    <xf numFmtId="4" fontId="87" fillId="0" borderId="0" xfId="0" applyNumberFormat="1" applyFont="1"/>
    <xf numFmtId="0" fontId="90" fillId="0" borderId="0" xfId="0" applyFont="1"/>
    <xf numFmtId="4" fontId="90" fillId="0" borderId="0" xfId="0" applyNumberFormat="1" applyFont="1"/>
    <xf numFmtId="0" fontId="91" fillId="0" borderId="0" xfId="0" applyFont="1"/>
    <xf numFmtId="4" fontId="90" fillId="31" borderId="0" xfId="0" applyNumberFormat="1" applyFont="1" applyFill="1"/>
    <xf numFmtId="3" fontId="90" fillId="31" borderId="0" xfId="0" applyNumberFormat="1" applyFont="1" applyFill="1"/>
    <xf numFmtId="168" fontId="91" fillId="0" borderId="0" xfId="22" applyNumberFormat="1" applyFont="1"/>
    <xf numFmtId="168" fontId="90" fillId="31" borderId="0" xfId="22" applyNumberFormat="1" applyFont="1" applyFill="1"/>
    <xf numFmtId="4" fontId="85" fillId="31" borderId="0" xfId="0" applyNumberFormat="1" applyFont="1" applyFill="1"/>
    <xf numFmtId="4" fontId="87" fillId="31" borderId="0" xfId="0" applyNumberFormat="1" applyFont="1" applyFill="1"/>
    <xf numFmtId="4" fontId="55" fillId="0" borderId="7" xfId="0" applyNumberFormat="1" applyFont="1" applyBorder="1" applyAlignment="1">
      <alignment vertical="center" wrapText="1"/>
    </xf>
    <xf numFmtId="4" fontId="65" fillId="0" borderId="6" xfId="0" applyNumberFormat="1" applyFont="1" applyBorder="1"/>
    <xf numFmtId="4" fontId="65" fillId="0" borderId="19" xfId="0" applyNumberFormat="1" applyFont="1" applyBorder="1"/>
    <xf numFmtId="4" fontId="79" fillId="0" borderId="6" xfId="0" applyNumberFormat="1" applyFont="1" applyBorder="1"/>
    <xf numFmtId="4" fontId="32" fillId="0" borderId="6" xfId="0" applyNumberFormat="1" applyFont="1" applyBorder="1"/>
    <xf numFmtId="4" fontId="82" fillId="0" borderId="6" xfId="0" applyNumberFormat="1" applyFont="1" applyBorder="1"/>
    <xf numFmtId="4" fontId="77" fillId="0" borderId="6" xfId="0" applyNumberFormat="1" applyFont="1" applyBorder="1"/>
    <xf numFmtId="4" fontId="32" fillId="0" borderId="38" xfId="0" applyNumberFormat="1" applyFont="1" applyBorder="1"/>
    <xf numFmtId="4" fontId="77" fillId="0" borderId="17" xfId="0" applyNumberFormat="1" applyFont="1" applyBorder="1"/>
    <xf numFmtId="4" fontId="32" fillId="0" borderId="21" xfId="0" applyNumberFormat="1" applyFont="1" applyBorder="1"/>
    <xf numFmtId="4" fontId="32" fillId="0" borderId="17" xfId="0" applyNumberFormat="1" applyFont="1" applyBorder="1"/>
    <xf numFmtId="4" fontId="32" fillId="26" borderId="6" xfId="0" applyNumberFormat="1" applyFont="1" applyFill="1" applyBorder="1"/>
    <xf numFmtId="4" fontId="78" fillId="0" borderId="12" xfId="0" applyNumberFormat="1" applyFont="1" applyBorder="1" applyAlignment="1">
      <alignment horizontal="right" vertical="center" wrapText="1"/>
    </xf>
    <xf numFmtId="4" fontId="80" fillId="0" borderId="12" xfId="0" applyNumberFormat="1" applyFont="1" applyBorder="1" applyAlignment="1">
      <alignment horizontal="right" vertical="center" wrapText="1"/>
    </xf>
    <xf numFmtId="4" fontId="76" fillId="0" borderId="12" xfId="0" applyNumberFormat="1" applyFont="1" applyBorder="1"/>
    <xf numFmtId="4" fontId="76" fillId="0" borderId="50" xfId="0" applyNumberFormat="1" applyFont="1" applyBorder="1"/>
    <xf numFmtId="4" fontId="78" fillId="0" borderId="39" xfId="0" applyNumberFormat="1" applyFont="1" applyBorder="1" applyAlignment="1">
      <alignment horizontal="right" vertical="center" wrapText="1"/>
    </xf>
    <xf numFmtId="4" fontId="75" fillId="0" borderId="41" xfId="0" applyNumberFormat="1" applyFont="1" applyBorder="1" applyAlignment="1">
      <alignment horizontal="left" vertical="center" wrapText="1"/>
    </xf>
    <xf numFmtId="4" fontId="80" fillId="0" borderId="50" xfId="0" applyNumberFormat="1" applyFont="1" applyBorder="1" applyAlignment="1">
      <alignment horizontal="left" vertical="center" wrapText="1"/>
    </xf>
    <xf numFmtId="4" fontId="82" fillId="0" borderId="39" xfId="0" applyNumberFormat="1" applyFont="1" applyBorder="1"/>
    <xf numFmtId="4" fontId="79" fillId="0" borderId="39" xfId="0" applyNumberFormat="1" applyFont="1" applyBorder="1"/>
    <xf numFmtId="4" fontId="76" fillId="0" borderId="41" xfId="0" applyNumberFormat="1" applyFont="1" applyBorder="1"/>
    <xf numFmtId="4" fontId="82" fillId="0" borderId="65" xfId="0" applyNumberFormat="1" applyFont="1" applyBorder="1"/>
    <xf numFmtId="4" fontId="63" fillId="0" borderId="39" xfId="0" applyNumberFormat="1" applyFont="1" applyBorder="1"/>
    <xf numFmtId="4" fontId="75" fillId="0" borderId="12" xfId="0" applyNumberFormat="1" applyFont="1" applyBorder="1" applyAlignment="1">
      <alignment horizontal="left" vertical="center" wrapText="1"/>
    </xf>
    <xf numFmtId="4" fontId="77" fillId="0" borderId="61" xfId="0" applyNumberFormat="1" applyFont="1" applyBorder="1"/>
    <xf numFmtId="4" fontId="57" fillId="0" borderId="21" xfId="22" applyNumberFormat="1" applyFont="1" applyBorder="1"/>
    <xf numFmtId="4" fontId="57" fillId="0" borderId="35" xfId="22" applyNumberFormat="1" applyFont="1" applyBorder="1"/>
    <xf numFmtId="4" fontId="57" fillId="0" borderId="41" xfId="22" applyNumberFormat="1" applyFont="1" applyBorder="1"/>
    <xf numFmtId="4" fontId="57" fillId="0" borderId="36" xfId="22" applyNumberFormat="1" applyFont="1" applyBorder="1"/>
    <xf numFmtId="4" fontId="57" fillId="0" borderId="42" xfId="22" applyNumberFormat="1" applyFont="1" applyBorder="1"/>
    <xf numFmtId="4" fontId="0" fillId="0" borderId="6" xfId="0" applyNumberFormat="1" applyBorder="1"/>
    <xf numFmtId="4" fontId="70" fillId="0" borderId="6" xfId="0" applyNumberFormat="1" applyFont="1" applyBorder="1"/>
    <xf numFmtId="4" fontId="0" fillId="0" borderId="38" xfId="0" applyNumberFormat="1" applyBorder="1"/>
    <xf numFmtId="4" fontId="0" fillId="0" borderId="17" xfId="0" applyNumberFormat="1" applyBorder="1"/>
    <xf numFmtId="4" fontId="0" fillId="0" borderId="21" xfId="0" applyNumberFormat="1" applyBorder="1"/>
    <xf numFmtId="4" fontId="53" fillId="0" borderId="17" xfId="0" applyNumberFormat="1" applyFont="1" applyBorder="1"/>
    <xf numFmtId="4" fontId="53" fillId="0" borderId="18" xfId="0" applyNumberFormat="1" applyFont="1" applyBorder="1"/>
    <xf numFmtId="4" fontId="54" fillId="0" borderId="17" xfId="0" applyNumberFormat="1" applyFont="1" applyBorder="1"/>
    <xf numFmtId="4" fontId="53" fillId="0" borderId="21" xfId="0" applyNumberFormat="1" applyFont="1" applyBorder="1"/>
    <xf numFmtId="0" fontId="22" fillId="0" borderId="19" xfId="0" applyFont="1" applyBorder="1" applyAlignment="1">
      <alignment horizontal="left" vertical="center" wrapText="1"/>
    </xf>
    <xf numFmtId="166" fontId="56" fillId="0" borderId="38" xfId="22" applyNumberFormat="1" applyFont="1" applyBorder="1"/>
    <xf numFmtId="168" fontId="57" fillId="0" borderId="65" xfId="22" applyNumberFormat="1" applyFont="1" applyBorder="1"/>
    <xf numFmtId="166" fontId="21" fillId="0" borderId="59" xfId="22" applyNumberFormat="1" applyFont="1" applyBorder="1" applyAlignment="1">
      <alignment vertical="center" wrapText="1"/>
    </xf>
    <xf numFmtId="168" fontId="57" fillId="0" borderId="60" xfId="22" applyNumberFormat="1" applyFont="1" applyBorder="1"/>
    <xf numFmtId="168" fontId="57" fillId="0" borderId="32" xfId="22" applyNumberFormat="1" applyFont="1" applyBorder="1"/>
    <xf numFmtId="168" fontId="57" fillId="0" borderId="20" xfId="22" applyNumberFormat="1" applyFont="1" applyBorder="1"/>
    <xf numFmtId="168" fontId="57" fillId="0" borderId="31" xfId="22" applyNumberFormat="1" applyFont="1" applyBorder="1"/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3" fontId="30" fillId="0" borderId="9" xfId="0" applyNumberFormat="1" applyFont="1" applyBorder="1" applyAlignment="1">
      <alignment horizontal="left" vertical="center" wrapText="1"/>
    </xf>
    <xf numFmtId="3" fontId="22" fillId="0" borderId="9" xfId="0" applyNumberFormat="1" applyFont="1" applyBorder="1" applyAlignment="1">
      <alignment horizontal="left" vertical="center" wrapText="1"/>
    </xf>
    <xf numFmtId="3" fontId="31" fillId="0" borderId="9" xfId="0" applyNumberFormat="1" applyFont="1" applyBorder="1" applyAlignment="1">
      <alignment horizontal="left" vertical="center" wrapText="1"/>
    </xf>
    <xf numFmtId="3" fontId="22" fillId="0" borderId="55" xfId="0" applyNumberFormat="1" applyFont="1" applyBorder="1" applyAlignment="1">
      <alignment horizontal="left" vertical="center" wrapText="1"/>
    </xf>
    <xf numFmtId="3" fontId="21" fillId="0" borderId="25" xfId="0" applyNumberFormat="1" applyFont="1" applyBorder="1" applyAlignment="1">
      <alignment horizontal="left" vertical="center" wrapText="1"/>
    </xf>
    <xf numFmtId="3" fontId="21" fillId="0" borderId="2" xfId="0" applyNumberFormat="1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166" fontId="56" fillId="0" borderId="55" xfId="22" applyNumberFormat="1" applyFont="1" applyBorder="1"/>
    <xf numFmtId="4" fontId="57" fillId="0" borderId="32" xfId="22" applyNumberFormat="1" applyFont="1" applyBorder="1"/>
    <xf numFmtId="4" fontId="57" fillId="0" borderId="20" xfId="22" applyNumberFormat="1" applyFont="1" applyBorder="1"/>
    <xf numFmtId="4" fontId="57" fillId="0" borderId="31" xfId="22" applyNumberFormat="1" applyFont="1" applyBorder="1"/>
    <xf numFmtId="4" fontId="57" fillId="0" borderId="65" xfId="22" applyNumberFormat="1" applyFont="1" applyBorder="1"/>
    <xf numFmtId="4" fontId="9" fillId="0" borderId="0" xfId="0" applyNumberFormat="1" applyFont="1"/>
    <xf numFmtId="3" fontId="65" fillId="0" borderId="80" xfId="0" applyNumberFormat="1" applyFont="1" applyBorder="1"/>
    <xf numFmtId="3" fontId="65" fillId="0" borderId="81" xfId="0" applyNumberFormat="1" applyFont="1" applyBorder="1"/>
    <xf numFmtId="4" fontId="65" fillId="0" borderId="82" xfId="0" applyNumberFormat="1" applyFont="1" applyBorder="1"/>
    <xf numFmtId="4" fontId="65" fillId="0" borderId="81" xfId="0" applyNumberFormat="1" applyFont="1" applyBorder="1"/>
    <xf numFmtId="0" fontId="21" fillId="0" borderId="55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4" fontId="55" fillId="0" borderId="8" xfId="0" applyNumberFormat="1" applyFont="1" applyBorder="1" applyAlignment="1">
      <alignment vertical="center" wrapText="1"/>
    </xf>
    <xf numFmtId="4" fontId="65" fillId="0" borderId="80" xfId="0" applyNumberFormat="1" applyFont="1" applyBorder="1"/>
    <xf numFmtId="0" fontId="55" fillId="0" borderId="12" xfId="0" applyFont="1" applyBorder="1" applyAlignment="1">
      <alignment vertical="center" wrapText="1"/>
    </xf>
    <xf numFmtId="4" fontId="55" fillId="0" borderId="12" xfId="0" applyNumberFormat="1" applyFont="1" applyBorder="1" applyAlignment="1">
      <alignment vertical="center" wrapText="1"/>
    </xf>
    <xf numFmtId="4" fontId="57" fillId="0" borderId="39" xfId="0" applyNumberFormat="1" applyFont="1" applyBorder="1"/>
    <xf numFmtId="0" fontId="26" fillId="0" borderId="9" xfId="0" applyFont="1" applyBorder="1" applyAlignment="1">
      <alignment horizontal="center" vertical="center" wrapText="1"/>
    </xf>
    <xf numFmtId="4" fontId="57" fillId="0" borderId="29" xfId="0" applyNumberFormat="1" applyFont="1" applyBorder="1"/>
    <xf numFmtId="4" fontId="57" fillId="0" borderId="32" xfId="0" applyNumberFormat="1" applyFont="1" applyBorder="1"/>
    <xf numFmtId="0" fontId="55" fillId="0" borderId="41" xfId="0" applyFont="1" applyBorder="1" applyAlignment="1">
      <alignment vertical="center" wrapText="1"/>
    </xf>
    <xf numFmtId="3" fontId="0" fillId="0" borderId="0" xfId="0" applyNumberFormat="1" applyAlignment="1">
      <alignment horizontal="center" wrapText="1"/>
    </xf>
    <xf numFmtId="168" fontId="0" fillId="0" borderId="0" xfId="22" applyNumberFormat="1" applyFont="1" applyAlignment="1">
      <alignment horizontal="center"/>
    </xf>
    <xf numFmtId="4" fontId="56" fillId="0" borderId="48" xfId="0" applyNumberFormat="1" applyFont="1" applyBorder="1"/>
    <xf numFmtId="0" fontId="55" fillId="0" borderId="40" xfId="0" applyFont="1" applyBorder="1" applyAlignment="1">
      <alignment vertical="center" wrapText="1"/>
    </xf>
    <xf numFmtId="0" fontId="55" fillId="0" borderId="18" xfId="0" applyFont="1" applyBorder="1" applyAlignment="1">
      <alignment vertical="center" wrapText="1"/>
    </xf>
    <xf numFmtId="0" fontId="55" fillId="0" borderId="27" xfId="0" applyFont="1" applyBorder="1" applyAlignment="1">
      <alignment vertical="center" wrapText="1"/>
    </xf>
    <xf numFmtId="0" fontId="55" fillId="0" borderId="46" xfId="0" applyFont="1" applyBorder="1" applyAlignment="1">
      <alignment vertical="center" wrapText="1"/>
    </xf>
    <xf numFmtId="3" fontId="57" fillId="0" borderId="24" xfId="32" applyNumberFormat="1" applyFont="1" applyBorder="1"/>
    <xf numFmtId="167" fontId="60" fillId="31" borderId="15" xfId="0" applyNumberFormat="1" applyFont="1" applyFill="1" applyBorder="1" applyAlignment="1">
      <alignment horizontal="center" vertical="center" wrapText="1"/>
    </xf>
    <xf numFmtId="49" fontId="0" fillId="28" borderId="0" xfId="0" applyNumberFormat="1" applyFill="1" applyAlignment="1">
      <alignment vertical="top" wrapText="1"/>
    </xf>
    <xf numFmtId="0" fontId="92" fillId="0" borderId="0" xfId="0" applyFont="1"/>
    <xf numFmtId="0" fontId="50" fillId="0" borderId="0" xfId="0" applyFont="1"/>
    <xf numFmtId="9" fontId="50" fillId="0" borderId="0" xfId="0" applyNumberFormat="1" applyFont="1"/>
    <xf numFmtId="165" fontId="11" fillId="2" borderId="5" xfId="0" applyNumberFormat="1" applyFont="1" applyFill="1" applyBorder="1" applyAlignment="1">
      <alignment horizontal="right"/>
    </xf>
    <xf numFmtId="165" fontId="0" fillId="2" borderId="2" xfId="0" quotePrefix="1" applyNumberFormat="1" applyFill="1" applyBorder="1" applyAlignment="1">
      <alignment horizontal="right"/>
    </xf>
    <xf numFmtId="4" fontId="65" fillId="31" borderId="83" xfId="0" applyNumberFormat="1" applyFont="1" applyFill="1" applyBorder="1"/>
    <xf numFmtId="4" fontId="65" fillId="31" borderId="82" xfId="0" applyNumberFormat="1" applyFont="1" applyFill="1" applyBorder="1"/>
    <xf numFmtId="168" fontId="8" fillId="0" borderId="0" xfId="22" applyNumberFormat="1" applyFont="1"/>
    <xf numFmtId="1" fontId="15" fillId="0" borderId="0" xfId="0" applyNumberFormat="1" applyFont="1"/>
    <xf numFmtId="3" fontId="53" fillId="0" borderId="17" xfId="32" applyNumberFormat="1" applyFont="1" applyBorder="1"/>
    <xf numFmtId="4" fontId="93" fillId="0" borderId="6" xfId="0" applyNumberFormat="1" applyFont="1" applyBorder="1"/>
    <xf numFmtId="4" fontId="8" fillId="0" borderId="6" xfId="0" applyNumberFormat="1" applyFont="1" applyBorder="1"/>
    <xf numFmtId="9" fontId="93" fillId="0" borderId="6" xfId="32" applyFont="1" applyBorder="1"/>
    <xf numFmtId="9" fontId="94" fillId="0" borderId="17" xfId="32" applyFont="1" applyBorder="1"/>
    <xf numFmtId="4" fontId="95" fillId="0" borderId="6" xfId="0" applyNumberFormat="1" applyFont="1" applyBorder="1"/>
    <xf numFmtId="4" fontId="96" fillId="0" borderId="6" xfId="0" applyNumberFormat="1" applyFont="1" applyBorder="1"/>
    <xf numFmtId="9" fontId="8" fillId="0" borderId="6" xfId="32" applyFont="1" applyBorder="1"/>
    <xf numFmtId="4" fontId="8" fillId="0" borderId="38" xfId="0" applyNumberFormat="1" applyFont="1" applyBorder="1"/>
    <xf numFmtId="4" fontId="8" fillId="0" borderId="17" xfId="0" applyNumberFormat="1" applyFont="1" applyBorder="1"/>
    <xf numFmtId="9" fontId="8" fillId="0" borderId="17" xfId="32" applyFont="1" applyBorder="1"/>
    <xf numFmtId="4" fontId="57" fillId="31" borderId="17" xfId="0" applyNumberFormat="1" applyFont="1" applyFill="1" applyBorder="1"/>
    <xf numFmtId="165" fontId="0" fillId="0" borderId="0" xfId="0" applyNumberFormat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1" fillId="2" borderId="3" xfId="0" applyNumberFormat="1" applyFont="1" applyFill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0" fillId="34" borderId="1" xfId="0" applyNumberFormat="1" applyFill="1" applyBorder="1" applyAlignment="1">
      <alignment horizontal="right"/>
    </xf>
    <xf numFmtId="168" fontId="0" fillId="26" borderId="0" xfId="0" applyNumberFormat="1" applyFill="1"/>
    <xf numFmtId="168" fontId="0" fillId="0" borderId="0" xfId="22" applyNumberFormat="1" applyFont="1" applyFill="1"/>
    <xf numFmtId="165" fontId="8" fillId="34" borderId="1" xfId="0" applyNumberFormat="1" applyFont="1" applyFill="1" applyBorder="1" applyAlignment="1">
      <alignment horizontal="right"/>
    </xf>
    <xf numFmtId="3" fontId="9" fillId="34" borderId="0" xfId="0" applyNumberFormat="1" applyFont="1" applyFill="1"/>
    <xf numFmtId="3" fontId="0" fillId="34" borderId="0" xfId="0" applyNumberFormat="1" applyFill="1"/>
    <xf numFmtId="165" fontId="11" fillId="34" borderId="0" xfId="0" applyNumberFormat="1" applyFont="1" applyFill="1" applyAlignment="1">
      <alignment horizontal="right"/>
    </xf>
    <xf numFmtId="165" fontId="11" fillId="34" borderId="1" xfId="0" applyNumberFormat="1" applyFont="1" applyFill="1" applyBorder="1" applyAlignment="1">
      <alignment horizontal="right"/>
    </xf>
    <xf numFmtId="165" fontId="50" fillId="34" borderId="1" xfId="0" applyNumberFormat="1" applyFont="1" applyFill="1" applyBorder="1" applyAlignment="1">
      <alignment horizontal="right"/>
    </xf>
    <xf numFmtId="165" fontId="45" fillId="34" borderId="1" xfId="0" applyNumberFormat="1" applyFont="1" applyFill="1" applyBorder="1" applyAlignment="1">
      <alignment horizontal="right"/>
    </xf>
    <xf numFmtId="0" fontId="0" fillId="34" borderId="0" xfId="0" applyFill="1"/>
    <xf numFmtId="165" fontId="10" fillId="34" borderId="0" xfId="0" applyNumberFormat="1" applyFont="1" applyFill="1" applyAlignment="1">
      <alignment horizontal="right"/>
    </xf>
    <xf numFmtId="165" fontId="38" fillId="34" borderId="1" xfId="0" applyNumberFormat="1" applyFont="1" applyFill="1" applyBorder="1" applyAlignment="1">
      <alignment horizontal="right"/>
    </xf>
    <xf numFmtId="165" fontId="10" fillId="34" borderId="1" xfId="0" applyNumberFormat="1" applyFont="1" applyFill="1" applyBorder="1" applyAlignment="1">
      <alignment horizontal="right"/>
    </xf>
    <xf numFmtId="49" fontId="0" fillId="34" borderId="0" xfId="0" applyNumberFormat="1" applyFill="1"/>
    <xf numFmtId="49" fontId="0" fillId="34" borderId="1" xfId="0" applyNumberFormat="1" applyFill="1" applyBorder="1"/>
    <xf numFmtId="165" fontId="0" fillId="34" borderId="0" xfId="0" applyNumberFormat="1" applyFill="1"/>
    <xf numFmtId="49" fontId="8" fillId="0" borderId="0" xfId="27" applyNumberFormat="1" applyAlignment="1">
      <alignment vertical="top"/>
    </xf>
    <xf numFmtId="49" fontId="8" fillId="34" borderId="1" xfId="0" applyNumberFormat="1" applyFont="1" applyFill="1" applyBorder="1"/>
    <xf numFmtId="0" fontId="32" fillId="0" borderId="0" xfId="0" applyFont="1" applyAlignment="1">
      <alignment vertical="top" wrapText="1"/>
    </xf>
    <xf numFmtId="0" fontId="98" fillId="0" borderId="0" xfId="0" applyFont="1" applyAlignment="1">
      <alignment vertical="top" wrapText="1"/>
    </xf>
    <xf numFmtId="166" fontId="32" fillId="0" borderId="0" xfId="22" applyNumberFormat="1" applyFont="1" applyBorder="1" applyAlignment="1">
      <alignment horizontal="center" vertical="top" wrapText="1"/>
    </xf>
    <xf numFmtId="166" fontId="32" fillId="0" borderId="0" xfId="22" applyNumberFormat="1" applyFont="1" applyBorder="1" applyAlignment="1">
      <alignment vertical="center" wrapText="1"/>
    </xf>
    <xf numFmtId="3" fontId="99" fillId="0" borderId="12" xfId="0" applyNumberFormat="1" applyFont="1" applyBorder="1" applyAlignment="1">
      <alignment horizontal="left" vertical="center" wrapText="1"/>
    </xf>
    <xf numFmtId="3" fontId="32" fillId="0" borderId="12" xfId="0" applyNumberFormat="1" applyFont="1" applyBorder="1" applyAlignment="1">
      <alignment horizontal="left" vertical="center" wrapText="1"/>
    </xf>
    <xf numFmtId="3" fontId="100" fillId="0" borderId="12" xfId="0" applyNumberFormat="1" applyFont="1" applyBorder="1" applyAlignment="1">
      <alignment horizontal="left" vertical="center" wrapText="1"/>
    </xf>
    <xf numFmtId="165" fontId="10" fillId="26" borderId="1" xfId="0" applyNumberFormat="1" applyFont="1" applyFill="1" applyBorder="1" applyAlignment="1">
      <alignment horizontal="right"/>
    </xf>
    <xf numFmtId="9" fontId="54" fillId="0" borderId="17" xfId="32" applyFont="1" applyBorder="1"/>
    <xf numFmtId="3" fontId="54" fillId="0" borderId="17" xfId="32" applyNumberFormat="1" applyFont="1" applyBorder="1"/>
    <xf numFmtId="4" fontId="54" fillId="31" borderId="17" xfId="32" applyNumberFormat="1" applyFont="1" applyFill="1" applyBorder="1"/>
    <xf numFmtId="3" fontId="54" fillId="31" borderId="17" xfId="32" applyNumberFormat="1" applyFont="1" applyFill="1" applyBorder="1"/>
    <xf numFmtId="168" fontId="51" fillId="0" borderId="0" xfId="22" applyNumberFormat="1" applyFont="1"/>
    <xf numFmtId="168" fontId="18" fillId="34" borderId="0" xfId="22" applyNumberFormat="1" applyFont="1" applyFill="1" applyAlignment="1">
      <alignment vertical="top" wrapText="1"/>
    </xf>
    <xf numFmtId="168" fontId="0" fillId="34" borderId="0" xfId="22" applyNumberFormat="1" applyFont="1" applyFill="1"/>
    <xf numFmtId="4" fontId="50" fillId="0" borderId="0" xfId="0" applyNumberFormat="1" applyFont="1"/>
    <xf numFmtId="4" fontId="101" fillId="0" borderId="0" xfId="28" applyNumberFormat="1" applyFont="1"/>
    <xf numFmtId="0" fontId="101" fillId="0" borderId="0" xfId="28" applyFont="1"/>
    <xf numFmtId="0" fontId="102" fillId="0" borderId="0" xfId="188"/>
    <xf numFmtId="4" fontId="102" fillId="0" borderId="0" xfId="188" applyNumberFormat="1"/>
    <xf numFmtId="169" fontId="102" fillId="0" borderId="0" xfId="188" applyNumberFormat="1"/>
    <xf numFmtId="0" fontId="103" fillId="0" borderId="0" xfId="188" applyFont="1"/>
    <xf numFmtId="4" fontId="103" fillId="0" borderId="0" xfId="188" applyNumberFormat="1" applyFont="1"/>
    <xf numFmtId="0" fontId="21" fillId="0" borderId="2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2" fontId="55" fillId="0" borderId="8" xfId="0" applyNumberFormat="1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shrinkToFit="1"/>
    </xf>
    <xf numFmtId="0" fontId="40" fillId="37" borderId="92" xfId="0" applyFont="1" applyFill="1" applyBorder="1" applyAlignment="1">
      <alignment horizontal="center" shrinkToFit="1"/>
    </xf>
    <xf numFmtId="0" fontId="15" fillId="0" borderId="0" xfId="0" applyFont="1" applyAlignment="1">
      <alignment shrinkToFit="1"/>
    </xf>
    <xf numFmtId="0" fontId="40" fillId="35" borderId="88" xfId="0" applyFont="1" applyFill="1" applyBorder="1" applyAlignment="1">
      <alignment vertical="center" shrinkToFit="1"/>
    </xf>
    <xf numFmtId="0" fontId="40" fillId="35" borderId="89" xfId="0" applyFont="1" applyFill="1" applyBorder="1" applyAlignment="1">
      <alignment vertical="center" shrinkToFit="1"/>
    </xf>
    <xf numFmtId="0" fontId="40" fillId="35" borderId="90" xfId="0" applyFont="1" applyFill="1" applyBorder="1" applyAlignment="1">
      <alignment vertical="center" shrinkToFit="1"/>
    </xf>
    <xf numFmtId="0" fontId="40" fillId="31" borderId="88" xfId="0" applyFont="1" applyFill="1" applyBorder="1" applyAlignment="1">
      <alignment vertical="center" shrinkToFit="1"/>
    </xf>
    <xf numFmtId="0" fontId="40" fillId="31" borderId="89" xfId="0" applyFont="1" applyFill="1" applyBorder="1" applyAlignment="1">
      <alignment vertical="center" shrinkToFit="1"/>
    </xf>
    <xf numFmtId="0" fontId="40" fillId="31" borderId="90" xfId="0" applyFont="1" applyFill="1" applyBorder="1" applyAlignment="1">
      <alignment vertical="center" shrinkToFit="1"/>
    </xf>
    <xf numFmtId="0" fontId="55" fillId="0" borderId="8" xfId="0" applyFont="1" applyBorder="1" applyAlignment="1">
      <alignment vertical="center" shrinkToFit="1"/>
    </xf>
    <xf numFmtId="0" fontId="55" fillId="0" borderId="6" xfId="0" applyFont="1" applyBorder="1" applyAlignment="1">
      <alignment vertical="center" shrinkToFit="1"/>
    </xf>
    <xf numFmtId="0" fontId="55" fillId="0" borderId="7" xfId="0" applyFont="1" applyBorder="1" applyAlignment="1">
      <alignment vertical="center" shrinkToFit="1"/>
    </xf>
    <xf numFmtId="0" fontId="40" fillId="37" borderId="89" xfId="0" applyFont="1" applyFill="1" applyBorder="1" applyAlignment="1">
      <alignment vertical="center" shrinkToFit="1"/>
    </xf>
    <xf numFmtId="0" fontId="40" fillId="24" borderId="88" xfId="0" applyFont="1" applyFill="1" applyBorder="1" applyAlignment="1">
      <alignment vertical="center" shrinkToFit="1"/>
    </xf>
    <xf numFmtId="0" fontId="40" fillId="24" borderId="89" xfId="0" applyFont="1" applyFill="1" applyBorder="1" applyAlignment="1">
      <alignment vertical="center" shrinkToFit="1"/>
    </xf>
    <xf numFmtId="0" fontId="40" fillId="24" borderId="90" xfId="0" applyFont="1" applyFill="1" applyBorder="1" applyAlignment="1">
      <alignment vertical="center" shrinkToFit="1"/>
    </xf>
    <xf numFmtId="0" fontId="40" fillId="36" borderId="88" xfId="0" applyFont="1" applyFill="1" applyBorder="1" applyAlignment="1">
      <alignment vertical="center" shrinkToFit="1"/>
    </xf>
    <xf numFmtId="0" fontId="40" fillId="36" borderId="89" xfId="0" applyFont="1" applyFill="1" applyBorder="1" applyAlignment="1">
      <alignment vertical="center" shrinkToFit="1"/>
    </xf>
    <xf numFmtId="0" fontId="40" fillId="36" borderId="90" xfId="0" applyFont="1" applyFill="1" applyBorder="1" applyAlignment="1">
      <alignment vertical="center" shrinkToFit="1"/>
    </xf>
    <xf numFmtId="0" fontId="55" fillId="0" borderId="12" xfId="0" applyFont="1" applyBorder="1" applyAlignment="1">
      <alignment vertical="center" shrinkToFit="1"/>
    </xf>
    <xf numFmtId="4" fontId="21" fillId="31" borderId="0" xfId="0" applyNumberFormat="1" applyFont="1" applyFill="1"/>
    <xf numFmtId="168" fontId="0" fillId="31" borderId="0" xfId="22" applyNumberFormat="1" applyFont="1" applyFill="1"/>
    <xf numFmtId="168" fontId="18" fillId="31" borderId="0" xfId="22" applyNumberFormat="1" applyFont="1" applyFill="1"/>
    <xf numFmtId="0" fontId="18" fillId="31" borderId="0" xfId="0" applyFont="1" applyFill="1" applyAlignment="1">
      <alignment wrapText="1"/>
    </xf>
    <xf numFmtId="168" fontId="18" fillId="31" borderId="0" xfId="22" applyNumberFormat="1" applyFont="1" applyFill="1" applyAlignment="1">
      <alignment vertical="top" wrapText="1"/>
    </xf>
    <xf numFmtId="0" fontId="106" fillId="0" borderId="0" xfId="189"/>
    <xf numFmtId="4" fontId="106" fillId="0" borderId="0" xfId="189" applyNumberFormat="1"/>
    <xf numFmtId="169" fontId="106" fillId="0" borderId="0" xfId="189" applyNumberFormat="1"/>
    <xf numFmtId="49" fontId="50" fillId="0" borderId="0" xfId="0" applyNumberFormat="1" applyFont="1"/>
    <xf numFmtId="49" fontId="8" fillId="26" borderId="1" xfId="0" applyNumberFormat="1" applyFont="1" applyFill="1" applyBorder="1"/>
    <xf numFmtId="49" fontId="50" fillId="26" borderId="1" xfId="0" applyNumberFormat="1" applyFont="1" applyFill="1" applyBorder="1"/>
    <xf numFmtId="3" fontId="50" fillId="26" borderId="0" xfId="0" applyNumberFormat="1" applyFont="1" applyFill="1"/>
    <xf numFmtId="165" fontId="38" fillId="26" borderId="1" xfId="0" applyNumberFormat="1" applyFont="1" applyFill="1" applyBorder="1" applyAlignment="1">
      <alignment horizontal="right"/>
    </xf>
    <xf numFmtId="165" fontId="50" fillId="26" borderId="1" xfId="0" applyNumberFormat="1" applyFont="1" applyFill="1" applyBorder="1" applyAlignment="1">
      <alignment horizontal="right"/>
    </xf>
    <xf numFmtId="3" fontId="50" fillId="0" borderId="0" xfId="0" applyNumberFormat="1" applyFont="1"/>
    <xf numFmtId="0" fontId="107" fillId="0" borderId="0" xfId="190"/>
    <xf numFmtId="169" fontId="107" fillId="0" borderId="0" xfId="190" applyNumberFormat="1"/>
    <xf numFmtId="4" fontId="107" fillId="31" borderId="0" xfId="190" applyNumberFormat="1" applyFill="1"/>
    <xf numFmtId="0" fontId="0" fillId="0" borderId="0" xfId="0" applyAlignment="1">
      <alignment horizontal="left"/>
    </xf>
    <xf numFmtId="168" fontId="18" fillId="31" borderId="0" xfId="22" applyNumberFormat="1" applyFont="1" applyFill="1" applyAlignment="1">
      <alignment horizontal="right"/>
    </xf>
    <xf numFmtId="0" fontId="8" fillId="0" borderId="0" xfId="0" applyFont="1" applyAlignment="1">
      <alignment vertical="top" wrapText="1"/>
    </xf>
    <xf numFmtId="0" fontId="18" fillId="0" borderId="0" xfId="0" applyFont="1" applyAlignment="1">
      <alignment horizontal="left"/>
    </xf>
    <xf numFmtId="49" fontId="8" fillId="0" borderId="0" xfId="0" applyNumberFormat="1" applyFont="1" applyAlignment="1">
      <alignment vertical="top" wrapText="1"/>
    </xf>
    <xf numFmtId="168" fontId="0" fillId="0" borderId="0" xfId="22" applyNumberFormat="1" applyFont="1" applyAlignment="1">
      <alignment horizontal="right" vertical="top" wrapText="1"/>
    </xf>
    <xf numFmtId="168" fontId="8" fillId="0" borderId="0" xfId="0" applyNumberFormat="1" applyFont="1" applyAlignment="1">
      <alignment vertical="top" wrapText="1"/>
    </xf>
    <xf numFmtId="168" fontId="0" fillId="0" borderId="0" xfId="0" applyNumberFormat="1" applyAlignment="1">
      <alignment vertical="top" wrapText="1"/>
    </xf>
    <xf numFmtId="168" fontId="0" fillId="0" borderId="0" xfId="22" applyNumberFormat="1" applyFont="1" applyAlignment="1">
      <alignment vertical="top" wrapText="1"/>
    </xf>
    <xf numFmtId="168" fontId="18" fillId="0" borderId="0" xfId="0" applyNumberFormat="1" applyFont="1" applyAlignment="1">
      <alignment horizontal="right"/>
    </xf>
    <xf numFmtId="168" fontId="0" fillId="0" borderId="0" xfId="0" applyNumberFormat="1" applyAlignment="1">
      <alignment horizontal="left"/>
    </xf>
    <xf numFmtId="168" fontId="18" fillId="0" borderId="0" xfId="0" applyNumberFormat="1" applyFont="1" applyAlignment="1">
      <alignment horizontal="left"/>
    </xf>
    <xf numFmtId="168" fontId="8" fillId="0" borderId="0" xfId="0" applyNumberFormat="1" applyFont="1"/>
    <xf numFmtId="168" fontId="48" fillId="0" borderId="0" xfId="0" applyNumberFormat="1" applyFont="1"/>
    <xf numFmtId="0" fontId="60" fillId="0" borderId="69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 wrapText="1"/>
    </xf>
    <xf numFmtId="0" fontId="24" fillId="31" borderId="1" xfId="0" applyFont="1" applyFill="1" applyBorder="1" applyAlignment="1">
      <alignment horizontal="left" vertical="center" wrapText="1"/>
    </xf>
    <xf numFmtId="4" fontId="80" fillId="31" borderId="41" xfId="0" applyNumberFormat="1" applyFont="1" applyFill="1" applyBorder="1" applyAlignment="1">
      <alignment horizontal="right" vertical="center" wrapText="1"/>
    </xf>
    <xf numFmtId="4" fontId="79" fillId="31" borderId="61" xfId="0" applyNumberFormat="1" applyFont="1" applyFill="1" applyBorder="1"/>
    <xf numFmtId="0" fontId="59" fillId="0" borderId="0" xfId="0" applyFont="1" applyAlignment="1">
      <alignment horizontal="center" vertical="center" wrapText="1"/>
    </xf>
    <xf numFmtId="0" fontId="59" fillId="0" borderId="68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94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4" fillId="31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77" xfId="0" applyFont="1" applyBorder="1" applyAlignment="1">
      <alignment horizontal="left" vertical="center" wrapText="1"/>
    </xf>
    <xf numFmtId="0" fontId="59" fillId="0" borderId="53" xfId="0" applyFont="1" applyBorder="1" applyAlignment="1">
      <alignment horizontal="center" vertical="center" wrapText="1"/>
    </xf>
    <xf numFmtId="167" fontId="60" fillId="32" borderId="95" xfId="0" applyNumberFormat="1" applyFont="1" applyFill="1" applyBorder="1" applyAlignment="1">
      <alignment horizontal="center" vertical="center" wrapText="1"/>
    </xf>
    <xf numFmtId="167" fontId="76" fillId="0" borderId="49" xfId="0" applyNumberFormat="1" applyFont="1" applyBorder="1"/>
    <xf numFmtId="4" fontId="76" fillId="0" borderId="49" xfId="0" applyNumberFormat="1" applyFont="1" applyBorder="1"/>
    <xf numFmtId="4" fontId="64" fillId="0" borderId="0" xfId="0" applyNumberFormat="1" applyFont="1"/>
    <xf numFmtId="167" fontId="64" fillId="0" borderId="0" xfId="0" applyNumberFormat="1" applyFont="1"/>
    <xf numFmtId="4" fontId="80" fillId="31" borderId="63" xfId="0" applyNumberFormat="1" applyFont="1" applyFill="1" applyBorder="1" applyAlignment="1">
      <alignment horizontal="right" vertical="center" wrapText="1"/>
    </xf>
    <xf numFmtId="3" fontId="80" fillId="0" borderId="12" xfId="0" applyNumberFormat="1" applyFont="1" applyBorder="1" applyAlignment="1">
      <alignment horizontal="right" vertical="center" wrapText="1"/>
    </xf>
    <xf numFmtId="3" fontId="81" fillId="0" borderId="12" xfId="0" applyNumberFormat="1" applyFont="1" applyBorder="1" applyAlignment="1">
      <alignment horizontal="right" vertical="center" wrapText="1"/>
    </xf>
    <xf numFmtId="3" fontId="80" fillId="0" borderId="49" xfId="0" applyNumberFormat="1" applyFont="1" applyBorder="1" applyAlignment="1">
      <alignment horizontal="right" vertical="center" wrapText="1"/>
    </xf>
    <xf numFmtId="3" fontId="80" fillId="0" borderId="62" xfId="0" applyNumberFormat="1" applyFont="1" applyBorder="1" applyAlignment="1">
      <alignment horizontal="right" vertical="center" wrapText="1"/>
    </xf>
    <xf numFmtId="0" fontId="40" fillId="0" borderId="97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4" fontId="15" fillId="0" borderId="0" xfId="0" applyNumberFormat="1" applyFont="1"/>
    <xf numFmtId="3" fontId="50" fillId="31" borderId="0" xfId="0" applyNumberFormat="1" applyFont="1" applyFill="1"/>
    <xf numFmtId="168" fontId="0" fillId="26" borderId="0" xfId="22" applyNumberFormat="1" applyFont="1" applyFill="1"/>
    <xf numFmtId="4" fontId="32" fillId="0" borderId="0" xfId="0" applyNumberFormat="1" applyFont="1"/>
    <xf numFmtId="4" fontId="64" fillId="0" borderId="2" xfId="0" applyNumberFormat="1" applyFont="1" applyBorder="1"/>
    <xf numFmtId="4" fontId="64" fillId="0" borderId="39" xfId="0" applyNumberFormat="1" applyFont="1" applyBorder="1"/>
    <xf numFmtId="4" fontId="57" fillId="31" borderId="29" xfId="0" applyNumberFormat="1" applyFont="1" applyFill="1" applyBorder="1"/>
    <xf numFmtId="14" fontId="98" fillId="0" borderId="0" xfId="0" applyNumberFormat="1" applyFont="1" applyAlignment="1">
      <alignment horizontal="left" vertical="top" wrapText="1"/>
    </xf>
    <xf numFmtId="0" fontId="55" fillId="0" borderId="41" xfId="0" applyFont="1" applyBorder="1" applyAlignment="1">
      <alignment horizontal="center"/>
    </xf>
    <xf numFmtId="0" fontId="84" fillId="0" borderId="41" xfId="0" applyFont="1" applyBorder="1" applyAlignment="1">
      <alignment horizontal="center"/>
    </xf>
    <xf numFmtId="3" fontId="41" fillId="27" borderId="103" xfId="0" applyNumberFormat="1" applyFont="1" applyFill="1" applyBorder="1"/>
    <xf numFmtId="3" fontId="41" fillId="27" borderId="19" xfId="0" applyNumberFormat="1" applyFont="1" applyFill="1" applyBorder="1"/>
    <xf numFmtId="3" fontId="41" fillId="27" borderId="104" xfId="0" applyNumberFormat="1" applyFont="1" applyFill="1" applyBorder="1"/>
    <xf numFmtId="3" fontId="41" fillId="27" borderId="105" xfId="0" applyNumberFormat="1" applyFont="1" applyFill="1" applyBorder="1"/>
    <xf numFmtId="3" fontId="41" fillId="27" borderId="106" xfId="0" applyNumberFormat="1" applyFont="1" applyFill="1" applyBorder="1"/>
    <xf numFmtId="3" fontId="41" fillId="38" borderId="107" xfId="0" applyNumberFormat="1" applyFont="1" applyFill="1" applyBorder="1"/>
    <xf numFmtId="3" fontId="41" fillId="38" borderId="20" xfId="0" applyNumberFormat="1" applyFont="1" applyFill="1" applyBorder="1"/>
    <xf numFmtId="3" fontId="41" fillId="38" borderId="108" xfId="0" applyNumberFormat="1" applyFont="1" applyFill="1" applyBorder="1"/>
    <xf numFmtId="3" fontId="41" fillId="38" borderId="47" xfId="0" applyNumberFormat="1" applyFont="1" applyFill="1" applyBorder="1"/>
    <xf numFmtId="3" fontId="41" fillId="38" borderId="18" xfId="0" applyNumberFormat="1" applyFont="1" applyFill="1" applyBorder="1"/>
    <xf numFmtId="3" fontId="41" fillId="38" borderId="109" xfId="0" applyNumberFormat="1" applyFont="1" applyFill="1" applyBorder="1"/>
    <xf numFmtId="3" fontId="41" fillId="38" borderId="110" xfId="0" applyNumberFormat="1" applyFont="1" applyFill="1" applyBorder="1"/>
    <xf numFmtId="3" fontId="41" fillId="38" borderId="111" xfId="0" applyNumberFormat="1" applyFont="1" applyFill="1" applyBorder="1"/>
    <xf numFmtId="0" fontId="21" fillId="27" borderId="102" xfId="0" applyFont="1" applyFill="1" applyBorder="1" applyAlignment="1">
      <alignment horizontal="left" vertical="center" wrapText="1"/>
    </xf>
    <xf numFmtId="0" fontId="21" fillId="38" borderId="25" xfId="0" applyFont="1" applyFill="1" applyBorder="1" applyAlignment="1">
      <alignment horizontal="left" vertical="center" wrapText="1"/>
    </xf>
    <xf numFmtId="3" fontId="56" fillId="27" borderId="106" xfId="0" applyNumberFormat="1" applyFont="1" applyFill="1" applyBorder="1"/>
    <xf numFmtId="3" fontId="56" fillId="38" borderId="48" xfId="0" applyNumberFormat="1" applyFont="1" applyFill="1" applyBorder="1"/>
    <xf numFmtId="3" fontId="56" fillId="31" borderId="112" xfId="0" applyNumberFormat="1" applyFont="1" applyFill="1" applyBorder="1"/>
    <xf numFmtId="3" fontId="56" fillId="31" borderId="66" xfId="0" applyNumberFormat="1" applyFont="1" applyFill="1" applyBorder="1"/>
    <xf numFmtId="3" fontId="57" fillId="31" borderId="32" xfId="0" applyNumberFormat="1" applyFont="1" applyFill="1" applyBorder="1"/>
    <xf numFmtId="3" fontId="57" fillId="31" borderId="39" xfId="0" applyNumberFormat="1" applyFont="1" applyFill="1" applyBorder="1"/>
    <xf numFmtId="3" fontId="55" fillId="31" borderId="12" xfId="0" applyNumberFormat="1" applyFont="1" applyFill="1" applyBorder="1"/>
    <xf numFmtId="170" fontId="55" fillId="27" borderId="114" xfId="22" applyNumberFormat="1" applyFont="1" applyFill="1" applyBorder="1" applyAlignment="1">
      <alignment horizontal="right"/>
    </xf>
    <xf numFmtId="170" fontId="55" fillId="27" borderId="115" xfId="22" applyNumberFormat="1" applyFont="1" applyFill="1" applyBorder="1" applyAlignment="1">
      <alignment horizontal="right"/>
    </xf>
    <xf numFmtId="170" fontId="55" fillId="27" borderId="84" xfId="22" applyNumberFormat="1" applyFont="1" applyFill="1" applyBorder="1" applyAlignment="1">
      <alignment horizontal="right"/>
    </xf>
    <xf numFmtId="170" fontId="55" fillId="27" borderId="116" xfId="22" applyNumberFormat="1" applyFont="1" applyFill="1" applyBorder="1" applyAlignment="1">
      <alignment horizontal="right"/>
    </xf>
    <xf numFmtId="170" fontId="55" fillId="27" borderId="24" xfId="22" applyNumberFormat="1" applyFont="1" applyFill="1" applyBorder="1" applyAlignment="1">
      <alignment horizontal="right"/>
    </xf>
    <xf numFmtId="170" fontId="55" fillId="27" borderId="17" xfId="22" applyNumberFormat="1" applyFont="1" applyFill="1" applyBorder="1" applyAlignment="1">
      <alignment horizontal="right"/>
    </xf>
    <xf numFmtId="170" fontId="55" fillId="27" borderId="23" xfId="22" applyNumberFormat="1" applyFont="1" applyFill="1" applyBorder="1" applyAlignment="1">
      <alignment horizontal="right"/>
    </xf>
    <xf numFmtId="170" fontId="55" fillId="27" borderId="117" xfId="22" applyNumberFormat="1" applyFont="1" applyFill="1" applyBorder="1" applyAlignment="1">
      <alignment horizontal="right"/>
    </xf>
    <xf numFmtId="170" fontId="55" fillId="27" borderId="113" xfId="22" applyNumberFormat="1" applyFont="1" applyFill="1" applyBorder="1" applyAlignment="1">
      <alignment horizontal="right"/>
    </xf>
    <xf numFmtId="170" fontId="55" fillId="27" borderId="118" xfId="22" applyNumberFormat="1" applyFont="1" applyFill="1" applyBorder="1" applyAlignment="1">
      <alignment horizontal="right"/>
    </xf>
    <xf numFmtId="170" fontId="55" fillId="39" borderId="115" xfId="22" applyNumberFormat="1" applyFont="1" applyFill="1" applyBorder="1" applyAlignment="1">
      <alignment horizontal="right"/>
    </xf>
    <xf numFmtId="170" fontId="55" fillId="39" borderId="84" xfId="22" applyNumberFormat="1" applyFont="1" applyFill="1" applyBorder="1" applyAlignment="1">
      <alignment horizontal="right"/>
    </xf>
    <xf numFmtId="170" fontId="55" fillId="39" borderId="116" xfId="22" applyNumberFormat="1" applyFont="1" applyFill="1" applyBorder="1" applyAlignment="1">
      <alignment horizontal="right"/>
    </xf>
    <xf numFmtId="170" fontId="55" fillId="39" borderId="118" xfId="22" applyNumberFormat="1" applyFont="1" applyFill="1" applyBorder="1" applyAlignment="1">
      <alignment horizontal="right"/>
    </xf>
    <xf numFmtId="165" fontId="8" fillId="0" borderId="1" xfId="27" applyNumberFormat="1" applyBorder="1" applyAlignment="1">
      <alignment horizontal="center" vertical="top" wrapText="1"/>
    </xf>
    <xf numFmtId="0" fontId="8" fillId="0" borderId="0" xfId="29" applyFont="1" applyAlignment="1">
      <alignment vertical="top" wrapText="1"/>
    </xf>
    <xf numFmtId="166" fontId="109" fillId="0" borderId="0" xfId="22" applyNumberFormat="1" applyFont="1"/>
    <xf numFmtId="166" fontId="110" fillId="0" borderId="0" xfId="22" applyNumberFormat="1" applyFont="1"/>
    <xf numFmtId="0" fontId="109" fillId="0" borderId="0" xfId="0" applyFont="1"/>
    <xf numFmtId="49" fontId="111" fillId="0" borderId="0" xfId="0" applyNumberFormat="1" applyFont="1"/>
    <xf numFmtId="166" fontId="111" fillId="0" borderId="0" xfId="22" applyNumberFormat="1" applyFont="1"/>
    <xf numFmtId="166" fontId="84" fillId="0" borderId="0" xfId="22" applyNumberFormat="1" applyFont="1"/>
    <xf numFmtId="49" fontId="108" fillId="0" borderId="0" xfId="0" applyNumberFormat="1" applyFont="1"/>
    <xf numFmtId="166" fontId="111" fillId="0" borderId="0" xfId="22" applyNumberFormat="1" applyFont="1" applyBorder="1"/>
    <xf numFmtId="171" fontId="111" fillId="0" borderId="0" xfId="0" applyNumberFormat="1" applyFont="1" applyAlignment="1">
      <alignment horizontal="right"/>
    </xf>
    <xf numFmtId="3" fontId="111" fillId="0" borderId="0" xfId="0" applyNumberFormat="1" applyFont="1" applyAlignment="1">
      <alignment horizontal="right"/>
    </xf>
    <xf numFmtId="4" fontId="50" fillId="0" borderId="6" xfId="0" applyNumberFormat="1" applyFont="1" applyBorder="1"/>
    <xf numFmtId="49" fontId="111" fillId="0" borderId="1" xfId="0" applyNumberFormat="1" applyFont="1" applyBorder="1"/>
    <xf numFmtId="165" fontId="111" fillId="0" borderId="1" xfId="0" applyNumberFormat="1" applyFont="1" applyBorder="1" applyAlignment="1">
      <alignment horizontal="right"/>
    </xf>
    <xf numFmtId="169" fontId="112" fillId="0" borderId="0" xfId="685" applyNumberFormat="1"/>
    <xf numFmtId="4" fontId="112" fillId="0" borderId="0" xfId="685" applyNumberFormat="1"/>
    <xf numFmtId="0" fontId="112" fillId="0" borderId="0" xfId="685"/>
    <xf numFmtId="3" fontId="18" fillId="31" borderId="0" xfId="0" applyNumberFormat="1" applyFont="1" applyFill="1" applyAlignment="1">
      <alignment vertical="top" wrapText="1"/>
    </xf>
    <xf numFmtId="0" fontId="8" fillId="0" borderId="0" xfId="27"/>
    <xf numFmtId="165" fontId="10" fillId="2" borderId="2" xfId="27" applyNumberFormat="1" applyFont="1" applyFill="1" applyBorder="1" applyAlignment="1">
      <alignment horizontal="right"/>
    </xf>
    <xf numFmtId="165" fontId="8" fillId="2" borderId="2" xfId="27" applyNumberFormat="1" applyFill="1" applyBorder="1" applyAlignment="1">
      <alignment horizontal="right"/>
    </xf>
    <xf numFmtId="165" fontId="8" fillId="0" borderId="0" xfId="27" applyNumberFormat="1" applyAlignment="1">
      <alignment horizontal="center" vertical="top" wrapText="1"/>
    </xf>
    <xf numFmtId="49" fontId="8" fillId="0" borderId="0" xfId="27" applyNumberFormat="1" applyAlignment="1">
      <alignment vertical="top" wrapText="1"/>
    </xf>
    <xf numFmtId="165" fontId="8" fillId="2" borderId="3" xfId="27" applyNumberFormat="1" applyFill="1" applyBorder="1" applyAlignment="1">
      <alignment horizontal="right"/>
    </xf>
    <xf numFmtId="0" fontId="8" fillId="0" borderId="0" xfId="27" applyAlignment="1">
      <alignment vertical="top" wrapText="1"/>
    </xf>
    <xf numFmtId="165" fontId="10" fillId="0" borderId="0" xfId="27" applyNumberFormat="1" applyFont="1" applyAlignment="1">
      <alignment horizontal="right"/>
    </xf>
    <xf numFmtId="165" fontId="10" fillId="0" borderId="1" xfId="27" applyNumberFormat="1" applyFont="1" applyBorder="1" applyAlignment="1">
      <alignment horizontal="right" vertical="top"/>
    </xf>
    <xf numFmtId="49" fontId="50" fillId="0" borderId="1" xfId="0" applyNumberFormat="1" applyFont="1" applyBorder="1"/>
    <xf numFmtId="4" fontId="113" fillId="0" borderId="12" xfId="0" applyNumberFormat="1" applyFont="1" applyBorder="1" applyAlignment="1">
      <alignment horizontal="right" vertical="center" wrapText="1"/>
    </xf>
    <xf numFmtId="3" fontId="113" fillId="0" borderId="12" xfId="0" applyNumberFormat="1" applyFont="1" applyBorder="1" applyAlignment="1">
      <alignment horizontal="right" vertical="center" wrapText="1"/>
    </xf>
    <xf numFmtId="3" fontId="114" fillId="0" borderId="12" xfId="0" applyNumberFormat="1" applyFont="1" applyBorder="1" applyAlignment="1">
      <alignment horizontal="right" vertical="center" wrapText="1"/>
    </xf>
    <xf numFmtId="165" fontId="46" fillId="0" borderId="18" xfId="0" applyNumberFormat="1" applyFont="1" applyBorder="1" applyAlignment="1">
      <alignment horizontal="right"/>
    </xf>
    <xf numFmtId="3" fontId="57" fillId="31" borderId="80" xfId="0" applyNumberFormat="1" applyFont="1" applyFill="1" applyBorder="1"/>
    <xf numFmtId="3" fontId="57" fillId="31" borderId="81" xfId="0" applyNumberFormat="1" applyFont="1" applyFill="1" applyBorder="1"/>
    <xf numFmtId="3" fontId="57" fillId="31" borderId="82" xfId="0" applyNumberFormat="1" applyFont="1" applyFill="1" applyBorder="1"/>
    <xf numFmtId="3" fontId="57" fillId="31" borderId="119" xfId="0" applyNumberFormat="1" applyFont="1" applyFill="1" applyBorder="1"/>
    <xf numFmtId="3" fontId="57" fillId="31" borderId="83" xfId="0" applyNumberFormat="1" applyFont="1" applyFill="1" applyBorder="1"/>
    <xf numFmtId="3" fontId="56" fillId="31" borderId="75" xfId="0" applyNumberFormat="1" applyFont="1" applyFill="1" applyBorder="1"/>
    <xf numFmtId="166" fontId="116" fillId="0" borderId="0" xfId="22" applyNumberFormat="1" applyFont="1"/>
    <xf numFmtId="0" fontId="116" fillId="0" borderId="0" xfId="0" applyFont="1"/>
    <xf numFmtId="49" fontId="117" fillId="0" borderId="0" xfId="0" applyNumberFormat="1" applyFont="1"/>
    <xf numFmtId="166" fontId="117" fillId="0" borderId="0" xfId="22" applyNumberFormat="1" applyFont="1"/>
    <xf numFmtId="49" fontId="115" fillId="0" borderId="0" xfId="0" applyNumberFormat="1" applyFont="1"/>
    <xf numFmtId="166" fontId="117" fillId="0" borderId="0" xfId="22" applyNumberFormat="1" applyFont="1" applyBorder="1"/>
    <xf numFmtId="49" fontId="117" fillId="40" borderId="0" xfId="0" applyNumberFormat="1" applyFont="1" applyFill="1"/>
    <xf numFmtId="166" fontId="116" fillId="40" borderId="0" xfId="22" applyNumberFormat="1" applyFont="1" applyFill="1"/>
    <xf numFmtId="171" fontId="117" fillId="40" borderId="0" xfId="0" applyNumberFormat="1" applyFont="1" applyFill="1" applyAlignment="1">
      <alignment horizontal="right"/>
    </xf>
    <xf numFmtId="3" fontId="117" fillId="40" borderId="0" xfId="0" applyNumberFormat="1" applyFont="1" applyFill="1" applyAlignment="1">
      <alignment horizontal="right"/>
    </xf>
    <xf numFmtId="166" fontId="117" fillId="40" borderId="0" xfId="22" applyNumberFormat="1" applyFont="1" applyFill="1"/>
    <xf numFmtId="166" fontId="116" fillId="0" borderId="0" xfId="22" applyNumberFormat="1" applyFont="1" applyFill="1"/>
    <xf numFmtId="166" fontId="117" fillId="0" borderId="0" xfId="22" applyNumberFormat="1" applyFont="1" applyFill="1"/>
    <xf numFmtId="166" fontId="120" fillId="0" borderId="0" xfId="22" applyNumberFormat="1" applyFont="1"/>
    <xf numFmtId="0" fontId="120" fillId="0" borderId="0" xfId="0" applyFont="1"/>
    <xf numFmtId="49" fontId="121" fillId="0" borderId="0" xfId="0" applyNumberFormat="1" applyFont="1"/>
    <xf numFmtId="166" fontId="121" fillId="0" borderId="0" xfId="22" applyNumberFormat="1" applyFont="1"/>
    <xf numFmtId="49" fontId="121" fillId="40" borderId="0" xfId="0" applyNumberFormat="1" applyFont="1" applyFill="1"/>
    <xf numFmtId="0" fontId="121" fillId="0" borderId="0" xfId="0" applyFont="1"/>
    <xf numFmtId="166" fontId="121" fillId="31" borderId="0" xfId="22" applyNumberFormat="1" applyFont="1" applyFill="1"/>
    <xf numFmtId="49" fontId="108" fillId="31" borderId="1" xfId="0" applyNumberFormat="1" applyFont="1" applyFill="1" applyBorder="1"/>
    <xf numFmtId="49" fontId="118" fillId="31" borderId="1" xfId="0" applyNumberFormat="1" applyFont="1" applyFill="1" applyBorder="1"/>
    <xf numFmtId="49" fontId="119" fillId="31" borderId="1" xfId="0" applyNumberFormat="1" applyFont="1" applyFill="1" applyBorder="1"/>
    <xf numFmtId="168" fontId="50" fillId="0" borderId="0" xfId="0" applyNumberFormat="1" applyFont="1"/>
    <xf numFmtId="0" fontId="50" fillId="0" borderId="0" xfId="0" applyFont="1" applyAlignment="1">
      <alignment vertical="top" wrapText="1"/>
    </xf>
    <xf numFmtId="168" fontId="50" fillId="0" borderId="0" xfId="0" applyNumberFormat="1" applyFont="1" applyAlignment="1">
      <alignment vertical="top" wrapText="1"/>
    </xf>
    <xf numFmtId="168" fontId="48" fillId="0" borderId="0" xfId="0" applyNumberFormat="1" applyFont="1" applyAlignment="1">
      <alignment vertical="top" wrapText="1"/>
    </xf>
    <xf numFmtId="4" fontId="23" fillId="0" borderId="44" xfId="0" applyNumberFormat="1" applyFont="1" applyBorder="1" applyAlignment="1">
      <alignment horizontal="right" vertical="center" wrapText="1"/>
    </xf>
    <xf numFmtId="168" fontId="50" fillId="0" borderId="0" xfId="22" applyNumberFormat="1" applyFont="1" applyFill="1"/>
    <xf numFmtId="168" fontId="8" fillId="0" borderId="0" xfId="22" applyNumberFormat="1" applyFill="1"/>
    <xf numFmtId="168" fontId="8" fillId="0" borderId="0" xfId="22" applyNumberFormat="1" applyFont="1" applyFill="1"/>
    <xf numFmtId="168" fontId="18" fillId="0" borderId="0" xfId="0" applyNumberFormat="1" applyFont="1" applyAlignment="1">
      <alignment vertical="top" wrapText="1"/>
    </xf>
    <xf numFmtId="168" fontId="46" fillId="0" borderId="0" xfId="0" applyNumberFormat="1" applyFont="1"/>
    <xf numFmtId="168" fontId="46" fillId="0" borderId="0" xfId="22" applyNumberFormat="1" applyFont="1" applyAlignment="1">
      <alignment horizontal="right"/>
    </xf>
    <xf numFmtId="170" fontId="55" fillId="27" borderId="102" xfId="22" applyNumberFormat="1" applyFont="1" applyFill="1" applyBorder="1" applyAlignment="1">
      <alignment horizontal="right"/>
    </xf>
    <xf numFmtId="170" fontId="55" fillId="27" borderId="56" xfId="22" applyNumberFormat="1" applyFont="1" applyFill="1" applyBorder="1" applyAlignment="1">
      <alignment horizontal="right"/>
    </xf>
    <xf numFmtId="4" fontId="57" fillId="0" borderId="80" xfId="22" applyNumberFormat="1" applyFont="1" applyBorder="1"/>
    <xf numFmtId="4" fontId="57" fillId="0" borderId="83" xfId="22" applyNumberFormat="1" applyFont="1" applyBorder="1"/>
    <xf numFmtId="4" fontId="57" fillId="31" borderId="83" xfId="22" applyNumberFormat="1" applyFont="1" applyFill="1" applyBorder="1"/>
    <xf numFmtId="0" fontId="21" fillId="0" borderId="114" xfId="0" applyFont="1" applyBorder="1" applyAlignment="1">
      <alignment horizontal="left" vertical="center" wrapText="1"/>
    </xf>
    <xf numFmtId="0" fontId="21" fillId="31" borderId="6" xfId="0" applyFont="1" applyFill="1" applyBorder="1" applyAlignment="1">
      <alignment horizontal="left" vertical="center" wrapText="1"/>
    </xf>
    <xf numFmtId="170" fontId="55" fillId="0" borderId="80" xfId="22" applyNumberFormat="1" applyFont="1" applyFill="1" applyBorder="1" applyAlignment="1">
      <alignment horizontal="right"/>
    </xf>
    <xf numFmtId="170" fontId="55" fillId="0" borderId="81" xfId="22" applyNumberFormat="1" applyFont="1" applyFill="1" applyBorder="1" applyAlignment="1">
      <alignment horizontal="right"/>
    </xf>
    <xf numFmtId="0" fontId="21" fillId="31" borderId="20" xfId="0" applyFont="1" applyFill="1" applyBorder="1" applyAlignment="1">
      <alignment horizontal="left" vertical="center" wrapText="1"/>
    </xf>
    <xf numFmtId="3" fontId="57" fillId="31" borderId="6" xfId="22" applyNumberFormat="1" applyFont="1" applyFill="1" applyBorder="1"/>
    <xf numFmtId="3" fontId="57" fillId="31" borderId="20" xfId="22" applyNumberFormat="1" applyFont="1" applyFill="1" applyBorder="1"/>
    <xf numFmtId="3" fontId="21" fillId="0" borderId="24" xfId="22" applyNumberFormat="1" applyFont="1" applyBorder="1"/>
    <xf numFmtId="3" fontId="21" fillId="0" borderId="17" xfId="22" applyNumberFormat="1" applyFont="1" applyBorder="1"/>
    <xf numFmtId="3" fontId="21" fillId="0" borderId="23" xfId="22" applyNumberFormat="1" applyFont="1" applyBorder="1"/>
    <xf numFmtId="3" fontId="21" fillId="0" borderId="39" xfId="22" applyNumberFormat="1" applyFont="1" applyBorder="1"/>
    <xf numFmtId="3" fontId="22" fillId="0" borderId="36" xfId="22" applyNumberFormat="1" applyFont="1" applyBorder="1"/>
    <xf numFmtId="3" fontId="22" fillId="0" borderId="21" xfId="22" applyNumberFormat="1" applyFont="1" applyBorder="1"/>
    <xf numFmtId="3" fontId="31" fillId="0" borderId="35" xfId="22" applyNumberFormat="1" applyFont="1" applyBorder="1"/>
    <xf numFmtId="3" fontId="22" fillId="0" borderId="41" xfId="22" applyNumberFormat="1" applyFont="1" applyBorder="1"/>
    <xf numFmtId="3" fontId="31" fillId="0" borderId="41" xfId="22" applyNumberFormat="1" applyFont="1" applyBorder="1"/>
    <xf numFmtId="3" fontId="22" fillId="0" borderId="8" xfId="22" applyNumberFormat="1" applyFont="1" applyBorder="1"/>
    <xf numFmtId="3" fontId="31" fillId="0" borderId="7" xfId="22" applyNumberFormat="1" applyFont="1" applyBorder="1"/>
    <xf numFmtId="3" fontId="22" fillId="0" borderId="12" xfId="22" applyNumberFormat="1" applyFont="1" applyBorder="1"/>
    <xf numFmtId="3" fontId="31" fillId="0" borderId="12" xfId="22" applyNumberFormat="1" applyFont="1" applyBorder="1"/>
    <xf numFmtId="3" fontId="22" fillId="0" borderId="54" xfId="22" applyNumberFormat="1" applyFont="1" applyBorder="1"/>
    <xf numFmtId="3" fontId="22" fillId="0" borderId="38" xfId="22" applyNumberFormat="1" applyFont="1" applyBorder="1"/>
    <xf numFmtId="3" fontId="31" fillId="0" borderId="52" xfId="22" applyNumberFormat="1" applyFont="1" applyBorder="1"/>
    <xf numFmtId="3" fontId="22" fillId="0" borderId="50" xfId="22" applyNumberFormat="1" applyFont="1" applyBorder="1"/>
    <xf numFmtId="3" fontId="31" fillId="0" borderId="50" xfId="22" applyNumberFormat="1" applyFont="1" applyBorder="1"/>
    <xf numFmtId="3" fontId="22" fillId="0" borderId="6" xfId="22" applyNumberFormat="1" applyFont="1" applyBorder="1"/>
    <xf numFmtId="3" fontId="22" fillId="0" borderId="24" xfId="22" applyNumberFormat="1" applyFont="1" applyBorder="1"/>
    <xf numFmtId="3" fontId="22" fillId="0" borderId="17" xfId="22" applyNumberFormat="1" applyFont="1" applyBorder="1"/>
    <xf numFmtId="3" fontId="22" fillId="0" borderId="23" xfId="22" applyNumberFormat="1" applyFont="1" applyBorder="1"/>
    <xf numFmtId="3" fontId="22" fillId="0" borderId="39" xfId="22" applyNumberFormat="1" applyFont="1" applyBorder="1"/>
    <xf numFmtId="3" fontId="57" fillId="0" borderId="24" xfId="22" applyNumberFormat="1" applyFont="1" applyBorder="1"/>
    <xf numFmtId="3" fontId="57" fillId="0" borderId="39" xfId="22" applyNumberFormat="1" applyFont="1" applyBorder="1"/>
    <xf numFmtId="3" fontId="30" fillId="31" borderId="6" xfId="22" applyNumberFormat="1" applyFont="1" applyFill="1" applyBorder="1"/>
    <xf numFmtId="3" fontId="30" fillId="0" borderId="8" xfId="22" applyNumberFormat="1" applyFont="1" applyBorder="1"/>
    <xf numFmtId="3" fontId="30" fillId="0" borderId="6" xfId="22" applyNumberFormat="1" applyFont="1" applyBorder="1"/>
    <xf numFmtId="3" fontId="30" fillId="0" borderId="7" xfId="22" applyNumberFormat="1" applyFont="1" applyBorder="1"/>
    <xf numFmtId="3" fontId="30" fillId="0" borderId="12" xfId="22" applyNumberFormat="1" applyFont="1" applyBorder="1"/>
    <xf numFmtId="3" fontId="73" fillId="0" borderId="12" xfId="22" applyNumberFormat="1" applyFont="1" applyBorder="1"/>
    <xf numFmtId="3" fontId="74" fillId="0" borderId="12" xfId="22" applyNumberFormat="1" applyFont="1" applyBorder="1"/>
    <xf numFmtId="3" fontId="31" fillId="0" borderId="6" xfId="22" applyNumberFormat="1" applyFont="1" applyBorder="1"/>
    <xf numFmtId="3" fontId="22" fillId="31" borderId="6" xfId="22" applyNumberFormat="1" applyFont="1" applyFill="1" applyBorder="1"/>
    <xf numFmtId="3" fontId="57" fillId="0" borderId="17" xfId="22" applyNumberFormat="1" applyFont="1" applyBorder="1"/>
    <xf numFmtId="3" fontId="57" fillId="0" borderId="23" xfId="22" applyNumberFormat="1" applyFont="1" applyBorder="1"/>
    <xf numFmtId="3" fontId="57" fillId="0" borderId="18" xfId="22" applyNumberFormat="1" applyFont="1" applyBorder="1"/>
    <xf numFmtId="3" fontId="58" fillId="0" borderId="27" xfId="22" applyNumberFormat="1" applyFont="1" applyBorder="1"/>
    <xf numFmtId="3" fontId="57" fillId="0" borderId="46" xfId="22" applyNumberFormat="1" applyFont="1" applyBorder="1"/>
    <xf numFmtId="3" fontId="55" fillId="27" borderId="114" xfId="22" applyNumberFormat="1" applyFont="1" applyFill="1" applyBorder="1" applyAlignment="1">
      <alignment horizontal="right"/>
    </xf>
    <xf numFmtId="3" fontId="55" fillId="27" borderId="115" xfId="22" applyNumberFormat="1" applyFont="1" applyFill="1" applyBorder="1" applyAlignment="1">
      <alignment horizontal="right"/>
    </xf>
    <xf numFmtId="3" fontId="55" fillId="27" borderId="84" xfId="22" applyNumberFormat="1" applyFont="1" applyFill="1" applyBorder="1" applyAlignment="1">
      <alignment horizontal="right"/>
    </xf>
    <xf numFmtId="3" fontId="55" fillId="27" borderId="116" xfId="22" applyNumberFormat="1" applyFont="1" applyFill="1" applyBorder="1" applyAlignment="1">
      <alignment horizontal="right"/>
    </xf>
    <xf numFmtId="3" fontId="55" fillId="27" borderId="24" xfId="22" applyNumberFormat="1" applyFont="1" applyFill="1" applyBorder="1" applyAlignment="1">
      <alignment horizontal="right"/>
    </xf>
    <xf numFmtId="3" fontId="55" fillId="27" borderId="17" xfId="22" applyNumberFormat="1" applyFont="1" applyFill="1" applyBorder="1" applyAlignment="1">
      <alignment horizontal="right"/>
    </xf>
    <xf numFmtId="3" fontId="55" fillId="27" borderId="117" xfId="22" applyNumberFormat="1" applyFont="1" applyFill="1" applyBorder="1" applyAlignment="1">
      <alignment horizontal="right"/>
    </xf>
    <xf numFmtId="3" fontId="55" fillId="27" borderId="113" xfId="22" applyNumberFormat="1" applyFont="1" applyFill="1" applyBorder="1" applyAlignment="1">
      <alignment horizontal="right"/>
    </xf>
    <xf numFmtId="3" fontId="55" fillId="27" borderId="118" xfId="22" applyNumberFormat="1" applyFont="1" applyFill="1" applyBorder="1" applyAlignment="1">
      <alignment horizontal="right"/>
    </xf>
    <xf numFmtId="3" fontId="55" fillId="39" borderId="115" xfId="22" applyNumberFormat="1" applyFont="1" applyFill="1" applyBorder="1" applyAlignment="1">
      <alignment horizontal="right"/>
    </xf>
    <xf numFmtId="3" fontId="30" fillId="31" borderId="7" xfId="22" applyNumberFormat="1" applyFont="1" applyFill="1" applyBorder="1"/>
    <xf numFmtId="3" fontId="30" fillId="0" borderId="13" xfId="22" applyNumberFormat="1" applyFont="1" applyBorder="1"/>
    <xf numFmtId="3" fontId="22" fillId="0" borderId="13" xfId="22" applyNumberFormat="1" applyFont="1" applyBorder="1"/>
    <xf numFmtId="3" fontId="31" fillId="0" borderId="8" xfId="22" applyNumberFormat="1" applyFont="1" applyBorder="1"/>
    <xf numFmtId="3" fontId="31" fillId="0" borderId="13" xfId="22" applyNumberFormat="1" applyFont="1" applyBorder="1"/>
    <xf numFmtId="3" fontId="31" fillId="0" borderId="38" xfId="22" applyNumberFormat="1" applyFont="1" applyBorder="1"/>
    <xf numFmtId="3" fontId="22" fillId="0" borderId="57" xfId="22" applyNumberFormat="1" applyFont="1" applyBorder="1"/>
    <xf numFmtId="3" fontId="73" fillId="0" borderId="8" xfId="22" applyNumberFormat="1" applyFont="1" applyBorder="1"/>
    <xf numFmtId="3" fontId="22" fillId="0" borderId="77" xfId="22" applyNumberFormat="1" applyFont="1" applyBorder="1"/>
    <xf numFmtId="3" fontId="21" fillId="0" borderId="56" xfId="22" applyNumberFormat="1" applyFont="1" applyBorder="1"/>
    <xf numFmtId="3" fontId="22" fillId="0" borderId="42" xfId="22" applyNumberFormat="1" applyFont="1" applyBorder="1"/>
    <xf numFmtId="3" fontId="22" fillId="40" borderId="8" xfId="22" applyNumberFormat="1" applyFont="1" applyFill="1" applyBorder="1"/>
    <xf numFmtId="3" fontId="22" fillId="40" borderId="6" xfId="22" applyNumberFormat="1" applyFont="1" applyFill="1" applyBorder="1"/>
    <xf numFmtId="3" fontId="31" fillId="40" borderId="7" xfId="22" applyNumberFormat="1" applyFont="1" applyFill="1" applyBorder="1"/>
    <xf numFmtId="3" fontId="22" fillId="40" borderId="13" xfId="22" applyNumberFormat="1" applyFont="1" applyFill="1" applyBorder="1"/>
    <xf numFmtId="3" fontId="22" fillId="40" borderId="12" xfId="22" applyNumberFormat="1" applyFont="1" applyFill="1" applyBorder="1"/>
    <xf numFmtId="3" fontId="31" fillId="40" borderId="12" xfId="22" applyNumberFormat="1" applyFont="1" applyFill="1" applyBorder="1"/>
    <xf numFmtId="3" fontId="22" fillId="0" borderId="56" xfId="22" applyNumberFormat="1" applyFont="1" applyBorder="1"/>
    <xf numFmtId="3" fontId="58" fillId="0" borderId="46" xfId="22" applyNumberFormat="1" applyFont="1" applyBorder="1"/>
    <xf numFmtId="3" fontId="57" fillId="0" borderId="56" xfId="22" applyNumberFormat="1" applyFont="1" applyBorder="1"/>
    <xf numFmtId="3" fontId="30" fillId="0" borderId="50" xfId="22" applyNumberFormat="1" applyFont="1" applyBorder="1"/>
    <xf numFmtId="3" fontId="30" fillId="0" borderId="41" xfId="22" applyNumberFormat="1" applyFont="1" applyBorder="1"/>
    <xf numFmtId="3" fontId="57" fillId="0" borderId="58" xfId="22" applyNumberFormat="1" applyFont="1" applyBorder="1"/>
    <xf numFmtId="3" fontId="57" fillId="0" borderId="40" xfId="22" applyNumberFormat="1" applyFont="1" applyBorder="1"/>
    <xf numFmtId="0" fontId="28" fillId="0" borderId="113" xfId="0" applyFont="1" applyBorder="1" applyAlignment="1">
      <alignment horizontal="left" vertical="top" wrapText="1"/>
    </xf>
    <xf numFmtId="4" fontId="22" fillId="0" borderId="0" xfId="0" applyNumberFormat="1" applyFont="1"/>
    <xf numFmtId="170" fontId="55" fillId="39" borderId="23" xfId="22" applyNumberFormat="1" applyFont="1" applyFill="1" applyBorder="1" applyAlignment="1">
      <alignment horizontal="right"/>
    </xf>
    <xf numFmtId="170" fontId="55" fillId="31" borderId="23" xfId="22" applyNumberFormat="1" applyFont="1" applyFill="1" applyBorder="1" applyAlignment="1">
      <alignment horizontal="right"/>
    </xf>
    <xf numFmtId="0" fontId="21" fillId="31" borderId="39" xfId="0" applyFont="1" applyFill="1" applyBorder="1" applyAlignment="1">
      <alignment horizontal="left" vertical="center" wrapText="1"/>
    </xf>
    <xf numFmtId="3" fontId="55" fillId="0" borderId="24" xfId="0" applyNumberFormat="1" applyFont="1" applyBorder="1"/>
    <xf numFmtId="3" fontId="55" fillId="0" borderId="17" xfId="0" applyNumberFormat="1" applyFont="1" applyBorder="1"/>
    <xf numFmtId="3" fontId="55" fillId="0" borderId="23" xfId="0" applyNumberFormat="1" applyFont="1" applyBorder="1"/>
    <xf numFmtId="3" fontId="55" fillId="0" borderId="50" xfId="0" applyNumberFormat="1" applyFont="1" applyBorder="1"/>
    <xf numFmtId="3" fontId="55" fillId="0" borderId="39" xfId="0" applyNumberFormat="1" applyFont="1" applyBorder="1"/>
    <xf numFmtId="3" fontId="55" fillId="0" borderId="12" xfId="0" applyNumberFormat="1" applyFont="1" applyBorder="1"/>
    <xf numFmtId="3" fontId="55" fillId="0" borderId="29" xfId="0" applyNumberFormat="1" applyFont="1" applyBorder="1" applyAlignment="1">
      <alignment vertical="center" wrapText="1"/>
    </xf>
    <xf numFmtId="3" fontId="55" fillId="0" borderId="19" xfId="0" applyNumberFormat="1" applyFont="1" applyBorder="1" applyAlignment="1">
      <alignment vertical="center" wrapText="1"/>
    </xf>
    <xf numFmtId="3" fontId="56" fillId="0" borderId="7" xfId="0" applyNumberFormat="1" applyFont="1" applyBorder="1"/>
    <xf numFmtId="3" fontId="56" fillId="0" borderId="50" xfId="0" applyNumberFormat="1" applyFont="1" applyBorder="1" applyAlignment="1">
      <alignment vertical="center" wrapText="1"/>
    </xf>
    <xf numFmtId="3" fontId="55" fillId="0" borderId="40" xfId="0" applyNumberFormat="1" applyFont="1" applyBorder="1" applyAlignment="1">
      <alignment vertical="center" wrapText="1"/>
    </xf>
    <xf numFmtId="3" fontId="55" fillId="0" borderId="76" xfId="0" applyNumberFormat="1" applyFont="1" applyBorder="1" applyAlignment="1">
      <alignment vertical="center" wrapText="1"/>
    </xf>
    <xf numFmtId="3" fontId="56" fillId="0" borderId="12" xfId="0" applyNumberFormat="1" applyFont="1" applyBorder="1"/>
    <xf numFmtId="3" fontId="55" fillId="0" borderId="8" xfId="0" applyNumberFormat="1" applyFont="1" applyBorder="1" applyAlignment="1">
      <alignment vertical="center" wrapText="1"/>
    </xf>
    <xf numFmtId="3" fontId="55" fillId="0" borderId="6" xfId="0" applyNumberFormat="1" applyFont="1" applyBorder="1" applyAlignment="1">
      <alignment vertical="center" wrapText="1"/>
    </xf>
    <xf numFmtId="3" fontId="55" fillId="0" borderId="12" xfId="0" applyNumberFormat="1" applyFont="1" applyBorder="1" applyAlignment="1">
      <alignment vertical="center" wrapText="1"/>
    </xf>
    <xf numFmtId="3" fontId="55" fillId="0" borderId="54" xfId="0" applyNumberFormat="1" applyFont="1" applyBorder="1"/>
    <xf numFmtId="3" fontId="55" fillId="0" borderId="38" xfId="0" applyNumberFormat="1" applyFont="1" applyBorder="1"/>
    <xf numFmtId="3" fontId="55" fillId="0" borderId="52" xfId="0" applyNumberFormat="1" applyFont="1" applyBorder="1"/>
    <xf numFmtId="3" fontId="55" fillId="0" borderId="50" xfId="0" applyNumberFormat="1" applyFont="1" applyBorder="1" applyAlignment="1">
      <alignment vertical="center" wrapText="1"/>
    </xf>
    <xf numFmtId="3" fontId="55" fillId="0" borderId="65" xfId="0" applyNumberFormat="1" applyFont="1" applyBorder="1"/>
    <xf numFmtId="3" fontId="57" fillId="0" borderId="29" xfId="0" applyNumberFormat="1" applyFont="1" applyBorder="1"/>
    <xf numFmtId="3" fontId="57" fillId="0" borderId="19" xfId="0" applyNumberFormat="1" applyFont="1" applyBorder="1"/>
    <xf numFmtId="3" fontId="57" fillId="0" borderId="28" xfId="0" applyNumberFormat="1" applyFont="1" applyBorder="1"/>
    <xf numFmtId="3" fontId="57" fillId="0" borderId="76" xfId="0" applyNumberFormat="1" applyFont="1" applyBorder="1"/>
    <xf numFmtId="3" fontId="57" fillId="0" borderId="65" xfId="0" applyNumberFormat="1" applyFont="1" applyBorder="1"/>
    <xf numFmtId="3" fontId="57" fillId="0" borderId="39" xfId="0" applyNumberFormat="1" applyFont="1" applyBorder="1"/>
    <xf numFmtId="3" fontId="56" fillId="0" borderId="50" xfId="0" applyNumberFormat="1" applyFont="1" applyBorder="1"/>
    <xf numFmtId="3" fontId="41" fillId="27" borderId="39" xfId="0" applyNumberFormat="1" applyFont="1" applyFill="1" applyBorder="1"/>
    <xf numFmtId="3" fontId="56" fillId="27" borderId="39" xfId="0" applyNumberFormat="1" applyFont="1" applyFill="1" applyBorder="1"/>
    <xf numFmtId="0" fontId="21" fillId="0" borderId="39" xfId="0" applyFont="1" applyBorder="1" applyAlignment="1">
      <alignment horizontal="left" vertical="center" wrapText="1"/>
    </xf>
    <xf numFmtId="2" fontId="57" fillId="0" borderId="39" xfId="0" applyNumberFormat="1" applyFont="1" applyBorder="1"/>
    <xf numFmtId="4" fontId="56" fillId="0" borderId="39" xfId="0" applyNumberFormat="1" applyFont="1" applyBorder="1"/>
    <xf numFmtId="3" fontId="55" fillId="31" borderId="39" xfId="0" applyNumberFormat="1" applyFont="1" applyFill="1" applyBorder="1"/>
    <xf numFmtId="3" fontId="55" fillId="0" borderId="7" xfId="0" applyNumberFormat="1" applyFont="1" applyBorder="1"/>
    <xf numFmtId="3" fontId="56" fillId="0" borderId="8" xfId="22" applyNumberFormat="1" applyFont="1" applyBorder="1" applyAlignment="1">
      <alignment horizontal="right" vertical="center" wrapText="1"/>
    </xf>
    <xf numFmtId="3" fontId="56" fillId="0" borderId="6" xfId="22" applyNumberFormat="1" applyFont="1" applyBorder="1" applyAlignment="1">
      <alignment vertical="center" wrapText="1"/>
    </xf>
    <xf numFmtId="3" fontId="56" fillId="0" borderId="8" xfId="22" applyNumberFormat="1" applyFont="1" applyBorder="1" applyAlignment="1">
      <alignment vertical="center" wrapText="1"/>
    </xf>
    <xf numFmtId="3" fontId="56" fillId="0" borderId="12" xfId="22" applyNumberFormat="1" applyFont="1" applyBorder="1" applyAlignment="1">
      <alignment vertical="center" wrapText="1"/>
    </xf>
    <xf numFmtId="3" fontId="56" fillId="0" borderId="8" xfId="0" applyNumberFormat="1" applyFont="1" applyBorder="1" applyAlignment="1">
      <alignment vertical="center" wrapText="1"/>
    </xf>
    <xf numFmtId="3" fontId="56" fillId="0" borderId="6" xfId="0" applyNumberFormat="1" applyFont="1" applyBorder="1" applyAlignment="1">
      <alignment vertical="center" wrapText="1"/>
    </xf>
    <xf numFmtId="3" fontId="56" fillId="0" borderId="12" xfId="0" applyNumberFormat="1" applyFont="1" applyBorder="1" applyAlignment="1">
      <alignment vertical="center" wrapText="1"/>
    </xf>
    <xf numFmtId="3" fontId="56" fillId="0" borderId="54" xfId="22" applyNumberFormat="1" applyFont="1" applyBorder="1" applyAlignment="1">
      <alignment horizontal="right" vertical="center" wrapText="1"/>
    </xf>
    <xf numFmtId="3" fontId="56" fillId="0" borderId="38" xfId="22" applyNumberFormat="1" applyFont="1" applyBorder="1" applyAlignment="1">
      <alignment vertical="center" wrapText="1"/>
    </xf>
    <xf numFmtId="3" fontId="56" fillId="0" borderId="52" xfId="0" applyNumberFormat="1" applyFont="1" applyBorder="1"/>
    <xf numFmtId="3" fontId="56" fillId="0" borderId="54" xfId="22" applyNumberFormat="1" applyFont="1" applyBorder="1" applyAlignment="1">
      <alignment vertical="center" wrapText="1"/>
    </xf>
    <xf numFmtId="3" fontId="56" fillId="0" borderId="54" xfId="0" applyNumberFormat="1" applyFont="1" applyBorder="1" applyAlignment="1">
      <alignment vertical="center" wrapText="1"/>
    </xf>
    <xf numFmtId="3" fontId="56" fillId="0" borderId="38" xfId="0" applyNumberFormat="1" applyFont="1" applyBorder="1" applyAlignment="1">
      <alignment vertical="center" wrapText="1"/>
    </xf>
    <xf numFmtId="3" fontId="56" fillId="0" borderId="36" xfId="22" applyNumberFormat="1" applyFont="1" applyBorder="1" applyAlignment="1">
      <alignment horizontal="right" vertical="center" wrapText="1"/>
    </xf>
    <xf numFmtId="3" fontId="55" fillId="0" borderId="81" xfId="0" applyNumberFormat="1" applyFont="1" applyBorder="1" applyAlignment="1">
      <alignment vertical="center" wrapText="1"/>
    </xf>
    <xf numFmtId="3" fontId="56" fillId="0" borderId="35" xfId="0" applyNumberFormat="1" applyFont="1" applyBorder="1"/>
    <xf numFmtId="3" fontId="56" fillId="0" borderId="36" xfId="22" applyNumberFormat="1" applyFont="1" applyBorder="1" applyAlignment="1">
      <alignment vertical="center" wrapText="1"/>
    </xf>
    <xf numFmtId="3" fontId="56" fillId="0" borderId="46" xfId="0" applyNumberFormat="1" applyFont="1" applyBorder="1" applyAlignment="1">
      <alignment vertical="center" wrapText="1"/>
    </xf>
    <xf numFmtId="3" fontId="56" fillId="0" borderId="36" xfId="0" applyNumberFormat="1" applyFont="1" applyBorder="1" applyAlignment="1">
      <alignment vertical="center" wrapText="1"/>
    </xf>
    <xf numFmtId="3" fontId="56" fillId="0" borderId="41" xfId="0" applyNumberFormat="1" applyFont="1" applyBorder="1" applyAlignment="1">
      <alignment vertical="center" wrapText="1"/>
    </xf>
    <xf numFmtId="3" fontId="56" fillId="0" borderId="41" xfId="0" applyNumberFormat="1" applyFont="1" applyBorder="1"/>
    <xf numFmtId="3" fontId="56" fillId="0" borderId="29" xfId="22" applyNumberFormat="1" applyFont="1" applyBorder="1" applyAlignment="1">
      <alignment vertical="center" wrapText="1"/>
    </xf>
    <xf numFmtId="3" fontId="55" fillId="0" borderId="32" xfId="0" applyNumberFormat="1" applyFont="1" applyBorder="1" applyAlignment="1">
      <alignment vertical="center" wrapText="1"/>
    </xf>
    <xf numFmtId="3" fontId="55" fillId="0" borderId="20" xfId="0" applyNumberFormat="1" applyFont="1" applyBorder="1" applyAlignment="1">
      <alignment vertical="center" wrapText="1"/>
    </xf>
    <xf numFmtId="3" fontId="56" fillId="0" borderId="32" xfId="22" applyNumberFormat="1" applyFont="1" applyBorder="1" applyAlignment="1">
      <alignment vertical="center" wrapText="1"/>
    </xf>
    <xf numFmtId="3" fontId="57" fillId="0" borderId="24" xfId="0" applyNumberFormat="1" applyFont="1" applyBorder="1"/>
    <xf numFmtId="3" fontId="57" fillId="0" borderId="23" xfId="0" applyNumberFormat="1" applyFont="1" applyBorder="1"/>
    <xf numFmtId="3" fontId="57" fillId="0" borderId="18" xfId="0" applyNumberFormat="1" applyFont="1" applyBorder="1"/>
    <xf numFmtId="3" fontId="57" fillId="0" borderId="27" xfId="0" applyNumberFormat="1" applyFont="1" applyBorder="1"/>
    <xf numFmtId="3" fontId="57" fillId="0" borderId="46" xfId="0" applyNumberFormat="1" applyFont="1" applyBorder="1"/>
    <xf numFmtId="3" fontId="57" fillId="31" borderId="76" xfId="0" applyNumberFormat="1" applyFont="1" applyFill="1" applyBorder="1"/>
    <xf numFmtId="3" fontId="55" fillId="31" borderId="50" xfId="0" applyNumberFormat="1" applyFont="1" applyFill="1" applyBorder="1"/>
    <xf numFmtId="3" fontId="56" fillId="31" borderId="50" xfId="0" applyNumberFormat="1" applyFont="1" applyFill="1" applyBorder="1"/>
    <xf numFmtId="3" fontId="57" fillId="0" borderId="54" xfId="0" applyNumberFormat="1" applyFont="1" applyBorder="1"/>
    <xf numFmtId="3" fontId="57" fillId="0" borderId="38" xfId="0" applyNumberFormat="1" applyFont="1" applyBorder="1"/>
    <xf numFmtId="3" fontId="57" fillId="0" borderId="52" xfId="0" applyNumberFormat="1" applyFont="1" applyBorder="1"/>
    <xf numFmtId="3" fontId="57" fillId="0" borderId="50" xfId="0" applyNumberFormat="1" applyFont="1" applyBorder="1"/>
    <xf numFmtId="3" fontId="55" fillId="0" borderId="8" xfId="0" applyNumberFormat="1" applyFont="1" applyBorder="1"/>
    <xf numFmtId="3" fontId="55" fillId="0" borderId="6" xfId="0" applyNumberFormat="1" applyFont="1" applyBorder="1"/>
    <xf numFmtId="3" fontId="65" fillId="0" borderId="8" xfId="0" applyNumberFormat="1" applyFont="1" applyBorder="1"/>
    <xf numFmtId="3" fontId="65" fillId="0" borderId="6" xfId="0" applyNumberFormat="1" applyFont="1" applyBorder="1"/>
    <xf numFmtId="3" fontId="65" fillId="0" borderId="7" xfId="0" applyNumberFormat="1" applyFont="1" applyBorder="1"/>
    <xf numFmtId="3" fontId="65" fillId="0" borderId="12" xfId="0" applyNumberFormat="1" applyFont="1" applyBorder="1"/>
    <xf numFmtId="3" fontId="65" fillId="0" borderId="38" xfId="0" applyNumberFormat="1" applyFont="1" applyBorder="1"/>
    <xf numFmtId="3" fontId="65" fillId="0" borderId="54" xfId="0" applyNumberFormat="1" applyFont="1" applyBorder="1"/>
    <xf numFmtId="3" fontId="22" fillId="0" borderId="8" xfId="0" applyNumberFormat="1" applyFont="1" applyBorder="1"/>
    <xf numFmtId="3" fontId="65" fillId="0" borderId="36" xfId="0" applyNumberFormat="1" applyFont="1" applyBorder="1"/>
    <xf numFmtId="3" fontId="65" fillId="0" borderId="35" xfId="0" applyNumberFormat="1" applyFont="1" applyBorder="1"/>
    <xf numFmtId="3" fontId="65" fillId="0" borderId="52" xfId="0" applyNumberFormat="1" applyFont="1" applyBorder="1"/>
    <xf numFmtId="3" fontId="56" fillId="0" borderId="24" xfId="0" applyNumberFormat="1" applyFont="1" applyBorder="1"/>
    <xf numFmtId="3" fontId="56" fillId="0" borderId="17" xfId="0" applyNumberFormat="1" applyFont="1" applyBorder="1"/>
    <xf numFmtId="3" fontId="56" fillId="0" borderId="23" xfId="0" applyNumberFormat="1" applyFont="1" applyBorder="1"/>
    <xf numFmtId="3" fontId="65" fillId="0" borderId="41" xfId="0" applyNumberFormat="1" applyFont="1" applyBorder="1"/>
    <xf numFmtId="3" fontId="56" fillId="0" borderId="54" xfId="0" applyNumberFormat="1" applyFont="1" applyBorder="1"/>
    <xf numFmtId="3" fontId="56" fillId="0" borderId="38" xfId="0" applyNumberFormat="1" applyFont="1" applyBorder="1"/>
    <xf numFmtId="3" fontId="55" fillId="0" borderId="54" xfId="0" applyNumberFormat="1" applyFont="1" applyBorder="1" applyAlignment="1">
      <alignment vertical="center" wrapText="1"/>
    </xf>
    <xf numFmtId="3" fontId="55" fillId="0" borderId="38" xfId="0" applyNumberFormat="1" applyFont="1" applyBorder="1" applyAlignment="1">
      <alignment vertical="center" wrapText="1"/>
    </xf>
    <xf numFmtId="3" fontId="55" fillId="0" borderId="52" xfId="0" applyNumberFormat="1" applyFont="1" applyBorder="1" applyAlignment="1">
      <alignment vertical="center" wrapText="1"/>
    </xf>
    <xf numFmtId="3" fontId="55" fillId="0" borderId="32" xfId="0" applyNumberFormat="1" applyFont="1" applyBorder="1"/>
    <xf numFmtId="3" fontId="55" fillId="0" borderId="20" xfId="0" applyNumberFormat="1" applyFont="1" applyBorder="1"/>
    <xf numFmtId="3" fontId="55" fillId="0" borderId="31" xfId="0" applyNumberFormat="1" applyFont="1" applyBorder="1"/>
    <xf numFmtId="3" fontId="65" fillId="0" borderId="24" xfId="0" applyNumberFormat="1" applyFont="1" applyBorder="1"/>
    <xf numFmtId="3" fontId="65" fillId="0" borderId="39" xfId="0" applyNumberFormat="1" applyFont="1" applyBorder="1"/>
    <xf numFmtId="3" fontId="65" fillId="0" borderId="40" xfId="0" applyNumberFormat="1" applyFont="1" applyBorder="1"/>
    <xf numFmtId="3" fontId="57" fillId="0" borderId="41" xfId="0" applyNumberFormat="1" applyFont="1" applyBorder="1"/>
    <xf numFmtId="3" fontId="78" fillId="0" borderId="12" xfId="0" applyNumberFormat="1" applyFont="1" applyBorder="1" applyAlignment="1">
      <alignment horizontal="right" vertical="center" wrapText="1"/>
    </xf>
    <xf numFmtId="3" fontId="76" fillId="0" borderId="13" xfId="0" applyNumberFormat="1" applyFont="1" applyBorder="1"/>
    <xf numFmtId="3" fontId="76" fillId="0" borderId="12" xfId="0" applyNumberFormat="1" applyFont="1" applyBorder="1"/>
    <xf numFmtId="3" fontId="76" fillId="0" borderId="49" xfId="0" applyNumberFormat="1" applyFont="1" applyBorder="1"/>
    <xf numFmtId="3" fontId="79" fillId="0" borderId="61" xfId="0" applyNumberFormat="1" applyFont="1" applyBorder="1"/>
    <xf numFmtId="3" fontId="82" fillId="0" borderId="13" xfId="0" applyNumberFormat="1" applyFont="1" applyBorder="1"/>
    <xf numFmtId="3" fontId="82" fillId="0" borderId="12" xfId="0" applyNumberFormat="1" applyFont="1" applyBorder="1"/>
    <xf numFmtId="3" fontId="82" fillId="0" borderId="49" xfId="0" applyNumberFormat="1" applyFont="1" applyBorder="1"/>
    <xf numFmtId="3" fontId="78" fillId="0" borderId="13" xfId="0" applyNumberFormat="1" applyFont="1" applyBorder="1" applyAlignment="1">
      <alignment horizontal="right" vertical="center" wrapText="1"/>
    </xf>
    <xf numFmtId="3" fontId="78" fillId="0" borderId="49" xfId="0" applyNumberFormat="1" applyFont="1" applyBorder="1" applyAlignment="1">
      <alignment horizontal="right" vertical="center" wrapText="1"/>
    </xf>
    <xf numFmtId="3" fontId="76" fillId="0" borderId="53" xfId="0" applyNumberFormat="1" applyFont="1" applyBorder="1"/>
    <xf numFmtId="3" fontId="76" fillId="0" borderId="38" xfId="0" applyNumberFormat="1" applyFont="1" applyBorder="1"/>
    <xf numFmtId="3" fontId="76" fillId="0" borderId="75" xfId="0" applyNumberFormat="1" applyFont="1" applyBorder="1"/>
    <xf numFmtId="3" fontId="78" fillId="0" borderId="39" xfId="0" applyNumberFormat="1" applyFont="1" applyBorder="1" applyAlignment="1">
      <alignment horizontal="right" vertical="center" wrapText="1"/>
    </xf>
    <xf numFmtId="3" fontId="78" fillId="0" borderId="56" xfId="0" applyNumberFormat="1" applyFont="1" applyBorder="1" applyAlignment="1">
      <alignment horizontal="right" vertical="center" wrapText="1"/>
    </xf>
    <xf numFmtId="3" fontId="78" fillId="0" borderId="44" xfId="0" applyNumberFormat="1" applyFont="1" applyBorder="1" applyAlignment="1">
      <alignment horizontal="right" vertical="center" wrapText="1"/>
    </xf>
    <xf numFmtId="3" fontId="78" fillId="0" borderId="45" xfId="0" applyNumberFormat="1" applyFont="1" applyBorder="1" applyAlignment="1">
      <alignment horizontal="right" vertical="center" wrapText="1"/>
    </xf>
    <xf numFmtId="3" fontId="75" fillId="0" borderId="41" xfId="0" applyNumberFormat="1" applyFont="1" applyBorder="1" applyAlignment="1">
      <alignment horizontal="left" vertical="center" wrapText="1"/>
    </xf>
    <xf numFmtId="3" fontId="76" fillId="0" borderId="37" xfId="0" applyNumberFormat="1" applyFont="1" applyBorder="1"/>
    <xf numFmtId="3" fontId="76" fillId="0" borderId="21" xfId="0" applyNumberFormat="1" applyFont="1" applyBorder="1"/>
    <xf numFmtId="3" fontId="76" fillId="0" borderId="3" xfId="0" applyNumberFormat="1" applyFont="1" applyBorder="1"/>
    <xf numFmtId="3" fontId="76" fillId="0" borderId="51" xfId="0" applyNumberFormat="1" applyFont="1" applyBorder="1"/>
    <xf numFmtId="3" fontId="76" fillId="0" borderId="6" xfId="0" applyNumberFormat="1" applyFont="1" applyBorder="1"/>
    <xf numFmtId="3" fontId="76" fillId="0" borderId="22" xfId="0" applyNumberFormat="1" applyFont="1" applyBorder="1"/>
    <xf numFmtId="3" fontId="82" fillId="0" borderId="39" xfId="0" applyNumberFormat="1" applyFont="1" applyBorder="1"/>
    <xf numFmtId="3" fontId="82" fillId="0" borderId="26" xfId="0" applyNumberFormat="1" applyFont="1" applyBorder="1"/>
    <xf numFmtId="3" fontId="82" fillId="0" borderId="17" xfId="0" applyNumberFormat="1" applyFont="1" applyBorder="1"/>
    <xf numFmtId="3" fontId="82" fillId="0" borderId="94" xfId="0" applyNumberFormat="1" applyFont="1" applyBorder="1"/>
    <xf numFmtId="3" fontId="79" fillId="0" borderId="45" xfId="0" applyNumberFormat="1" applyFont="1" applyBorder="1"/>
    <xf numFmtId="3" fontId="79" fillId="0" borderId="39" xfId="0" applyNumberFormat="1" applyFont="1" applyBorder="1"/>
    <xf numFmtId="3" fontId="79" fillId="0" borderId="26" xfId="0" applyNumberFormat="1" applyFont="1" applyBorder="1"/>
    <xf numFmtId="3" fontId="79" fillId="0" borderId="17" xfId="0" applyNumberFormat="1" applyFont="1" applyBorder="1"/>
    <xf numFmtId="3" fontId="79" fillId="0" borderId="94" xfId="0" applyNumberFormat="1" applyFont="1" applyBorder="1"/>
    <xf numFmtId="3" fontId="76" fillId="0" borderId="41" xfId="0" applyNumberFormat="1" applyFont="1" applyBorder="1"/>
    <xf numFmtId="3" fontId="82" fillId="0" borderId="65" xfId="0" applyNumberFormat="1" applyFont="1" applyBorder="1"/>
    <xf numFmtId="3" fontId="82" fillId="0" borderId="34" xfId="0" applyNumberFormat="1" applyFont="1" applyBorder="1"/>
    <xf numFmtId="3" fontId="82" fillId="0" borderId="20" xfId="0" applyNumberFormat="1" applyFont="1" applyBorder="1"/>
    <xf numFmtId="3" fontId="82" fillId="0" borderId="96" xfId="0" applyNumberFormat="1" applyFont="1" applyBorder="1"/>
    <xf numFmtId="3" fontId="79" fillId="0" borderId="66" xfId="0" applyNumberFormat="1" applyFont="1" applyBorder="1"/>
    <xf numFmtId="3" fontId="79" fillId="0" borderId="67" xfId="0" applyNumberFormat="1" applyFont="1" applyBorder="1"/>
    <xf numFmtId="3" fontId="79" fillId="0" borderId="25" xfId="0" applyNumberFormat="1" applyFont="1" applyBorder="1"/>
    <xf numFmtId="3" fontId="79" fillId="0" borderId="99" xfId="0" applyNumberFormat="1" applyFont="1" applyBorder="1"/>
    <xf numFmtId="3" fontId="79" fillId="0" borderId="24" xfId="0" applyNumberFormat="1" applyFont="1" applyBorder="1"/>
    <xf numFmtId="3" fontId="79" fillId="0" borderId="44" xfId="0" applyNumberFormat="1" applyFont="1" applyBorder="1"/>
    <xf numFmtId="3" fontId="63" fillId="0" borderId="39" xfId="0" applyNumberFormat="1" applyFont="1" applyBorder="1"/>
    <xf numFmtId="3" fontId="62" fillId="0" borderId="39" xfId="0" applyNumberFormat="1" applyFont="1" applyBorder="1" applyAlignment="1">
      <alignment horizontal="right"/>
    </xf>
    <xf numFmtId="3" fontId="63" fillId="0" borderId="47" xfId="0" applyNumberFormat="1" applyFont="1" applyBorder="1"/>
    <xf numFmtId="3" fontId="63" fillId="0" borderId="18" xfId="0" applyNumberFormat="1" applyFont="1" applyBorder="1"/>
    <xf numFmtId="3" fontId="63" fillId="0" borderId="1" xfId="0" applyNumberFormat="1" applyFont="1" applyBorder="1"/>
    <xf numFmtId="3" fontId="63" fillId="0" borderId="39" xfId="0" applyNumberFormat="1" applyFont="1" applyBorder="1" applyAlignment="1">
      <alignment horizontal="right"/>
    </xf>
    <xf numFmtId="3" fontId="113" fillId="0" borderId="12" xfId="0" applyNumberFormat="1" applyFont="1" applyBorder="1"/>
    <xf numFmtId="3" fontId="113" fillId="0" borderId="50" xfId="0" applyNumberFormat="1" applyFont="1" applyBorder="1"/>
    <xf numFmtId="3" fontId="80" fillId="0" borderId="50" xfId="0" applyNumberFormat="1" applyFont="1" applyBorder="1" applyAlignment="1">
      <alignment horizontal="left" vertical="center" wrapText="1"/>
    </xf>
    <xf numFmtId="3" fontId="82" fillId="0" borderId="75" xfId="0" applyNumberFormat="1" applyFont="1" applyBorder="1"/>
    <xf numFmtId="3" fontId="76" fillId="0" borderId="50" xfId="0" applyNumberFormat="1" applyFont="1" applyBorder="1"/>
    <xf numFmtId="3" fontId="62" fillId="0" borderId="39" xfId="0" applyNumberFormat="1" applyFont="1" applyBorder="1"/>
    <xf numFmtId="3" fontId="62" fillId="0" borderId="26" xfId="0" applyNumberFormat="1" applyFont="1" applyBorder="1"/>
    <xf numFmtId="3" fontId="62" fillId="0" borderId="24" xfId="0" applyNumberFormat="1" applyFont="1" applyBorder="1"/>
    <xf numFmtId="3" fontId="63" fillId="0" borderId="46" xfId="0" applyNumberFormat="1" applyFont="1" applyBorder="1"/>
    <xf numFmtId="3" fontId="79" fillId="31" borderId="93" xfId="0" applyNumberFormat="1" applyFont="1" applyFill="1" applyBorder="1"/>
    <xf numFmtId="165" fontId="10" fillId="0" borderId="18" xfId="0" applyNumberFormat="1" applyFont="1" applyBorder="1" applyAlignment="1">
      <alignment horizontal="right"/>
    </xf>
    <xf numFmtId="168" fontId="45" fillId="0" borderId="0" xfId="22" applyNumberFormat="1" applyFont="1"/>
    <xf numFmtId="168" fontId="18" fillId="24" borderId="0" xfId="22" applyNumberFormat="1" applyFont="1" applyFill="1" applyAlignment="1">
      <alignment vertical="top" wrapText="1"/>
    </xf>
    <xf numFmtId="3" fontId="0" fillId="24" borderId="0" xfId="0" applyNumberFormat="1" applyFill="1"/>
    <xf numFmtId="0" fontId="8" fillId="24" borderId="0" xfId="0" applyFont="1" applyFill="1" applyAlignment="1">
      <alignment wrapText="1"/>
    </xf>
    <xf numFmtId="0" fontId="0" fillId="31" borderId="69" xfId="0" applyFill="1" applyBorder="1" applyAlignment="1">
      <alignment horizontal="center" vertical="center" wrapText="1"/>
    </xf>
    <xf numFmtId="0" fontId="0" fillId="31" borderId="98" xfId="0" applyFill="1" applyBorder="1" applyAlignment="1">
      <alignment horizontal="center" vertical="center" wrapText="1"/>
    </xf>
    <xf numFmtId="0" fontId="40" fillId="27" borderId="94" xfId="0" applyFont="1" applyFill="1" applyBorder="1" applyAlignment="1">
      <alignment vertical="center" wrapText="1"/>
    </xf>
    <xf numFmtId="0" fontId="40" fillId="27" borderId="56" xfId="0" applyFont="1" applyFill="1" applyBorder="1" applyAlignment="1">
      <alignment vertical="center" wrapText="1"/>
    </xf>
    <xf numFmtId="3" fontId="62" fillId="0" borderId="44" xfId="0" applyNumberFormat="1" applyFont="1" applyBorder="1"/>
    <xf numFmtId="3" fontId="63" fillId="0" borderId="44" xfId="0" applyNumberFormat="1" applyFont="1" applyBorder="1"/>
    <xf numFmtId="3" fontId="63" fillId="31" borderId="39" xfId="0" applyNumberFormat="1" applyFont="1" applyFill="1" applyBorder="1"/>
    <xf numFmtId="3" fontId="76" fillId="0" borderId="28" xfId="0" applyNumberFormat="1" applyFont="1" applyBorder="1"/>
    <xf numFmtId="3" fontId="56" fillId="27" borderId="120" xfId="0" applyNumberFormat="1" applyFont="1" applyFill="1" applyBorder="1"/>
    <xf numFmtId="3" fontId="56" fillId="27" borderId="121" xfId="0" applyNumberFormat="1" applyFont="1" applyFill="1" applyBorder="1"/>
    <xf numFmtId="3" fontId="56" fillId="27" borderId="122" xfId="0" applyNumberFormat="1" applyFont="1" applyFill="1" applyBorder="1"/>
    <xf numFmtId="3" fontId="57" fillId="31" borderId="123" xfId="0" applyNumberFormat="1" applyFont="1" applyFill="1" applyBorder="1"/>
    <xf numFmtId="4" fontId="56" fillId="0" borderId="41" xfId="0" applyNumberFormat="1" applyFont="1" applyBorder="1"/>
    <xf numFmtId="9" fontId="53" fillId="0" borderId="6" xfId="32" applyFont="1" applyBorder="1"/>
    <xf numFmtId="9" fontId="53" fillId="0" borderId="18" xfId="32" applyFont="1" applyBorder="1"/>
    <xf numFmtId="3" fontId="30" fillId="31" borderId="38" xfId="22" applyNumberFormat="1" applyFont="1" applyFill="1" applyBorder="1"/>
    <xf numFmtId="3" fontId="22" fillId="31" borderId="38" xfId="22" applyNumberFormat="1" applyFont="1" applyFill="1" applyBorder="1"/>
    <xf numFmtId="3" fontId="30" fillId="0" borderId="38" xfId="22" applyNumberFormat="1" applyFont="1" applyBorder="1"/>
    <xf numFmtId="0" fontId="24" fillId="31" borderId="39" xfId="0" applyFont="1" applyFill="1" applyBorder="1" applyAlignment="1">
      <alignment horizontal="left" vertical="center" wrapText="1"/>
    </xf>
    <xf numFmtId="0" fontId="22" fillId="0" borderId="39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right" vertical="center" wrapText="1"/>
    </xf>
    <xf numFmtId="0" fontId="22" fillId="0" borderId="44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right" vertical="center" wrapText="1"/>
    </xf>
    <xf numFmtId="0" fontId="24" fillId="0" borderId="39" xfId="0" applyFont="1" applyBorder="1" applyAlignment="1">
      <alignment horizontal="right" vertical="center" wrapText="1"/>
    </xf>
    <xf numFmtId="0" fontId="21" fillId="27" borderId="45" xfId="0" applyFont="1" applyFill="1" applyBorder="1" applyAlignment="1">
      <alignment horizontal="left" vertical="center" wrapText="1"/>
    </xf>
    <xf numFmtId="0" fontId="21" fillId="0" borderId="85" xfId="0" applyFont="1" applyBorder="1" applyAlignment="1">
      <alignment horizontal="left" vertical="center" wrapText="1"/>
    </xf>
    <xf numFmtId="0" fontId="21" fillId="0" borderId="73" xfId="0" applyFont="1" applyBorder="1" applyAlignment="1">
      <alignment horizontal="left" vertical="center" wrapText="1"/>
    </xf>
    <xf numFmtId="0" fontId="28" fillId="0" borderId="116" xfId="0" applyFont="1" applyBorder="1" applyAlignment="1">
      <alignment horizontal="left" vertical="top" wrapText="1"/>
    </xf>
    <xf numFmtId="0" fontId="28" fillId="0" borderId="24" xfId="0" applyFont="1" applyBorder="1" applyAlignment="1">
      <alignment horizontal="left" vertical="top" wrapText="1"/>
    </xf>
    <xf numFmtId="0" fontId="8" fillId="24" borderId="0" xfId="29" applyFont="1" applyFill="1" applyAlignment="1">
      <alignment wrapText="1"/>
    </xf>
    <xf numFmtId="49" fontId="50" fillId="31" borderId="1" xfId="0" applyNumberFormat="1" applyFont="1" applyFill="1" applyBorder="1"/>
    <xf numFmtId="3" fontId="56" fillId="38" borderId="107" xfId="0" applyNumberFormat="1" applyFont="1" applyFill="1" applyBorder="1"/>
    <xf numFmtId="0" fontId="8" fillId="41" borderId="14" xfId="0" applyFont="1" applyFill="1" applyBorder="1" applyAlignment="1">
      <alignment horizontal="center" vertical="center" wrapText="1"/>
    </xf>
    <xf numFmtId="0" fontId="40" fillId="41" borderId="85" xfId="0" applyFont="1" applyFill="1" applyBorder="1" applyAlignment="1">
      <alignment horizontal="center" shrinkToFit="1"/>
    </xf>
    <xf numFmtId="0" fontId="40" fillId="41" borderId="91" xfId="0" applyFont="1" applyFill="1" applyBorder="1" applyAlignment="1">
      <alignment vertical="center" shrinkToFit="1"/>
    </xf>
    <xf numFmtId="166" fontId="55" fillId="37" borderId="38" xfId="23" applyNumberFormat="1" applyFont="1" applyFill="1" applyBorder="1" applyAlignment="1">
      <alignment vertical="center" wrapText="1"/>
    </xf>
    <xf numFmtId="166" fontId="55" fillId="37" borderId="52" xfId="23" applyNumberFormat="1" applyFont="1" applyFill="1" applyBorder="1" applyAlignment="1">
      <alignment vertical="center" wrapText="1"/>
    </xf>
    <xf numFmtId="166" fontId="55" fillId="42" borderId="54" xfId="23" applyNumberFormat="1" applyFont="1" applyFill="1" applyBorder="1" applyAlignment="1">
      <alignment vertical="center" wrapText="1"/>
    </xf>
    <xf numFmtId="166" fontId="55" fillId="42" borderId="38" xfId="23" applyNumberFormat="1" applyFont="1" applyFill="1" applyBorder="1" applyAlignment="1">
      <alignment vertical="center" wrapText="1"/>
    </xf>
    <xf numFmtId="166" fontId="55" fillId="42" borderId="52" xfId="23" applyNumberFormat="1" applyFont="1" applyFill="1" applyBorder="1" applyAlignment="1">
      <alignment vertical="center" wrapText="1"/>
    </xf>
    <xf numFmtId="166" fontId="55" fillId="43" borderId="54" xfId="23" applyNumberFormat="1" applyFont="1" applyFill="1" applyBorder="1" applyAlignment="1">
      <alignment vertical="center" wrapText="1"/>
    </xf>
    <xf numFmtId="166" fontId="55" fillId="43" borderId="38" xfId="23" applyNumberFormat="1" applyFont="1" applyFill="1" applyBorder="1" applyAlignment="1">
      <alignment vertical="center" wrapText="1"/>
    </xf>
    <xf numFmtId="166" fontId="55" fillId="43" borderId="52" xfId="23" applyNumberFormat="1" applyFont="1" applyFill="1" applyBorder="1" applyAlignment="1">
      <alignment vertical="center" wrapText="1"/>
    </xf>
    <xf numFmtId="166" fontId="55" fillId="38" borderId="7" xfId="23" applyNumberFormat="1" applyFont="1" applyFill="1" applyBorder="1" applyAlignment="1">
      <alignment vertical="center" wrapText="1"/>
    </xf>
    <xf numFmtId="166" fontId="55" fillId="38" borderId="52" xfId="23" applyNumberFormat="1" applyFont="1" applyFill="1" applyBorder="1" applyAlignment="1">
      <alignment vertical="center" wrapText="1"/>
    </xf>
    <xf numFmtId="0" fontId="21" fillId="37" borderId="84" xfId="0" applyFont="1" applyFill="1" applyBorder="1" applyAlignment="1">
      <alignment horizontal="center" vertical="center" wrapText="1"/>
    </xf>
    <xf numFmtId="167" fontId="55" fillId="44" borderId="124" xfId="0" applyNumberFormat="1" applyFont="1" applyFill="1" applyBorder="1" applyAlignment="1">
      <alignment horizontal="center" vertical="center" wrapText="1"/>
    </xf>
    <xf numFmtId="167" fontId="55" fillId="45" borderId="125" xfId="0" applyNumberFormat="1" applyFont="1" applyFill="1" applyBorder="1" applyAlignment="1">
      <alignment horizontal="center" vertical="center" wrapText="1"/>
    </xf>
    <xf numFmtId="168" fontId="0" fillId="24" borderId="0" xfId="22" applyNumberFormat="1" applyFont="1" applyFill="1"/>
    <xf numFmtId="3" fontId="9" fillId="24" borderId="0" xfId="29" applyNumberFormat="1" applyFont="1" applyFill="1" applyAlignment="1">
      <alignment wrapText="1"/>
    </xf>
    <xf numFmtId="3" fontId="9" fillId="24" borderId="0" xfId="0" applyNumberFormat="1" applyFont="1" applyFill="1" applyAlignment="1">
      <alignment wrapText="1"/>
    </xf>
    <xf numFmtId="168" fontId="18" fillId="24" borderId="0" xfId="22" applyNumberFormat="1" applyFont="1" applyFill="1" applyAlignment="1">
      <alignment horizontal="right"/>
    </xf>
    <xf numFmtId="4" fontId="18" fillId="0" borderId="17" xfId="0" applyNumberFormat="1" applyFont="1" applyBorder="1"/>
    <xf numFmtId="3" fontId="111" fillId="0" borderId="0" xfId="22" applyNumberFormat="1" applyFont="1"/>
    <xf numFmtId="49" fontId="124" fillId="0" borderId="0" xfId="0" applyNumberFormat="1" applyFont="1"/>
    <xf numFmtId="168" fontId="24" fillId="0" borderId="39" xfId="22" applyNumberFormat="1" applyFont="1" applyBorder="1" applyAlignment="1">
      <alignment horizontal="right" vertical="center" wrapText="1"/>
    </xf>
    <xf numFmtId="164" fontId="23" fillId="0" borderId="39" xfId="22" applyFont="1" applyBorder="1" applyAlignment="1">
      <alignment horizontal="right" vertical="center" wrapText="1"/>
    </xf>
    <xf numFmtId="0" fontId="50" fillId="31" borderId="0" xfId="0" applyFont="1" applyFill="1"/>
    <xf numFmtId="0" fontId="0" fillId="0" borderId="69" xfId="0" applyBorder="1" applyAlignment="1">
      <alignment horizontal="center" vertical="center" wrapText="1"/>
    </xf>
    <xf numFmtId="0" fontId="55" fillId="0" borderId="42" xfId="0" applyFont="1" applyBorder="1" applyAlignment="1">
      <alignment horizontal="center"/>
    </xf>
    <xf numFmtId="0" fontId="55" fillId="0" borderId="13" xfId="0" applyFont="1" applyBorder="1" applyAlignment="1">
      <alignment vertical="center" wrapText="1"/>
    </xf>
    <xf numFmtId="4" fontId="55" fillId="0" borderId="13" xfId="0" applyNumberFormat="1" applyFont="1" applyBorder="1" applyAlignment="1">
      <alignment vertical="center" wrapText="1"/>
    </xf>
    <xf numFmtId="3" fontId="65" fillId="0" borderId="13" xfId="0" applyNumberFormat="1" applyFont="1" applyBorder="1"/>
    <xf numFmtId="3" fontId="55" fillId="0" borderId="57" xfId="0" applyNumberFormat="1" applyFont="1" applyBorder="1"/>
    <xf numFmtId="3" fontId="65" fillId="0" borderId="42" xfId="0" applyNumberFormat="1" applyFont="1" applyBorder="1"/>
    <xf numFmtId="3" fontId="41" fillId="27" borderId="126" xfId="0" applyNumberFormat="1" applyFont="1" applyFill="1" applyBorder="1"/>
    <xf numFmtId="3" fontId="57" fillId="31" borderId="127" xfId="0" applyNumberFormat="1" applyFont="1" applyFill="1" applyBorder="1"/>
    <xf numFmtId="4" fontId="65" fillId="31" borderId="119" xfId="0" applyNumberFormat="1" applyFont="1" applyFill="1" applyBorder="1"/>
    <xf numFmtId="3" fontId="56" fillId="0" borderId="13" xfId="0" applyNumberFormat="1" applyFont="1" applyBorder="1"/>
    <xf numFmtId="3" fontId="56" fillId="0" borderId="57" xfId="0" applyNumberFormat="1" applyFont="1" applyBorder="1"/>
    <xf numFmtId="3" fontId="56" fillId="0" borderId="42" xfId="0" applyNumberFormat="1" applyFont="1" applyBorder="1"/>
    <xf numFmtId="3" fontId="57" fillId="0" borderId="56" xfId="0" applyNumberFormat="1" applyFont="1" applyBorder="1"/>
    <xf numFmtId="3" fontId="57" fillId="0" borderId="58" xfId="0" applyNumberFormat="1" applyFont="1" applyBorder="1"/>
    <xf numFmtId="3" fontId="41" fillId="38" borderId="128" xfId="0" applyNumberFormat="1" applyFont="1" applyFill="1" applyBorder="1"/>
    <xf numFmtId="0" fontId="55" fillId="0" borderId="58" xfId="0" applyFont="1" applyBorder="1" applyAlignment="1">
      <alignment vertical="center" wrapText="1"/>
    </xf>
    <xf numFmtId="0" fontId="40" fillId="0" borderId="86" xfId="0" applyFont="1" applyBorder="1" applyAlignment="1">
      <alignment horizontal="center" shrinkToFit="1"/>
    </xf>
    <xf numFmtId="0" fontId="0" fillId="26" borderId="69" xfId="0" applyFill="1" applyBorder="1" applyAlignment="1">
      <alignment horizontal="center" vertical="center" wrapText="1"/>
    </xf>
    <xf numFmtId="0" fontId="40" fillId="26" borderId="86" xfId="0" applyFont="1" applyFill="1" applyBorder="1" applyAlignment="1">
      <alignment horizontal="center" shrinkToFit="1"/>
    </xf>
    <xf numFmtId="0" fontId="40" fillId="26" borderId="71" xfId="0" applyFont="1" applyFill="1" applyBorder="1" applyAlignment="1">
      <alignment vertical="center" shrinkToFit="1"/>
    </xf>
    <xf numFmtId="3" fontId="57" fillId="31" borderId="28" xfId="0" applyNumberFormat="1" applyFont="1" applyFill="1" applyBorder="1"/>
    <xf numFmtId="168" fontId="8" fillId="24" borderId="0" xfId="22" applyNumberFormat="1" applyFont="1" applyFill="1"/>
    <xf numFmtId="168" fontId="0" fillId="46" borderId="0" xfId="22" applyNumberFormat="1" applyFont="1" applyFill="1"/>
    <xf numFmtId="3" fontId="56" fillId="31" borderId="12" xfId="0" applyNumberFormat="1" applyFont="1" applyFill="1" applyBorder="1"/>
    <xf numFmtId="3" fontId="83" fillId="31" borderId="0" xfId="0" applyNumberFormat="1" applyFont="1" applyFill="1"/>
    <xf numFmtId="3" fontId="125" fillId="0" borderId="50" xfId="0" applyNumberFormat="1" applyFont="1" applyBorder="1"/>
    <xf numFmtId="0" fontId="21" fillId="31" borderId="23" xfId="0" applyFont="1" applyFill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126" fillId="0" borderId="0" xfId="0" applyFont="1"/>
    <xf numFmtId="168" fontId="127" fillId="0" borderId="39" xfId="22" applyNumberFormat="1" applyFont="1" applyBorder="1" applyAlignment="1">
      <alignment horizontal="right" vertical="center" wrapText="1"/>
    </xf>
    <xf numFmtId="0" fontId="0" fillId="26" borderId="98" xfId="0" applyFill="1" applyBorder="1" applyAlignment="1">
      <alignment horizontal="center" vertical="center" wrapText="1"/>
    </xf>
    <xf numFmtId="0" fontId="40" fillId="26" borderId="87" xfId="0" applyFont="1" applyFill="1" applyBorder="1" applyAlignment="1">
      <alignment horizontal="center" shrinkToFit="1"/>
    </xf>
    <xf numFmtId="0" fontId="15" fillId="0" borderId="128" xfId="0" applyFont="1" applyBorder="1"/>
    <xf numFmtId="3" fontId="30" fillId="0" borderId="61" xfId="22" applyNumberFormat="1" applyFont="1" applyBorder="1"/>
    <xf numFmtId="3" fontId="21" fillId="0" borderId="45" xfId="22" applyNumberFormat="1" applyFont="1" applyBorder="1"/>
    <xf numFmtId="3" fontId="22" fillId="0" borderId="45" xfId="22" applyNumberFormat="1" applyFont="1" applyBorder="1"/>
    <xf numFmtId="3" fontId="57" fillId="0" borderId="45" xfId="22" applyNumberFormat="1" applyFont="1" applyBorder="1"/>
    <xf numFmtId="3" fontId="57" fillId="0" borderId="93" xfId="22" applyNumberFormat="1" applyFont="1" applyBorder="1"/>
    <xf numFmtId="170" fontId="55" fillId="27" borderId="129" xfId="22" applyNumberFormat="1" applyFont="1" applyFill="1" applyBorder="1" applyAlignment="1">
      <alignment horizontal="right"/>
    </xf>
    <xf numFmtId="170" fontId="55" fillId="27" borderId="130" xfId="22" applyNumberFormat="1" applyFont="1" applyFill="1" applyBorder="1" applyAlignment="1">
      <alignment horizontal="right"/>
    </xf>
    <xf numFmtId="170" fontId="55" fillId="39" borderId="130" xfId="22" applyNumberFormat="1" applyFont="1" applyFill="1" applyBorder="1" applyAlignment="1">
      <alignment horizontal="right"/>
    </xf>
    <xf numFmtId="3" fontId="57" fillId="31" borderId="11" xfId="22" applyNumberFormat="1" applyFont="1" applyFill="1" applyBorder="1"/>
    <xf numFmtId="3" fontId="57" fillId="31" borderId="108" xfId="22" applyNumberFormat="1" applyFont="1" applyFill="1" applyBorder="1"/>
    <xf numFmtId="4" fontId="57" fillId="0" borderId="67" xfId="22" applyNumberFormat="1" applyFont="1" applyBorder="1"/>
    <xf numFmtId="168" fontId="57" fillId="0" borderId="66" xfId="22" applyNumberFormat="1" applyFont="1" applyBorder="1"/>
    <xf numFmtId="0" fontId="15" fillId="0" borderId="61" xfId="0" applyFont="1" applyBorder="1"/>
    <xf numFmtId="168" fontId="31" fillId="0" borderId="61" xfId="22" applyNumberFormat="1" applyFont="1" applyBorder="1"/>
    <xf numFmtId="0" fontId="15" fillId="0" borderId="66" xfId="0" applyFont="1" applyBorder="1"/>
    <xf numFmtId="0" fontId="15" fillId="0" borderId="131" xfId="0" applyFont="1" applyBorder="1"/>
    <xf numFmtId="168" fontId="31" fillId="0" borderId="66" xfId="22" applyNumberFormat="1" applyFont="1" applyBorder="1" applyAlignment="1">
      <alignment horizontal="right"/>
    </xf>
    <xf numFmtId="0" fontId="15" fillId="0" borderId="90" xfId="0" applyFont="1" applyBorder="1"/>
    <xf numFmtId="0" fontId="15" fillId="0" borderId="71" xfId="0" applyFont="1" applyBorder="1"/>
    <xf numFmtId="0" fontId="21" fillId="27" borderId="115" xfId="0" applyFont="1" applyFill="1" applyBorder="1" applyAlignment="1">
      <alignment horizontal="left" vertical="center" wrapText="1"/>
    </xf>
    <xf numFmtId="0" fontId="21" fillId="27" borderId="23" xfId="0" applyFont="1" applyFill="1" applyBorder="1" applyAlignment="1">
      <alignment horizontal="left" vertical="center" wrapText="1"/>
    </xf>
    <xf numFmtId="0" fontId="21" fillId="27" borderId="132" xfId="0" applyFont="1" applyFill="1" applyBorder="1" applyAlignment="1">
      <alignment horizontal="left" vertical="center" wrapText="1"/>
    </xf>
    <xf numFmtId="0" fontId="28" fillId="0" borderId="114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0" fontId="127" fillId="0" borderId="39" xfId="0" applyFont="1" applyBorder="1" applyAlignment="1">
      <alignment horizontal="left" vertical="center" wrapText="1"/>
    </xf>
    <xf numFmtId="0" fontId="55" fillId="0" borderId="44" xfId="0" applyFont="1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40" fillId="0" borderId="100" xfId="0" applyFont="1" applyBorder="1" applyAlignment="1">
      <alignment horizontal="center" shrinkToFit="1"/>
    </xf>
    <xf numFmtId="0" fontId="40" fillId="0" borderId="3" xfId="0" applyFont="1" applyBorder="1" applyAlignment="1">
      <alignment horizontal="center" shrinkToFit="1"/>
    </xf>
    <xf numFmtId="0" fontId="40" fillId="0" borderId="101" xfId="0" applyFont="1" applyBorder="1" applyAlignment="1">
      <alignment horizontal="center" shrinkToFit="1"/>
    </xf>
    <xf numFmtId="0" fontId="55" fillId="0" borderId="63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55" fillId="0" borderId="42" xfId="0" applyFont="1" applyBorder="1" applyAlignment="1">
      <alignment horizontal="center"/>
    </xf>
    <xf numFmtId="0" fontId="55" fillId="0" borderId="41" xfId="0" applyFont="1" applyBorder="1" applyAlignment="1">
      <alignment horizontal="center"/>
    </xf>
    <xf numFmtId="0" fontId="55" fillId="0" borderId="76" xfId="0" applyFont="1" applyBorder="1" applyAlignment="1">
      <alignment horizontal="center"/>
    </xf>
    <xf numFmtId="0" fontId="40" fillId="35" borderId="100" xfId="0" applyFont="1" applyFill="1" applyBorder="1" applyAlignment="1">
      <alignment horizontal="center"/>
    </xf>
    <xf numFmtId="0" fontId="40" fillId="35" borderId="3" xfId="0" applyFont="1" applyFill="1" applyBorder="1" applyAlignment="1">
      <alignment horizontal="center"/>
    </xf>
    <xf numFmtId="0" fontId="40" fillId="35" borderId="101" xfId="0" applyFont="1" applyFill="1" applyBorder="1" applyAlignment="1">
      <alignment horizontal="center"/>
    </xf>
    <xf numFmtId="0" fontId="84" fillId="0" borderId="63" xfId="0" applyFont="1" applyBorder="1" applyAlignment="1">
      <alignment horizontal="center"/>
    </xf>
    <xf numFmtId="0" fontId="84" fillId="0" borderId="3" xfId="0" applyFont="1" applyBorder="1" applyAlignment="1">
      <alignment horizontal="center"/>
    </xf>
    <xf numFmtId="0" fontId="84" fillId="0" borderId="42" xfId="0" applyFont="1" applyBorder="1" applyAlignment="1">
      <alignment horizontal="center"/>
    </xf>
    <xf numFmtId="0" fontId="84" fillId="0" borderId="41" xfId="0" applyFont="1" applyBorder="1" applyAlignment="1">
      <alignment horizontal="center"/>
    </xf>
    <xf numFmtId="0" fontId="84" fillId="0" borderId="76" xfId="0" applyFont="1" applyBorder="1" applyAlignment="1">
      <alignment horizontal="center"/>
    </xf>
    <xf numFmtId="0" fontId="40" fillId="31" borderId="100" xfId="0" applyFont="1" applyFill="1" applyBorder="1" applyAlignment="1">
      <alignment horizontal="center"/>
    </xf>
    <xf numFmtId="0" fontId="40" fillId="31" borderId="3" xfId="0" applyFont="1" applyFill="1" applyBorder="1" applyAlignment="1">
      <alignment horizontal="center"/>
    </xf>
    <xf numFmtId="0" fontId="40" fillId="31" borderId="101" xfId="0" applyFont="1" applyFill="1" applyBorder="1" applyAlignment="1">
      <alignment horizontal="center"/>
    </xf>
    <xf numFmtId="0" fontId="40" fillId="36" borderId="85" xfId="0" applyFont="1" applyFill="1" applyBorder="1" applyAlignment="1">
      <alignment horizontal="center" shrinkToFit="1"/>
    </xf>
    <xf numFmtId="0" fontId="40" fillId="36" borderId="86" xfId="0" applyFont="1" applyFill="1" applyBorder="1" applyAlignment="1">
      <alignment horizontal="center" shrinkToFit="1"/>
    </xf>
    <xf numFmtId="0" fontId="40" fillId="36" borderId="87" xfId="0" applyFont="1" applyFill="1" applyBorder="1" applyAlignment="1">
      <alignment horizontal="center" shrinkToFit="1"/>
    </xf>
    <xf numFmtId="0" fontId="40" fillId="36" borderId="68" xfId="0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55" fillId="0" borderId="41" xfId="0" applyFont="1" applyBorder="1" applyAlignment="1">
      <alignment horizontal="center" shrinkToFit="1"/>
    </xf>
    <xf numFmtId="0" fontId="40" fillId="31" borderId="85" xfId="0" applyFont="1" applyFill="1" applyBorder="1" applyAlignment="1">
      <alignment horizontal="center" shrinkToFit="1"/>
    </xf>
    <xf numFmtId="0" fontId="40" fillId="31" borderId="86" xfId="0" applyFont="1" applyFill="1" applyBorder="1" applyAlignment="1">
      <alignment horizontal="center" shrinkToFit="1"/>
    </xf>
    <xf numFmtId="0" fontId="40" fillId="31" borderId="87" xfId="0" applyFont="1" applyFill="1" applyBorder="1" applyAlignment="1">
      <alignment horizontal="center" shrinkToFit="1"/>
    </xf>
    <xf numFmtId="0" fontId="55" fillId="0" borderId="78" xfId="0" applyFont="1" applyBorder="1" applyAlignment="1">
      <alignment horizontal="center" shrinkToFit="1"/>
    </xf>
    <xf numFmtId="0" fontId="55" fillId="0" borderId="79" xfId="0" applyFont="1" applyBorder="1" applyAlignment="1">
      <alignment horizontal="center" shrinkToFit="1"/>
    </xf>
    <xf numFmtId="0" fontId="55" fillId="0" borderId="59" xfId="0" applyFont="1" applyBorder="1" applyAlignment="1">
      <alignment horizontal="center" shrinkToFit="1"/>
    </xf>
    <xf numFmtId="0" fontId="40" fillId="35" borderId="68" xfId="0" applyFont="1" applyFill="1" applyBorder="1" applyAlignment="1">
      <alignment horizontal="center" vertical="center" wrapText="1"/>
    </xf>
    <xf numFmtId="0" fontId="0" fillId="35" borderId="69" xfId="0" applyFill="1" applyBorder="1" applyAlignment="1">
      <alignment horizontal="center" vertical="center" wrapText="1"/>
    </xf>
    <xf numFmtId="0" fontId="40" fillId="31" borderId="68" xfId="0" applyFont="1" applyFill="1" applyBorder="1" applyAlignment="1">
      <alignment horizontal="center" vertical="center" wrapText="1"/>
    </xf>
    <xf numFmtId="0" fontId="40" fillId="24" borderId="68" xfId="0" applyFont="1" applyFill="1" applyBorder="1" applyAlignment="1">
      <alignment horizontal="center" vertical="center" wrapText="1"/>
    </xf>
    <xf numFmtId="0" fontId="0" fillId="24" borderId="69" xfId="0" applyFill="1" applyBorder="1" applyAlignment="1">
      <alignment horizontal="center" vertical="center" wrapText="1"/>
    </xf>
    <xf numFmtId="0" fontId="0" fillId="24" borderId="98" xfId="0" applyFill="1" applyBorder="1" applyAlignment="1">
      <alignment horizontal="center" vertical="center" wrapText="1"/>
    </xf>
    <xf numFmtId="0" fontId="40" fillId="35" borderId="85" xfId="0" applyFont="1" applyFill="1" applyBorder="1" applyAlignment="1">
      <alignment horizontal="center" shrinkToFit="1"/>
    </xf>
    <xf numFmtId="0" fontId="40" fillId="35" borderId="86" xfId="0" applyFont="1" applyFill="1" applyBorder="1" applyAlignment="1">
      <alignment horizontal="center" shrinkToFit="1"/>
    </xf>
    <xf numFmtId="0" fontId="40" fillId="35" borderId="87" xfId="0" applyFont="1" applyFill="1" applyBorder="1" applyAlignment="1">
      <alignment horizontal="center" shrinkToFit="1"/>
    </xf>
    <xf numFmtId="0" fontId="40" fillId="24" borderId="85" xfId="0" applyFont="1" applyFill="1" applyBorder="1" applyAlignment="1">
      <alignment horizontal="center" shrinkToFit="1"/>
    </xf>
    <xf numFmtId="0" fontId="40" fillId="24" borderId="86" xfId="0" applyFont="1" applyFill="1" applyBorder="1" applyAlignment="1">
      <alignment horizontal="center" shrinkToFit="1"/>
    </xf>
    <xf numFmtId="0" fontId="40" fillId="24" borderId="87" xfId="0" applyFont="1" applyFill="1" applyBorder="1" applyAlignment="1">
      <alignment horizontal="center" shrinkToFit="1"/>
    </xf>
    <xf numFmtId="0" fontId="55" fillId="0" borderId="1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5" fillId="0" borderId="47" xfId="0" applyFont="1" applyBorder="1" applyAlignment="1">
      <alignment horizontal="center"/>
    </xf>
    <xf numFmtId="167" fontId="55" fillId="0" borderId="9" xfId="0" applyNumberFormat="1" applyFont="1" applyBorder="1" applyAlignment="1">
      <alignment horizontal="center" vertical="center" wrapText="1"/>
    </xf>
    <xf numFmtId="167" fontId="55" fillId="0" borderId="22" xfId="0" applyNumberFormat="1" applyFont="1" applyBorder="1" applyAlignment="1">
      <alignment horizontal="center" vertical="center" wrapText="1"/>
    </xf>
    <xf numFmtId="167" fontId="55" fillId="0" borderId="51" xfId="0" applyNumberFormat="1" applyFont="1" applyBorder="1" applyAlignment="1">
      <alignment horizontal="center" vertical="center" wrapText="1"/>
    </xf>
    <xf numFmtId="0" fontId="55" fillId="0" borderId="38" xfId="0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52" fillId="0" borderId="51" xfId="0" applyFont="1" applyBorder="1" applyAlignment="1">
      <alignment horizontal="center" vertical="center"/>
    </xf>
    <xf numFmtId="167" fontId="52" fillId="0" borderId="9" xfId="0" applyNumberFormat="1" applyFont="1" applyBorder="1" applyAlignment="1">
      <alignment horizontal="center" vertical="center" wrapText="1"/>
    </xf>
    <xf numFmtId="167" fontId="52" fillId="0" borderId="22" xfId="0" applyNumberFormat="1" applyFont="1" applyBorder="1" applyAlignment="1">
      <alignment horizontal="center" vertical="center" wrapText="1"/>
    </xf>
    <xf numFmtId="167" fontId="52" fillId="0" borderId="51" xfId="0" applyNumberFormat="1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/>
    </xf>
    <xf numFmtId="166" fontId="21" fillId="31" borderId="76" xfId="22" applyNumberFormat="1" applyFont="1" applyFill="1" applyBorder="1" applyAlignment="1">
      <alignment horizontal="center" vertical="center" wrapText="1"/>
    </xf>
    <xf numFmtId="166" fontId="55" fillId="37" borderId="6" xfId="23" applyNumberFormat="1" applyFont="1" applyFill="1" applyBorder="1" applyAlignment="1">
      <alignment horizontal="center" vertical="center" wrapText="1"/>
    </xf>
    <xf numFmtId="166" fontId="55" fillId="37" borderId="7" xfId="23" applyNumberFormat="1" applyFont="1" applyFill="1" applyBorder="1" applyAlignment="1">
      <alignment horizontal="center" vertical="center" wrapText="1"/>
    </xf>
    <xf numFmtId="166" fontId="55" fillId="42" borderId="8" xfId="23" applyNumberFormat="1" applyFont="1" applyFill="1" applyBorder="1" applyAlignment="1">
      <alignment horizontal="center" vertical="center" wrapText="1"/>
    </xf>
    <xf numFmtId="166" fontId="55" fillId="42" borderId="6" xfId="23" applyNumberFormat="1" applyFont="1" applyFill="1" applyBorder="1" applyAlignment="1">
      <alignment horizontal="center" vertical="center" wrapText="1"/>
    </xf>
    <xf numFmtId="166" fontId="55" fillId="42" borderId="7" xfId="23" applyNumberFormat="1" applyFont="1" applyFill="1" applyBorder="1" applyAlignment="1">
      <alignment horizontal="center" vertical="center" wrapText="1"/>
    </xf>
    <xf numFmtId="166" fontId="55" fillId="43" borderId="8" xfId="23" applyNumberFormat="1" applyFont="1" applyFill="1" applyBorder="1" applyAlignment="1">
      <alignment horizontal="center" vertical="center" wrapText="1"/>
    </xf>
    <xf numFmtId="166" fontId="55" fillId="43" borderId="6" xfId="23" applyNumberFormat="1" applyFont="1" applyFill="1" applyBorder="1" applyAlignment="1">
      <alignment horizontal="center" vertical="center" wrapText="1"/>
    </xf>
    <xf numFmtId="166" fontId="55" fillId="43" borderId="7" xfId="23" applyNumberFormat="1" applyFont="1" applyFill="1" applyBorder="1" applyAlignment="1">
      <alignment horizontal="center" vertical="center" wrapText="1"/>
    </xf>
    <xf numFmtId="166" fontId="56" fillId="0" borderId="55" xfId="22" applyNumberFormat="1" applyFont="1" applyBorder="1" applyAlignment="1">
      <alignment horizontal="center"/>
    </xf>
    <xf numFmtId="166" fontId="56" fillId="0" borderId="75" xfId="22" applyNumberFormat="1" applyFont="1" applyBorder="1" applyAlignment="1">
      <alignment horizontal="center"/>
    </xf>
    <xf numFmtId="166" fontId="56" fillId="0" borderId="53" xfId="22" applyNumberFormat="1" applyFont="1" applyBorder="1" applyAlignment="1">
      <alignment horizontal="center"/>
    </xf>
    <xf numFmtId="0" fontId="59" fillId="0" borderId="70" xfId="0" applyFont="1" applyBorder="1" applyAlignment="1">
      <alignment horizontal="center" vertical="center" wrapText="1"/>
    </xf>
    <xf numFmtId="0" fontId="59" fillId="0" borderId="71" xfId="0" applyFont="1" applyBorder="1" applyAlignment="1">
      <alignment horizontal="center" vertical="center" wrapText="1"/>
    </xf>
    <xf numFmtId="0" fontId="59" fillId="0" borderId="72" xfId="0" applyFont="1" applyBorder="1" applyAlignment="1">
      <alignment horizontal="center" vertical="center" wrapText="1"/>
    </xf>
    <xf numFmtId="0" fontId="60" fillId="0" borderId="68" xfId="0" applyFont="1" applyBorder="1" applyAlignment="1">
      <alignment horizontal="center" vertical="center"/>
    </xf>
    <xf numFmtId="0" fontId="60" fillId="0" borderId="69" xfId="0" applyFont="1" applyBorder="1" applyAlignment="1">
      <alignment horizontal="center" vertical="center"/>
    </xf>
    <xf numFmtId="167" fontId="60" fillId="0" borderId="68" xfId="0" applyNumberFormat="1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02" fillId="0" borderId="0" xfId="188"/>
    <xf numFmtId="0" fontId="8" fillId="31" borderId="0" xfId="0" applyFont="1" applyFill="1" applyAlignment="1">
      <alignment horizontal="center"/>
    </xf>
    <xf numFmtId="0" fontId="0" fillId="31" borderId="0" xfId="0" applyFill="1" applyAlignment="1">
      <alignment horizontal="center"/>
    </xf>
    <xf numFmtId="0" fontId="40" fillId="0" borderId="49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73" xfId="0" applyFont="1" applyBorder="1" applyAlignment="1">
      <alignment horizontal="center"/>
    </xf>
    <xf numFmtId="0" fontId="40" fillId="0" borderId="74" xfId="0" applyFont="1" applyBorder="1" applyAlignment="1">
      <alignment horizontal="center"/>
    </xf>
    <xf numFmtId="167" fontId="36" fillId="0" borderId="9" xfId="0" applyNumberFormat="1" applyFont="1" applyBorder="1" applyAlignment="1">
      <alignment horizontal="center" vertical="center" wrapText="1"/>
    </xf>
    <xf numFmtId="167" fontId="36" fillId="0" borderId="22" xfId="0" applyNumberFormat="1" applyFont="1" applyBorder="1" applyAlignment="1">
      <alignment horizontal="center" vertical="center" wrapText="1"/>
    </xf>
    <xf numFmtId="167" fontId="36" fillId="0" borderId="51" xfId="0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166" fontId="42" fillId="0" borderId="6" xfId="22" applyNumberFormat="1" applyFont="1" applyBorder="1" applyAlignment="1">
      <alignment horizontal="center" vertical="center" wrapText="1"/>
    </xf>
    <xf numFmtId="166" fontId="42" fillId="0" borderId="7" xfId="22" applyNumberFormat="1" applyFont="1" applyBorder="1" applyAlignment="1">
      <alignment horizontal="center" vertical="center" wrapText="1"/>
    </xf>
    <xf numFmtId="166" fontId="42" fillId="0" borderId="8" xfId="22" applyNumberFormat="1" applyFont="1" applyBorder="1" applyAlignment="1">
      <alignment horizontal="center" vertical="center" wrapText="1"/>
    </xf>
    <xf numFmtId="0" fontId="43" fillId="0" borderId="68" xfId="0" applyFont="1" applyBorder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167" fontId="43" fillId="0" borderId="68" xfId="0" applyNumberFormat="1" applyFont="1" applyBorder="1" applyAlignment="1">
      <alignment horizontal="center" vertical="center" wrapText="1"/>
    </xf>
  </cellXfs>
  <cellStyles count="686">
    <cellStyle name="Accent1 - 20%" xfId="1" xr:uid="{00000000-0005-0000-0000-000000000000}"/>
    <cellStyle name="Accent1 - 20% 2" xfId="37" xr:uid="{00000000-0005-0000-0000-000001000000}"/>
    <cellStyle name="Accent1 - 20% 2 2" xfId="68" xr:uid="{00000000-0005-0000-0000-000002000000}"/>
    <cellStyle name="Accent1 - 20% 2 2 2" xfId="149" xr:uid="{00000000-0005-0000-0000-000003000000}"/>
    <cellStyle name="Accent1 - 20% 2 2 2 2" xfId="316" xr:uid="{00000000-0005-0000-0000-000004000000}"/>
    <cellStyle name="Accent1 - 20% 2 2 2 2 2" xfId="646" xr:uid="{00000000-0005-0000-0000-000005000000}"/>
    <cellStyle name="Accent1 - 20% 2 2 2 3" xfId="482" xr:uid="{00000000-0005-0000-0000-000006000000}"/>
    <cellStyle name="Accent1 - 20% 2 2 3" xfId="237" xr:uid="{00000000-0005-0000-0000-000007000000}"/>
    <cellStyle name="Accent1 - 20% 2 2 3 2" xfId="567" xr:uid="{00000000-0005-0000-0000-000008000000}"/>
    <cellStyle name="Accent1 - 20% 2 2 4" xfId="403" xr:uid="{00000000-0005-0000-0000-000009000000}"/>
    <cellStyle name="Accent1 - 20% 2 3" xfId="95" xr:uid="{00000000-0005-0000-0000-00000A000000}"/>
    <cellStyle name="Accent1 - 20% 2 3 2" xfId="175" xr:uid="{00000000-0005-0000-0000-00000B000000}"/>
    <cellStyle name="Accent1 - 20% 2 3 2 2" xfId="342" xr:uid="{00000000-0005-0000-0000-00000C000000}"/>
    <cellStyle name="Accent1 - 20% 2 3 2 2 2" xfId="672" xr:uid="{00000000-0005-0000-0000-00000D000000}"/>
    <cellStyle name="Accent1 - 20% 2 3 2 3" xfId="508" xr:uid="{00000000-0005-0000-0000-00000E000000}"/>
    <cellStyle name="Accent1 - 20% 2 3 3" xfId="263" xr:uid="{00000000-0005-0000-0000-00000F000000}"/>
    <cellStyle name="Accent1 - 20% 2 3 3 2" xfId="593" xr:uid="{00000000-0005-0000-0000-000010000000}"/>
    <cellStyle name="Accent1 - 20% 2 3 4" xfId="429" xr:uid="{00000000-0005-0000-0000-000011000000}"/>
    <cellStyle name="Accent1 - 20% 2 4" xfId="123" xr:uid="{00000000-0005-0000-0000-000012000000}"/>
    <cellStyle name="Accent1 - 20% 2 4 2" xfId="290" xr:uid="{00000000-0005-0000-0000-000013000000}"/>
    <cellStyle name="Accent1 - 20% 2 4 2 2" xfId="620" xr:uid="{00000000-0005-0000-0000-000014000000}"/>
    <cellStyle name="Accent1 - 20% 2 4 3" xfId="456" xr:uid="{00000000-0005-0000-0000-000015000000}"/>
    <cellStyle name="Accent1 - 20% 2 5" xfId="209" xr:uid="{00000000-0005-0000-0000-000016000000}"/>
    <cellStyle name="Accent1 - 20% 2 5 2" xfId="539" xr:uid="{00000000-0005-0000-0000-000017000000}"/>
    <cellStyle name="Accent1 - 20% 2 6" xfId="375" xr:uid="{00000000-0005-0000-0000-000018000000}"/>
    <cellStyle name="Accent1 - 20% 3" xfId="53" xr:uid="{00000000-0005-0000-0000-000019000000}"/>
    <cellStyle name="Accent1 - 20% 3 2" xfId="136" xr:uid="{00000000-0005-0000-0000-00001A000000}"/>
    <cellStyle name="Accent1 - 20% 3 2 2" xfId="303" xr:uid="{00000000-0005-0000-0000-00001B000000}"/>
    <cellStyle name="Accent1 - 20% 3 2 2 2" xfId="633" xr:uid="{00000000-0005-0000-0000-00001C000000}"/>
    <cellStyle name="Accent1 - 20% 3 2 3" xfId="469" xr:uid="{00000000-0005-0000-0000-00001D000000}"/>
    <cellStyle name="Accent1 - 20% 3 3" xfId="223" xr:uid="{00000000-0005-0000-0000-00001E000000}"/>
    <cellStyle name="Accent1 - 20% 3 3 2" xfId="553" xr:uid="{00000000-0005-0000-0000-00001F000000}"/>
    <cellStyle name="Accent1 - 20% 3 4" xfId="389" xr:uid="{00000000-0005-0000-0000-000020000000}"/>
    <cellStyle name="Accent1 - 20% 4" xfId="82" xr:uid="{00000000-0005-0000-0000-000021000000}"/>
    <cellStyle name="Accent1 - 20% 4 2" xfId="162" xr:uid="{00000000-0005-0000-0000-000022000000}"/>
    <cellStyle name="Accent1 - 20% 4 2 2" xfId="329" xr:uid="{00000000-0005-0000-0000-000023000000}"/>
    <cellStyle name="Accent1 - 20% 4 2 2 2" xfId="659" xr:uid="{00000000-0005-0000-0000-000024000000}"/>
    <cellStyle name="Accent1 - 20% 4 2 3" xfId="495" xr:uid="{00000000-0005-0000-0000-000025000000}"/>
    <cellStyle name="Accent1 - 20% 4 3" xfId="250" xr:uid="{00000000-0005-0000-0000-000026000000}"/>
    <cellStyle name="Accent1 - 20% 4 3 2" xfId="580" xr:uid="{00000000-0005-0000-0000-000027000000}"/>
    <cellStyle name="Accent1 - 20% 4 4" xfId="416" xr:uid="{00000000-0005-0000-0000-000028000000}"/>
    <cellStyle name="Accent1 - 20% 5" xfId="108" xr:uid="{00000000-0005-0000-0000-000029000000}"/>
    <cellStyle name="Accent1 - 20% 5 2" xfId="276" xr:uid="{00000000-0005-0000-0000-00002A000000}"/>
    <cellStyle name="Accent1 - 20% 5 2 2" xfId="606" xr:uid="{00000000-0005-0000-0000-00002B000000}"/>
    <cellStyle name="Accent1 - 20% 5 3" xfId="442" xr:uid="{00000000-0005-0000-0000-00002C000000}"/>
    <cellStyle name="Accent1 - 20% 6" xfId="191" xr:uid="{00000000-0005-0000-0000-00002D000000}"/>
    <cellStyle name="Accent1 - 20% 6 2" xfId="522" xr:uid="{00000000-0005-0000-0000-00002E000000}"/>
    <cellStyle name="Accent1 - 20% 7" xfId="357" xr:uid="{00000000-0005-0000-0000-00002F000000}"/>
    <cellStyle name="Accent1 - 40%" xfId="2" xr:uid="{00000000-0005-0000-0000-000030000000}"/>
    <cellStyle name="Accent1 - 40% 2" xfId="38" xr:uid="{00000000-0005-0000-0000-000031000000}"/>
    <cellStyle name="Accent1 - 40% 2 2" xfId="69" xr:uid="{00000000-0005-0000-0000-000032000000}"/>
    <cellStyle name="Accent1 - 40% 2 2 2" xfId="150" xr:uid="{00000000-0005-0000-0000-000033000000}"/>
    <cellStyle name="Accent1 - 40% 2 2 2 2" xfId="317" xr:uid="{00000000-0005-0000-0000-000034000000}"/>
    <cellStyle name="Accent1 - 40% 2 2 2 2 2" xfId="647" xr:uid="{00000000-0005-0000-0000-000035000000}"/>
    <cellStyle name="Accent1 - 40% 2 2 2 3" xfId="483" xr:uid="{00000000-0005-0000-0000-000036000000}"/>
    <cellStyle name="Accent1 - 40% 2 2 3" xfId="238" xr:uid="{00000000-0005-0000-0000-000037000000}"/>
    <cellStyle name="Accent1 - 40% 2 2 3 2" xfId="568" xr:uid="{00000000-0005-0000-0000-000038000000}"/>
    <cellStyle name="Accent1 - 40% 2 2 4" xfId="404" xr:uid="{00000000-0005-0000-0000-000039000000}"/>
    <cellStyle name="Accent1 - 40% 2 3" xfId="96" xr:uid="{00000000-0005-0000-0000-00003A000000}"/>
    <cellStyle name="Accent1 - 40% 2 3 2" xfId="176" xr:uid="{00000000-0005-0000-0000-00003B000000}"/>
    <cellStyle name="Accent1 - 40% 2 3 2 2" xfId="343" xr:uid="{00000000-0005-0000-0000-00003C000000}"/>
    <cellStyle name="Accent1 - 40% 2 3 2 2 2" xfId="673" xr:uid="{00000000-0005-0000-0000-00003D000000}"/>
    <cellStyle name="Accent1 - 40% 2 3 2 3" xfId="509" xr:uid="{00000000-0005-0000-0000-00003E000000}"/>
    <cellStyle name="Accent1 - 40% 2 3 3" xfId="264" xr:uid="{00000000-0005-0000-0000-00003F000000}"/>
    <cellStyle name="Accent1 - 40% 2 3 3 2" xfId="594" xr:uid="{00000000-0005-0000-0000-000040000000}"/>
    <cellStyle name="Accent1 - 40% 2 3 4" xfId="430" xr:uid="{00000000-0005-0000-0000-000041000000}"/>
    <cellStyle name="Accent1 - 40% 2 4" xfId="124" xr:uid="{00000000-0005-0000-0000-000042000000}"/>
    <cellStyle name="Accent1 - 40% 2 4 2" xfId="291" xr:uid="{00000000-0005-0000-0000-000043000000}"/>
    <cellStyle name="Accent1 - 40% 2 4 2 2" xfId="621" xr:uid="{00000000-0005-0000-0000-000044000000}"/>
    <cellStyle name="Accent1 - 40% 2 4 3" xfId="457" xr:uid="{00000000-0005-0000-0000-000045000000}"/>
    <cellStyle name="Accent1 - 40% 2 5" xfId="210" xr:uid="{00000000-0005-0000-0000-000046000000}"/>
    <cellStyle name="Accent1 - 40% 2 5 2" xfId="540" xr:uid="{00000000-0005-0000-0000-000047000000}"/>
    <cellStyle name="Accent1 - 40% 2 6" xfId="376" xr:uid="{00000000-0005-0000-0000-000048000000}"/>
    <cellStyle name="Accent1 - 40% 3" xfId="54" xr:uid="{00000000-0005-0000-0000-000049000000}"/>
    <cellStyle name="Accent1 - 40% 3 2" xfId="137" xr:uid="{00000000-0005-0000-0000-00004A000000}"/>
    <cellStyle name="Accent1 - 40% 3 2 2" xfId="304" xr:uid="{00000000-0005-0000-0000-00004B000000}"/>
    <cellStyle name="Accent1 - 40% 3 2 2 2" xfId="634" xr:uid="{00000000-0005-0000-0000-00004C000000}"/>
    <cellStyle name="Accent1 - 40% 3 2 3" xfId="470" xr:uid="{00000000-0005-0000-0000-00004D000000}"/>
    <cellStyle name="Accent1 - 40% 3 3" xfId="224" xr:uid="{00000000-0005-0000-0000-00004E000000}"/>
    <cellStyle name="Accent1 - 40% 3 3 2" xfId="554" xr:uid="{00000000-0005-0000-0000-00004F000000}"/>
    <cellStyle name="Accent1 - 40% 3 4" xfId="390" xr:uid="{00000000-0005-0000-0000-000050000000}"/>
    <cellStyle name="Accent1 - 40% 4" xfId="83" xr:uid="{00000000-0005-0000-0000-000051000000}"/>
    <cellStyle name="Accent1 - 40% 4 2" xfId="163" xr:uid="{00000000-0005-0000-0000-000052000000}"/>
    <cellStyle name="Accent1 - 40% 4 2 2" xfId="330" xr:uid="{00000000-0005-0000-0000-000053000000}"/>
    <cellStyle name="Accent1 - 40% 4 2 2 2" xfId="660" xr:uid="{00000000-0005-0000-0000-000054000000}"/>
    <cellStyle name="Accent1 - 40% 4 2 3" xfId="496" xr:uid="{00000000-0005-0000-0000-000055000000}"/>
    <cellStyle name="Accent1 - 40% 4 3" xfId="251" xr:uid="{00000000-0005-0000-0000-000056000000}"/>
    <cellStyle name="Accent1 - 40% 4 3 2" xfId="581" xr:uid="{00000000-0005-0000-0000-000057000000}"/>
    <cellStyle name="Accent1 - 40% 4 4" xfId="417" xr:uid="{00000000-0005-0000-0000-000058000000}"/>
    <cellStyle name="Accent1 - 40% 5" xfId="109" xr:uid="{00000000-0005-0000-0000-000059000000}"/>
    <cellStyle name="Accent1 - 40% 5 2" xfId="277" xr:uid="{00000000-0005-0000-0000-00005A000000}"/>
    <cellStyle name="Accent1 - 40% 5 2 2" xfId="607" xr:uid="{00000000-0005-0000-0000-00005B000000}"/>
    <cellStyle name="Accent1 - 40% 5 3" xfId="443" xr:uid="{00000000-0005-0000-0000-00005C000000}"/>
    <cellStyle name="Accent1 - 40% 6" xfId="192" xr:uid="{00000000-0005-0000-0000-00005D000000}"/>
    <cellStyle name="Accent1 - 40% 6 2" xfId="523" xr:uid="{00000000-0005-0000-0000-00005E000000}"/>
    <cellStyle name="Accent1 - 40% 7" xfId="358" xr:uid="{00000000-0005-0000-0000-00005F000000}"/>
    <cellStyle name="Accent1 - 60%" xfId="3" xr:uid="{00000000-0005-0000-0000-000060000000}"/>
    <cellStyle name="Accent2 - 20%" xfId="4" xr:uid="{00000000-0005-0000-0000-000061000000}"/>
    <cellStyle name="Accent2 - 20% 2" xfId="39" xr:uid="{00000000-0005-0000-0000-000062000000}"/>
    <cellStyle name="Accent2 - 20% 2 2" xfId="70" xr:uid="{00000000-0005-0000-0000-000063000000}"/>
    <cellStyle name="Accent2 - 20% 2 2 2" xfId="151" xr:uid="{00000000-0005-0000-0000-000064000000}"/>
    <cellStyle name="Accent2 - 20% 2 2 2 2" xfId="318" xr:uid="{00000000-0005-0000-0000-000065000000}"/>
    <cellStyle name="Accent2 - 20% 2 2 2 2 2" xfId="648" xr:uid="{00000000-0005-0000-0000-000066000000}"/>
    <cellStyle name="Accent2 - 20% 2 2 2 3" xfId="484" xr:uid="{00000000-0005-0000-0000-000067000000}"/>
    <cellStyle name="Accent2 - 20% 2 2 3" xfId="239" xr:uid="{00000000-0005-0000-0000-000068000000}"/>
    <cellStyle name="Accent2 - 20% 2 2 3 2" xfId="569" xr:uid="{00000000-0005-0000-0000-000069000000}"/>
    <cellStyle name="Accent2 - 20% 2 2 4" xfId="405" xr:uid="{00000000-0005-0000-0000-00006A000000}"/>
    <cellStyle name="Accent2 - 20% 2 3" xfId="97" xr:uid="{00000000-0005-0000-0000-00006B000000}"/>
    <cellStyle name="Accent2 - 20% 2 3 2" xfId="177" xr:uid="{00000000-0005-0000-0000-00006C000000}"/>
    <cellStyle name="Accent2 - 20% 2 3 2 2" xfId="344" xr:uid="{00000000-0005-0000-0000-00006D000000}"/>
    <cellStyle name="Accent2 - 20% 2 3 2 2 2" xfId="674" xr:uid="{00000000-0005-0000-0000-00006E000000}"/>
    <cellStyle name="Accent2 - 20% 2 3 2 3" xfId="510" xr:uid="{00000000-0005-0000-0000-00006F000000}"/>
    <cellStyle name="Accent2 - 20% 2 3 3" xfId="265" xr:uid="{00000000-0005-0000-0000-000070000000}"/>
    <cellStyle name="Accent2 - 20% 2 3 3 2" xfId="595" xr:uid="{00000000-0005-0000-0000-000071000000}"/>
    <cellStyle name="Accent2 - 20% 2 3 4" xfId="431" xr:uid="{00000000-0005-0000-0000-000072000000}"/>
    <cellStyle name="Accent2 - 20% 2 4" xfId="125" xr:uid="{00000000-0005-0000-0000-000073000000}"/>
    <cellStyle name="Accent2 - 20% 2 4 2" xfId="292" xr:uid="{00000000-0005-0000-0000-000074000000}"/>
    <cellStyle name="Accent2 - 20% 2 4 2 2" xfId="622" xr:uid="{00000000-0005-0000-0000-000075000000}"/>
    <cellStyle name="Accent2 - 20% 2 4 3" xfId="458" xr:uid="{00000000-0005-0000-0000-000076000000}"/>
    <cellStyle name="Accent2 - 20% 2 5" xfId="211" xr:uid="{00000000-0005-0000-0000-000077000000}"/>
    <cellStyle name="Accent2 - 20% 2 5 2" xfId="541" xr:uid="{00000000-0005-0000-0000-000078000000}"/>
    <cellStyle name="Accent2 - 20% 2 6" xfId="377" xr:uid="{00000000-0005-0000-0000-000079000000}"/>
    <cellStyle name="Accent2 - 20% 3" xfId="55" xr:uid="{00000000-0005-0000-0000-00007A000000}"/>
    <cellStyle name="Accent2 - 20% 3 2" xfId="138" xr:uid="{00000000-0005-0000-0000-00007B000000}"/>
    <cellStyle name="Accent2 - 20% 3 2 2" xfId="305" xr:uid="{00000000-0005-0000-0000-00007C000000}"/>
    <cellStyle name="Accent2 - 20% 3 2 2 2" xfId="635" xr:uid="{00000000-0005-0000-0000-00007D000000}"/>
    <cellStyle name="Accent2 - 20% 3 2 3" xfId="471" xr:uid="{00000000-0005-0000-0000-00007E000000}"/>
    <cellStyle name="Accent2 - 20% 3 3" xfId="225" xr:uid="{00000000-0005-0000-0000-00007F000000}"/>
    <cellStyle name="Accent2 - 20% 3 3 2" xfId="555" xr:uid="{00000000-0005-0000-0000-000080000000}"/>
    <cellStyle name="Accent2 - 20% 3 4" xfId="391" xr:uid="{00000000-0005-0000-0000-000081000000}"/>
    <cellStyle name="Accent2 - 20% 4" xfId="84" xr:uid="{00000000-0005-0000-0000-000082000000}"/>
    <cellStyle name="Accent2 - 20% 4 2" xfId="164" xr:uid="{00000000-0005-0000-0000-000083000000}"/>
    <cellStyle name="Accent2 - 20% 4 2 2" xfId="331" xr:uid="{00000000-0005-0000-0000-000084000000}"/>
    <cellStyle name="Accent2 - 20% 4 2 2 2" xfId="661" xr:uid="{00000000-0005-0000-0000-000085000000}"/>
    <cellStyle name="Accent2 - 20% 4 2 3" xfId="497" xr:uid="{00000000-0005-0000-0000-000086000000}"/>
    <cellStyle name="Accent2 - 20% 4 3" xfId="252" xr:uid="{00000000-0005-0000-0000-000087000000}"/>
    <cellStyle name="Accent2 - 20% 4 3 2" xfId="582" xr:uid="{00000000-0005-0000-0000-000088000000}"/>
    <cellStyle name="Accent2 - 20% 4 4" xfId="418" xr:uid="{00000000-0005-0000-0000-000089000000}"/>
    <cellStyle name="Accent2 - 20% 5" xfId="110" xr:uid="{00000000-0005-0000-0000-00008A000000}"/>
    <cellStyle name="Accent2 - 20% 5 2" xfId="278" xr:uid="{00000000-0005-0000-0000-00008B000000}"/>
    <cellStyle name="Accent2 - 20% 5 2 2" xfId="608" xr:uid="{00000000-0005-0000-0000-00008C000000}"/>
    <cellStyle name="Accent2 - 20% 5 3" xfId="444" xr:uid="{00000000-0005-0000-0000-00008D000000}"/>
    <cellStyle name="Accent2 - 20% 6" xfId="193" xr:uid="{00000000-0005-0000-0000-00008E000000}"/>
    <cellStyle name="Accent2 - 20% 6 2" xfId="524" xr:uid="{00000000-0005-0000-0000-00008F000000}"/>
    <cellStyle name="Accent2 - 20% 7" xfId="359" xr:uid="{00000000-0005-0000-0000-000090000000}"/>
    <cellStyle name="Accent2 - 40%" xfId="5" xr:uid="{00000000-0005-0000-0000-000091000000}"/>
    <cellStyle name="Accent2 - 40% 2" xfId="40" xr:uid="{00000000-0005-0000-0000-000092000000}"/>
    <cellStyle name="Accent2 - 40% 2 2" xfId="71" xr:uid="{00000000-0005-0000-0000-000093000000}"/>
    <cellStyle name="Accent2 - 40% 2 2 2" xfId="152" xr:uid="{00000000-0005-0000-0000-000094000000}"/>
    <cellStyle name="Accent2 - 40% 2 2 2 2" xfId="319" xr:uid="{00000000-0005-0000-0000-000095000000}"/>
    <cellStyle name="Accent2 - 40% 2 2 2 2 2" xfId="649" xr:uid="{00000000-0005-0000-0000-000096000000}"/>
    <cellStyle name="Accent2 - 40% 2 2 2 3" xfId="485" xr:uid="{00000000-0005-0000-0000-000097000000}"/>
    <cellStyle name="Accent2 - 40% 2 2 3" xfId="240" xr:uid="{00000000-0005-0000-0000-000098000000}"/>
    <cellStyle name="Accent2 - 40% 2 2 3 2" xfId="570" xr:uid="{00000000-0005-0000-0000-000099000000}"/>
    <cellStyle name="Accent2 - 40% 2 2 4" xfId="406" xr:uid="{00000000-0005-0000-0000-00009A000000}"/>
    <cellStyle name="Accent2 - 40% 2 3" xfId="98" xr:uid="{00000000-0005-0000-0000-00009B000000}"/>
    <cellStyle name="Accent2 - 40% 2 3 2" xfId="178" xr:uid="{00000000-0005-0000-0000-00009C000000}"/>
    <cellStyle name="Accent2 - 40% 2 3 2 2" xfId="345" xr:uid="{00000000-0005-0000-0000-00009D000000}"/>
    <cellStyle name="Accent2 - 40% 2 3 2 2 2" xfId="675" xr:uid="{00000000-0005-0000-0000-00009E000000}"/>
    <cellStyle name="Accent2 - 40% 2 3 2 3" xfId="511" xr:uid="{00000000-0005-0000-0000-00009F000000}"/>
    <cellStyle name="Accent2 - 40% 2 3 3" xfId="266" xr:uid="{00000000-0005-0000-0000-0000A0000000}"/>
    <cellStyle name="Accent2 - 40% 2 3 3 2" xfId="596" xr:uid="{00000000-0005-0000-0000-0000A1000000}"/>
    <cellStyle name="Accent2 - 40% 2 3 4" xfId="432" xr:uid="{00000000-0005-0000-0000-0000A2000000}"/>
    <cellStyle name="Accent2 - 40% 2 4" xfId="126" xr:uid="{00000000-0005-0000-0000-0000A3000000}"/>
    <cellStyle name="Accent2 - 40% 2 4 2" xfId="293" xr:uid="{00000000-0005-0000-0000-0000A4000000}"/>
    <cellStyle name="Accent2 - 40% 2 4 2 2" xfId="623" xr:uid="{00000000-0005-0000-0000-0000A5000000}"/>
    <cellStyle name="Accent2 - 40% 2 4 3" xfId="459" xr:uid="{00000000-0005-0000-0000-0000A6000000}"/>
    <cellStyle name="Accent2 - 40% 2 5" xfId="212" xr:uid="{00000000-0005-0000-0000-0000A7000000}"/>
    <cellStyle name="Accent2 - 40% 2 5 2" xfId="542" xr:uid="{00000000-0005-0000-0000-0000A8000000}"/>
    <cellStyle name="Accent2 - 40% 2 6" xfId="378" xr:uid="{00000000-0005-0000-0000-0000A9000000}"/>
    <cellStyle name="Accent2 - 40% 3" xfId="56" xr:uid="{00000000-0005-0000-0000-0000AA000000}"/>
    <cellStyle name="Accent2 - 40% 3 2" xfId="139" xr:uid="{00000000-0005-0000-0000-0000AB000000}"/>
    <cellStyle name="Accent2 - 40% 3 2 2" xfId="306" xr:uid="{00000000-0005-0000-0000-0000AC000000}"/>
    <cellStyle name="Accent2 - 40% 3 2 2 2" xfId="636" xr:uid="{00000000-0005-0000-0000-0000AD000000}"/>
    <cellStyle name="Accent2 - 40% 3 2 3" xfId="472" xr:uid="{00000000-0005-0000-0000-0000AE000000}"/>
    <cellStyle name="Accent2 - 40% 3 3" xfId="226" xr:uid="{00000000-0005-0000-0000-0000AF000000}"/>
    <cellStyle name="Accent2 - 40% 3 3 2" xfId="556" xr:uid="{00000000-0005-0000-0000-0000B0000000}"/>
    <cellStyle name="Accent2 - 40% 3 4" xfId="392" xr:uid="{00000000-0005-0000-0000-0000B1000000}"/>
    <cellStyle name="Accent2 - 40% 4" xfId="85" xr:uid="{00000000-0005-0000-0000-0000B2000000}"/>
    <cellStyle name="Accent2 - 40% 4 2" xfId="165" xr:uid="{00000000-0005-0000-0000-0000B3000000}"/>
    <cellStyle name="Accent2 - 40% 4 2 2" xfId="332" xr:uid="{00000000-0005-0000-0000-0000B4000000}"/>
    <cellStyle name="Accent2 - 40% 4 2 2 2" xfId="662" xr:uid="{00000000-0005-0000-0000-0000B5000000}"/>
    <cellStyle name="Accent2 - 40% 4 2 3" xfId="498" xr:uid="{00000000-0005-0000-0000-0000B6000000}"/>
    <cellStyle name="Accent2 - 40% 4 3" xfId="253" xr:uid="{00000000-0005-0000-0000-0000B7000000}"/>
    <cellStyle name="Accent2 - 40% 4 3 2" xfId="583" xr:uid="{00000000-0005-0000-0000-0000B8000000}"/>
    <cellStyle name="Accent2 - 40% 4 4" xfId="419" xr:uid="{00000000-0005-0000-0000-0000B9000000}"/>
    <cellStyle name="Accent2 - 40% 5" xfId="111" xr:uid="{00000000-0005-0000-0000-0000BA000000}"/>
    <cellStyle name="Accent2 - 40% 5 2" xfId="279" xr:uid="{00000000-0005-0000-0000-0000BB000000}"/>
    <cellStyle name="Accent2 - 40% 5 2 2" xfId="609" xr:uid="{00000000-0005-0000-0000-0000BC000000}"/>
    <cellStyle name="Accent2 - 40% 5 3" xfId="445" xr:uid="{00000000-0005-0000-0000-0000BD000000}"/>
    <cellStyle name="Accent2 - 40% 6" xfId="194" xr:uid="{00000000-0005-0000-0000-0000BE000000}"/>
    <cellStyle name="Accent2 - 40% 6 2" xfId="525" xr:uid="{00000000-0005-0000-0000-0000BF000000}"/>
    <cellStyle name="Accent2 - 40% 7" xfId="360" xr:uid="{00000000-0005-0000-0000-0000C0000000}"/>
    <cellStyle name="Accent2 - 60%" xfId="6" xr:uid="{00000000-0005-0000-0000-0000C1000000}"/>
    <cellStyle name="Accent3 - 20%" xfId="7" xr:uid="{00000000-0005-0000-0000-0000C2000000}"/>
    <cellStyle name="Accent3 - 20% 2" xfId="41" xr:uid="{00000000-0005-0000-0000-0000C3000000}"/>
    <cellStyle name="Accent3 - 20% 2 2" xfId="72" xr:uid="{00000000-0005-0000-0000-0000C4000000}"/>
    <cellStyle name="Accent3 - 20% 2 2 2" xfId="153" xr:uid="{00000000-0005-0000-0000-0000C5000000}"/>
    <cellStyle name="Accent3 - 20% 2 2 2 2" xfId="320" xr:uid="{00000000-0005-0000-0000-0000C6000000}"/>
    <cellStyle name="Accent3 - 20% 2 2 2 2 2" xfId="650" xr:uid="{00000000-0005-0000-0000-0000C7000000}"/>
    <cellStyle name="Accent3 - 20% 2 2 2 3" xfId="486" xr:uid="{00000000-0005-0000-0000-0000C8000000}"/>
    <cellStyle name="Accent3 - 20% 2 2 3" xfId="241" xr:uid="{00000000-0005-0000-0000-0000C9000000}"/>
    <cellStyle name="Accent3 - 20% 2 2 3 2" xfId="571" xr:uid="{00000000-0005-0000-0000-0000CA000000}"/>
    <cellStyle name="Accent3 - 20% 2 2 4" xfId="407" xr:uid="{00000000-0005-0000-0000-0000CB000000}"/>
    <cellStyle name="Accent3 - 20% 2 3" xfId="99" xr:uid="{00000000-0005-0000-0000-0000CC000000}"/>
    <cellStyle name="Accent3 - 20% 2 3 2" xfId="179" xr:uid="{00000000-0005-0000-0000-0000CD000000}"/>
    <cellStyle name="Accent3 - 20% 2 3 2 2" xfId="346" xr:uid="{00000000-0005-0000-0000-0000CE000000}"/>
    <cellStyle name="Accent3 - 20% 2 3 2 2 2" xfId="676" xr:uid="{00000000-0005-0000-0000-0000CF000000}"/>
    <cellStyle name="Accent3 - 20% 2 3 2 3" xfId="512" xr:uid="{00000000-0005-0000-0000-0000D0000000}"/>
    <cellStyle name="Accent3 - 20% 2 3 3" xfId="267" xr:uid="{00000000-0005-0000-0000-0000D1000000}"/>
    <cellStyle name="Accent3 - 20% 2 3 3 2" xfId="597" xr:uid="{00000000-0005-0000-0000-0000D2000000}"/>
    <cellStyle name="Accent3 - 20% 2 3 4" xfId="433" xr:uid="{00000000-0005-0000-0000-0000D3000000}"/>
    <cellStyle name="Accent3 - 20% 2 4" xfId="127" xr:uid="{00000000-0005-0000-0000-0000D4000000}"/>
    <cellStyle name="Accent3 - 20% 2 4 2" xfId="294" xr:uid="{00000000-0005-0000-0000-0000D5000000}"/>
    <cellStyle name="Accent3 - 20% 2 4 2 2" xfId="624" xr:uid="{00000000-0005-0000-0000-0000D6000000}"/>
    <cellStyle name="Accent3 - 20% 2 4 3" xfId="460" xr:uid="{00000000-0005-0000-0000-0000D7000000}"/>
    <cellStyle name="Accent3 - 20% 2 5" xfId="213" xr:uid="{00000000-0005-0000-0000-0000D8000000}"/>
    <cellStyle name="Accent3 - 20% 2 5 2" xfId="543" xr:uid="{00000000-0005-0000-0000-0000D9000000}"/>
    <cellStyle name="Accent3 - 20% 2 6" xfId="379" xr:uid="{00000000-0005-0000-0000-0000DA000000}"/>
    <cellStyle name="Accent3 - 20% 3" xfId="57" xr:uid="{00000000-0005-0000-0000-0000DB000000}"/>
    <cellStyle name="Accent3 - 20% 3 2" xfId="140" xr:uid="{00000000-0005-0000-0000-0000DC000000}"/>
    <cellStyle name="Accent3 - 20% 3 2 2" xfId="307" xr:uid="{00000000-0005-0000-0000-0000DD000000}"/>
    <cellStyle name="Accent3 - 20% 3 2 2 2" xfId="637" xr:uid="{00000000-0005-0000-0000-0000DE000000}"/>
    <cellStyle name="Accent3 - 20% 3 2 3" xfId="473" xr:uid="{00000000-0005-0000-0000-0000DF000000}"/>
    <cellStyle name="Accent3 - 20% 3 3" xfId="227" xr:uid="{00000000-0005-0000-0000-0000E0000000}"/>
    <cellStyle name="Accent3 - 20% 3 3 2" xfId="557" xr:uid="{00000000-0005-0000-0000-0000E1000000}"/>
    <cellStyle name="Accent3 - 20% 3 4" xfId="393" xr:uid="{00000000-0005-0000-0000-0000E2000000}"/>
    <cellStyle name="Accent3 - 20% 4" xfId="86" xr:uid="{00000000-0005-0000-0000-0000E3000000}"/>
    <cellStyle name="Accent3 - 20% 4 2" xfId="166" xr:uid="{00000000-0005-0000-0000-0000E4000000}"/>
    <cellStyle name="Accent3 - 20% 4 2 2" xfId="333" xr:uid="{00000000-0005-0000-0000-0000E5000000}"/>
    <cellStyle name="Accent3 - 20% 4 2 2 2" xfId="663" xr:uid="{00000000-0005-0000-0000-0000E6000000}"/>
    <cellStyle name="Accent3 - 20% 4 2 3" xfId="499" xr:uid="{00000000-0005-0000-0000-0000E7000000}"/>
    <cellStyle name="Accent3 - 20% 4 3" xfId="254" xr:uid="{00000000-0005-0000-0000-0000E8000000}"/>
    <cellStyle name="Accent3 - 20% 4 3 2" xfId="584" xr:uid="{00000000-0005-0000-0000-0000E9000000}"/>
    <cellStyle name="Accent3 - 20% 4 4" xfId="420" xr:uid="{00000000-0005-0000-0000-0000EA000000}"/>
    <cellStyle name="Accent3 - 20% 5" xfId="112" xr:uid="{00000000-0005-0000-0000-0000EB000000}"/>
    <cellStyle name="Accent3 - 20% 5 2" xfId="280" xr:uid="{00000000-0005-0000-0000-0000EC000000}"/>
    <cellStyle name="Accent3 - 20% 5 2 2" xfId="610" xr:uid="{00000000-0005-0000-0000-0000ED000000}"/>
    <cellStyle name="Accent3 - 20% 5 3" xfId="446" xr:uid="{00000000-0005-0000-0000-0000EE000000}"/>
    <cellStyle name="Accent3 - 20% 6" xfId="195" xr:uid="{00000000-0005-0000-0000-0000EF000000}"/>
    <cellStyle name="Accent3 - 20% 6 2" xfId="526" xr:uid="{00000000-0005-0000-0000-0000F0000000}"/>
    <cellStyle name="Accent3 - 20% 7" xfId="361" xr:uid="{00000000-0005-0000-0000-0000F1000000}"/>
    <cellStyle name="Accent3 - 40%" xfId="8" xr:uid="{00000000-0005-0000-0000-0000F2000000}"/>
    <cellStyle name="Accent3 - 40% 2" xfId="42" xr:uid="{00000000-0005-0000-0000-0000F3000000}"/>
    <cellStyle name="Accent3 - 40% 2 2" xfId="73" xr:uid="{00000000-0005-0000-0000-0000F4000000}"/>
    <cellStyle name="Accent3 - 40% 2 2 2" xfId="154" xr:uid="{00000000-0005-0000-0000-0000F5000000}"/>
    <cellStyle name="Accent3 - 40% 2 2 2 2" xfId="321" xr:uid="{00000000-0005-0000-0000-0000F6000000}"/>
    <cellStyle name="Accent3 - 40% 2 2 2 2 2" xfId="651" xr:uid="{00000000-0005-0000-0000-0000F7000000}"/>
    <cellStyle name="Accent3 - 40% 2 2 2 3" xfId="487" xr:uid="{00000000-0005-0000-0000-0000F8000000}"/>
    <cellStyle name="Accent3 - 40% 2 2 3" xfId="242" xr:uid="{00000000-0005-0000-0000-0000F9000000}"/>
    <cellStyle name="Accent3 - 40% 2 2 3 2" xfId="572" xr:uid="{00000000-0005-0000-0000-0000FA000000}"/>
    <cellStyle name="Accent3 - 40% 2 2 4" xfId="408" xr:uid="{00000000-0005-0000-0000-0000FB000000}"/>
    <cellStyle name="Accent3 - 40% 2 3" xfId="100" xr:uid="{00000000-0005-0000-0000-0000FC000000}"/>
    <cellStyle name="Accent3 - 40% 2 3 2" xfId="180" xr:uid="{00000000-0005-0000-0000-0000FD000000}"/>
    <cellStyle name="Accent3 - 40% 2 3 2 2" xfId="347" xr:uid="{00000000-0005-0000-0000-0000FE000000}"/>
    <cellStyle name="Accent3 - 40% 2 3 2 2 2" xfId="677" xr:uid="{00000000-0005-0000-0000-0000FF000000}"/>
    <cellStyle name="Accent3 - 40% 2 3 2 3" xfId="513" xr:uid="{00000000-0005-0000-0000-000000010000}"/>
    <cellStyle name="Accent3 - 40% 2 3 3" xfId="268" xr:uid="{00000000-0005-0000-0000-000001010000}"/>
    <cellStyle name="Accent3 - 40% 2 3 3 2" xfId="598" xr:uid="{00000000-0005-0000-0000-000002010000}"/>
    <cellStyle name="Accent3 - 40% 2 3 4" xfId="434" xr:uid="{00000000-0005-0000-0000-000003010000}"/>
    <cellStyle name="Accent3 - 40% 2 4" xfId="128" xr:uid="{00000000-0005-0000-0000-000004010000}"/>
    <cellStyle name="Accent3 - 40% 2 4 2" xfId="295" xr:uid="{00000000-0005-0000-0000-000005010000}"/>
    <cellStyle name="Accent3 - 40% 2 4 2 2" xfId="625" xr:uid="{00000000-0005-0000-0000-000006010000}"/>
    <cellStyle name="Accent3 - 40% 2 4 3" xfId="461" xr:uid="{00000000-0005-0000-0000-000007010000}"/>
    <cellStyle name="Accent3 - 40% 2 5" xfId="214" xr:uid="{00000000-0005-0000-0000-000008010000}"/>
    <cellStyle name="Accent3 - 40% 2 5 2" xfId="544" xr:uid="{00000000-0005-0000-0000-000009010000}"/>
    <cellStyle name="Accent3 - 40% 2 6" xfId="380" xr:uid="{00000000-0005-0000-0000-00000A010000}"/>
    <cellStyle name="Accent3 - 40% 3" xfId="58" xr:uid="{00000000-0005-0000-0000-00000B010000}"/>
    <cellStyle name="Accent3 - 40% 3 2" xfId="141" xr:uid="{00000000-0005-0000-0000-00000C010000}"/>
    <cellStyle name="Accent3 - 40% 3 2 2" xfId="308" xr:uid="{00000000-0005-0000-0000-00000D010000}"/>
    <cellStyle name="Accent3 - 40% 3 2 2 2" xfId="638" xr:uid="{00000000-0005-0000-0000-00000E010000}"/>
    <cellStyle name="Accent3 - 40% 3 2 3" xfId="474" xr:uid="{00000000-0005-0000-0000-00000F010000}"/>
    <cellStyle name="Accent3 - 40% 3 3" xfId="228" xr:uid="{00000000-0005-0000-0000-000010010000}"/>
    <cellStyle name="Accent3 - 40% 3 3 2" xfId="558" xr:uid="{00000000-0005-0000-0000-000011010000}"/>
    <cellStyle name="Accent3 - 40% 3 4" xfId="394" xr:uid="{00000000-0005-0000-0000-000012010000}"/>
    <cellStyle name="Accent3 - 40% 4" xfId="87" xr:uid="{00000000-0005-0000-0000-000013010000}"/>
    <cellStyle name="Accent3 - 40% 4 2" xfId="167" xr:uid="{00000000-0005-0000-0000-000014010000}"/>
    <cellStyle name="Accent3 - 40% 4 2 2" xfId="334" xr:uid="{00000000-0005-0000-0000-000015010000}"/>
    <cellStyle name="Accent3 - 40% 4 2 2 2" xfId="664" xr:uid="{00000000-0005-0000-0000-000016010000}"/>
    <cellStyle name="Accent3 - 40% 4 2 3" xfId="500" xr:uid="{00000000-0005-0000-0000-000017010000}"/>
    <cellStyle name="Accent3 - 40% 4 3" xfId="255" xr:uid="{00000000-0005-0000-0000-000018010000}"/>
    <cellStyle name="Accent3 - 40% 4 3 2" xfId="585" xr:uid="{00000000-0005-0000-0000-000019010000}"/>
    <cellStyle name="Accent3 - 40% 4 4" xfId="421" xr:uid="{00000000-0005-0000-0000-00001A010000}"/>
    <cellStyle name="Accent3 - 40% 5" xfId="113" xr:uid="{00000000-0005-0000-0000-00001B010000}"/>
    <cellStyle name="Accent3 - 40% 5 2" xfId="281" xr:uid="{00000000-0005-0000-0000-00001C010000}"/>
    <cellStyle name="Accent3 - 40% 5 2 2" xfId="611" xr:uid="{00000000-0005-0000-0000-00001D010000}"/>
    <cellStyle name="Accent3 - 40% 5 3" xfId="447" xr:uid="{00000000-0005-0000-0000-00001E010000}"/>
    <cellStyle name="Accent3 - 40% 6" xfId="196" xr:uid="{00000000-0005-0000-0000-00001F010000}"/>
    <cellStyle name="Accent3 - 40% 6 2" xfId="527" xr:uid="{00000000-0005-0000-0000-000020010000}"/>
    <cellStyle name="Accent3 - 40% 7" xfId="362" xr:uid="{00000000-0005-0000-0000-000021010000}"/>
    <cellStyle name="Accent3 - 60%" xfId="9" xr:uid="{00000000-0005-0000-0000-000022010000}"/>
    <cellStyle name="Accent4 - 20%" xfId="10" xr:uid="{00000000-0005-0000-0000-000023010000}"/>
    <cellStyle name="Accent4 - 20% 2" xfId="43" xr:uid="{00000000-0005-0000-0000-000024010000}"/>
    <cellStyle name="Accent4 - 20% 2 2" xfId="74" xr:uid="{00000000-0005-0000-0000-000025010000}"/>
    <cellStyle name="Accent4 - 20% 2 2 2" xfId="155" xr:uid="{00000000-0005-0000-0000-000026010000}"/>
    <cellStyle name="Accent4 - 20% 2 2 2 2" xfId="322" xr:uid="{00000000-0005-0000-0000-000027010000}"/>
    <cellStyle name="Accent4 - 20% 2 2 2 2 2" xfId="652" xr:uid="{00000000-0005-0000-0000-000028010000}"/>
    <cellStyle name="Accent4 - 20% 2 2 2 3" xfId="488" xr:uid="{00000000-0005-0000-0000-000029010000}"/>
    <cellStyle name="Accent4 - 20% 2 2 3" xfId="243" xr:uid="{00000000-0005-0000-0000-00002A010000}"/>
    <cellStyle name="Accent4 - 20% 2 2 3 2" xfId="573" xr:uid="{00000000-0005-0000-0000-00002B010000}"/>
    <cellStyle name="Accent4 - 20% 2 2 4" xfId="409" xr:uid="{00000000-0005-0000-0000-00002C010000}"/>
    <cellStyle name="Accent4 - 20% 2 3" xfId="101" xr:uid="{00000000-0005-0000-0000-00002D010000}"/>
    <cellStyle name="Accent4 - 20% 2 3 2" xfId="181" xr:uid="{00000000-0005-0000-0000-00002E010000}"/>
    <cellStyle name="Accent4 - 20% 2 3 2 2" xfId="348" xr:uid="{00000000-0005-0000-0000-00002F010000}"/>
    <cellStyle name="Accent4 - 20% 2 3 2 2 2" xfId="678" xr:uid="{00000000-0005-0000-0000-000030010000}"/>
    <cellStyle name="Accent4 - 20% 2 3 2 3" xfId="514" xr:uid="{00000000-0005-0000-0000-000031010000}"/>
    <cellStyle name="Accent4 - 20% 2 3 3" xfId="269" xr:uid="{00000000-0005-0000-0000-000032010000}"/>
    <cellStyle name="Accent4 - 20% 2 3 3 2" xfId="599" xr:uid="{00000000-0005-0000-0000-000033010000}"/>
    <cellStyle name="Accent4 - 20% 2 3 4" xfId="435" xr:uid="{00000000-0005-0000-0000-000034010000}"/>
    <cellStyle name="Accent4 - 20% 2 4" xfId="129" xr:uid="{00000000-0005-0000-0000-000035010000}"/>
    <cellStyle name="Accent4 - 20% 2 4 2" xfId="296" xr:uid="{00000000-0005-0000-0000-000036010000}"/>
    <cellStyle name="Accent4 - 20% 2 4 2 2" xfId="626" xr:uid="{00000000-0005-0000-0000-000037010000}"/>
    <cellStyle name="Accent4 - 20% 2 4 3" xfId="462" xr:uid="{00000000-0005-0000-0000-000038010000}"/>
    <cellStyle name="Accent4 - 20% 2 5" xfId="215" xr:uid="{00000000-0005-0000-0000-000039010000}"/>
    <cellStyle name="Accent4 - 20% 2 5 2" xfId="545" xr:uid="{00000000-0005-0000-0000-00003A010000}"/>
    <cellStyle name="Accent4 - 20% 2 6" xfId="381" xr:uid="{00000000-0005-0000-0000-00003B010000}"/>
    <cellStyle name="Accent4 - 20% 3" xfId="59" xr:uid="{00000000-0005-0000-0000-00003C010000}"/>
    <cellStyle name="Accent4 - 20% 3 2" xfId="142" xr:uid="{00000000-0005-0000-0000-00003D010000}"/>
    <cellStyle name="Accent4 - 20% 3 2 2" xfId="309" xr:uid="{00000000-0005-0000-0000-00003E010000}"/>
    <cellStyle name="Accent4 - 20% 3 2 2 2" xfId="639" xr:uid="{00000000-0005-0000-0000-00003F010000}"/>
    <cellStyle name="Accent4 - 20% 3 2 3" xfId="475" xr:uid="{00000000-0005-0000-0000-000040010000}"/>
    <cellStyle name="Accent4 - 20% 3 3" xfId="229" xr:uid="{00000000-0005-0000-0000-000041010000}"/>
    <cellStyle name="Accent4 - 20% 3 3 2" xfId="559" xr:uid="{00000000-0005-0000-0000-000042010000}"/>
    <cellStyle name="Accent4 - 20% 3 4" xfId="395" xr:uid="{00000000-0005-0000-0000-000043010000}"/>
    <cellStyle name="Accent4 - 20% 4" xfId="88" xr:uid="{00000000-0005-0000-0000-000044010000}"/>
    <cellStyle name="Accent4 - 20% 4 2" xfId="168" xr:uid="{00000000-0005-0000-0000-000045010000}"/>
    <cellStyle name="Accent4 - 20% 4 2 2" xfId="335" xr:uid="{00000000-0005-0000-0000-000046010000}"/>
    <cellStyle name="Accent4 - 20% 4 2 2 2" xfId="665" xr:uid="{00000000-0005-0000-0000-000047010000}"/>
    <cellStyle name="Accent4 - 20% 4 2 3" xfId="501" xr:uid="{00000000-0005-0000-0000-000048010000}"/>
    <cellStyle name="Accent4 - 20% 4 3" xfId="256" xr:uid="{00000000-0005-0000-0000-000049010000}"/>
    <cellStyle name="Accent4 - 20% 4 3 2" xfId="586" xr:uid="{00000000-0005-0000-0000-00004A010000}"/>
    <cellStyle name="Accent4 - 20% 4 4" xfId="422" xr:uid="{00000000-0005-0000-0000-00004B010000}"/>
    <cellStyle name="Accent4 - 20% 5" xfId="114" xr:uid="{00000000-0005-0000-0000-00004C010000}"/>
    <cellStyle name="Accent4 - 20% 5 2" xfId="282" xr:uid="{00000000-0005-0000-0000-00004D010000}"/>
    <cellStyle name="Accent4 - 20% 5 2 2" xfId="612" xr:uid="{00000000-0005-0000-0000-00004E010000}"/>
    <cellStyle name="Accent4 - 20% 5 3" xfId="448" xr:uid="{00000000-0005-0000-0000-00004F010000}"/>
    <cellStyle name="Accent4 - 20% 6" xfId="197" xr:uid="{00000000-0005-0000-0000-000050010000}"/>
    <cellStyle name="Accent4 - 20% 6 2" xfId="528" xr:uid="{00000000-0005-0000-0000-000051010000}"/>
    <cellStyle name="Accent4 - 20% 7" xfId="363" xr:uid="{00000000-0005-0000-0000-000052010000}"/>
    <cellStyle name="Accent4 - 40%" xfId="11" xr:uid="{00000000-0005-0000-0000-000053010000}"/>
    <cellStyle name="Accent4 - 40% 2" xfId="44" xr:uid="{00000000-0005-0000-0000-000054010000}"/>
    <cellStyle name="Accent4 - 40% 2 2" xfId="75" xr:uid="{00000000-0005-0000-0000-000055010000}"/>
    <cellStyle name="Accent4 - 40% 2 2 2" xfId="156" xr:uid="{00000000-0005-0000-0000-000056010000}"/>
    <cellStyle name="Accent4 - 40% 2 2 2 2" xfId="323" xr:uid="{00000000-0005-0000-0000-000057010000}"/>
    <cellStyle name="Accent4 - 40% 2 2 2 2 2" xfId="653" xr:uid="{00000000-0005-0000-0000-000058010000}"/>
    <cellStyle name="Accent4 - 40% 2 2 2 3" xfId="489" xr:uid="{00000000-0005-0000-0000-000059010000}"/>
    <cellStyle name="Accent4 - 40% 2 2 3" xfId="244" xr:uid="{00000000-0005-0000-0000-00005A010000}"/>
    <cellStyle name="Accent4 - 40% 2 2 3 2" xfId="574" xr:uid="{00000000-0005-0000-0000-00005B010000}"/>
    <cellStyle name="Accent4 - 40% 2 2 4" xfId="410" xr:uid="{00000000-0005-0000-0000-00005C010000}"/>
    <cellStyle name="Accent4 - 40% 2 3" xfId="102" xr:uid="{00000000-0005-0000-0000-00005D010000}"/>
    <cellStyle name="Accent4 - 40% 2 3 2" xfId="182" xr:uid="{00000000-0005-0000-0000-00005E010000}"/>
    <cellStyle name="Accent4 - 40% 2 3 2 2" xfId="349" xr:uid="{00000000-0005-0000-0000-00005F010000}"/>
    <cellStyle name="Accent4 - 40% 2 3 2 2 2" xfId="679" xr:uid="{00000000-0005-0000-0000-000060010000}"/>
    <cellStyle name="Accent4 - 40% 2 3 2 3" xfId="515" xr:uid="{00000000-0005-0000-0000-000061010000}"/>
    <cellStyle name="Accent4 - 40% 2 3 3" xfId="270" xr:uid="{00000000-0005-0000-0000-000062010000}"/>
    <cellStyle name="Accent4 - 40% 2 3 3 2" xfId="600" xr:uid="{00000000-0005-0000-0000-000063010000}"/>
    <cellStyle name="Accent4 - 40% 2 3 4" xfId="436" xr:uid="{00000000-0005-0000-0000-000064010000}"/>
    <cellStyle name="Accent4 - 40% 2 4" xfId="130" xr:uid="{00000000-0005-0000-0000-000065010000}"/>
    <cellStyle name="Accent4 - 40% 2 4 2" xfId="297" xr:uid="{00000000-0005-0000-0000-000066010000}"/>
    <cellStyle name="Accent4 - 40% 2 4 2 2" xfId="627" xr:uid="{00000000-0005-0000-0000-000067010000}"/>
    <cellStyle name="Accent4 - 40% 2 4 3" xfId="463" xr:uid="{00000000-0005-0000-0000-000068010000}"/>
    <cellStyle name="Accent4 - 40% 2 5" xfId="216" xr:uid="{00000000-0005-0000-0000-000069010000}"/>
    <cellStyle name="Accent4 - 40% 2 5 2" xfId="546" xr:uid="{00000000-0005-0000-0000-00006A010000}"/>
    <cellStyle name="Accent4 - 40% 2 6" xfId="382" xr:uid="{00000000-0005-0000-0000-00006B010000}"/>
    <cellStyle name="Accent4 - 40% 3" xfId="60" xr:uid="{00000000-0005-0000-0000-00006C010000}"/>
    <cellStyle name="Accent4 - 40% 3 2" xfId="143" xr:uid="{00000000-0005-0000-0000-00006D010000}"/>
    <cellStyle name="Accent4 - 40% 3 2 2" xfId="310" xr:uid="{00000000-0005-0000-0000-00006E010000}"/>
    <cellStyle name="Accent4 - 40% 3 2 2 2" xfId="640" xr:uid="{00000000-0005-0000-0000-00006F010000}"/>
    <cellStyle name="Accent4 - 40% 3 2 3" xfId="476" xr:uid="{00000000-0005-0000-0000-000070010000}"/>
    <cellStyle name="Accent4 - 40% 3 3" xfId="230" xr:uid="{00000000-0005-0000-0000-000071010000}"/>
    <cellStyle name="Accent4 - 40% 3 3 2" xfId="560" xr:uid="{00000000-0005-0000-0000-000072010000}"/>
    <cellStyle name="Accent4 - 40% 3 4" xfId="396" xr:uid="{00000000-0005-0000-0000-000073010000}"/>
    <cellStyle name="Accent4 - 40% 4" xfId="89" xr:uid="{00000000-0005-0000-0000-000074010000}"/>
    <cellStyle name="Accent4 - 40% 4 2" xfId="169" xr:uid="{00000000-0005-0000-0000-000075010000}"/>
    <cellStyle name="Accent4 - 40% 4 2 2" xfId="336" xr:uid="{00000000-0005-0000-0000-000076010000}"/>
    <cellStyle name="Accent4 - 40% 4 2 2 2" xfId="666" xr:uid="{00000000-0005-0000-0000-000077010000}"/>
    <cellStyle name="Accent4 - 40% 4 2 3" xfId="502" xr:uid="{00000000-0005-0000-0000-000078010000}"/>
    <cellStyle name="Accent4 - 40% 4 3" xfId="257" xr:uid="{00000000-0005-0000-0000-000079010000}"/>
    <cellStyle name="Accent4 - 40% 4 3 2" xfId="587" xr:uid="{00000000-0005-0000-0000-00007A010000}"/>
    <cellStyle name="Accent4 - 40% 4 4" xfId="423" xr:uid="{00000000-0005-0000-0000-00007B010000}"/>
    <cellStyle name="Accent4 - 40% 5" xfId="115" xr:uid="{00000000-0005-0000-0000-00007C010000}"/>
    <cellStyle name="Accent4 - 40% 5 2" xfId="283" xr:uid="{00000000-0005-0000-0000-00007D010000}"/>
    <cellStyle name="Accent4 - 40% 5 2 2" xfId="613" xr:uid="{00000000-0005-0000-0000-00007E010000}"/>
    <cellStyle name="Accent4 - 40% 5 3" xfId="449" xr:uid="{00000000-0005-0000-0000-00007F010000}"/>
    <cellStyle name="Accent4 - 40% 6" xfId="198" xr:uid="{00000000-0005-0000-0000-000080010000}"/>
    <cellStyle name="Accent4 - 40% 6 2" xfId="529" xr:uid="{00000000-0005-0000-0000-000081010000}"/>
    <cellStyle name="Accent4 - 40% 7" xfId="364" xr:uid="{00000000-0005-0000-0000-000082010000}"/>
    <cellStyle name="Accent4 - 60%" xfId="12" xr:uid="{00000000-0005-0000-0000-000083010000}"/>
    <cellStyle name="Accent5 - 20%" xfId="13" xr:uid="{00000000-0005-0000-0000-000084010000}"/>
    <cellStyle name="Accent5 - 20% 2" xfId="45" xr:uid="{00000000-0005-0000-0000-000085010000}"/>
    <cellStyle name="Accent5 - 20% 2 2" xfId="76" xr:uid="{00000000-0005-0000-0000-000086010000}"/>
    <cellStyle name="Accent5 - 20% 2 2 2" xfId="157" xr:uid="{00000000-0005-0000-0000-000087010000}"/>
    <cellStyle name="Accent5 - 20% 2 2 2 2" xfId="324" xr:uid="{00000000-0005-0000-0000-000088010000}"/>
    <cellStyle name="Accent5 - 20% 2 2 2 2 2" xfId="654" xr:uid="{00000000-0005-0000-0000-000089010000}"/>
    <cellStyle name="Accent5 - 20% 2 2 2 3" xfId="490" xr:uid="{00000000-0005-0000-0000-00008A010000}"/>
    <cellStyle name="Accent5 - 20% 2 2 3" xfId="245" xr:uid="{00000000-0005-0000-0000-00008B010000}"/>
    <cellStyle name="Accent5 - 20% 2 2 3 2" xfId="575" xr:uid="{00000000-0005-0000-0000-00008C010000}"/>
    <cellStyle name="Accent5 - 20% 2 2 4" xfId="411" xr:uid="{00000000-0005-0000-0000-00008D010000}"/>
    <cellStyle name="Accent5 - 20% 2 3" xfId="103" xr:uid="{00000000-0005-0000-0000-00008E010000}"/>
    <cellStyle name="Accent5 - 20% 2 3 2" xfId="183" xr:uid="{00000000-0005-0000-0000-00008F010000}"/>
    <cellStyle name="Accent5 - 20% 2 3 2 2" xfId="350" xr:uid="{00000000-0005-0000-0000-000090010000}"/>
    <cellStyle name="Accent5 - 20% 2 3 2 2 2" xfId="680" xr:uid="{00000000-0005-0000-0000-000091010000}"/>
    <cellStyle name="Accent5 - 20% 2 3 2 3" xfId="516" xr:uid="{00000000-0005-0000-0000-000092010000}"/>
    <cellStyle name="Accent5 - 20% 2 3 3" xfId="271" xr:uid="{00000000-0005-0000-0000-000093010000}"/>
    <cellStyle name="Accent5 - 20% 2 3 3 2" xfId="601" xr:uid="{00000000-0005-0000-0000-000094010000}"/>
    <cellStyle name="Accent5 - 20% 2 3 4" xfId="437" xr:uid="{00000000-0005-0000-0000-000095010000}"/>
    <cellStyle name="Accent5 - 20% 2 4" xfId="131" xr:uid="{00000000-0005-0000-0000-000096010000}"/>
    <cellStyle name="Accent5 - 20% 2 4 2" xfId="298" xr:uid="{00000000-0005-0000-0000-000097010000}"/>
    <cellStyle name="Accent5 - 20% 2 4 2 2" xfId="628" xr:uid="{00000000-0005-0000-0000-000098010000}"/>
    <cellStyle name="Accent5 - 20% 2 4 3" xfId="464" xr:uid="{00000000-0005-0000-0000-000099010000}"/>
    <cellStyle name="Accent5 - 20% 2 5" xfId="217" xr:uid="{00000000-0005-0000-0000-00009A010000}"/>
    <cellStyle name="Accent5 - 20% 2 5 2" xfId="547" xr:uid="{00000000-0005-0000-0000-00009B010000}"/>
    <cellStyle name="Accent5 - 20% 2 6" xfId="383" xr:uid="{00000000-0005-0000-0000-00009C010000}"/>
    <cellStyle name="Accent5 - 20% 3" xfId="61" xr:uid="{00000000-0005-0000-0000-00009D010000}"/>
    <cellStyle name="Accent5 - 20% 3 2" xfId="144" xr:uid="{00000000-0005-0000-0000-00009E010000}"/>
    <cellStyle name="Accent5 - 20% 3 2 2" xfId="311" xr:uid="{00000000-0005-0000-0000-00009F010000}"/>
    <cellStyle name="Accent5 - 20% 3 2 2 2" xfId="641" xr:uid="{00000000-0005-0000-0000-0000A0010000}"/>
    <cellStyle name="Accent5 - 20% 3 2 3" xfId="477" xr:uid="{00000000-0005-0000-0000-0000A1010000}"/>
    <cellStyle name="Accent5 - 20% 3 3" xfId="231" xr:uid="{00000000-0005-0000-0000-0000A2010000}"/>
    <cellStyle name="Accent5 - 20% 3 3 2" xfId="561" xr:uid="{00000000-0005-0000-0000-0000A3010000}"/>
    <cellStyle name="Accent5 - 20% 3 4" xfId="397" xr:uid="{00000000-0005-0000-0000-0000A4010000}"/>
    <cellStyle name="Accent5 - 20% 4" xfId="90" xr:uid="{00000000-0005-0000-0000-0000A5010000}"/>
    <cellStyle name="Accent5 - 20% 4 2" xfId="170" xr:uid="{00000000-0005-0000-0000-0000A6010000}"/>
    <cellStyle name="Accent5 - 20% 4 2 2" xfId="337" xr:uid="{00000000-0005-0000-0000-0000A7010000}"/>
    <cellStyle name="Accent5 - 20% 4 2 2 2" xfId="667" xr:uid="{00000000-0005-0000-0000-0000A8010000}"/>
    <cellStyle name="Accent5 - 20% 4 2 3" xfId="503" xr:uid="{00000000-0005-0000-0000-0000A9010000}"/>
    <cellStyle name="Accent5 - 20% 4 3" xfId="258" xr:uid="{00000000-0005-0000-0000-0000AA010000}"/>
    <cellStyle name="Accent5 - 20% 4 3 2" xfId="588" xr:uid="{00000000-0005-0000-0000-0000AB010000}"/>
    <cellStyle name="Accent5 - 20% 4 4" xfId="424" xr:uid="{00000000-0005-0000-0000-0000AC010000}"/>
    <cellStyle name="Accent5 - 20% 5" xfId="116" xr:uid="{00000000-0005-0000-0000-0000AD010000}"/>
    <cellStyle name="Accent5 - 20% 5 2" xfId="284" xr:uid="{00000000-0005-0000-0000-0000AE010000}"/>
    <cellStyle name="Accent5 - 20% 5 2 2" xfId="614" xr:uid="{00000000-0005-0000-0000-0000AF010000}"/>
    <cellStyle name="Accent5 - 20% 5 3" xfId="450" xr:uid="{00000000-0005-0000-0000-0000B0010000}"/>
    <cellStyle name="Accent5 - 20% 6" xfId="199" xr:uid="{00000000-0005-0000-0000-0000B1010000}"/>
    <cellStyle name="Accent5 - 20% 6 2" xfId="530" xr:uid="{00000000-0005-0000-0000-0000B2010000}"/>
    <cellStyle name="Accent5 - 20% 7" xfId="365" xr:uid="{00000000-0005-0000-0000-0000B3010000}"/>
    <cellStyle name="Accent5 - 40%" xfId="14" xr:uid="{00000000-0005-0000-0000-0000B4010000}"/>
    <cellStyle name="Accent5 - 40% 2" xfId="46" xr:uid="{00000000-0005-0000-0000-0000B5010000}"/>
    <cellStyle name="Accent5 - 40% 2 2" xfId="77" xr:uid="{00000000-0005-0000-0000-0000B6010000}"/>
    <cellStyle name="Accent5 - 40% 2 2 2" xfId="158" xr:uid="{00000000-0005-0000-0000-0000B7010000}"/>
    <cellStyle name="Accent5 - 40% 2 2 2 2" xfId="325" xr:uid="{00000000-0005-0000-0000-0000B8010000}"/>
    <cellStyle name="Accent5 - 40% 2 2 2 2 2" xfId="655" xr:uid="{00000000-0005-0000-0000-0000B9010000}"/>
    <cellStyle name="Accent5 - 40% 2 2 2 3" xfId="491" xr:uid="{00000000-0005-0000-0000-0000BA010000}"/>
    <cellStyle name="Accent5 - 40% 2 2 3" xfId="246" xr:uid="{00000000-0005-0000-0000-0000BB010000}"/>
    <cellStyle name="Accent5 - 40% 2 2 3 2" xfId="576" xr:uid="{00000000-0005-0000-0000-0000BC010000}"/>
    <cellStyle name="Accent5 - 40% 2 2 4" xfId="412" xr:uid="{00000000-0005-0000-0000-0000BD010000}"/>
    <cellStyle name="Accent5 - 40% 2 3" xfId="104" xr:uid="{00000000-0005-0000-0000-0000BE010000}"/>
    <cellStyle name="Accent5 - 40% 2 3 2" xfId="184" xr:uid="{00000000-0005-0000-0000-0000BF010000}"/>
    <cellStyle name="Accent5 - 40% 2 3 2 2" xfId="351" xr:uid="{00000000-0005-0000-0000-0000C0010000}"/>
    <cellStyle name="Accent5 - 40% 2 3 2 2 2" xfId="681" xr:uid="{00000000-0005-0000-0000-0000C1010000}"/>
    <cellStyle name="Accent5 - 40% 2 3 2 3" xfId="517" xr:uid="{00000000-0005-0000-0000-0000C2010000}"/>
    <cellStyle name="Accent5 - 40% 2 3 3" xfId="272" xr:uid="{00000000-0005-0000-0000-0000C3010000}"/>
    <cellStyle name="Accent5 - 40% 2 3 3 2" xfId="602" xr:uid="{00000000-0005-0000-0000-0000C4010000}"/>
    <cellStyle name="Accent5 - 40% 2 3 4" xfId="438" xr:uid="{00000000-0005-0000-0000-0000C5010000}"/>
    <cellStyle name="Accent5 - 40% 2 4" xfId="132" xr:uid="{00000000-0005-0000-0000-0000C6010000}"/>
    <cellStyle name="Accent5 - 40% 2 4 2" xfId="299" xr:uid="{00000000-0005-0000-0000-0000C7010000}"/>
    <cellStyle name="Accent5 - 40% 2 4 2 2" xfId="629" xr:uid="{00000000-0005-0000-0000-0000C8010000}"/>
    <cellStyle name="Accent5 - 40% 2 4 3" xfId="465" xr:uid="{00000000-0005-0000-0000-0000C9010000}"/>
    <cellStyle name="Accent5 - 40% 2 5" xfId="218" xr:uid="{00000000-0005-0000-0000-0000CA010000}"/>
    <cellStyle name="Accent5 - 40% 2 5 2" xfId="548" xr:uid="{00000000-0005-0000-0000-0000CB010000}"/>
    <cellStyle name="Accent5 - 40% 2 6" xfId="384" xr:uid="{00000000-0005-0000-0000-0000CC010000}"/>
    <cellStyle name="Accent5 - 40% 3" xfId="62" xr:uid="{00000000-0005-0000-0000-0000CD010000}"/>
    <cellStyle name="Accent5 - 40% 3 2" xfId="145" xr:uid="{00000000-0005-0000-0000-0000CE010000}"/>
    <cellStyle name="Accent5 - 40% 3 2 2" xfId="312" xr:uid="{00000000-0005-0000-0000-0000CF010000}"/>
    <cellStyle name="Accent5 - 40% 3 2 2 2" xfId="642" xr:uid="{00000000-0005-0000-0000-0000D0010000}"/>
    <cellStyle name="Accent5 - 40% 3 2 3" xfId="478" xr:uid="{00000000-0005-0000-0000-0000D1010000}"/>
    <cellStyle name="Accent5 - 40% 3 3" xfId="232" xr:uid="{00000000-0005-0000-0000-0000D2010000}"/>
    <cellStyle name="Accent5 - 40% 3 3 2" xfId="562" xr:uid="{00000000-0005-0000-0000-0000D3010000}"/>
    <cellStyle name="Accent5 - 40% 3 4" xfId="398" xr:uid="{00000000-0005-0000-0000-0000D4010000}"/>
    <cellStyle name="Accent5 - 40% 4" xfId="91" xr:uid="{00000000-0005-0000-0000-0000D5010000}"/>
    <cellStyle name="Accent5 - 40% 4 2" xfId="171" xr:uid="{00000000-0005-0000-0000-0000D6010000}"/>
    <cellStyle name="Accent5 - 40% 4 2 2" xfId="338" xr:uid="{00000000-0005-0000-0000-0000D7010000}"/>
    <cellStyle name="Accent5 - 40% 4 2 2 2" xfId="668" xr:uid="{00000000-0005-0000-0000-0000D8010000}"/>
    <cellStyle name="Accent5 - 40% 4 2 3" xfId="504" xr:uid="{00000000-0005-0000-0000-0000D9010000}"/>
    <cellStyle name="Accent5 - 40% 4 3" xfId="259" xr:uid="{00000000-0005-0000-0000-0000DA010000}"/>
    <cellStyle name="Accent5 - 40% 4 3 2" xfId="589" xr:uid="{00000000-0005-0000-0000-0000DB010000}"/>
    <cellStyle name="Accent5 - 40% 4 4" xfId="425" xr:uid="{00000000-0005-0000-0000-0000DC010000}"/>
    <cellStyle name="Accent5 - 40% 5" xfId="117" xr:uid="{00000000-0005-0000-0000-0000DD010000}"/>
    <cellStyle name="Accent5 - 40% 5 2" xfId="285" xr:uid="{00000000-0005-0000-0000-0000DE010000}"/>
    <cellStyle name="Accent5 - 40% 5 2 2" xfId="615" xr:uid="{00000000-0005-0000-0000-0000DF010000}"/>
    <cellStyle name="Accent5 - 40% 5 3" xfId="451" xr:uid="{00000000-0005-0000-0000-0000E0010000}"/>
    <cellStyle name="Accent5 - 40% 6" xfId="200" xr:uid="{00000000-0005-0000-0000-0000E1010000}"/>
    <cellStyle name="Accent5 - 40% 6 2" xfId="531" xr:uid="{00000000-0005-0000-0000-0000E2010000}"/>
    <cellStyle name="Accent5 - 40% 7" xfId="366" xr:uid="{00000000-0005-0000-0000-0000E3010000}"/>
    <cellStyle name="Accent5 - 60%" xfId="15" xr:uid="{00000000-0005-0000-0000-0000E4010000}"/>
    <cellStyle name="Accent6 - 20%" xfId="16" xr:uid="{00000000-0005-0000-0000-0000E5010000}"/>
    <cellStyle name="Accent6 - 20% 2" xfId="47" xr:uid="{00000000-0005-0000-0000-0000E6010000}"/>
    <cellStyle name="Accent6 - 20% 2 2" xfId="78" xr:uid="{00000000-0005-0000-0000-0000E7010000}"/>
    <cellStyle name="Accent6 - 20% 2 2 2" xfId="159" xr:uid="{00000000-0005-0000-0000-0000E8010000}"/>
    <cellStyle name="Accent6 - 20% 2 2 2 2" xfId="326" xr:uid="{00000000-0005-0000-0000-0000E9010000}"/>
    <cellStyle name="Accent6 - 20% 2 2 2 2 2" xfId="656" xr:uid="{00000000-0005-0000-0000-0000EA010000}"/>
    <cellStyle name="Accent6 - 20% 2 2 2 3" xfId="492" xr:uid="{00000000-0005-0000-0000-0000EB010000}"/>
    <cellStyle name="Accent6 - 20% 2 2 3" xfId="247" xr:uid="{00000000-0005-0000-0000-0000EC010000}"/>
    <cellStyle name="Accent6 - 20% 2 2 3 2" xfId="577" xr:uid="{00000000-0005-0000-0000-0000ED010000}"/>
    <cellStyle name="Accent6 - 20% 2 2 4" xfId="413" xr:uid="{00000000-0005-0000-0000-0000EE010000}"/>
    <cellStyle name="Accent6 - 20% 2 3" xfId="105" xr:uid="{00000000-0005-0000-0000-0000EF010000}"/>
    <cellStyle name="Accent6 - 20% 2 3 2" xfId="185" xr:uid="{00000000-0005-0000-0000-0000F0010000}"/>
    <cellStyle name="Accent6 - 20% 2 3 2 2" xfId="352" xr:uid="{00000000-0005-0000-0000-0000F1010000}"/>
    <cellStyle name="Accent6 - 20% 2 3 2 2 2" xfId="682" xr:uid="{00000000-0005-0000-0000-0000F2010000}"/>
    <cellStyle name="Accent6 - 20% 2 3 2 3" xfId="518" xr:uid="{00000000-0005-0000-0000-0000F3010000}"/>
    <cellStyle name="Accent6 - 20% 2 3 3" xfId="273" xr:uid="{00000000-0005-0000-0000-0000F4010000}"/>
    <cellStyle name="Accent6 - 20% 2 3 3 2" xfId="603" xr:uid="{00000000-0005-0000-0000-0000F5010000}"/>
    <cellStyle name="Accent6 - 20% 2 3 4" xfId="439" xr:uid="{00000000-0005-0000-0000-0000F6010000}"/>
    <cellStyle name="Accent6 - 20% 2 4" xfId="133" xr:uid="{00000000-0005-0000-0000-0000F7010000}"/>
    <cellStyle name="Accent6 - 20% 2 4 2" xfId="300" xr:uid="{00000000-0005-0000-0000-0000F8010000}"/>
    <cellStyle name="Accent6 - 20% 2 4 2 2" xfId="630" xr:uid="{00000000-0005-0000-0000-0000F9010000}"/>
    <cellStyle name="Accent6 - 20% 2 4 3" xfId="466" xr:uid="{00000000-0005-0000-0000-0000FA010000}"/>
    <cellStyle name="Accent6 - 20% 2 5" xfId="219" xr:uid="{00000000-0005-0000-0000-0000FB010000}"/>
    <cellStyle name="Accent6 - 20% 2 5 2" xfId="549" xr:uid="{00000000-0005-0000-0000-0000FC010000}"/>
    <cellStyle name="Accent6 - 20% 2 6" xfId="385" xr:uid="{00000000-0005-0000-0000-0000FD010000}"/>
    <cellStyle name="Accent6 - 20% 3" xfId="63" xr:uid="{00000000-0005-0000-0000-0000FE010000}"/>
    <cellStyle name="Accent6 - 20% 3 2" xfId="146" xr:uid="{00000000-0005-0000-0000-0000FF010000}"/>
    <cellStyle name="Accent6 - 20% 3 2 2" xfId="313" xr:uid="{00000000-0005-0000-0000-000000020000}"/>
    <cellStyle name="Accent6 - 20% 3 2 2 2" xfId="643" xr:uid="{00000000-0005-0000-0000-000001020000}"/>
    <cellStyle name="Accent6 - 20% 3 2 3" xfId="479" xr:uid="{00000000-0005-0000-0000-000002020000}"/>
    <cellStyle name="Accent6 - 20% 3 3" xfId="233" xr:uid="{00000000-0005-0000-0000-000003020000}"/>
    <cellStyle name="Accent6 - 20% 3 3 2" xfId="563" xr:uid="{00000000-0005-0000-0000-000004020000}"/>
    <cellStyle name="Accent6 - 20% 3 4" xfId="399" xr:uid="{00000000-0005-0000-0000-000005020000}"/>
    <cellStyle name="Accent6 - 20% 4" xfId="92" xr:uid="{00000000-0005-0000-0000-000006020000}"/>
    <cellStyle name="Accent6 - 20% 4 2" xfId="172" xr:uid="{00000000-0005-0000-0000-000007020000}"/>
    <cellStyle name="Accent6 - 20% 4 2 2" xfId="339" xr:uid="{00000000-0005-0000-0000-000008020000}"/>
    <cellStyle name="Accent6 - 20% 4 2 2 2" xfId="669" xr:uid="{00000000-0005-0000-0000-000009020000}"/>
    <cellStyle name="Accent6 - 20% 4 2 3" xfId="505" xr:uid="{00000000-0005-0000-0000-00000A020000}"/>
    <cellStyle name="Accent6 - 20% 4 3" xfId="260" xr:uid="{00000000-0005-0000-0000-00000B020000}"/>
    <cellStyle name="Accent6 - 20% 4 3 2" xfId="590" xr:uid="{00000000-0005-0000-0000-00000C020000}"/>
    <cellStyle name="Accent6 - 20% 4 4" xfId="426" xr:uid="{00000000-0005-0000-0000-00000D020000}"/>
    <cellStyle name="Accent6 - 20% 5" xfId="118" xr:uid="{00000000-0005-0000-0000-00000E020000}"/>
    <cellStyle name="Accent6 - 20% 5 2" xfId="286" xr:uid="{00000000-0005-0000-0000-00000F020000}"/>
    <cellStyle name="Accent6 - 20% 5 2 2" xfId="616" xr:uid="{00000000-0005-0000-0000-000010020000}"/>
    <cellStyle name="Accent6 - 20% 5 3" xfId="452" xr:uid="{00000000-0005-0000-0000-000011020000}"/>
    <cellStyle name="Accent6 - 20% 6" xfId="201" xr:uid="{00000000-0005-0000-0000-000012020000}"/>
    <cellStyle name="Accent6 - 20% 6 2" xfId="532" xr:uid="{00000000-0005-0000-0000-000013020000}"/>
    <cellStyle name="Accent6 - 20% 7" xfId="367" xr:uid="{00000000-0005-0000-0000-000014020000}"/>
    <cellStyle name="Accent6 - 40%" xfId="17" xr:uid="{00000000-0005-0000-0000-000015020000}"/>
    <cellStyle name="Accent6 - 40% 2" xfId="48" xr:uid="{00000000-0005-0000-0000-000016020000}"/>
    <cellStyle name="Accent6 - 40% 2 2" xfId="79" xr:uid="{00000000-0005-0000-0000-000017020000}"/>
    <cellStyle name="Accent6 - 40% 2 2 2" xfId="160" xr:uid="{00000000-0005-0000-0000-000018020000}"/>
    <cellStyle name="Accent6 - 40% 2 2 2 2" xfId="327" xr:uid="{00000000-0005-0000-0000-000019020000}"/>
    <cellStyle name="Accent6 - 40% 2 2 2 2 2" xfId="657" xr:uid="{00000000-0005-0000-0000-00001A020000}"/>
    <cellStyle name="Accent6 - 40% 2 2 2 3" xfId="493" xr:uid="{00000000-0005-0000-0000-00001B020000}"/>
    <cellStyle name="Accent6 - 40% 2 2 3" xfId="248" xr:uid="{00000000-0005-0000-0000-00001C020000}"/>
    <cellStyle name="Accent6 - 40% 2 2 3 2" xfId="578" xr:uid="{00000000-0005-0000-0000-00001D020000}"/>
    <cellStyle name="Accent6 - 40% 2 2 4" xfId="414" xr:uid="{00000000-0005-0000-0000-00001E020000}"/>
    <cellStyle name="Accent6 - 40% 2 3" xfId="106" xr:uid="{00000000-0005-0000-0000-00001F020000}"/>
    <cellStyle name="Accent6 - 40% 2 3 2" xfId="186" xr:uid="{00000000-0005-0000-0000-000020020000}"/>
    <cellStyle name="Accent6 - 40% 2 3 2 2" xfId="353" xr:uid="{00000000-0005-0000-0000-000021020000}"/>
    <cellStyle name="Accent6 - 40% 2 3 2 2 2" xfId="683" xr:uid="{00000000-0005-0000-0000-000022020000}"/>
    <cellStyle name="Accent6 - 40% 2 3 2 3" xfId="519" xr:uid="{00000000-0005-0000-0000-000023020000}"/>
    <cellStyle name="Accent6 - 40% 2 3 3" xfId="274" xr:uid="{00000000-0005-0000-0000-000024020000}"/>
    <cellStyle name="Accent6 - 40% 2 3 3 2" xfId="604" xr:uid="{00000000-0005-0000-0000-000025020000}"/>
    <cellStyle name="Accent6 - 40% 2 3 4" xfId="440" xr:uid="{00000000-0005-0000-0000-000026020000}"/>
    <cellStyle name="Accent6 - 40% 2 4" xfId="134" xr:uid="{00000000-0005-0000-0000-000027020000}"/>
    <cellStyle name="Accent6 - 40% 2 4 2" xfId="301" xr:uid="{00000000-0005-0000-0000-000028020000}"/>
    <cellStyle name="Accent6 - 40% 2 4 2 2" xfId="631" xr:uid="{00000000-0005-0000-0000-000029020000}"/>
    <cellStyle name="Accent6 - 40% 2 4 3" xfId="467" xr:uid="{00000000-0005-0000-0000-00002A020000}"/>
    <cellStyle name="Accent6 - 40% 2 5" xfId="220" xr:uid="{00000000-0005-0000-0000-00002B020000}"/>
    <cellStyle name="Accent6 - 40% 2 5 2" xfId="550" xr:uid="{00000000-0005-0000-0000-00002C020000}"/>
    <cellStyle name="Accent6 - 40% 2 6" xfId="386" xr:uid="{00000000-0005-0000-0000-00002D020000}"/>
    <cellStyle name="Accent6 - 40% 3" xfId="64" xr:uid="{00000000-0005-0000-0000-00002E020000}"/>
    <cellStyle name="Accent6 - 40% 3 2" xfId="147" xr:uid="{00000000-0005-0000-0000-00002F020000}"/>
    <cellStyle name="Accent6 - 40% 3 2 2" xfId="314" xr:uid="{00000000-0005-0000-0000-000030020000}"/>
    <cellStyle name="Accent6 - 40% 3 2 2 2" xfId="644" xr:uid="{00000000-0005-0000-0000-000031020000}"/>
    <cellStyle name="Accent6 - 40% 3 2 3" xfId="480" xr:uid="{00000000-0005-0000-0000-000032020000}"/>
    <cellStyle name="Accent6 - 40% 3 3" xfId="234" xr:uid="{00000000-0005-0000-0000-000033020000}"/>
    <cellStyle name="Accent6 - 40% 3 3 2" xfId="564" xr:uid="{00000000-0005-0000-0000-000034020000}"/>
    <cellStyle name="Accent6 - 40% 3 4" xfId="400" xr:uid="{00000000-0005-0000-0000-000035020000}"/>
    <cellStyle name="Accent6 - 40% 4" xfId="93" xr:uid="{00000000-0005-0000-0000-000036020000}"/>
    <cellStyle name="Accent6 - 40% 4 2" xfId="173" xr:uid="{00000000-0005-0000-0000-000037020000}"/>
    <cellStyle name="Accent6 - 40% 4 2 2" xfId="340" xr:uid="{00000000-0005-0000-0000-000038020000}"/>
    <cellStyle name="Accent6 - 40% 4 2 2 2" xfId="670" xr:uid="{00000000-0005-0000-0000-000039020000}"/>
    <cellStyle name="Accent6 - 40% 4 2 3" xfId="506" xr:uid="{00000000-0005-0000-0000-00003A020000}"/>
    <cellStyle name="Accent6 - 40% 4 3" xfId="261" xr:uid="{00000000-0005-0000-0000-00003B020000}"/>
    <cellStyle name="Accent6 - 40% 4 3 2" xfId="591" xr:uid="{00000000-0005-0000-0000-00003C020000}"/>
    <cellStyle name="Accent6 - 40% 4 4" xfId="427" xr:uid="{00000000-0005-0000-0000-00003D020000}"/>
    <cellStyle name="Accent6 - 40% 5" xfId="119" xr:uid="{00000000-0005-0000-0000-00003E020000}"/>
    <cellStyle name="Accent6 - 40% 5 2" xfId="287" xr:uid="{00000000-0005-0000-0000-00003F020000}"/>
    <cellStyle name="Accent6 - 40% 5 2 2" xfId="617" xr:uid="{00000000-0005-0000-0000-000040020000}"/>
    <cellStyle name="Accent6 - 40% 5 3" xfId="453" xr:uid="{00000000-0005-0000-0000-000041020000}"/>
    <cellStyle name="Accent6 - 40% 6" xfId="202" xr:uid="{00000000-0005-0000-0000-000042020000}"/>
    <cellStyle name="Accent6 - 40% 6 2" xfId="533" xr:uid="{00000000-0005-0000-0000-000043020000}"/>
    <cellStyle name="Accent6 - 40% 7" xfId="368" xr:uid="{00000000-0005-0000-0000-000044020000}"/>
    <cellStyle name="Accent6 - 60%" xfId="18" xr:uid="{00000000-0005-0000-0000-000045020000}"/>
    <cellStyle name="Emphasis 1" xfId="19" xr:uid="{00000000-0005-0000-0000-000046020000}"/>
    <cellStyle name="Emphasis 2" xfId="20" xr:uid="{00000000-0005-0000-0000-000047020000}"/>
    <cellStyle name="Emphasis 3" xfId="21" xr:uid="{00000000-0005-0000-0000-000048020000}"/>
    <cellStyle name="Ezres" xfId="22" builtinId="3"/>
    <cellStyle name="Ezres 2" xfId="23" xr:uid="{00000000-0005-0000-0000-00004A020000}"/>
    <cellStyle name="Ezres 2 2" xfId="24" xr:uid="{00000000-0005-0000-0000-00004B020000}"/>
    <cellStyle name="Ezres 2 2 2" xfId="205" xr:uid="{00000000-0005-0000-0000-00004C020000}"/>
    <cellStyle name="Ezres 2 2 2 2" xfId="536" xr:uid="{00000000-0005-0000-0000-00004D020000}"/>
    <cellStyle name="Ezres 2 2 3" xfId="371" xr:uid="{00000000-0005-0000-0000-00004E020000}"/>
    <cellStyle name="Ezres 2 3" xfId="204" xr:uid="{00000000-0005-0000-0000-00004F020000}"/>
    <cellStyle name="Ezres 2 3 2" xfId="535" xr:uid="{00000000-0005-0000-0000-000050020000}"/>
    <cellStyle name="Ezres 2 4" xfId="370" xr:uid="{00000000-0005-0000-0000-000051020000}"/>
    <cellStyle name="Ezres 3" xfId="25" xr:uid="{00000000-0005-0000-0000-000052020000}"/>
    <cellStyle name="Ezres 3 2" xfId="206" xr:uid="{00000000-0005-0000-0000-000053020000}"/>
    <cellStyle name="Ezres 3 2 2" xfId="537" xr:uid="{00000000-0005-0000-0000-000054020000}"/>
    <cellStyle name="Ezres 3 3" xfId="372" xr:uid="{00000000-0005-0000-0000-000055020000}"/>
    <cellStyle name="Ezres 4" xfId="49" xr:uid="{00000000-0005-0000-0000-000056020000}"/>
    <cellStyle name="Ezres 4 2" xfId="221" xr:uid="{00000000-0005-0000-0000-000057020000}"/>
    <cellStyle name="Ezres 4 2 2" xfId="551" xr:uid="{00000000-0005-0000-0000-000058020000}"/>
    <cellStyle name="Ezres 4 3" xfId="387" xr:uid="{00000000-0005-0000-0000-000059020000}"/>
    <cellStyle name="Ezres 5" xfId="65" xr:uid="{00000000-0005-0000-0000-00005A020000}"/>
    <cellStyle name="Ezres 5 2" xfId="235" xr:uid="{00000000-0005-0000-0000-00005B020000}"/>
    <cellStyle name="Ezres 5 2 2" xfId="565" xr:uid="{00000000-0005-0000-0000-00005C020000}"/>
    <cellStyle name="Ezres 5 3" xfId="401" xr:uid="{00000000-0005-0000-0000-00005D020000}"/>
    <cellStyle name="Ezres 6" xfId="120" xr:uid="{00000000-0005-0000-0000-00005E020000}"/>
    <cellStyle name="Ezres 6 2" xfId="288" xr:uid="{00000000-0005-0000-0000-00005F020000}"/>
    <cellStyle name="Ezres 6 2 2" xfId="618" xr:uid="{00000000-0005-0000-0000-000060020000}"/>
    <cellStyle name="Ezres 6 3" xfId="454" xr:uid="{00000000-0005-0000-0000-000061020000}"/>
    <cellStyle name="Ezres 7" xfId="203" xr:uid="{00000000-0005-0000-0000-000062020000}"/>
    <cellStyle name="Ezres 7 2" xfId="534" xr:uid="{00000000-0005-0000-0000-000063020000}"/>
    <cellStyle name="Ezres 8" xfId="369" xr:uid="{00000000-0005-0000-0000-000064020000}"/>
    <cellStyle name="Normál" xfId="0" builtinId="0"/>
    <cellStyle name="Normál 10" xfId="190" xr:uid="{00000000-0005-0000-0000-000066020000}"/>
    <cellStyle name="Normál 10 2" xfId="521" xr:uid="{00000000-0005-0000-0000-000067020000}"/>
    <cellStyle name="Normál 11" xfId="685" xr:uid="{00000000-0005-0000-0000-000068020000}"/>
    <cellStyle name="Normál 2" xfId="26" xr:uid="{00000000-0005-0000-0000-000069020000}"/>
    <cellStyle name="Normál 2 2" xfId="27" xr:uid="{00000000-0005-0000-0000-00006A020000}"/>
    <cellStyle name="Normál 3" xfId="28" xr:uid="{00000000-0005-0000-0000-00006B020000}"/>
    <cellStyle name="Normál 4" xfId="29" xr:uid="{00000000-0005-0000-0000-00006C020000}"/>
    <cellStyle name="Normál 5" xfId="30" xr:uid="{00000000-0005-0000-0000-00006D020000}"/>
    <cellStyle name="Normál 5 2" xfId="50" xr:uid="{00000000-0005-0000-0000-00006E020000}"/>
    <cellStyle name="Normál 6" xfId="35" xr:uid="{00000000-0005-0000-0000-00006F020000}"/>
    <cellStyle name="Normál 6 2" xfId="52" xr:uid="{00000000-0005-0000-0000-000070020000}"/>
    <cellStyle name="Normál 6 2 2" xfId="80" xr:uid="{00000000-0005-0000-0000-000071020000}"/>
    <cellStyle name="Normál 6 2 2 2" xfId="161" xr:uid="{00000000-0005-0000-0000-000072020000}"/>
    <cellStyle name="Normál 6 2 2 2 2" xfId="328" xr:uid="{00000000-0005-0000-0000-000073020000}"/>
    <cellStyle name="Normál 6 2 2 2 2 2" xfId="658" xr:uid="{00000000-0005-0000-0000-000074020000}"/>
    <cellStyle name="Normál 6 2 2 2 3" xfId="494" xr:uid="{00000000-0005-0000-0000-000075020000}"/>
    <cellStyle name="Normál 6 2 2 3" xfId="249" xr:uid="{00000000-0005-0000-0000-000076020000}"/>
    <cellStyle name="Normál 6 2 2 3 2" xfId="579" xr:uid="{00000000-0005-0000-0000-000077020000}"/>
    <cellStyle name="Normál 6 2 2 4" xfId="415" xr:uid="{00000000-0005-0000-0000-000078020000}"/>
    <cellStyle name="Normál 6 2 3" xfId="107" xr:uid="{00000000-0005-0000-0000-000079020000}"/>
    <cellStyle name="Normál 6 2 3 2" xfId="187" xr:uid="{00000000-0005-0000-0000-00007A020000}"/>
    <cellStyle name="Normál 6 2 3 2 2" xfId="354" xr:uid="{00000000-0005-0000-0000-00007B020000}"/>
    <cellStyle name="Normál 6 2 3 2 2 2" xfId="684" xr:uid="{00000000-0005-0000-0000-00007C020000}"/>
    <cellStyle name="Normál 6 2 3 2 3" xfId="520" xr:uid="{00000000-0005-0000-0000-00007D020000}"/>
    <cellStyle name="Normál 6 2 3 3" xfId="275" xr:uid="{00000000-0005-0000-0000-00007E020000}"/>
    <cellStyle name="Normál 6 2 3 3 2" xfId="605" xr:uid="{00000000-0005-0000-0000-00007F020000}"/>
    <cellStyle name="Normál 6 2 3 4" xfId="441" xr:uid="{00000000-0005-0000-0000-000080020000}"/>
    <cellStyle name="Normál 6 2 4" xfId="135" xr:uid="{00000000-0005-0000-0000-000081020000}"/>
    <cellStyle name="Normál 6 2 4 2" xfId="302" xr:uid="{00000000-0005-0000-0000-000082020000}"/>
    <cellStyle name="Normál 6 2 4 2 2" xfId="632" xr:uid="{00000000-0005-0000-0000-000083020000}"/>
    <cellStyle name="Normál 6 2 4 3" xfId="468" xr:uid="{00000000-0005-0000-0000-000084020000}"/>
    <cellStyle name="Normál 6 2 5" xfId="222" xr:uid="{00000000-0005-0000-0000-000085020000}"/>
    <cellStyle name="Normál 6 2 5 2" xfId="552" xr:uid="{00000000-0005-0000-0000-000086020000}"/>
    <cellStyle name="Normál 6 2 6" xfId="388" xr:uid="{00000000-0005-0000-0000-000087020000}"/>
    <cellStyle name="Normál 6 3" xfId="67" xr:uid="{00000000-0005-0000-0000-000088020000}"/>
    <cellStyle name="Normál 6 3 2" xfId="148" xr:uid="{00000000-0005-0000-0000-000089020000}"/>
    <cellStyle name="Normál 6 3 2 2" xfId="315" xr:uid="{00000000-0005-0000-0000-00008A020000}"/>
    <cellStyle name="Normál 6 3 2 2 2" xfId="645" xr:uid="{00000000-0005-0000-0000-00008B020000}"/>
    <cellStyle name="Normál 6 3 2 3" xfId="481" xr:uid="{00000000-0005-0000-0000-00008C020000}"/>
    <cellStyle name="Normál 6 3 3" xfId="236" xr:uid="{00000000-0005-0000-0000-00008D020000}"/>
    <cellStyle name="Normál 6 3 3 2" xfId="566" xr:uid="{00000000-0005-0000-0000-00008E020000}"/>
    <cellStyle name="Normál 6 3 4" xfId="402" xr:uid="{00000000-0005-0000-0000-00008F020000}"/>
    <cellStyle name="Normál 6 4" xfId="94" xr:uid="{00000000-0005-0000-0000-000090020000}"/>
    <cellStyle name="Normál 6 4 2" xfId="174" xr:uid="{00000000-0005-0000-0000-000091020000}"/>
    <cellStyle name="Normál 6 4 2 2" xfId="341" xr:uid="{00000000-0005-0000-0000-000092020000}"/>
    <cellStyle name="Normál 6 4 2 2 2" xfId="671" xr:uid="{00000000-0005-0000-0000-000093020000}"/>
    <cellStyle name="Normál 6 4 2 3" xfId="507" xr:uid="{00000000-0005-0000-0000-000094020000}"/>
    <cellStyle name="Normál 6 4 3" xfId="262" xr:uid="{00000000-0005-0000-0000-000095020000}"/>
    <cellStyle name="Normál 6 4 3 2" xfId="592" xr:uid="{00000000-0005-0000-0000-000096020000}"/>
    <cellStyle name="Normál 6 4 4" xfId="428" xr:uid="{00000000-0005-0000-0000-000097020000}"/>
    <cellStyle name="Normál 6 5" xfId="122" xr:uid="{00000000-0005-0000-0000-000098020000}"/>
    <cellStyle name="Normál 6 5 2" xfId="289" xr:uid="{00000000-0005-0000-0000-000099020000}"/>
    <cellStyle name="Normál 6 5 2 2" xfId="619" xr:uid="{00000000-0005-0000-0000-00009A020000}"/>
    <cellStyle name="Normál 6 5 3" xfId="455" xr:uid="{00000000-0005-0000-0000-00009B020000}"/>
    <cellStyle name="Normál 6 6" xfId="208" xr:uid="{00000000-0005-0000-0000-00009C020000}"/>
    <cellStyle name="Normál 6 6 2" xfId="538" xr:uid="{00000000-0005-0000-0000-00009D020000}"/>
    <cellStyle name="Normál 6 7" xfId="374" xr:uid="{00000000-0005-0000-0000-00009E020000}"/>
    <cellStyle name="Normál 7" xfId="36" xr:uid="{00000000-0005-0000-0000-00009F020000}"/>
    <cellStyle name="Normál 7 2" xfId="81" xr:uid="{00000000-0005-0000-0000-0000A0020000}"/>
    <cellStyle name="Normál 8" xfId="188" xr:uid="{00000000-0005-0000-0000-0000A1020000}"/>
    <cellStyle name="Normál 8 2" xfId="355" xr:uid="{00000000-0005-0000-0000-0000A2020000}"/>
    <cellStyle name="Normál 9" xfId="189" xr:uid="{00000000-0005-0000-0000-0000A3020000}"/>
    <cellStyle name="Normál 9 2" xfId="356" xr:uid="{00000000-0005-0000-0000-0000A4020000}"/>
    <cellStyle name="Sheet Title" xfId="31" xr:uid="{00000000-0005-0000-0000-0000A5020000}"/>
    <cellStyle name="Százalék" xfId="32" builtinId="5"/>
    <cellStyle name="Százalék 2" xfId="33" xr:uid="{00000000-0005-0000-0000-0000A7020000}"/>
    <cellStyle name="Százalék 3" xfId="34" xr:uid="{00000000-0005-0000-0000-0000A8020000}"/>
    <cellStyle name="Százalék 4" xfId="51" xr:uid="{00000000-0005-0000-0000-0000A9020000}"/>
    <cellStyle name="Százalék 5" xfId="66" xr:uid="{00000000-0005-0000-0000-0000AA020000}"/>
    <cellStyle name="Százalék 6" xfId="121" xr:uid="{00000000-0005-0000-0000-0000AB020000}"/>
    <cellStyle name="Százalék 7" xfId="207" xr:uid="{00000000-0005-0000-0000-0000AC020000}"/>
    <cellStyle name="Százalék 8" xfId="373" xr:uid="{00000000-0005-0000-0000-0000AD020000}"/>
  </cellStyles>
  <dxfs count="0"/>
  <tableStyles count="0" defaultTableStyle="TableStyleMedium9" defaultPivotStyle="PivotStyleLight16"/>
  <colors>
    <mruColors>
      <color rgb="FFEF79D0"/>
      <color rgb="FFE632B7"/>
      <color rgb="FFBF17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workbookViewId="0">
      <selection activeCell="K5" sqref="K5"/>
    </sheetView>
  </sheetViews>
  <sheetFormatPr defaultRowHeight="13" x14ac:dyDescent="0.3"/>
  <cols>
    <col min="1" max="1" width="15.7265625" style="320" customWidth="1"/>
    <col min="2" max="2" width="10.7265625" bestFit="1" customWidth="1"/>
    <col min="3" max="3" width="17.26953125" customWidth="1"/>
    <col min="5" max="5" width="16.26953125" customWidth="1"/>
    <col min="6" max="6" width="12.54296875" bestFit="1" customWidth="1"/>
    <col min="7" max="7" width="10.7265625" bestFit="1" customWidth="1"/>
    <col min="8" max="8" width="12.7265625" bestFit="1" customWidth="1"/>
    <col min="9" max="9" width="11.1796875" bestFit="1" customWidth="1"/>
    <col min="10" max="10" width="10.1796875" bestFit="1" customWidth="1"/>
    <col min="11" max="11" width="11.1796875" bestFit="1" customWidth="1"/>
    <col min="12" max="12" width="10.7265625" bestFit="1" customWidth="1"/>
    <col min="13" max="16" width="10.1796875" bestFit="1" customWidth="1"/>
    <col min="17" max="17" width="11.1796875" style="125" bestFit="1" customWidth="1"/>
    <col min="19" max="19" width="10.1796875" bestFit="1" customWidth="1"/>
    <col min="20" max="20" width="10.7265625" bestFit="1" customWidth="1"/>
  </cols>
  <sheetData>
    <row r="1" spans="1:20" s="496" customFormat="1" ht="77.25" customHeight="1" x14ac:dyDescent="0.25">
      <c r="A1" s="608">
        <v>44561</v>
      </c>
      <c r="B1" s="496" t="s">
        <v>609</v>
      </c>
      <c r="C1" s="498" t="s">
        <v>558</v>
      </c>
      <c r="D1" s="499" t="s">
        <v>559</v>
      </c>
      <c r="E1" s="498" t="s">
        <v>560</v>
      </c>
      <c r="F1" s="496" t="s">
        <v>561</v>
      </c>
      <c r="G1" s="496" t="s">
        <v>562</v>
      </c>
      <c r="H1" s="496" t="s">
        <v>599</v>
      </c>
      <c r="I1" s="496" t="s">
        <v>476</v>
      </c>
      <c r="J1" s="496" t="s">
        <v>1495</v>
      </c>
      <c r="K1" s="496" t="s">
        <v>1496</v>
      </c>
      <c r="L1" s="496" t="s">
        <v>591</v>
      </c>
      <c r="M1" s="496" t="s">
        <v>592</v>
      </c>
      <c r="N1" s="496" t="s">
        <v>901</v>
      </c>
      <c r="O1" s="496" t="s">
        <v>594</v>
      </c>
      <c r="P1" s="496" t="s">
        <v>554</v>
      </c>
      <c r="Q1" s="497" t="s">
        <v>1497</v>
      </c>
      <c r="S1" s="496" t="s">
        <v>595</v>
      </c>
      <c r="T1" s="496" t="s">
        <v>903</v>
      </c>
    </row>
    <row r="3" spans="1:20" x14ac:dyDescent="0.3">
      <c r="A3" s="500" t="s">
        <v>806</v>
      </c>
      <c r="B3" s="31" t="e">
        <f>'Terv_tény intézmény'!#REF!</f>
        <v>#REF!</v>
      </c>
      <c r="C3" s="219" t="e">
        <f>'Terv_tény településüz'!#REF!</f>
        <v>#REF!</v>
      </c>
      <c r="D3" s="219" t="e">
        <f>'Terv_tény településüz'!#REF!</f>
        <v>#REF!</v>
      </c>
      <c r="E3" s="219" t="e">
        <f>'Terv_tény településüz'!#REF!</f>
        <v>#REF!</v>
      </c>
      <c r="F3" s="219" t="e">
        <f>'Terv_tény településüz'!#REF!</f>
        <v>#REF!</v>
      </c>
      <c r="G3" s="219" t="e">
        <f>'Terv_tény településüz'!#REF!</f>
        <v>#REF!</v>
      </c>
      <c r="H3" s="31">
        <f>'Terv_tény piac'!P6</f>
        <v>-9047608.4800000042</v>
      </c>
      <c r="I3" s="31">
        <f>'Terv_tény parkolás'!G107</f>
        <v>53264348.84906666</v>
      </c>
      <c r="J3" s="31">
        <f>'Terv_tény parkolás'!H107</f>
        <v>-2976974.5933885071</v>
      </c>
      <c r="K3" s="31" t="e">
        <f>'Terv_tény vagyongazd'!#REF!</f>
        <v>#REF!</v>
      </c>
      <c r="L3" s="31" t="e">
        <f>'Terv_tény vagyongazd'!#REF!</f>
        <v>#REF!</v>
      </c>
      <c r="M3" s="31" t="e">
        <f>'Terv_tény vagyongazd'!#REF!</f>
        <v>#REF!</v>
      </c>
      <c r="N3" s="31" t="e">
        <f>'Terv_tény vagyongazd'!#REF!</f>
        <v>#REF!</v>
      </c>
      <c r="O3" s="31" t="e">
        <f>'Terv_tény vagyongazd'!#REF!</f>
        <v>#REF!</v>
      </c>
      <c r="P3" s="31" t="e">
        <f>'Terv_tény vagyongazd'!#REF!</f>
        <v>#REF!</v>
      </c>
      <c r="Q3" s="221" t="e">
        <f t="shared" ref="Q3:Q8" si="0">SUM(B3:P3)</f>
        <v>#REF!</v>
      </c>
      <c r="R3" s="31"/>
      <c r="S3" s="31" t="e">
        <f>'Terv_tény vagyongazd'!#REF!</f>
        <v>#REF!</v>
      </c>
      <c r="T3" s="31" t="e">
        <f>'Terv_tény intézmény'!#REF!</f>
        <v>#REF!</v>
      </c>
    </row>
    <row r="4" spans="1:20" x14ac:dyDescent="0.3">
      <c r="A4" s="501" t="s">
        <v>807</v>
      </c>
      <c r="B4" s="31" t="e">
        <f>'Terv_tény intézmény'!#REF!</f>
        <v>#REF!</v>
      </c>
      <c r="C4" s="31" t="e">
        <f>'Terv_tény településüz'!#REF!</f>
        <v>#REF!</v>
      </c>
      <c r="D4" s="31" t="e">
        <f>'Terv_tény településüz'!#REF!</f>
        <v>#REF!</v>
      </c>
      <c r="E4" s="31" t="e">
        <f>'Terv_tény településüz'!#REF!</f>
        <v>#REF!</v>
      </c>
      <c r="F4" s="31" t="e">
        <f>'Terv_tény településüz'!#REF!</f>
        <v>#REF!</v>
      </c>
      <c r="G4" s="31" t="e">
        <f>'Terv_tény településüz'!#REF!</f>
        <v>#REF!</v>
      </c>
      <c r="H4" s="31">
        <f>'Terv_tény piac'!P7</f>
        <v>-6319488.4399999976</v>
      </c>
      <c r="I4" s="557">
        <f>'Terv_tény parkolás'!G108</f>
        <v>46551252.269999996</v>
      </c>
      <c r="J4" s="31">
        <f>'Terv_tény parkolás'!H108</f>
        <v>-3577746.7300383151</v>
      </c>
      <c r="K4" s="557" t="e">
        <f>'Terv_tény vagyongazd'!#REF!</f>
        <v>#REF!</v>
      </c>
      <c r="L4" s="31" t="e">
        <f>'Terv_tény vagyongazd'!#REF!</f>
        <v>#REF!</v>
      </c>
      <c r="M4" s="31" t="e">
        <f>'Terv_tény vagyongazd'!#REF!</f>
        <v>#REF!</v>
      </c>
      <c r="N4" s="31" t="e">
        <f>'Terv_tény vagyongazd'!#REF!</f>
        <v>#REF!</v>
      </c>
      <c r="O4" s="31" t="e">
        <f>'Terv_tény vagyongazd'!#REF!</f>
        <v>#REF!</v>
      </c>
      <c r="P4" s="31" t="e">
        <f>'Terv_tény vagyongazd'!#REF!</f>
        <v>#REF!</v>
      </c>
      <c r="Q4" s="221" t="e">
        <f t="shared" si="0"/>
        <v>#REF!</v>
      </c>
      <c r="R4" s="31"/>
      <c r="S4" s="31" t="e">
        <f>'Terv_tény vagyongazd'!#REF!</f>
        <v>#REF!</v>
      </c>
      <c r="T4" s="31" t="e">
        <f>'Terv_tény intézmény'!#REF!</f>
        <v>#REF!</v>
      </c>
    </row>
    <row r="5" spans="1:20" ht="30" x14ac:dyDescent="0.3">
      <c r="A5" s="501" t="s">
        <v>809</v>
      </c>
      <c r="B5" s="31" t="e">
        <f>'Terv_tény intézmény'!#REF!</f>
        <v>#REF!</v>
      </c>
      <c r="C5" s="31" t="e">
        <f>'Terv_tény településüz'!#REF!</f>
        <v>#REF!</v>
      </c>
      <c r="D5" s="31" t="e">
        <f>'Terv_tény településüz'!#REF!</f>
        <v>#REF!</v>
      </c>
      <c r="E5" s="31" t="e">
        <f>'Terv_tény településüz'!#REF!</f>
        <v>#REF!</v>
      </c>
      <c r="F5" s="31" t="e">
        <f>'Terv_tény településüz'!#REF!</f>
        <v>#REF!</v>
      </c>
      <c r="G5" s="31" t="e">
        <f>'Terv_tény településüz'!#REF!</f>
        <v>#REF!</v>
      </c>
      <c r="H5" s="31">
        <f>'Terv_tény piac'!P8</f>
        <v>-3040700</v>
      </c>
      <c r="I5" s="31">
        <f>'Terv_tény parkolás'!G110</f>
        <v>-100000</v>
      </c>
      <c r="J5" s="31">
        <f>'Terv_tény parkolás'!H110</f>
        <v>0</v>
      </c>
      <c r="K5" s="557" t="e">
        <f>'Terv_tény vagyongazd'!#REF!</f>
        <v>#REF!</v>
      </c>
      <c r="L5" s="31" t="e">
        <f>'Terv_tény vagyongazd'!#REF!</f>
        <v>#REF!</v>
      </c>
      <c r="M5" s="31" t="e">
        <f>'Terv_tény vagyongazd'!#REF!</f>
        <v>#REF!</v>
      </c>
      <c r="N5" s="31" t="e">
        <f>'Terv_tény vagyongazd'!#REF!</f>
        <v>#REF!</v>
      </c>
      <c r="O5" s="31" t="e">
        <f>'Terv_tény vagyongazd'!#REF!</f>
        <v>#REF!</v>
      </c>
      <c r="P5" s="31" t="e">
        <f>'Terv_tény vagyongazd'!#REF!</f>
        <v>#REF!</v>
      </c>
      <c r="Q5" s="221" t="e">
        <f t="shared" si="0"/>
        <v>#REF!</v>
      </c>
      <c r="R5" s="31"/>
      <c r="S5" s="31" t="e">
        <f>'Terv_tény vagyongazd'!#REF!</f>
        <v>#REF!</v>
      </c>
      <c r="T5" s="31" t="e">
        <f>'Terv_tény intézmény'!#REF!</f>
        <v>#REF!</v>
      </c>
    </row>
    <row r="6" spans="1:20" ht="30" x14ac:dyDescent="0.3">
      <c r="A6" s="502" t="s">
        <v>810</v>
      </c>
      <c r="B6" s="31" t="e">
        <f>'Terv_tény intézmény'!#REF!</f>
        <v>#REF!</v>
      </c>
      <c r="C6" s="31" t="e">
        <f>'Terv_tény településüz'!#REF!</f>
        <v>#REF!</v>
      </c>
      <c r="D6" s="31" t="e">
        <f>'Terv_tény településüz'!#REF!</f>
        <v>#REF!</v>
      </c>
      <c r="E6" s="31" t="e">
        <f>'Terv_tény településüz'!#REF!</f>
        <v>#REF!</v>
      </c>
      <c r="F6" s="31" t="e">
        <f>'Terv_tény településüz'!#REF!</f>
        <v>#REF!</v>
      </c>
      <c r="G6" s="31" t="e">
        <f>'Terv_tény településüz'!#REF!</f>
        <v>#REF!</v>
      </c>
      <c r="H6" s="31">
        <f>'Terv_tény piac'!P9</f>
        <v>312579.95999999996</v>
      </c>
      <c r="I6" s="31">
        <f>'Terv_tény parkolás'!G112</f>
        <v>6813096.5790666668</v>
      </c>
      <c r="J6" s="31">
        <f>'Terv_tény parkolás'!H112</f>
        <v>600772.13664980792</v>
      </c>
      <c r="K6" s="31" t="e">
        <f>'Terv_tény vagyongazd'!#REF!</f>
        <v>#REF!</v>
      </c>
      <c r="L6" s="31" t="e">
        <f>'Terv_tény vagyongazd'!#REF!</f>
        <v>#REF!</v>
      </c>
      <c r="M6" s="31" t="e">
        <f>'Terv_tény vagyongazd'!#REF!</f>
        <v>#REF!</v>
      </c>
      <c r="N6" s="31" t="e">
        <f>'Terv_tény vagyongazd'!#REF!</f>
        <v>#REF!</v>
      </c>
      <c r="O6" s="31" t="e">
        <f>'Terv_tény vagyongazd'!#REF!</f>
        <v>#REF!</v>
      </c>
      <c r="P6" s="31" t="e">
        <f>'Terv_tény vagyongazd'!#REF!</f>
        <v>#REF!</v>
      </c>
      <c r="Q6" s="221" t="e">
        <f t="shared" si="0"/>
        <v>#REF!</v>
      </c>
      <c r="R6" s="31"/>
      <c r="S6" s="31" t="e">
        <f>'Terv_tény vagyongazd'!#REF!</f>
        <v>#REF!</v>
      </c>
      <c r="T6" s="31" t="e">
        <f>'Terv_tény intézmény'!#REF!</f>
        <v>#REF!</v>
      </c>
    </row>
    <row r="7" spans="1:20" ht="30" x14ac:dyDescent="0.3">
      <c r="A7" s="501" t="s">
        <v>808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221">
        <f t="shared" si="0"/>
        <v>0</v>
      </c>
      <c r="R7" s="31"/>
      <c r="S7" s="31"/>
      <c r="T7" s="31"/>
    </row>
    <row r="8" spans="1:20" x14ac:dyDescent="0.3">
      <c r="Q8" s="221">
        <f t="shared" si="0"/>
        <v>0</v>
      </c>
    </row>
    <row r="10" spans="1:20" x14ac:dyDescent="0.3">
      <c r="B10" s="31" t="e">
        <f>SUM(B4:B7)</f>
        <v>#REF!</v>
      </c>
      <c r="C10" s="31" t="e">
        <f t="shared" ref="C10:S10" si="1">SUM(C4:C7)</f>
        <v>#REF!</v>
      </c>
      <c r="D10" s="31" t="e">
        <f t="shared" si="1"/>
        <v>#REF!</v>
      </c>
      <c r="E10" s="31" t="e">
        <f t="shared" si="1"/>
        <v>#REF!</v>
      </c>
      <c r="F10" s="31" t="e">
        <f t="shared" si="1"/>
        <v>#REF!</v>
      </c>
      <c r="G10" s="31" t="e">
        <f t="shared" si="1"/>
        <v>#REF!</v>
      </c>
      <c r="H10" s="31">
        <f t="shared" si="1"/>
        <v>-9047608.4799999967</v>
      </c>
      <c r="I10" s="31">
        <f t="shared" si="1"/>
        <v>53264348.84906666</v>
      </c>
      <c r="J10" s="31">
        <f t="shared" si="1"/>
        <v>-2976974.5933885071</v>
      </c>
      <c r="K10" s="31" t="e">
        <f t="shared" si="1"/>
        <v>#REF!</v>
      </c>
      <c r="L10" s="31" t="e">
        <f t="shared" si="1"/>
        <v>#REF!</v>
      </c>
      <c r="M10" s="31" t="e">
        <f t="shared" si="1"/>
        <v>#REF!</v>
      </c>
      <c r="N10" s="31" t="e">
        <f t="shared" si="1"/>
        <v>#REF!</v>
      </c>
      <c r="O10" s="31" t="e">
        <f t="shared" si="1"/>
        <v>#REF!</v>
      </c>
      <c r="P10" s="31" t="e">
        <f t="shared" si="1"/>
        <v>#REF!</v>
      </c>
      <c r="Q10" s="221" t="e">
        <f>SUM(Q4:Q7)</f>
        <v>#REF!</v>
      </c>
      <c r="R10" s="31"/>
      <c r="S10" s="31" t="e">
        <f t="shared" si="1"/>
        <v>#REF!</v>
      </c>
      <c r="T10" s="31" t="e">
        <f>SUM(T4:T7)</f>
        <v>#REF!</v>
      </c>
    </row>
    <row r="11" spans="1:20" x14ac:dyDescent="0.3">
      <c r="B11" s="31" t="e">
        <f>+B10-B3</f>
        <v>#REF!</v>
      </c>
      <c r="C11" s="31" t="e">
        <f t="shared" ref="C11:S11" si="2">+C10-C3</f>
        <v>#REF!</v>
      </c>
      <c r="D11" s="31" t="e">
        <f t="shared" si="2"/>
        <v>#REF!</v>
      </c>
      <c r="E11" s="31" t="e">
        <f t="shared" si="2"/>
        <v>#REF!</v>
      </c>
      <c r="F11" s="31" t="e">
        <f t="shared" si="2"/>
        <v>#REF!</v>
      </c>
      <c r="G11" s="31" t="e">
        <f t="shared" si="2"/>
        <v>#REF!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 t="e">
        <f t="shared" si="2"/>
        <v>#REF!</v>
      </c>
      <c r="L11" s="31" t="e">
        <f t="shared" si="2"/>
        <v>#REF!</v>
      </c>
      <c r="M11" s="31" t="e">
        <f t="shared" si="2"/>
        <v>#REF!</v>
      </c>
      <c r="N11" s="31" t="e">
        <f t="shared" si="2"/>
        <v>#REF!</v>
      </c>
      <c r="O11" s="31" t="e">
        <f t="shared" si="2"/>
        <v>#REF!</v>
      </c>
      <c r="P11" s="31" t="e">
        <f t="shared" si="2"/>
        <v>#REF!</v>
      </c>
      <c r="Q11" s="221" t="e">
        <f t="shared" si="2"/>
        <v>#REF!</v>
      </c>
      <c r="R11" s="31"/>
      <c r="S11" s="31" t="e">
        <f t="shared" si="2"/>
        <v>#REF!</v>
      </c>
      <c r="T11" s="31" t="e">
        <f>+T10-T3</f>
        <v>#REF!</v>
      </c>
    </row>
    <row r="15" spans="1:20" s="496" customFormat="1" ht="77.25" hidden="1" customHeight="1" x14ac:dyDescent="0.25">
      <c r="A15" s="608">
        <v>44742</v>
      </c>
      <c r="B15" s="496" t="s">
        <v>609</v>
      </c>
      <c r="C15" s="498" t="s">
        <v>558</v>
      </c>
      <c r="D15" s="499" t="s">
        <v>559</v>
      </c>
      <c r="E15" s="498" t="s">
        <v>560</v>
      </c>
      <c r="F15" s="496" t="s">
        <v>561</v>
      </c>
      <c r="G15" s="496" t="s">
        <v>562</v>
      </c>
      <c r="H15" s="496" t="s">
        <v>599</v>
      </c>
      <c r="I15" s="496" t="s">
        <v>476</v>
      </c>
      <c r="J15" s="496" t="s">
        <v>1495</v>
      </c>
      <c r="K15" s="496" t="s">
        <v>1496</v>
      </c>
      <c r="L15" s="496" t="s">
        <v>591</v>
      </c>
      <c r="M15" s="496" t="s">
        <v>592</v>
      </c>
      <c r="N15" s="496" t="s">
        <v>901</v>
      </c>
      <c r="O15" s="496" t="s">
        <v>594</v>
      </c>
      <c r="P15" s="496" t="s">
        <v>554</v>
      </c>
      <c r="Q15" s="497" t="s">
        <v>1497</v>
      </c>
      <c r="S15" s="496" t="s">
        <v>595</v>
      </c>
      <c r="T15" s="496" t="s">
        <v>903</v>
      </c>
    </row>
    <row r="16" spans="1:20" hidden="1" x14ac:dyDescent="0.3"/>
    <row r="17" spans="1:20" hidden="1" x14ac:dyDescent="0.3">
      <c r="A17" s="500" t="s">
        <v>806</v>
      </c>
      <c r="B17" s="31">
        <f>'Terv_tény intézmény'!M89</f>
        <v>-31696447.920000002</v>
      </c>
      <c r="C17" s="31" t="e">
        <f>'Terv_tény településüz'!#REF!</f>
        <v>#REF!</v>
      </c>
      <c r="D17" s="31" t="e">
        <f>'Terv_tény településüz'!#REF!</f>
        <v>#REF!</v>
      </c>
      <c r="E17" s="31" t="e">
        <f>'Terv_tény településüz'!#REF!</f>
        <v>#REF!</v>
      </c>
      <c r="F17" s="31" t="e">
        <f>'Terv_tény településüz'!#REF!</f>
        <v>#REF!</v>
      </c>
      <c r="G17" s="31" t="e">
        <f>'Terv_tény településüz'!#REF!</f>
        <v>#REF!</v>
      </c>
      <c r="H17" s="31">
        <f>'Terv_tény piac'!M6</f>
        <v>-43559817.960000001</v>
      </c>
      <c r="I17" s="31" t="e">
        <f>'Terv_tény parkolás'!#REF!</f>
        <v>#REF!</v>
      </c>
      <c r="J17" s="31" t="e">
        <f>'Terv_tény parkolás'!#REF!</f>
        <v>#REF!</v>
      </c>
      <c r="K17" s="31">
        <f>'Terv_tény vagyongazd'!D91</f>
        <v>-71568413.285103172</v>
      </c>
      <c r="L17" s="31">
        <f>'Terv_tény vagyongazd'!N91</f>
        <v>-47361510.113553569</v>
      </c>
      <c r="M17" s="31">
        <f>'Terv_tény vagyongazd'!G91</f>
        <v>-75163368.305348366</v>
      </c>
      <c r="N17" s="31">
        <f>'Terv_tény vagyongazd'!H91</f>
        <v>-15556639.383924156</v>
      </c>
      <c r="O17" s="31">
        <f>'Terv_tény vagyongazd'!K91</f>
        <v>-15727045.956896726</v>
      </c>
      <c r="P17" s="31">
        <f>'Terv_tény vagyongazd'!Q91</f>
        <v>-22596045.123993978</v>
      </c>
      <c r="Q17" s="221" t="e">
        <f t="shared" ref="Q17:Q22" si="3">SUM(B17:P17)</f>
        <v>#REF!</v>
      </c>
      <c r="R17" s="31"/>
      <c r="S17" s="31">
        <f>'Terv_tény vagyongazd'!S91</f>
        <v>-47283526.831080079</v>
      </c>
      <c r="T17" s="31">
        <f>'Terv_tény intézmény'!J89</f>
        <v>-19137080</v>
      </c>
    </row>
    <row r="18" spans="1:20" hidden="1" x14ac:dyDescent="0.3">
      <c r="A18" s="501" t="s">
        <v>807</v>
      </c>
      <c r="B18" s="31">
        <f>'Terv_tény intézmény'!M90</f>
        <v>-28512243.920000002</v>
      </c>
      <c r="C18" s="31" t="e">
        <f>'Terv_tény településüz'!#REF!</f>
        <v>#REF!</v>
      </c>
      <c r="D18" s="31" t="e">
        <f>'Terv_tény településüz'!#REF!</f>
        <v>#REF!</v>
      </c>
      <c r="E18" s="219" t="e">
        <f>'Terv_tény településüz'!#REF!</f>
        <v>#REF!</v>
      </c>
      <c r="F18" s="31" t="e">
        <f>'Terv_tény településüz'!#REF!</f>
        <v>#REF!</v>
      </c>
      <c r="G18" s="31" t="e">
        <f>'Terv_tény településüz'!#REF!</f>
        <v>#REF!</v>
      </c>
      <c r="H18" s="31">
        <f>'Terv_tény piac'!M7</f>
        <v>-36756970.439999998</v>
      </c>
      <c r="I18" s="31" t="e">
        <f>'Terv_tény parkolás'!#REF!+'Terv_tény parkolás'!#REF!</f>
        <v>#REF!</v>
      </c>
      <c r="J18" s="31" t="e">
        <f>'Terv_tény parkolás'!#REF!</f>
        <v>#REF!</v>
      </c>
      <c r="K18" s="31">
        <f>'Terv_tény vagyongazd'!D92</f>
        <v>-80304900.859878376</v>
      </c>
      <c r="L18" s="31">
        <f>'Terv_tény vagyongazd'!N92</f>
        <v>-45483950.183115274</v>
      </c>
      <c r="M18" s="31">
        <f>'Terv_tény vagyongazd'!G92</f>
        <v>-68411606.732982889</v>
      </c>
      <c r="N18" s="31">
        <f>'Terv_tény vagyongazd'!H92</f>
        <v>-13692119.171590894</v>
      </c>
      <c r="O18" s="31">
        <f>'Terv_tény vagyongazd'!K92</f>
        <v>-14431501.107098106</v>
      </c>
      <c r="P18" s="31">
        <f>'Terv_tény vagyongazd'!Q92</f>
        <v>-18856279.051227834</v>
      </c>
      <c r="Q18" s="221" t="e">
        <f t="shared" si="3"/>
        <v>#REF!</v>
      </c>
      <c r="R18" s="31"/>
      <c r="S18" s="31">
        <f>'Terv_tény vagyongazd'!S92</f>
        <v>-42621729.280106261</v>
      </c>
      <c r="T18" s="31">
        <f>'Terv_tény intézmény'!J90</f>
        <v>-13189154</v>
      </c>
    </row>
    <row r="19" spans="1:20" ht="30" hidden="1" x14ac:dyDescent="0.3">
      <c r="A19" s="501" t="s">
        <v>809</v>
      </c>
      <c r="B19" s="31">
        <f>'Terv_tény intézmény'!M91</f>
        <v>0</v>
      </c>
      <c r="C19" s="31" t="e">
        <f>'Terv_tény településüz'!#REF!</f>
        <v>#REF!</v>
      </c>
      <c r="D19" s="31" t="e">
        <f>'Terv_tény településüz'!#REF!</f>
        <v>#REF!</v>
      </c>
      <c r="E19" s="219" t="e">
        <f>'Terv_tény településüz'!#REF!</f>
        <v>#REF!</v>
      </c>
      <c r="F19" s="31" t="e">
        <f>'Terv_tény településüz'!#REF!</f>
        <v>#REF!</v>
      </c>
      <c r="G19" s="31" t="e">
        <f>'Terv_tény településüz'!#REF!</f>
        <v>#REF!</v>
      </c>
      <c r="H19" s="219">
        <f>'Terv_tény piac'!M8</f>
        <v>-3040700</v>
      </c>
      <c r="I19" s="31" t="e">
        <f>'Terv_tény parkolás'!#REF!+'Terv_tény parkolás'!#REF!</f>
        <v>#REF!</v>
      </c>
      <c r="J19" s="31">
        <f>'Terv_tény parkolás'!H124</f>
        <v>0</v>
      </c>
      <c r="K19" s="31">
        <f>'Terv_tény vagyongazd'!D93</f>
        <v>13808208.991222356</v>
      </c>
      <c r="L19" s="31">
        <f>'Terv_tény vagyongazd'!N93</f>
        <v>225257.63624516083</v>
      </c>
      <c r="M19" s="31">
        <f>'Terv_tény vagyongazd'!G93</f>
        <v>252105.36900609452</v>
      </c>
      <c r="N19" s="31">
        <f>'Terv_tény vagyongazd'!H93</f>
        <v>-136989.9132584614</v>
      </c>
      <c r="O19" s="31">
        <f>'Terv_tény vagyongazd'!K93</f>
        <v>287930.64402621798</v>
      </c>
      <c r="P19" s="219">
        <f>'Terv_tény vagyongazd'!Q93</f>
        <v>-1401814.6739238757</v>
      </c>
      <c r="Q19" s="221" t="e">
        <f t="shared" si="3"/>
        <v>#REF!</v>
      </c>
      <c r="R19" s="31"/>
      <c r="S19" s="31">
        <f>'Terv_tény vagyongazd'!S93</f>
        <v>270866.94668250991</v>
      </c>
      <c r="T19" s="219">
        <f>'Terv_tény intézmény'!J91</f>
        <v>-5006120</v>
      </c>
    </row>
    <row r="20" spans="1:20" ht="30" hidden="1" x14ac:dyDescent="0.3">
      <c r="A20" s="502" t="s">
        <v>810</v>
      </c>
      <c r="B20" s="31">
        <f>'Terv_tény intézmény'!M92</f>
        <v>-3184204</v>
      </c>
      <c r="C20" s="31" t="e">
        <f>'Terv_tény településüz'!#REF!</f>
        <v>#REF!</v>
      </c>
      <c r="D20" s="31" t="e">
        <f>'Terv_tény településüz'!#REF!</f>
        <v>#REF!</v>
      </c>
      <c r="E20" s="31" t="e">
        <f>'Terv_tény településüz'!#REF!</f>
        <v>#REF!</v>
      </c>
      <c r="F20" s="31" t="e">
        <f>'Terv_tény településüz'!#REF!</f>
        <v>#REF!</v>
      </c>
      <c r="G20" s="31" t="e">
        <f>'Terv_tény településüz'!#REF!</f>
        <v>#REF!</v>
      </c>
      <c r="H20" s="31">
        <f>'Terv_tény piac'!M9</f>
        <v>-3762147.52</v>
      </c>
      <c r="I20" s="31" t="e">
        <f>'Terv_tény parkolás'!#REF!</f>
        <v>#REF!</v>
      </c>
      <c r="J20" s="31" t="e">
        <f>'Terv_tény parkolás'!#REF!</f>
        <v>#REF!</v>
      </c>
      <c r="K20" s="31">
        <f>'Terv_tény vagyongazd'!D94</f>
        <v>-5071721.4164471384</v>
      </c>
      <c r="L20" s="31">
        <f>'Terv_tény vagyongazd'!N94</f>
        <v>-2102817.5666834461</v>
      </c>
      <c r="M20" s="31">
        <f>'Terv_tény vagyongazd'!G94</f>
        <v>-7003866.941371562</v>
      </c>
      <c r="N20" s="31">
        <f>'Terv_tény vagyongazd'!H94</f>
        <v>-1727530.2990748081</v>
      </c>
      <c r="O20" s="31">
        <f>'Terv_tény vagyongazd'!K94</f>
        <v>-1583475.4938248307</v>
      </c>
      <c r="P20" s="31">
        <f>'Terv_tény vagyongazd'!Q94</f>
        <v>-2337951.3988422705</v>
      </c>
      <c r="Q20" s="221" t="e">
        <f t="shared" si="3"/>
        <v>#REF!</v>
      </c>
      <c r="R20" s="31"/>
      <c r="S20" s="31">
        <f>'Terv_tény vagyongazd'!S94</f>
        <v>-4932664.4976563323</v>
      </c>
      <c r="T20" s="31">
        <f>'Terv_tény intézmény'!J92</f>
        <v>-941805.99999999953</v>
      </c>
    </row>
    <row r="21" spans="1:20" ht="30" hidden="1" x14ac:dyDescent="0.3">
      <c r="A21" s="501" t="s">
        <v>808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221">
        <f t="shared" si="3"/>
        <v>0</v>
      </c>
      <c r="R21" s="31"/>
      <c r="S21" s="31"/>
      <c r="T21" s="31"/>
    </row>
    <row r="22" spans="1:20" hidden="1" x14ac:dyDescent="0.3">
      <c r="Q22" s="221">
        <f t="shared" si="3"/>
        <v>0</v>
      </c>
    </row>
    <row r="23" spans="1:20" hidden="1" x14ac:dyDescent="0.3"/>
    <row r="24" spans="1:20" hidden="1" x14ac:dyDescent="0.3">
      <c r="B24" s="31">
        <f>SUM(B18:B21)</f>
        <v>-31696447.920000002</v>
      </c>
      <c r="C24" s="31" t="e">
        <f t="shared" ref="C24:P24" si="4">SUM(C18:C21)</f>
        <v>#REF!</v>
      </c>
      <c r="D24" s="31" t="e">
        <f t="shared" si="4"/>
        <v>#REF!</v>
      </c>
      <c r="E24" s="31" t="e">
        <f t="shared" si="4"/>
        <v>#REF!</v>
      </c>
      <c r="F24" s="31" t="e">
        <f t="shared" si="4"/>
        <v>#REF!</v>
      </c>
      <c r="G24" s="31" t="e">
        <f t="shared" si="4"/>
        <v>#REF!</v>
      </c>
      <c r="H24" s="31">
        <f t="shared" si="4"/>
        <v>-43559817.960000001</v>
      </c>
      <c r="I24" s="31" t="e">
        <f t="shared" si="4"/>
        <v>#REF!</v>
      </c>
      <c r="J24" s="31" t="e">
        <f t="shared" si="4"/>
        <v>#REF!</v>
      </c>
      <c r="K24" s="31">
        <f t="shared" si="4"/>
        <v>-71568413.285103157</v>
      </c>
      <c r="L24" s="31">
        <f t="shared" si="4"/>
        <v>-47361510.113553561</v>
      </c>
      <c r="M24" s="31">
        <f t="shared" si="4"/>
        <v>-75163368.305348352</v>
      </c>
      <c r="N24" s="31">
        <f t="shared" si="4"/>
        <v>-15556639.383924164</v>
      </c>
      <c r="O24" s="31">
        <f t="shared" si="4"/>
        <v>-15727045.956896719</v>
      </c>
      <c r="P24" s="31">
        <f t="shared" si="4"/>
        <v>-22596045.123993982</v>
      </c>
      <c r="Q24" s="221" t="e">
        <f>SUM(Q18:Q21)</f>
        <v>#REF!</v>
      </c>
      <c r="R24" s="31"/>
      <c r="S24" s="31">
        <f t="shared" ref="S24" si="5">SUM(S18:S21)</f>
        <v>-47283526.831080079</v>
      </c>
      <c r="T24" s="31">
        <f>SUM(T18:T21)</f>
        <v>-19137080</v>
      </c>
    </row>
    <row r="25" spans="1:20" hidden="1" x14ac:dyDescent="0.3">
      <c r="B25" s="31">
        <f>+B24-B17</f>
        <v>0</v>
      </c>
      <c r="C25" s="31" t="e">
        <f t="shared" ref="C25:Q25" si="6">+C24-C17</f>
        <v>#REF!</v>
      </c>
      <c r="D25" s="31" t="e">
        <f t="shared" si="6"/>
        <v>#REF!</v>
      </c>
      <c r="E25" s="31" t="e">
        <f t="shared" si="6"/>
        <v>#REF!</v>
      </c>
      <c r="F25" s="31" t="e">
        <f t="shared" si="6"/>
        <v>#REF!</v>
      </c>
      <c r="G25" s="31" t="e">
        <f t="shared" si="6"/>
        <v>#REF!</v>
      </c>
      <c r="H25" s="31">
        <f t="shared" si="6"/>
        <v>0</v>
      </c>
      <c r="I25" s="31" t="e">
        <f t="shared" si="6"/>
        <v>#REF!</v>
      </c>
      <c r="J25" s="31" t="e">
        <f t="shared" si="6"/>
        <v>#REF!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si="6"/>
        <v>0</v>
      </c>
      <c r="P25" s="31">
        <f t="shared" si="6"/>
        <v>0</v>
      </c>
      <c r="Q25" s="221" t="e">
        <f t="shared" si="6"/>
        <v>#REF!</v>
      </c>
      <c r="R25" s="31"/>
      <c r="S25" s="31">
        <f t="shared" ref="S25" si="7">+S24-S17</f>
        <v>0</v>
      </c>
      <c r="T25" s="31">
        <f>+T24-T17</f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12"/>
  <sheetViews>
    <sheetView topLeftCell="A34" zoomScaleNormal="100" workbookViewId="0">
      <selection activeCell="M64" sqref="M64"/>
    </sheetView>
  </sheetViews>
  <sheetFormatPr defaultColWidth="16.26953125" defaultRowHeight="13" x14ac:dyDescent="0.3"/>
  <cols>
    <col min="2" max="2" width="24.7265625" customWidth="1"/>
    <col min="5" max="5" width="29.453125" customWidth="1"/>
    <col min="7" max="7" width="5.1796875" customWidth="1"/>
    <col min="9" max="9" width="0" hidden="1" customWidth="1"/>
    <col min="12" max="12" width="17.7265625" style="354" customWidth="1"/>
    <col min="13" max="13" width="16.26953125" style="351"/>
  </cols>
  <sheetData>
    <row r="1" spans="1:12" ht="14" x14ac:dyDescent="0.3">
      <c r="A1" s="343" t="s">
        <v>981</v>
      </c>
      <c r="K1" s="344" t="s">
        <v>982</v>
      </c>
    </row>
    <row r="2" spans="1:12" x14ac:dyDescent="0.3">
      <c r="A2" s="1173" t="s">
        <v>1566</v>
      </c>
      <c r="B2" s="1173"/>
      <c r="C2" s="1173"/>
      <c r="D2" s="1173"/>
      <c r="E2" s="1173"/>
      <c r="F2" s="1173"/>
      <c r="G2" s="1173"/>
      <c r="H2" s="1173"/>
      <c r="I2" s="1173"/>
      <c r="J2" s="1173"/>
      <c r="K2" s="1173"/>
    </row>
    <row r="3" spans="1:12" ht="31.5" x14ac:dyDescent="0.3">
      <c r="A3" s="345" t="s">
        <v>721</v>
      </c>
      <c r="B3" s="345" t="s">
        <v>368</v>
      </c>
      <c r="C3" s="345" t="s">
        <v>722</v>
      </c>
      <c r="D3" s="345" t="s">
        <v>723</v>
      </c>
      <c r="E3" s="345" t="s">
        <v>724</v>
      </c>
      <c r="F3" s="345" t="s">
        <v>725</v>
      </c>
      <c r="G3" s="345" t="s">
        <v>726</v>
      </c>
      <c r="H3" s="345" t="s">
        <v>727</v>
      </c>
      <c r="I3" s="345" t="s">
        <v>728</v>
      </c>
      <c r="J3" s="345" t="s">
        <v>729</v>
      </c>
      <c r="K3" s="345" t="s">
        <v>730</v>
      </c>
    </row>
    <row r="4" spans="1:12" x14ac:dyDescent="0.3">
      <c r="A4" s="328" t="s">
        <v>731</v>
      </c>
      <c r="B4" s="328" t="s">
        <v>732</v>
      </c>
      <c r="C4" s="330">
        <v>43466</v>
      </c>
      <c r="D4" s="328" t="s">
        <v>1468</v>
      </c>
      <c r="E4" s="328" t="s">
        <v>733</v>
      </c>
      <c r="F4" s="328" t="s">
        <v>733</v>
      </c>
      <c r="G4" s="328"/>
      <c r="H4" s="328"/>
      <c r="I4" s="328" t="s">
        <v>734</v>
      </c>
      <c r="J4" s="329"/>
      <c r="K4" s="329">
        <v>20000000</v>
      </c>
    </row>
    <row r="5" spans="1:12" x14ac:dyDescent="0.3">
      <c r="A5" s="328" t="s">
        <v>731</v>
      </c>
      <c r="B5" s="328" t="s">
        <v>732</v>
      </c>
      <c r="C5" s="330">
        <v>43525</v>
      </c>
      <c r="D5" s="328" t="s">
        <v>1469</v>
      </c>
      <c r="E5" s="328" t="s">
        <v>1470</v>
      </c>
      <c r="F5" s="328" t="s">
        <v>1471</v>
      </c>
      <c r="G5" s="328"/>
      <c r="H5" s="328"/>
      <c r="I5" s="328" t="s">
        <v>740</v>
      </c>
      <c r="J5" s="329"/>
      <c r="K5" s="329">
        <v>12700000</v>
      </c>
    </row>
    <row r="6" spans="1:12" x14ac:dyDescent="0.3">
      <c r="A6" s="328" t="s">
        <v>731</v>
      </c>
      <c r="B6" s="328" t="s">
        <v>732</v>
      </c>
      <c r="C6" s="330">
        <v>43525</v>
      </c>
      <c r="D6" s="328" t="s">
        <v>1469</v>
      </c>
      <c r="E6" s="328" t="s">
        <v>1472</v>
      </c>
      <c r="F6" s="328" t="s">
        <v>1471</v>
      </c>
      <c r="G6" s="328"/>
      <c r="H6" s="328"/>
      <c r="I6" s="328" t="s">
        <v>740</v>
      </c>
      <c r="J6" s="329"/>
      <c r="K6" s="329">
        <v>25400000</v>
      </c>
    </row>
    <row r="7" spans="1:12" x14ac:dyDescent="0.3">
      <c r="A7" s="328" t="s">
        <v>731</v>
      </c>
      <c r="B7" s="328" t="s">
        <v>732</v>
      </c>
      <c r="C7" s="330">
        <v>43735</v>
      </c>
      <c r="D7" s="328" t="s">
        <v>1506</v>
      </c>
      <c r="E7" s="328" t="s">
        <v>1507</v>
      </c>
      <c r="F7" s="328" t="s">
        <v>1508</v>
      </c>
      <c r="G7" s="328"/>
      <c r="H7" s="328" t="s">
        <v>739</v>
      </c>
      <c r="I7" s="328" t="s">
        <v>1473</v>
      </c>
      <c r="J7" s="329">
        <v>6616</v>
      </c>
      <c r="K7" s="190"/>
    </row>
    <row r="8" spans="1:12" x14ac:dyDescent="0.3">
      <c r="A8" s="328" t="s">
        <v>731</v>
      </c>
      <c r="B8" s="328" t="s">
        <v>732</v>
      </c>
      <c r="C8" s="330">
        <v>43738</v>
      </c>
      <c r="D8" s="328" t="s">
        <v>1509</v>
      </c>
      <c r="E8" s="328" t="s">
        <v>1510</v>
      </c>
      <c r="F8" s="328" t="s">
        <v>1511</v>
      </c>
      <c r="G8" s="328"/>
      <c r="H8" s="328"/>
      <c r="I8" s="328" t="s">
        <v>1512</v>
      </c>
      <c r="J8" s="329">
        <v>9993384</v>
      </c>
      <c r="K8" s="190"/>
    </row>
    <row r="9" spans="1:12" x14ac:dyDescent="0.3">
      <c r="A9" s="328" t="s">
        <v>731</v>
      </c>
      <c r="B9" s="328" t="s">
        <v>732</v>
      </c>
      <c r="C9" s="330">
        <v>43818</v>
      </c>
      <c r="D9" s="328" t="s">
        <v>1513</v>
      </c>
      <c r="E9" s="328" t="s">
        <v>1514</v>
      </c>
      <c r="F9" s="328" t="s">
        <v>1515</v>
      </c>
      <c r="G9" s="328"/>
      <c r="H9" s="328" t="s">
        <v>739</v>
      </c>
      <c r="I9" s="328" t="s">
        <v>1473</v>
      </c>
      <c r="J9" s="329">
        <v>10000000</v>
      </c>
      <c r="K9" s="190"/>
    </row>
    <row r="10" spans="1:12" x14ac:dyDescent="0.3">
      <c r="A10" s="328" t="s">
        <v>731</v>
      </c>
      <c r="B10" s="328" t="s">
        <v>732</v>
      </c>
      <c r="C10" s="330">
        <v>43830</v>
      </c>
      <c r="D10" s="328" t="s">
        <v>1516</v>
      </c>
      <c r="E10" s="328" t="s">
        <v>1510</v>
      </c>
      <c r="F10" s="328" t="s">
        <v>1517</v>
      </c>
      <c r="G10" s="328"/>
      <c r="H10" s="328"/>
      <c r="I10" s="328" t="s">
        <v>1518</v>
      </c>
      <c r="J10" s="329">
        <v>4721887</v>
      </c>
      <c r="K10" s="190"/>
    </row>
    <row r="11" spans="1:12" x14ac:dyDescent="0.3">
      <c r="A11" s="328" t="s">
        <v>731</v>
      </c>
      <c r="B11" s="328" t="s">
        <v>732</v>
      </c>
      <c r="C11" s="330">
        <v>43830</v>
      </c>
      <c r="D11" s="328" t="s">
        <v>1519</v>
      </c>
      <c r="E11" s="328" t="s">
        <v>1510</v>
      </c>
      <c r="F11" s="328" t="s">
        <v>1520</v>
      </c>
      <c r="G11" s="328"/>
      <c r="H11" s="328"/>
      <c r="I11" s="328" t="s">
        <v>1521</v>
      </c>
      <c r="J11" s="329">
        <v>5738300</v>
      </c>
      <c r="K11" s="190"/>
    </row>
    <row r="12" spans="1:12" x14ac:dyDescent="0.3">
      <c r="A12" s="514" t="s">
        <v>731</v>
      </c>
      <c r="B12" s="514" t="s">
        <v>732</v>
      </c>
      <c r="C12" s="516">
        <v>44012</v>
      </c>
      <c r="D12" s="514" t="s">
        <v>1528</v>
      </c>
      <c r="E12" s="514" t="s">
        <v>1510</v>
      </c>
      <c r="F12" s="514" t="s">
        <v>1529</v>
      </c>
      <c r="G12" s="514"/>
      <c r="H12" s="514"/>
      <c r="I12" s="514" t="s">
        <v>1518</v>
      </c>
      <c r="J12" s="515">
        <v>5121960</v>
      </c>
      <c r="K12" s="515"/>
      <c r="L12" s="515"/>
    </row>
    <row r="13" spans="1:12" x14ac:dyDescent="0.3">
      <c r="A13" s="514" t="s">
        <v>731</v>
      </c>
      <c r="B13" s="514" t="s">
        <v>732</v>
      </c>
      <c r="C13" s="516">
        <v>44012</v>
      </c>
      <c r="D13" s="514" t="s">
        <v>1530</v>
      </c>
      <c r="E13" s="514" t="s">
        <v>1510</v>
      </c>
      <c r="F13" s="514" t="s">
        <v>1531</v>
      </c>
      <c r="G13" s="514"/>
      <c r="H13" s="514"/>
      <c r="I13" s="514" t="s">
        <v>1521</v>
      </c>
      <c r="J13" s="515">
        <v>13565460</v>
      </c>
      <c r="K13" s="515"/>
      <c r="L13" s="515"/>
    </row>
    <row r="14" spans="1:12" x14ac:dyDescent="0.3">
      <c r="A14" s="548" t="s">
        <v>731</v>
      </c>
      <c r="B14" s="548" t="s">
        <v>732</v>
      </c>
      <c r="C14" s="550">
        <v>44103</v>
      </c>
      <c r="D14" s="548" t="s">
        <v>1638</v>
      </c>
      <c r="E14" s="548" t="s">
        <v>1639</v>
      </c>
      <c r="F14" s="548" t="s">
        <v>1640</v>
      </c>
      <c r="G14" s="548"/>
      <c r="H14" s="548" t="s">
        <v>739</v>
      </c>
      <c r="I14" s="548" t="s">
        <v>1473</v>
      </c>
      <c r="J14" s="549">
        <v>2856153</v>
      </c>
      <c r="K14" s="190"/>
    </row>
    <row r="15" spans="1:12" x14ac:dyDescent="0.3">
      <c r="A15" s="548" t="s">
        <v>731</v>
      </c>
      <c r="B15" s="548" t="s">
        <v>732</v>
      </c>
      <c r="C15" s="550">
        <v>44103</v>
      </c>
      <c r="D15" s="548" t="s">
        <v>1638</v>
      </c>
      <c r="E15" s="548" t="s">
        <v>1641</v>
      </c>
      <c r="F15" s="548" t="s">
        <v>1640</v>
      </c>
      <c r="G15" s="548"/>
      <c r="H15" s="548" t="s">
        <v>739</v>
      </c>
      <c r="I15" s="548" t="s">
        <v>1473</v>
      </c>
      <c r="J15" s="549">
        <v>6096240</v>
      </c>
      <c r="K15" s="190"/>
    </row>
    <row r="16" spans="1:12" x14ac:dyDescent="0.3">
      <c r="A16" s="328"/>
      <c r="B16" s="328"/>
      <c r="C16" s="330"/>
      <c r="D16" s="328"/>
      <c r="E16" s="328"/>
      <c r="F16" s="328"/>
      <c r="G16" s="328"/>
      <c r="H16" s="328"/>
      <c r="I16" s="328"/>
      <c r="J16" s="329"/>
      <c r="K16" s="190"/>
    </row>
    <row r="17" spans="1:12" x14ac:dyDescent="0.3">
      <c r="C17" s="346"/>
      <c r="J17" s="190"/>
      <c r="K17" s="190"/>
    </row>
    <row r="18" spans="1:12" x14ac:dyDescent="0.3">
      <c r="A18" s="347" t="s">
        <v>731</v>
      </c>
      <c r="B18" s="347" t="s">
        <v>732</v>
      </c>
      <c r="C18" s="347"/>
      <c r="D18" s="347"/>
      <c r="E18" s="347" t="s">
        <v>735</v>
      </c>
      <c r="F18" s="347"/>
      <c r="G18" s="347"/>
      <c r="H18" s="347"/>
      <c r="I18" s="347"/>
      <c r="J18" s="348">
        <f>SUM(J4:J17)</f>
        <v>58100000</v>
      </c>
      <c r="K18" s="348">
        <f>SUM(K4:K17)</f>
        <v>58100000</v>
      </c>
    </row>
    <row r="19" spans="1:12" x14ac:dyDescent="0.3">
      <c r="A19" s="347" t="s">
        <v>731</v>
      </c>
      <c r="B19" s="347" t="s">
        <v>732</v>
      </c>
      <c r="C19" s="347"/>
      <c r="D19" s="347"/>
      <c r="E19" s="347" t="s">
        <v>736</v>
      </c>
      <c r="F19" s="347"/>
      <c r="G19" s="347"/>
      <c r="H19" s="347"/>
      <c r="I19" s="347"/>
      <c r="J19" s="348"/>
      <c r="K19" s="357">
        <f>+K18-J18</f>
        <v>0</v>
      </c>
    </row>
    <row r="20" spans="1:12" x14ac:dyDescent="0.3">
      <c r="A20" s="514" t="s">
        <v>737</v>
      </c>
      <c r="B20" s="514" t="s">
        <v>738</v>
      </c>
      <c r="C20" s="516">
        <v>43831</v>
      </c>
      <c r="D20" s="514" t="s">
        <v>1532</v>
      </c>
      <c r="E20" s="514" t="s">
        <v>733</v>
      </c>
      <c r="F20" s="514" t="s">
        <v>733</v>
      </c>
      <c r="G20" s="514"/>
      <c r="H20" s="514"/>
      <c r="I20" s="514" t="s">
        <v>734</v>
      </c>
      <c r="J20" s="515"/>
      <c r="K20" s="515">
        <v>12104233</v>
      </c>
      <c r="L20" s="354">
        <f>+K20-J20</f>
        <v>12104233</v>
      </c>
    </row>
    <row r="21" spans="1:12" x14ac:dyDescent="0.3">
      <c r="A21" s="514" t="s">
        <v>737</v>
      </c>
      <c r="B21" s="514" t="s">
        <v>738</v>
      </c>
      <c r="C21" s="516">
        <v>43958</v>
      </c>
      <c r="D21" s="514" t="s">
        <v>1533</v>
      </c>
      <c r="E21" s="514" t="s">
        <v>1534</v>
      </c>
      <c r="F21" s="514" t="s">
        <v>1535</v>
      </c>
      <c r="G21" s="514"/>
      <c r="H21" s="514" t="s">
        <v>739</v>
      </c>
      <c r="I21" s="514" t="s">
        <v>1473</v>
      </c>
      <c r="J21" s="515">
        <v>12104405</v>
      </c>
      <c r="K21" s="329"/>
      <c r="L21" s="354">
        <f>L20+K21-J21</f>
        <v>-172</v>
      </c>
    </row>
    <row r="22" spans="1:12" x14ac:dyDescent="0.3">
      <c r="A22" s="514" t="s">
        <v>737</v>
      </c>
      <c r="B22" s="514" t="s">
        <v>738</v>
      </c>
      <c r="C22" s="516">
        <v>43871</v>
      </c>
      <c r="D22" s="514" t="s">
        <v>1536</v>
      </c>
      <c r="E22" s="514" t="s">
        <v>1537</v>
      </c>
      <c r="F22" s="514" t="s">
        <v>1538</v>
      </c>
      <c r="G22" s="514"/>
      <c r="H22" s="514"/>
      <c r="I22" s="514" t="s">
        <v>1473</v>
      </c>
      <c r="J22" s="515"/>
      <c r="K22" s="515">
        <v>11457416</v>
      </c>
      <c r="L22" s="354">
        <f t="shared" ref="L22:L37" si="0">L21+K22-J22</f>
        <v>11457244</v>
      </c>
    </row>
    <row r="23" spans="1:12" x14ac:dyDescent="0.3">
      <c r="A23" s="514" t="s">
        <v>737</v>
      </c>
      <c r="B23" s="514" t="s">
        <v>738</v>
      </c>
      <c r="C23" s="516">
        <v>43874</v>
      </c>
      <c r="D23" s="514" t="s">
        <v>1539</v>
      </c>
      <c r="E23" s="514" t="s">
        <v>1540</v>
      </c>
      <c r="F23" s="514" t="s">
        <v>1541</v>
      </c>
      <c r="G23" s="514"/>
      <c r="H23" s="514" t="s">
        <v>739</v>
      </c>
      <c r="I23" s="514" t="s">
        <v>1473</v>
      </c>
      <c r="J23" s="515"/>
      <c r="K23" s="515">
        <v>11457416</v>
      </c>
      <c r="L23" s="354">
        <f t="shared" si="0"/>
        <v>22914660</v>
      </c>
    </row>
    <row r="24" spans="1:12" x14ac:dyDescent="0.3">
      <c r="A24" s="514" t="s">
        <v>737</v>
      </c>
      <c r="B24" s="514" t="s">
        <v>738</v>
      </c>
      <c r="C24" s="516">
        <v>43910</v>
      </c>
      <c r="D24" s="514" t="s">
        <v>1542</v>
      </c>
      <c r="E24" s="514" t="s">
        <v>1543</v>
      </c>
      <c r="F24" s="514" t="s">
        <v>1544</v>
      </c>
      <c r="G24" s="514"/>
      <c r="H24" s="514" t="s">
        <v>739</v>
      </c>
      <c r="I24" s="514" t="s">
        <v>1473</v>
      </c>
      <c r="J24" s="515"/>
      <c r="K24" s="515">
        <v>10528916</v>
      </c>
      <c r="L24" s="354">
        <f t="shared" si="0"/>
        <v>33443576</v>
      </c>
    </row>
    <row r="25" spans="1:12" x14ac:dyDescent="0.3">
      <c r="A25" s="514" t="s">
        <v>737</v>
      </c>
      <c r="B25" s="514" t="s">
        <v>738</v>
      </c>
      <c r="C25" s="516">
        <v>43910</v>
      </c>
      <c r="D25" s="514" t="s">
        <v>1542</v>
      </c>
      <c r="E25" s="514" t="s">
        <v>1545</v>
      </c>
      <c r="F25" s="514" t="s">
        <v>1544</v>
      </c>
      <c r="G25" s="514"/>
      <c r="H25" s="514" t="s">
        <v>739</v>
      </c>
      <c r="I25" s="514" t="s">
        <v>1473</v>
      </c>
      <c r="J25" s="515"/>
      <c r="K25" s="515">
        <v>10528916</v>
      </c>
      <c r="L25" s="354">
        <f t="shared" si="0"/>
        <v>43972492</v>
      </c>
    </row>
    <row r="26" spans="1:12" x14ac:dyDescent="0.3">
      <c r="A26" s="514" t="s">
        <v>737</v>
      </c>
      <c r="B26" s="514" t="s">
        <v>738</v>
      </c>
      <c r="C26" s="516">
        <v>43949</v>
      </c>
      <c r="D26" s="514" t="s">
        <v>1546</v>
      </c>
      <c r="E26" s="514" t="s">
        <v>1547</v>
      </c>
      <c r="F26" s="514" t="s">
        <v>1548</v>
      </c>
      <c r="G26" s="514"/>
      <c r="H26" s="514" t="s">
        <v>739</v>
      </c>
      <c r="I26" s="514" t="s">
        <v>1473</v>
      </c>
      <c r="J26" s="515"/>
      <c r="K26" s="515">
        <v>10528916</v>
      </c>
      <c r="L26" s="354">
        <f t="shared" si="0"/>
        <v>54501408</v>
      </c>
    </row>
    <row r="27" spans="1:12" x14ac:dyDescent="0.3">
      <c r="A27" s="514" t="s">
        <v>737</v>
      </c>
      <c r="B27" s="514" t="s">
        <v>738</v>
      </c>
      <c r="C27" s="516">
        <v>43986</v>
      </c>
      <c r="D27" s="514" t="s">
        <v>1549</v>
      </c>
      <c r="E27" s="514" t="s">
        <v>1550</v>
      </c>
      <c r="F27" s="514" t="s">
        <v>1551</v>
      </c>
      <c r="G27" s="514"/>
      <c r="H27" s="514" t="s">
        <v>739</v>
      </c>
      <c r="I27" s="514" t="s">
        <v>1473</v>
      </c>
      <c r="J27" s="515"/>
      <c r="K27" s="515">
        <v>10528916</v>
      </c>
      <c r="L27" s="354">
        <f t="shared" si="0"/>
        <v>65030324</v>
      </c>
    </row>
    <row r="28" spans="1:12" x14ac:dyDescent="0.3">
      <c r="A28" s="514" t="s">
        <v>737</v>
      </c>
      <c r="B28" s="514" t="s">
        <v>738</v>
      </c>
      <c r="C28" s="516">
        <v>44012</v>
      </c>
      <c r="D28" s="514" t="s">
        <v>1552</v>
      </c>
      <c r="E28" s="514" t="s">
        <v>1553</v>
      </c>
      <c r="F28" s="514" t="s">
        <v>1554</v>
      </c>
      <c r="G28" s="514"/>
      <c r="H28" s="514" t="s">
        <v>739</v>
      </c>
      <c r="I28" s="514" t="s">
        <v>1473</v>
      </c>
      <c r="J28" s="515"/>
      <c r="K28" s="515">
        <v>10528916</v>
      </c>
      <c r="L28" s="354">
        <f t="shared" si="0"/>
        <v>75559240</v>
      </c>
    </row>
    <row r="29" spans="1:12" x14ac:dyDescent="0.3">
      <c r="A29" s="328"/>
      <c r="B29" s="328"/>
      <c r="C29" s="330"/>
      <c r="D29" s="328"/>
      <c r="E29" s="328" t="s">
        <v>1565</v>
      </c>
      <c r="F29" s="328"/>
      <c r="G29" s="328"/>
      <c r="H29" s="328"/>
      <c r="I29" s="328"/>
      <c r="J29" s="512">
        <f>Összesítés!N23-J30</f>
        <v>66839753.311190248</v>
      </c>
      <c r="K29" s="329"/>
      <c r="L29" s="354">
        <f t="shared" si="0"/>
        <v>8719486.6888097525</v>
      </c>
    </row>
    <row r="30" spans="1:12" x14ac:dyDescent="0.3">
      <c r="A30" s="328" t="s">
        <v>737</v>
      </c>
      <c r="B30" s="328" t="s">
        <v>738</v>
      </c>
      <c r="C30" s="330">
        <v>44012</v>
      </c>
      <c r="D30" s="328" t="s">
        <v>1617</v>
      </c>
      <c r="E30" s="328" t="s">
        <v>1618</v>
      </c>
      <c r="F30" s="328" t="s">
        <v>1619</v>
      </c>
      <c r="G30" s="328"/>
      <c r="H30" s="328"/>
      <c r="I30" s="328" t="s">
        <v>1620</v>
      </c>
      <c r="J30" s="329">
        <v>56175982</v>
      </c>
      <c r="K30" s="329"/>
      <c r="L30" s="354">
        <f t="shared" si="0"/>
        <v>-47456495.311190248</v>
      </c>
    </row>
    <row r="31" spans="1:12" x14ac:dyDescent="0.3">
      <c r="A31" s="328" t="s">
        <v>737</v>
      </c>
      <c r="B31" s="328" t="s">
        <v>738</v>
      </c>
      <c r="C31" s="330">
        <v>44046</v>
      </c>
      <c r="D31" s="328" t="s">
        <v>1605</v>
      </c>
      <c r="E31" s="328" t="s">
        <v>1606</v>
      </c>
      <c r="F31" s="328" t="s">
        <v>1607</v>
      </c>
      <c r="G31" s="328"/>
      <c r="H31" s="328" t="s">
        <v>739</v>
      </c>
      <c r="I31" s="328" t="s">
        <v>1473</v>
      </c>
      <c r="J31" s="329"/>
      <c r="K31" s="329">
        <v>10528916</v>
      </c>
      <c r="L31" s="354">
        <f t="shared" si="0"/>
        <v>-36927579.311190248</v>
      </c>
    </row>
    <row r="32" spans="1:12" x14ac:dyDescent="0.3">
      <c r="A32" s="328" t="s">
        <v>737</v>
      </c>
      <c r="B32" s="328" t="s">
        <v>738</v>
      </c>
      <c r="C32" s="330">
        <v>44069</v>
      </c>
      <c r="D32" s="328" t="s">
        <v>1608</v>
      </c>
      <c r="E32" s="328" t="s">
        <v>1609</v>
      </c>
      <c r="F32" s="328" t="s">
        <v>1610</v>
      </c>
      <c r="G32" s="328"/>
      <c r="H32" s="328" t="s">
        <v>739</v>
      </c>
      <c r="I32" s="328" t="s">
        <v>1473</v>
      </c>
      <c r="J32" s="329"/>
      <c r="K32" s="329">
        <v>10528916</v>
      </c>
      <c r="L32" s="354">
        <f t="shared" si="0"/>
        <v>-26398663.311190248</v>
      </c>
    </row>
    <row r="33" spans="1:13" x14ac:dyDescent="0.3">
      <c r="A33" s="328" t="s">
        <v>737</v>
      </c>
      <c r="B33" s="328" t="s">
        <v>738</v>
      </c>
      <c r="C33" s="330">
        <v>44104</v>
      </c>
      <c r="D33" s="328" t="s">
        <v>1611</v>
      </c>
      <c r="E33" s="328" t="s">
        <v>1612</v>
      </c>
      <c r="F33" s="328" t="s">
        <v>1613</v>
      </c>
      <c r="G33" s="328"/>
      <c r="H33" s="328"/>
      <c r="I33" s="328" t="s">
        <v>1473</v>
      </c>
      <c r="J33" s="329"/>
      <c r="K33" s="329">
        <v>10528916</v>
      </c>
      <c r="L33" s="354">
        <f t="shared" si="0"/>
        <v>-15869747.311190248</v>
      </c>
    </row>
    <row r="34" spans="1:13" x14ac:dyDescent="0.3">
      <c r="A34" s="328" t="s">
        <v>737</v>
      </c>
      <c r="B34" s="328" t="s">
        <v>738</v>
      </c>
      <c r="C34" s="330">
        <v>44141</v>
      </c>
      <c r="D34" s="328" t="s">
        <v>1614</v>
      </c>
      <c r="E34" s="328" t="s">
        <v>1615</v>
      </c>
      <c r="F34" s="328" t="s">
        <v>1616</v>
      </c>
      <c r="G34" s="328"/>
      <c r="H34" s="328" t="s">
        <v>739</v>
      </c>
      <c r="I34" s="328" t="s">
        <v>1473</v>
      </c>
      <c r="J34" s="329"/>
      <c r="K34" s="329">
        <v>10528916</v>
      </c>
      <c r="L34" s="354">
        <f t="shared" si="0"/>
        <v>-5340831.3111902475</v>
      </c>
    </row>
    <row r="35" spans="1:13" x14ac:dyDescent="0.3">
      <c r="A35" s="548" t="s">
        <v>737</v>
      </c>
      <c r="B35" s="548" t="s">
        <v>738</v>
      </c>
      <c r="C35" s="550">
        <v>44173</v>
      </c>
      <c r="D35" s="548" t="s">
        <v>1642</v>
      </c>
      <c r="E35" s="548" t="s">
        <v>1643</v>
      </c>
      <c r="F35" s="548" t="s">
        <v>1644</v>
      </c>
      <c r="G35" s="548"/>
      <c r="H35" s="548"/>
      <c r="I35" s="548" t="s">
        <v>1473</v>
      </c>
      <c r="J35" s="549"/>
      <c r="K35" s="549">
        <v>10528916</v>
      </c>
      <c r="L35" s="354">
        <f t="shared" si="0"/>
        <v>5188084.6888097525</v>
      </c>
    </row>
    <row r="36" spans="1:13" x14ac:dyDescent="0.3">
      <c r="C36" s="346"/>
      <c r="J36" s="190"/>
      <c r="K36" s="190"/>
      <c r="L36" s="354">
        <f t="shared" si="0"/>
        <v>5188084.6888097525</v>
      </c>
    </row>
    <row r="37" spans="1:13" x14ac:dyDescent="0.3">
      <c r="C37" s="346"/>
      <c r="J37" s="190"/>
      <c r="K37" s="190"/>
      <c r="L37" s="354">
        <f t="shared" si="0"/>
        <v>5188084.6888097525</v>
      </c>
    </row>
    <row r="38" spans="1:13" x14ac:dyDescent="0.3">
      <c r="C38" s="346"/>
      <c r="J38" s="190"/>
      <c r="K38" s="190"/>
    </row>
    <row r="39" spans="1:13" x14ac:dyDescent="0.3">
      <c r="A39" s="347" t="s">
        <v>737</v>
      </c>
      <c r="B39" s="347" t="s">
        <v>738</v>
      </c>
      <c r="C39" s="347"/>
      <c r="D39" s="347"/>
      <c r="E39" s="347" t="s">
        <v>735</v>
      </c>
      <c r="F39" s="347"/>
      <c r="G39" s="347"/>
      <c r="H39" s="347"/>
      <c r="I39" s="347"/>
      <c r="J39" s="348">
        <f>SUM(J20:J38)</f>
        <v>135120140.31119025</v>
      </c>
      <c r="K39" s="348">
        <f>SUM(K20:K38)</f>
        <v>140308225</v>
      </c>
    </row>
    <row r="40" spans="1:13" s="125" customFormat="1" x14ac:dyDescent="0.3">
      <c r="A40" s="349" t="s">
        <v>737</v>
      </c>
      <c r="B40" s="349" t="s">
        <v>738</v>
      </c>
      <c r="C40" s="349"/>
      <c r="D40" s="349"/>
      <c r="E40" s="349" t="s">
        <v>736</v>
      </c>
      <c r="F40" s="349"/>
      <c r="G40" s="349"/>
      <c r="H40" s="349"/>
      <c r="I40" s="349"/>
      <c r="J40" s="350"/>
      <c r="K40" s="352">
        <f>+K39-J39</f>
        <v>5188084.6888097525</v>
      </c>
      <c r="L40" s="355">
        <f>-Összesítés!Z23</f>
        <v>12942292.572192699</v>
      </c>
      <c r="M40" s="353">
        <f>K40-L40</f>
        <v>-7754207.8833829463</v>
      </c>
    </row>
    <row r="41" spans="1:13" x14ac:dyDescent="0.3">
      <c r="A41" s="514" t="s">
        <v>741</v>
      </c>
      <c r="B41" s="514" t="s">
        <v>742</v>
      </c>
      <c r="C41" s="516">
        <v>43831</v>
      </c>
      <c r="D41" s="514" t="s">
        <v>1555</v>
      </c>
      <c r="E41" s="514" t="s">
        <v>733</v>
      </c>
      <c r="F41" s="514" t="s">
        <v>733</v>
      </c>
      <c r="G41" s="514"/>
      <c r="H41" s="514"/>
      <c r="I41" s="514" t="s">
        <v>734</v>
      </c>
      <c r="J41" s="515"/>
      <c r="K41" s="515">
        <v>145619611</v>
      </c>
      <c r="L41" s="354">
        <f>+K41-J41</f>
        <v>145619611</v>
      </c>
    </row>
    <row r="42" spans="1:13" x14ac:dyDescent="0.3">
      <c r="A42" s="514" t="s">
        <v>741</v>
      </c>
      <c r="B42" s="514" t="s">
        <v>742</v>
      </c>
      <c r="C42" s="516">
        <v>43889</v>
      </c>
      <c r="D42" s="514" t="s">
        <v>1556</v>
      </c>
      <c r="E42" s="514" t="s">
        <v>1557</v>
      </c>
      <c r="F42" s="514" t="s">
        <v>1558</v>
      </c>
      <c r="G42" s="514"/>
      <c r="H42" s="514" t="s">
        <v>739</v>
      </c>
      <c r="I42" s="514" t="s">
        <v>1473</v>
      </c>
      <c r="J42" s="515"/>
      <c r="K42" s="515">
        <v>78630583</v>
      </c>
      <c r="L42" s="354">
        <f>+L41+K42-J42</f>
        <v>224250194</v>
      </c>
    </row>
    <row r="43" spans="1:13" x14ac:dyDescent="0.3">
      <c r="A43" s="514" t="s">
        <v>741</v>
      </c>
      <c r="B43" s="514" t="s">
        <v>742</v>
      </c>
      <c r="C43" s="516">
        <v>43889</v>
      </c>
      <c r="D43" s="514" t="s">
        <v>1556</v>
      </c>
      <c r="E43" s="514" t="s">
        <v>1559</v>
      </c>
      <c r="F43" s="514" t="s">
        <v>1558</v>
      </c>
      <c r="G43" s="514"/>
      <c r="H43" s="514" t="s">
        <v>739</v>
      </c>
      <c r="I43" s="514" t="s">
        <v>1473</v>
      </c>
      <c r="J43" s="515"/>
      <c r="K43" s="515">
        <v>78630583</v>
      </c>
      <c r="L43" s="354">
        <f>+L42+K43-J43</f>
        <v>302880777</v>
      </c>
    </row>
    <row r="44" spans="1:13" x14ac:dyDescent="0.3">
      <c r="A44" s="514" t="s">
        <v>741</v>
      </c>
      <c r="B44" s="514" t="s">
        <v>742</v>
      </c>
      <c r="C44" s="516">
        <v>43910</v>
      </c>
      <c r="D44" s="514" t="s">
        <v>1542</v>
      </c>
      <c r="E44" s="514" t="s">
        <v>1560</v>
      </c>
      <c r="F44" s="514" t="s">
        <v>1544</v>
      </c>
      <c r="G44" s="514"/>
      <c r="H44" s="514" t="s">
        <v>739</v>
      </c>
      <c r="I44" s="514" t="s">
        <v>1473</v>
      </c>
      <c r="J44" s="515"/>
      <c r="K44" s="515">
        <v>97847383</v>
      </c>
      <c r="L44" s="354">
        <f t="shared" ref="L44:L61" si="1">+L43+K44-J44</f>
        <v>400728160</v>
      </c>
    </row>
    <row r="45" spans="1:13" x14ac:dyDescent="0.3">
      <c r="A45" s="514" t="s">
        <v>741</v>
      </c>
      <c r="B45" s="514" t="s">
        <v>742</v>
      </c>
      <c r="C45" s="516">
        <v>43910</v>
      </c>
      <c r="D45" s="514" t="s">
        <v>1542</v>
      </c>
      <c r="E45" s="514" t="s">
        <v>1561</v>
      </c>
      <c r="F45" s="514" t="s">
        <v>1544</v>
      </c>
      <c r="G45" s="514"/>
      <c r="H45" s="514" t="s">
        <v>739</v>
      </c>
      <c r="I45" s="514" t="s">
        <v>1473</v>
      </c>
      <c r="J45" s="515"/>
      <c r="K45" s="515">
        <v>97847383</v>
      </c>
      <c r="L45" s="354">
        <f t="shared" si="1"/>
        <v>498575543</v>
      </c>
    </row>
    <row r="46" spans="1:13" x14ac:dyDescent="0.3">
      <c r="A46" s="514" t="s">
        <v>741</v>
      </c>
      <c r="B46" s="514" t="s">
        <v>742</v>
      </c>
      <c r="C46" s="516">
        <v>43949</v>
      </c>
      <c r="D46" s="514" t="s">
        <v>1546</v>
      </c>
      <c r="E46" s="514" t="s">
        <v>1562</v>
      </c>
      <c r="F46" s="514" t="s">
        <v>1548</v>
      </c>
      <c r="G46" s="514"/>
      <c r="H46" s="514" t="s">
        <v>739</v>
      </c>
      <c r="I46" s="514" t="s">
        <v>1473</v>
      </c>
      <c r="J46" s="515"/>
      <c r="K46" s="515">
        <v>97847383</v>
      </c>
      <c r="L46" s="354">
        <f t="shared" si="1"/>
        <v>596422926</v>
      </c>
    </row>
    <row r="47" spans="1:13" x14ac:dyDescent="0.3">
      <c r="A47" s="514" t="s">
        <v>741</v>
      </c>
      <c r="B47" s="514" t="s">
        <v>742</v>
      </c>
      <c r="C47" s="516">
        <v>43958</v>
      </c>
      <c r="D47" s="514" t="s">
        <v>1533</v>
      </c>
      <c r="E47" s="514" t="s">
        <v>1563</v>
      </c>
      <c r="F47" s="514" t="s">
        <v>1535</v>
      </c>
      <c r="G47" s="514"/>
      <c r="H47" s="514" t="s">
        <v>739</v>
      </c>
      <c r="I47" s="514" t="s">
        <v>1473</v>
      </c>
      <c r="J47" s="515">
        <v>137348750</v>
      </c>
      <c r="K47" s="515"/>
      <c r="L47" s="354">
        <f t="shared" si="1"/>
        <v>459074176</v>
      </c>
    </row>
    <row r="48" spans="1:13" x14ac:dyDescent="0.3">
      <c r="A48" s="514" t="s">
        <v>741</v>
      </c>
      <c r="B48" s="514" t="s">
        <v>742</v>
      </c>
      <c r="C48" s="516">
        <v>43986</v>
      </c>
      <c r="D48" s="514" t="s">
        <v>1549</v>
      </c>
      <c r="E48" s="514" t="s">
        <v>1564</v>
      </c>
      <c r="F48" s="514" t="s">
        <v>1551</v>
      </c>
      <c r="G48" s="514"/>
      <c r="H48" s="514" t="s">
        <v>739</v>
      </c>
      <c r="I48" s="514" t="s">
        <v>1473</v>
      </c>
      <c r="J48" s="515"/>
      <c r="K48" s="515">
        <v>97847383</v>
      </c>
      <c r="L48" s="354">
        <f t="shared" si="1"/>
        <v>556921559</v>
      </c>
    </row>
    <row r="49" spans="1:14" x14ac:dyDescent="0.3">
      <c r="A49" s="328"/>
      <c r="B49" s="328"/>
      <c r="C49" s="330"/>
      <c r="D49" s="328"/>
      <c r="E49" s="328"/>
      <c r="F49" s="328"/>
      <c r="G49" s="328"/>
      <c r="H49" s="328"/>
      <c r="I49" s="328"/>
      <c r="J49" s="329"/>
      <c r="K49" s="329"/>
      <c r="L49" s="354">
        <f t="shared" si="1"/>
        <v>556921559</v>
      </c>
    </row>
    <row r="50" spans="1:14" x14ac:dyDescent="0.3">
      <c r="A50" s="328"/>
      <c r="B50" s="328"/>
      <c r="C50" s="330"/>
      <c r="D50" s="328"/>
      <c r="E50" s="513" t="s">
        <v>1478</v>
      </c>
      <c r="F50" s="328"/>
      <c r="G50" s="328"/>
      <c r="H50" s="328"/>
      <c r="I50" s="328"/>
      <c r="J50" s="512">
        <f>Összesítés!N26-J53</f>
        <v>41858990</v>
      </c>
      <c r="K50" s="329"/>
      <c r="L50" s="354">
        <f t="shared" si="1"/>
        <v>515062569</v>
      </c>
    </row>
    <row r="51" spans="1:14" x14ac:dyDescent="0.3">
      <c r="A51" s="328"/>
      <c r="B51" s="328"/>
      <c r="C51" s="330"/>
      <c r="D51" s="328"/>
      <c r="E51" s="513" t="s">
        <v>1565</v>
      </c>
      <c r="F51" s="328"/>
      <c r="G51" s="328"/>
      <c r="H51" s="328"/>
      <c r="I51" s="328"/>
      <c r="J51" s="512">
        <f>Összesítés!N25-J52-J60</f>
        <v>1075225294.5142787</v>
      </c>
      <c r="K51" s="329"/>
      <c r="L51" s="354">
        <f t="shared" si="1"/>
        <v>-560162725.51427865</v>
      </c>
    </row>
    <row r="52" spans="1:14" x14ac:dyDescent="0.3">
      <c r="A52" s="328" t="s">
        <v>741</v>
      </c>
      <c r="B52" s="328" t="s">
        <v>742</v>
      </c>
      <c r="C52" s="330">
        <v>44012</v>
      </c>
      <c r="D52" s="328" t="s">
        <v>1617</v>
      </c>
      <c r="E52" s="328" t="s">
        <v>1621</v>
      </c>
      <c r="F52" s="328" t="s">
        <v>1619</v>
      </c>
      <c r="G52" s="328"/>
      <c r="H52" s="328"/>
      <c r="I52" s="328" t="s">
        <v>1620</v>
      </c>
      <c r="J52" s="329">
        <v>460350654</v>
      </c>
      <c r="K52" s="329"/>
      <c r="L52" s="354">
        <f t="shared" si="1"/>
        <v>-1020513379.5142787</v>
      </c>
    </row>
    <row r="53" spans="1:14" x14ac:dyDescent="0.3">
      <c r="A53" s="328" t="s">
        <v>741</v>
      </c>
      <c r="B53" s="328" t="s">
        <v>742</v>
      </c>
      <c r="C53" s="330">
        <v>44012</v>
      </c>
      <c r="D53" s="328" t="s">
        <v>1617</v>
      </c>
      <c r="E53" s="513" t="s">
        <v>1650</v>
      </c>
      <c r="F53" s="328" t="s">
        <v>1619</v>
      </c>
      <c r="G53" s="328"/>
      <c r="H53" s="328"/>
      <c r="I53" s="328" t="s">
        <v>1620</v>
      </c>
      <c r="J53" s="512">
        <v>7332098</v>
      </c>
      <c r="K53" s="329"/>
      <c r="L53" s="354">
        <f t="shared" si="1"/>
        <v>-1027845477.5142787</v>
      </c>
    </row>
    <row r="54" spans="1:14" x14ac:dyDescent="0.3">
      <c r="A54" s="328" t="s">
        <v>741</v>
      </c>
      <c r="B54" s="328" t="s">
        <v>742</v>
      </c>
      <c r="C54" s="330">
        <v>44018</v>
      </c>
      <c r="D54" s="328" t="s">
        <v>1622</v>
      </c>
      <c r="E54" s="328" t="s">
        <v>1623</v>
      </c>
      <c r="F54" s="328" t="s">
        <v>1624</v>
      </c>
      <c r="G54" s="328"/>
      <c r="H54" s="328" t="s">
        <v>739</v>
      </c>
      <c r="I54" s="328" t="s">
        <v>1473</v>
      </c>
      <c r="J54" s="329"/>
      <c r="K54" s="329">
        <v>97847383</v>
      </c>
      <c r="L54" s="354">
        <f t="shared" si="1"/>
        <v>-929998094.51427865</v>
      </c>
    </row>
    <row r="55" spans="1:14" x14ac:dyDescent="0.3">
      <c r="A55" s="328" t="s">
        <v>741</v>
      </c>
      <c r="B55" s="328" t="s">
        <v>742</v>
      </c>
      <c r="C55" s="330">
        <v>44046</v>
      </c>
      <c r="D55" s="328" t="s">
        <v>1605</v>
      </c>
      <c r="E55" s="328" t="s">
        <v>1625</v>
      </c>
      <c r="F55" s="328" t="s">
        <v>1607</v>
      </c>
      <c r="G55" s="328"/>
      <c r="H55" s="328" t="s">
        <v>739</v>
      </c>
      <c r="I55" s="328" t="s">
        <v>1473</v>
      </c>
      <c r="J55" s="329"/>
      <c r="K55" s="329">
        <v>97847383</v>
      </c>
      <c r="L55" s="354">
        <f t="shared" si="1"/>
        <v>-832150711.51427865</v>
      </c>
    </row>
    <row r="56" spans="1:14" x14ac:dyDescent="0.3">
      <c r="A56" s="328" t="s">
        <v>741</v>
      </c>
      <c r="B56" s="328" t="s">
        <v>742</v>
      </c>
      <c r="C56" s="330">
        <v>44069</v>
      </c>
      <c r="D56" s="328" t="s">
        <v>1608</v>
      </c>
      <c r="E56" s="328" t="s">
        <v>1626</v>
      </c>
      <c r="F56" s="328" t="s">
        <v>1610</v>
      </c>
      <c r="G56" s="328"/>
      <c r="H56" s="328" t="s">
        <v>739</v>
      </c>
      <c r="I56" s="328" t="s">
        <v>1473</v>
      </c>
      <c r="J56" s="329"/>
      <c r="K56" s="329">
        <v>67364134</v>
      </c>
      <c r="L56" s="354">
        <f t="shared" si="1"/>
        <v>-764786577.51427865</v>
      </c>
    </row>
    <row r="57" spans="1:14" x14ac:dyDescent="0.3">
      <c r="A57" s="328" t="s">
        <v>741</v>
      </c>
      <c r="B57" s="328" t="s">
        <v>742</v>
      </c>
      <c r="C57" s="330">
        <v>44104</v>
      </c>
      <c r="D57" s="328" t="s">
        <v>1611</v>
      </c>
      <c r="E57" s="328" t="s">
        <v>1627</v>
      </c>
      <c r="F57" s="328" t="s">
        <v>1613</v>
      </c>
      <c r="G57" s="328"/>
      <c r="H57" s="328"/>
      <c r="I57" s="328" t="s">
        <v>1473</v>
      </c>
      <c r="J57" s="329"/>
      <c r="K57" s="329">
        <v>67364134</v>
      </c>
      <c r="L57" s="354">
        <f t="shared" si="1"/>
        <v>-697422443.51427865</v>
      </c>
    </row>
    <row r="58" spans="1:14" x14ac:dyDescent="0.3">
      <c r="A58" s="328" t="s">
        <v>741</v>
      </c>
      <c r="B58" s="328" t="s">
        <v>742</v>
      </c>
      <c r="C58" s="330">
        <v>44141</v>
      </c>
      <c r="D58" s="328" t="s">
        <v>1614</v>
      </c>
      <c r="E58" s="328" t="s">
        <v>1628</v>
      </c>
      <c r="F58" s="328" t="s">
        <v>1616</v>
      </c>
      <c r="G58" s="328"/>
      <c r="H58" s="328" t="s">
        <v>739</v>
      </c>
      <c r="I58" s="328" t="s">
        <v>1473</v>
      </c>
      <c r="J58" s="329"/>
      <c r="K58" s="329">
        <v>67364134</v>
      </c>
      <c r="L58" s="354">
        <f t="shared" si="1"/>
        <v>-630058309.51427865</v>
      </c>
    </row>
    <row r="59" spans="1:14" x14ac:dyDescent="0.3">
      <c r="A59" s="548" t="s">
        <v>741</v>
      </c>
      <c r="B59" s="548" t="s">
        <v>742</v>
      </c>
      <c r="C59" s="550">
        <v>44168</v>
      </c>
      <c r="D59" s="548" t="s">
        <v>1645</v>
      </c>
      <c r="E59" s="548" t="s">
        <v>1646</v>
      </c>
      <c r="F59" s="548" t="s">
        <v>1647</v>
      </c>
      <c r="G59" s="548"/>
      <c r="H59" s="548"/>
      <c r="I59" s="548" t="s">
        <v>1473</v>
      </c>
      <c r="J59" s="549"/>
      <c r="K59" s="549">
        <v>67364134</v>
      </c>
      <c r="L59" s="354">
        <f t="shared" si="1"/>
        <v>-562694175.51427865</v>
      </c>
    </row>
    <row r="60" spans="1:14" x14ac:dyDescent="0.3">
      <c r="C60" s="346"/>
      <c r="J60" s="511">
        <f>Összesítés!D86</f>
        <v>49191088</v>
      </c>
      <c r="K60" s="190"/>
      <c r="L60" s="354">
        <f t="shared" si="1"/>
        <v>-611885263.51427865</v>
      </c>
    </row>
    <row r="61" spans="1:14" x14ac:dyDescent="0.3">
      <c r="A61" s="558" t="s">
        <v>741</v>
      </c>
      <c r="B61" s="558" t="s">
        <v>742</v>
      </c>
      <c r="C61" s="559">
        <v>44196</v>
      </c>
      <c r="D61" s="558" t="s">
        <v>1651</v>
      </c>
      <c r="E61" s="558" t="s">
        <v>1652</v>
      </c>
      <c r="F61" s="558" t="s">
        <v>1653</v>
      </c>
      <c r="G61" s="558"/>
      <c r="H61" s="558"/>
      <c r="I61" s="558" t="s">
        <v>1654</v>
      </c>
      <c r="J61" s="560">
        <v>32000000</v>
      </c>
      <c r="K61" s="190"/>
      <c r="L61" s="354">
        <f t="shared" si="1"/>
        <v>-643885263.51427865</v>
      </c>
    </row>
    <row r="62" spans="1:14" x14ac:dyDescent="0.3">
      <c r="C62" s="346"/>
      <c r="J62" s="190"/>
      <c r="K62" s="190"/>
    </row>
    <row r="63" spans="1:14" x14ac:dyDescent="0.3">
      <c r="A63" s="347" t="s">
        <v>741</v>
      </c>
      <c r="B63" s="347" t="s">
        <v>742</v>
      </c>
      <c r="C63" s="347"/>
      <c r="D63" s="347"/>
      <c r="E63" s="347" t="s">
        <v>735</v>
      </c>
      <c r="F63" s="347"/>
      <c r="G63" s="347"/>
      <c r="H63" s="347"/>
      <c r="I63" s="347"/>
      <c r="J63" s="348">
        <f>SUM(J41:J62)</f>
        <v>1803306874.5142787</v>
      </c>
      <c r="K63" s="348">
        <f>SUM(K41:K61)</f>
        <v>1159421611</v>
      </c>
    </row>
    <row r="64" spans="1:14" s="125" customFormat="1" x14ac:dyDescent="0.3">
      <c r="A64" s="349" t="s">
        <v>741</v>
      </c>
      <c r="B64" s="349" t="s">
        <v>742</v>
      </c>
      <c r="C64" s="349"/>
      <c r="D64" s="349"/>
      <c r="E64" s="349" t="s">
        <v>736</v>
      </c>
      <c r="F64" s="349"/>
      <c r="G64" s="349"/>
      <c r="H64" s="349"/>
      <c r="I64" s="349"/>
      <c r="J64" s="350"/>
      <c r="K64" s="352">
        <f>+K63-J63</f>
        <v>-643885263.51427865</v>
      </c>
      <c r="L64" s="355">
        <f>-(Összesítés!Z25+Összesítés!Z26+Összesítés!Z27)</f>
        <v>8661132.363339901</v>
      </c>
      <c r="M64" s="353">
        <f>K64-L64</f>
        <v>-652546395.87761855</v>
      </c>
      <c r="N64" s="125" t="s">
        <v>983</v>
      </c>
    </row>
    <row r="65" spans="1:14" s="125" customFormat="1" x14ac:dyDescent="0.3">
      <c r="A65" s="349"/>
      <c r="B65" s="349"/>
      <c r="C65" s="349"/>
      <c r="D65" s="349"/>
      <c r="E65" s="349"/>
      <c r="F65" s="349"/>
      <c r="G65" s="349"/>
      <c r="H65" s="349"/>
      <c r="I65" s="349"/>
      <c r="J65" s="350"/>
      <c r="K65" s="352"/>
      <c r="L65" s="355"/>
      <c r="M65" s="353"/>
    </row>
    <row r="66" spans="1:14" x14ac:dyDescent="0.3">
      <c r="A66" s="514" t="s">
        <v>743</v>
      </c>
      <c r="B66" s="514" t="s">
        <v>744</v>
      </c>
      <c r="C66" s="516">
        <v>43831</v>
      </c>
      <c r="D66" s="514" t="s">
        <v>1567</v>
      </c>
      <c r="E66" s="514" t="s">
        <v>733</v>
      </c>
      <c r="F66" s="514" t="s">
        <v>733</v>
      </c>
      <c r="G66" s="514"/>
      <c r="H66" s="514"/>
      <c r="I66" s="514" t="s">
        <v>734</v>
      </c>
      <c r="J66" s="515"/>
      <c r="K66" s="515">
        <v>3214456</v>
      </c>
    </row>
    <row r="67" spans="1:14" x14ac:dyDescent="0.3">
      <c r="A67" s="514" t="s">
        <v>743</v>
      </c>
      <c r="B67" s="514" t="s">
        <v>744</v>
      </c>
      <c r="C67" s="516">
        <v>44001</v>
      </c>
      <c r="D67" s="514" t="s">
        <v>1568</v>
      </c>
      <c r="E67" s="514" t="s">
        <v>1569</v>
      </c>
      <c r="F67" s="514" t="s">
        <v>1570</v>
      </c>
      <c r="G67" s="514"/>
      <c r="H67" s="514" t="s">
        <v>1571</v>
      </c>
      <c r="I67" s="514" t="s">
        <v>1473</v>
      </c>
      <c r="J67" s="515">
        <v>3214456</v>
      </c>
      <c r="K67" s="515"/>
    </row>
    <row r="68" spans="1:14" x14ac:dyDescent="0.3">
      <c r="A68" s="517" t="s">
        <v>743</v>
      </c>
      <c r="B68" s="517" t="s">
        <v>744</v>
      </c>
      <c r="C68" s="517"/>
      <c r="D68" s="517"/>
      <c r="E68" s="517" t="s">
        <v>735</v>
      </c>
      <c r="F68" s="517"/>
      <c r="G68" s="517"/>
      <c r="H68" s="517"/>
      <c r="I68" s="517"/>
      <c r="J68" s="518">
        <v>3214456</v>
      </c>
      <c r="K68" s="518">
        <v>3214456</v>
      </c>
    </row>
    <row r="69" spans="1:14" x14ac:dyDescent="0.3">
      <c r="A69" s="517" t="s">
        <v>743</v>
      </c>
      <c r="B69" s="517" t="s">
        <v>744</v>
      </c>
      <c r="C69" s="517"/>
      <c r="D69" s="517"/>
      <c r="E69" s="517" t="s">
        <v>736</v>
      </c>
      <c r="F69" s="517"/>
      <c r="G69" s="517"/>
      <c r="H69" s="517"/>
      <c r="I69" s="517"/>
      <c r="J69" s="518">
        <v>0</v>
      </c>
      <c r="K69" s="518"/>
    </row>
    <row r="70" spans="1:14" x14ac:dyDescent="0.3">
      <c r="A70" s="347"/>
      <c r="B70" s="347"/>
      <c r="C70" s="347"/>
      <c r="D70" s="347"/>
      <c r="E70" s="347"/>
      <c r="F70" s="347"/>
      <c r="G70" s="347"/>
      <c r="H70" s="347"/>
      <c r="I70" s="347"/>
      <c r="J70" s="348"/>
      <c r="K70" s="348"/>
    </row>
    <row r="71" spans="1:14" x14ac:dyDescent="0.3">
      <c r="A71" s="514" t="s">
        <v>745</v>
      </c>
      <c r="B71" s="514" t="s">
        <v>746</v>
      </c>
      <c r="C71" s="516">
        <v>43831</v>
      </c>
      <c r="D71" s="514" t="s">
        <v>1572</v>
      </c>
      <c r="E71" s="514" t="s">
        <v>733</v>
      </c>
      <c r="F71" s="514" t="s">
        <v>733</v>
      </c>
      <c r="G71" s="514"/>
      <c r="H71" s="514"/>
      <c r="I71" s="514" t="s">
        <v>734</v>
      </c>
      <c r="J71" s="515">
        <v>1013224</v>
      </c>
      <c r="K71" s="515"/>
    </row>
    <row r="72" spans="1:14" x14ac:dyDescent="0.3">
      <c r="A72" s="514" t="s">
        <v>745</v>
      </c>
      <c r="B72" s="514" t="s">
        <v>746</v>
      </c>
      <c r="C72" s="516">
        <v>43951</v>
      </c>
      <c r="D72" s="514" t="s">
        <v>1573</v>
      </c>
      <c r="E72" s="514" t="s">
        <v>1474</v>
      </c>
      <c r="F72" s="514" t="s">
        <v>1574</v>
      </c>
      <c r="G72" s="514"/>
      <c r="H72" s="514" t="s">
        <v>739</v>
      </c>
      <c r="I72" s="514" t="s">
        <v>748</v>
      </c>
      <c r="J72" s="515">
        <v>57639000</v>
      </c>
      <c r="K72" s="515"/>
    </row>
    <row r="73" spans="1:14" x14ac:dyDescent="0.3">
      <c r="A73" s="514" t="s">
        <v>745</v>
      </c>
      <c r="B73" s="514" t="s">
        <v>746</v>
      </c>
      <c r="C73" s="516">
        <v>43951</v>
      </c>
      <c r="D73" s="514" t="s">
        <v>1573</v>
      </c>
      <c r="E73" s="514" t="s">
        <v>1474</v>
      </c>
      <c r="F73" s="514" t="s">
        <v>1574</v>
      </c>
      <c r="G73" s="514"/>
      <c r="H73" s="514" t="s">
        <v>739</v>
      </c>
      <c r="I73" s="514" t="s">
        <v>747</v>
      </c>
      <c r="J73" s="515"/>
      <c r="K73" s="515">
        <v>58652236</v>
      </c>
    </row>
    <row r="74" spans="1:14" x14ac:dyDescent="0.3">
      <c r="C74" s="346"/>
      <c r="J74" s="190"/>
      <c r="K74" s="511">
        <f>-Összesítés!T29</f>
        <v>153133468.82668468</v>
      </c>
    </row>
    <row r="75" spans="1:14" x14ac:dyDescent="0.3">
      <c r="C75" s="346"/>
      <c r="J75" s="511">
        <f>Összesítés!N29</f>
        <v>149321802.71937206</v>
      </c>
      <c r="K75" s="190"/>
    </row>
    <row r="76" spans="1:14" x14ac:dyDescent="0.3">
      <c r="C76" s="346"/>
      <c r="J76" s="190"/>
      <c r="K76" s="190"/>
    </row>
    <row r="77" spans="1:14" x14ac:dyDescent="0.3">
      <c r="C77" s="346"/>
      <c r="J77" s="190"/>
      <c r="K77" s="190"/>
    </row>
    <row r="78" spans="1:14" x14ac:dyDescent="0.3">
      <c r="A78" s="347" t="s">
        <v>745</v>
      </c>
      <c r="B78" s="347" t="s">
        <v>746</v>
      </c>
      <c r="C78" s="347"/>
      <c r="D78" s="347"/>
      <c r="E78" s="347" t="s">
        <v>735</v>
      </c>
      <c r="F78" s="347"/>
      <c r="G78" s="347"/>
      <c r="H78" s="347"/>
      <c r="I78" s="347"/>
      <c r="J78" s="348">
        <f>SUM(J71:J77)</f>
        <v>207974026.71937206</v>
      </c>
      <c r="K78" s="348">
        <f>SUM(K71:K77)</f>
        <v>211785704.82668468</v>
      </c>
    </row>
    <row r="79" spans="1:14" s="125" customFormat="1" x14ac:dyDescent="0.3">
      <c r="A79" s="323" t="s">
        <v>745</v>
      </c>
      <c r="B79" s="323" t="s">
        <v>746</v>
      </c>
      <c r="C79" s="323"/>
      <c r="D79" s="323"/>
      <c r="E79" s="323" t="s">
        <v>736</v>
      </c>
      <c r="F79" s="323"/>
      <c r="G79" s="323"/>
      <c r="H79" s="323"/>
      <c r="I79" s="323"/>
      <c r="J79" s="324"/>
      <c r="K79" s="356">
        <f>+K78-J78</f>
        <v>3811678.1073126197</v>
      </c>
      <c r="L79" s="355">
        <f>-Összesítés!Z29</f>
        <v>3811666.1073126197</v>
      </c>
      <c r="M79" s="353">
        <f>K79-L79</f>
        <v>12</v>
      </c>
      <c r="N79" s="125" t="s">
        <v>983</v>
      </c>
    </row>
    <row r="80" spans="1:14" x14ac:dyDescent="0.3">
      <c r="A80" s="514" t="s">
        <v>749</v>
      </c>
      <c r="B80" s="514" t="s">
        <v>750</v>
      </c>
      <c r="C80" s="516">
        <v>43831</v>
      </c>
      <c r="D80" s="514" t="s">
        <v>1575</v>
      </c>
      <c r="E80" s="514" t="s">
        <v>733</v>
      </c>
      <c r="F80" s="514" t="s">
        <v>733</v>
      </c>
      <c r="G80" s="514"/>
      <c r="H80" s="514"/>
      <c r="I80" s="514" t="s">
        <v>734</v>
      </c>
      <c r="J80" s="515"/>
      <c r="K80" s="515">
        <v>69150324</v>
      </c>
    </row>
    <row r="81" spans="1:14" x14ac:dyDescent="0.3">
      <c r="A81" s="514" t="s">
        <v>749</v>
      </c>
      <c r="B81" s="514" t="s">
        <v>750</v>
      </c>
      <c r="C81" s="516">
        <v>43951</v>
      </c>
      <c r="D81" s="514" t="s">
        <v>1576</v>
      </c>
      <c r="E81" s="514" t="s">
        <v>751</v>
      </c>
      <c r="F81" s="514" t="s">
        <v>1577</v>
      </c>
      <c r="G81" s="514"/>
      <c r="H81" s="514" t="s">
        <v>739</v>
      </c>
      <c r="I81" s="514" t="s">
        <v>752</v>
      </c>
      <c r="J81" s="515">
        <v>636943500</v>
      </c>
      <c r="K81" s="515"/>
    </row>
    <row r="82" spans="1:14" x14ac:dyDescent="0.3">
      <c r="A82" s="514" t="s">
        <v>749</v>
      </c>
      <c r="B82" s="514" t="s">
        <v>750</v>
      </c>
      <c r="C82" s="516">
        <v>43951</v>
      </c>
      <c r="D82" s="514" t="s">
        <v>1576</v>
      </c>
      <c r="E82" s="514" t="s">
        <v>751</v>
      </c>
      <c r="F82" s="514" t="s">
        <v>1577</v>
      </c>
      <c r="G82" s="514"/>
      <c r="H82" s="514" t="s">
        <v>739</v>
      </c>
      <c r="I82" s="514" t="s">
        <v>753</v>
      </c>
      <c r="J82" s="515"/>
      <c r="K82" s="515">
        <v>567793213</v>
      </c>
    </row>
    <row r="83" spans="1:14" x14ac:dyDescent="0.3">
      <c r="A83" s="328"/>
      <c r="B83" s="328"/>
      <c r="C83" s="330"/>
      <c r="D83" s="328"/>
      <c r="E83" s="328"/>
      <c r="F83" s="328"/>
      <c r="G83" s="328"/>
      <c r="H83" s="328"/>
      <c r="I83" s="328"/>
      <c r="J83" s="329"/>
      <c r="K83" s="329"/>
    </row>
    <row r="84" spans="1:14" x14ac:dyDescent="0.3">
      <c r="A84" s="328"/>
      <c r="B84" s="328"/>
      <c r="C84" s="330"/>
      <c r="D84" s="328"/>
      <c r="E84" s="328"/>
      <c r="F84" s="328"/>
      <c r="G84" s="328"/>
      <c r="H84" s="328"/>
      <c r="I84" s="328"/>
      <c r="J84" s="329"/>
      <c r="K84" s="329"/>
    </row>
    <row r="85" spans="1:14" x14ac:dyDescent="0.3">
      <c r="C85" s="346"/>
      <c r="J85" s="190"/>
      <c r="K85" s="511">
        <f>-Összesítés!T20</f>
        <v>655251113.53908277</v>
      </c>
    </row>
    <row r="86" spans="1:14" x14ac:dyDescent="0.3">
      <c r="C86" s="346"/>
      <c r="J86" s="511">
        <f>Összesítés!N20</f>
        <v>601590329.19632578</v>
      </c>
      <c r="K86" s="190"/>
    </row>
    <row r="87" spans="1:14" x14ac:dyDescent="0.3">
      <c r="A87" s="347" t="s">
        <v>749</v>
      </c>
      <c r="B87" s="347" t="s">
        <v>750</v>
      </c>
      <c r="C87" s="347"/>
      <c r="D87" s="347"/>
      <c r="E87" s="347" t="s">
        <v>735</v>
      </c>
      <c r="F87" s="347"/>
      <c r="G87" s="347"/>
      <c r="H87" s="347"/>
      <c r="I87" s="347"/>
      <c r="J87" s="348">
        <f>SUM(J80:J86)</f>
        <v>1238533829.1963258</v>
      </c>
      <c r="K87" s="348">
        <f>SUM(K80:K86)</f>
        <v>1292194650.5390828</v>
      </c>
    </row>
    <row r="88" spans="1:14" s="125" customFormat="1" x14ac:dyDescent="0.3">
      <c r="A88" s="349" t="s">
        <v>749</v>
      </c>
      <c r="B88" s="349" t="s">
        <v>750</v>
      </c>
      <c r="C88" s="349"/>
      <c r="D88" s="349"/>
      <c r="E88" s="349" t="s">
        <v>736</v>
      </c>
      <c r="F88" s="349"/>
      <c r="G88" s="349"/>
      <c r="H88" s="349"/>
      <c r="I88" s="349"/>
      <c r="J88" s="350"/>
      <c r="K88" s="352">
        <f>+K87-J87</f>
        <v>53660821.342756987</v>
      </c>
      <c r="L88" s="355">
        <f>-Összesítés!Z20</f>
        <v>53660784.342756987</v>
      </c>
      <c r="M88" s="353">
        <f>K88-L88</f>
        <v>37</v>
      </c>
      <c r="N88" s="125" t="s">
        <v>983</v>
      </c>
    </row>
    <row r="89" spans="1:14" x14ac:dyDescent="0.3">
      <c r="A89" s="514" t="s">
        <v>754</v>
      </c>
      <c r="B89" s="514" t="s">
        <v>755</v>
      </c>
      <c r="C89" s="516">
        <v>43831</v>
      </c>
      <c r="D89" s="514" t="s">
        <v>1578</v>
      </c>
      <c r="E89" s="514" t="s">
        <v>733</v>
      </c>
      <c r="F89" s="514" t="s">
        <v>733</v>
      </c>
      <c r="G89" s="514"/>
      <c r="H89" s="514"/>
      <c r="I89" s="514" t="s">
        <v>734</v>
      </c>
      <c r="J89" s="515"/>
      <c r="K89" s="515">
        <v>110288526.98</v>
      </c>
    </row>
    <row r="90" spans="1:14" x14ac:dyDescent="0.3">
      <c r="A90" s="514" t="s">
        <v>754</v>
      </c>
      <c r="B90" s="514" t="s">
        <v>755</v>
      </c>
      <c r="C90" s="516">
        <v>43951</v>
      </c>
      <c r="D90" s="514" t="s">
        <v>1579</v>
      </c>
      <c r="E90" s="514" t="s">
        <v>756</v>
      </c>
      <c r="F90" s="514" t="s">
        <v>1580</v>
      </c>
      <c r="G90" s="514"/>
      <c r="H90" s="514" t="s">
        <v>739</v>
      </c>
      <c r="I90" s="514" t="s">
        <v>757</v>
      </c>
      <c r="J90" s="515">
        <v>91955450</v>
      </c>
      <c r="K90" s="515"/>
    </row>
    <row r="91" spans="1:14" x14ac:dyDescent="0.3">
      <c r="A91" s="514" t="s">
        <v>754</v>
      </c>
      <c r="B91" s="514" t="s">
        <v>755</v>
      </c>
      <c r="C91" s="516">
        <v>43951</v>
      </c>
      <c r="D91" s="514" t="s">
        <v>1579</v>
      </c>
      <c r="E91" s="514" t="s">
        <v>756</v>
      </c>
      <c r="F91" s="514" t="s">
        <v>1580</v>
      </c>
      <c r="G91" s="514"/>
      <c r="H91" s="514" t="s">
        <v>739</v>
      </c>
      <c r="I91" s="514" t="s">
        <v>758</v>
      </c>
      <c r="J91" s="515"/>
      <c r="K91" s="515">
        <v>76635020</v>
      </c>
    </row>
    <row r="92" spans="1:14" x14ac:dyDescent="0.3">
      <c r="A92" s="514" t="s">
        <v>754</v>
      </c>
      <c r="B92" s="514" t="s">
        <v>755</v>
      </c>
      <c r="C92" s="516">
        <v>43951</v>
      </c>
      <c r="D92" s="514" t="s">
        <v>1581</v>
      </c>
      <c r="E92" s="514" t="s">
        <v>1475</v>
      </c>
      <c r="F92" s="514" t="s">
        <v>1582</v>
      </c>
      <c r="G92" s="514"/>
      <c r="H92" s="514" t="s">
        <v>739</v>
      </c>
      <c r="I92" s="514" t="s">
        <v>757</v>
      </c>
      <c r="J92" s="515">
        <v>128668698</v>
      </c>
      <c r="K92" s="515"/>
    </row>
    <row r="93" spans="1:14" x14ac:dyDescent="0.3">
      <c r="A93" s="514" t="s">
        <v>754</v>
      </c>
      <c r="B93" s="514" t="s">
        <v>755</v>
      </c>
      <c r="C93" s="516">
        <v>43951</v>
      </c>
      <c r="D93" s="514" t="s">
        <v>1581</v>
      </c>
      <c r="E93" s="514" t="s">
        <v>1475</v>
      </c>
      <c r="F93" s="514" t="s">
        <v>1582</v>
      </c>
      <c r="G93" s="514"/>
      <c r="H93" s="514" t="s">
        <v>739</v>
      </c>
      <c r="I93" s="514" t="s">
        <v>758</v>
      </c>
      <c r="J93" s="515"/>
      <c r="K93" s="515">
        <v>97853045</v>
      </c>
    </row>
    <row r="94" spans="1:14" x14ac:dyDescent="0.3">
      <c r="A94" s="514" t="s">
        <v>754</v>
      </c>
      <c r="B94" s="514" t="s">
        <v>755</v>
      </c>
      <c r="C94" s="516">
        <v>43951</v>
      </c>
      <c r="D94" s="514" t="s">
        <v>1583</v>
      </c>
      <c r="E94" s="514" t="s">
        <v>1476</v>
      </c>
      <c r="F94" s="514" t="s">
        <v>1584</v>
      </c>
      <c r="G94" s="514"/>
      <c r="H94" s="514" t="s">
        <v>739</v>
      </c>
      <c r="I94" s="514" t="s">
        <v>757</v>
      </c>
      <c r="J94" s="515">
        <v>270453111</v>
      </c>
      <c r="K94" s="515"/>
    </row>
    <row r="95" spans="1:14" x14ac:dyDescent="0.3">
      <c r="A95" s="514" t="s">
        <v>754</v>
      </c>
      <c r="B95" s="514" t="s">
        <v>755</v>
      </c>
      <c r="C95" s="516">
        <v>43951</v>
      </c>
      <c r="D95" s="514" t="s">
        <v>1583</v>
      </c>
      <c r="E95" s="514" t="s">
        <v>1476</v>
      </c>
      <c r="F95" s="514" t="s">
        <v>1584</v>
      </c>
      <c r="G95" s="514"/>
      <c r="H95" s="514" t="s">
        <v>739</v>
      </c>
      <c r="I95" s="514" t="s">
        <v>758</v>
      </c>
      <c r="J95" s="515"/>
      <c r="K95" s="515">
        <v>268543034</v>
      </c>
    </row>
    <row r="96" spans="1:14" x14ac:dyDescent="0.3">
      <c r="A96" s="514" t="s">
        <v>754</v>
      </c>
      <c r="B96" s="514" t="s">
        <v>755</v>
      </c>
      <c r="C96" s="516">
        <v>43951</v>
      </c>
      <c r="D96" s="514" t="s">
        <v>1585</v>
      </c>
      <c r="E96" s="514" t="s">
        <v>1477</v>
      </c>
      <c r="F96" s="514" t="s">
        <v>1586</v>
      </c>
      <c r="G96" s="514"/>
      <c r="H96" s="514" t="s">
        <v>739</v>
      </c>
      <c r="I96" s="514" t="s">
        <v>757</v>
      </c>
      <c r="J96" s="515">
        <v>514101790</v>
      </c>
      <c r="K96" s="515"/>
    </row>
    <row r="97" spans="1:13" x14ac:dyDescent="0.3">
      <c r="A97" s="514" t="s">
        <v>754</v>
      </c>
      <c r="B97" s="514" t="s">
        <v>755</v>
      </c>
      <c r="C97" s="516">
        <v>43951</v>
      </c>
      <c r="D97" s="514" t="s">
        <v>1585</v>
      </c>
      <c r="E97" s="514" t="s">
        <v>1477</v>
      </c>
      <c r="F97" s="514" t="s">
        <v>1586</v>
      </c>
      <c r="G97" s="514"/>
      <c r="H97" s="514" t="s">
        <v>739</v>
      </c>
      <c r="I97" s="514" t="s">
        <v>758</v>
      </c>
      <c r="J97" s="515"/>
      <c r="K97" s="515">
        <v>451859424</v>
      </c>
    </row>
    <row r="98" spans="1:13" x14ac:dyDescent="0.3">
      <c r="C98" s="346"/>
      <c r="J98" s="190"/>
      <c r="K98" s="511">
        <f>-(Összesítés!T2+Összesítés!T3+Összesítés!T4+Összesítés!T5+Összesítés!T6+Összesítés!T7)</f>
        <v>1068727790.1969767</v>
      </c>
    </row>
    <row r="99" spans="1:13" x14ac:dyDescent="0.3">
      <c r="C99" s="346"/>
      <c r="J99" s="511">
        <f>(Összesítés!N2+Összesítés!N3+Összesítés!N4+Összesítés!N5+Összesítés!N6+Összesítés!N7)</f>
        <v>933413774.40178049</v>
      </c>
      <c r="K99" s="190"/>
    </row>
    <row r="100" spans="1:13" x14ac:dyDescent="0.3">
      <c r="C100" s="346"/>
      <c r="J100" s="190"/>
      <c r="K100" s="190"/>
    </row>
    <row r="101" spans="1:13" x14ac:dyDescent="0.3">
      <c r="C101" s="346"/>
      <c r="J101" s="190"/>
      <c r="K101" s="190"/>
    </row>
    <row r="102" spans="1:13" x14ac:dyDescent="0.3">
      <c r="C102" s="346"/>
      <c r="J102" s="190"/>
      <c r="K102" s="190"/>
    </row>
    <row r="103" spans="1:13" x14ac:dyDescent="0.3">
      <c r="C103" s="346"/>
      <c r="J103" s="190"/>
      <c r="K103" s="190"/>
    </row>
    <row r="104" spans="1:13" x14ac:dyDescent="0.3">
      <c r="C104" s="346"/>
      <c r="J104" s="190"/>
      <c r="K104" s="190"/>
    </row>
    <row r="105" spans="1:13" x14ac:dyDescent="0.3">
      <c r="C105" s="346"/>
      <c r="J105" s="190"/>
      <c r="K105" s="190"/>
    </row>
    <row r="106" spans="1:13" x14ac:dyDescent="0.3">
      <c r="C106" s="346"/>
      <c r="J106" s="190"/>
      <c r="K106" s="190"/>
    </row>
    <row r="107" spans="1:13" x14ac:dyDescent="0.3">
      <c r="C107" s="346"/>
      <c r="J107" s="190"/>
      <c r="K107" s="190"/>
    </row>
    <row r="108" spans="1:13" x14ac:dyDescent="0.3">
      <c r="C108" s="346"/>
      <c r="J108" s="190"/>
      <c r="K108" s="190"/>
    </row>
    <row r="109" spans="1:13" x14ac:dyDescent="0.3">
      <c r="C109" s="346"/>
      <c r="J109" s="190"/>
      <c r="K109" s="190"/>
    </row>
    <row r="110" spans="1:13" x14ac:dyDescent="0.3">
      <c r="C110" s="346"/>
      <c r="J110" s="190"/>
      <c r="K110" s="190"/>
    </row>
    <row r="111" spans="1:13" x14ac:dyDescent="0.3">
      <c r="A111" s="347" t="s">
        <v>754</v>
      </c>
      <c r="B111" s="347" t="s">
        <v>755</v>
      </c>
      <c r="C111" s="347"/>
      <c r="D111" s="347"/>
      <c r="E111" s="347" t="s">
        <v>735</v>
      </c>
      <c r="F111" s="347"/>
      <c r="G111" s="347"/>
      <c r="H111" s="347"/>
      <c r="I111" s="347"/>
      <c r="J111" s="348">
        <f>SUM(J89:J110)</f>
        <v>1938592823.4017806</v>
      </c>
      <c r="K111" s="348">
        <f>SUM(K89:K110)</f>
        <v>2073906840.1769767</v>
      </c>
    </row>
    <row r="112" spans="1:13" s="125" customFormat="1" x14ac:dyDescent="0.3">
      <c r="A112" s="349" t="s">
        <v>754</v>
      </c>
      <c r="B112" s="349" t="s">
        <v>755</v>
      </c>
      <c r="C112" s="349"/>
      <c r="D112" s="349"/>
      <c r="E112" s="349" t="s">
        <v>736</v>
      </c>
      <c r="F112" s="349"/>
      <c r="G112" s="349"/>
      <c r="H112" s="349"/>
      <c r="I112" s="349"/>
      <c r="J112" s="350"/>
      <c r="K112" s="352">
        <f>+K111-J111</f>
        <v>135314016.77519608</v>
      </c>
      <c r="L112" s="355">
        <f>-(Összesítés!Z2+Összesítés!Z3+Összesítés!Z4+Összesítés!Z5+Összesítés!Z6+Összesítés!Z7)</f>
        <v>135314015.79519624</v>
      </c>
      <c r="M112" s="353">
        <f>K112-L112</f>
        <v>0.979999840259552</v>
      </c>
    </row>
  </sheetData>
  <mergeCells count="1">
    <mergeCell ref="A2:K2"/>
  </mergeCells>
  <pageMargins left="0.7" right="0.7" top="0.75" bottom="0.75" header="0.3" footer="0.3"/>
  <pageSetup paperSize="8" scale="88" fitToHeight="0" orientation="landscape" r:id="rId1"/>
  <rowBreaks count="1" manualBreakCount="1">
    <brk id="6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pageSetUpPr fitToPage="1"/>
  </sheetPr>
  <dimension ref="A1:HX406"/>
  <sheetViews>
    <sheetView workbookViewId="0">
      <pane xSplit="3" ySplit="5" topLeftCell="GR229" activePane="bottomRight" state="frozen"/>
      <selection pane="topRight" activeCell="C1" sqref="C1"/>
      <selection pane="bottomLeft" activeCell="A6" sqref="A6"/>
      <selection pane="bottomRight" activeCell="GE317" sqref="GE317"/>
    </sheetView>
  </sheetViews>
  <sheetFormatPr defaultColWidth="8.81640625" defaultRowHeight="12.5" x14ac:dyDescent="0.25"/>
  <cols>
    <col min="1" max="1" width="11" style="4" bestFit="1" customWidth="1"/>
    <col min="2" max="2" width="13.1796875" style="4" customWidth="1"/>
    <col min="3" max="3" width="28.26953125" style="1" customWidth="1"/>
    <col min="4" max="4" width="11.26953125" style="6" customWidth="1"/>
    <col min="5" max="5" width="13.54296875" style="8" customWidth="1"/>
    <col min="6" max="6" width="12.453125" style="6" customWidth="1"/>
    <col min="7" max="7" width="12.453125" style="8" customWidth="1"/>
    <col min="8" max="8" width="12.26953125" style="8" customWidth="1"/>
    <col min="9" max="11" width="12.26953125" style="6" customWidth="1"/>
    <col min="12" max="12" width="12.26953125" style="8" customWidth="1"/>
    <col min="13" max="15" width="12.26953125" style="6" customWidth="1"/>
    <col min="16" max="16" width="12.26953125" style="8" customWidth="1"/>
    <col min="17" max="17" width="12.453125" style="6" customWidth="1"/>
    <col min="18" max="18" width="12.26953125" style="8" customWidth="1"/>
    <col min="19" max="19" width="12.26953125" style="6" customWidth="1"/>
    <col min="20" max="20" width="10.26953125" style="8" customWidth="1"/>
    <col min="21" max="21" width="11.54296875" style="8" customWidth="1"/>
    <col min="22" max="22" width="13.54296875" style="6" customWidth="1"/>
    <col min="23" max="23" width="13.26953125" style="36" bestFit="1" customWidth="1"/>
    <col min="24" max="25" width="13.54296875" style="36" customWidth="1"/>
    <col min="26" max="26" width="14.81640625" style="8" customWidth="1"/>
    <col min="27" max="27" width="5.453125" style="6" customWidth="1"/>
    <col min="28" max="28" width="10.54296875" style="8" customWidth="1"/>
    <col min="29" max="29" width="11.453125" style="6" customWidth="1"/>
    <col min="30" max="30" width="13.26953125" style="73" customWidth="1"/>
    <col min="31" max="31" width="13.54296875" style="73" customWidth="1"/>
    <col min="32" max="32" width="13.26953125" style="73" customWidth="1"/>
    <col min="33" max="33" width="12.7265625" customWidth="1"/>
    <col min="34" max="35" width="12.26953125" style="6" customWidth="1"/>
    <col min="36" max="36" width="12.453125" style="8" customWidth="1"/>
    <col min="37" max="37" width="13.54296875" style="8" customWidth="1"/>
    <col min="38" max="39" width="12.453125" style="8" customWidth="1"/>
    <col min="40" max="41" width="12.26953125" style="6" customWidth="1"/>
    <col min="42" max="42" width="12.54296875" style="8" customWidth="1"/>
    <col min="43" max="43" width="12.54296875" style="6" customWidth="1"/>
    <col min="44" max="44" width="12.453125" style="6" customWidth="1"/>
    <col min="45" max="45" width="13.7265625" style="6" customWidth="1"/>
    <col min="46" max="47" width="12.453125" style="6" customWidth="1"/>
    <col min="48" max="48" width="11.453125" style="8" bestFit="1" customWidth="1"/>
    <col min="49" max="49" width="12.453125" style="6" customWidth="1"/>
    <col min="50" max="50" width="12.453125" style="8" customWidth="1"/>
    <col min="51" max="51" width="12.453125" style="6" customWidth="1"/>
    <col min="52" max="52" width="12.453125" style="8" customWidth="1"/>
    <col min="53" max="54" width="12.453125" style="6" customWidth="1"/>
    <col min="55" max="55" width="9.453125" style="6" customWidth="1"/>
    <col min="56" max="56" width="11.26953125" style="8" customWidth="1"/>
    <col min="57" max="57" width="14.26953125" style="8" customWidth="1"/>
    <col min="58" max="61" width="12.26953125" style="8" customWidth="1"/>
    <col min="62" max="62" width="12.453125" style="8" customWidth="1"/>
    <col min="63" max="63" width="9.26953125" style="8" customWidth="1"/>
    <col min="64" max="65" width="12.26953125" style="8" customWidth="1"/>
    <col min="66" max="70" width="12.453125" style="8" customWidth="1"/>
    <col min="71" max="71" width="8.453125" style="6" customWidth="1"/>
    <col min="72" max="72" width="10.54296875" style="8" customWidth="1"/>
    <col min="73" max="73" width="12.453125" style="8" customWidth="1"/>
    <col min="74" max="74" width="14" style="6" customWidth="1"/>
    <col min="75" max="75" width="11.26953125" style="8" customWidth="1"/>
    <col min="76" max="76" width="12.453125" style="6" customWidth="1"/>
    <col min="77" max="77" width="14.453125" style="6" customWidth="1"/>
    <col min="78" max="78" width="12.453125" style="6" customWidth="1"/>
    <col min="79" max="79" width="13.54296875" style="6" bestFit="1" customWidth="1"/>
    <col min="80" max="80" width="13.453125" style="6" customWidth="1"/>
    <col min="81" max="84" width="12.453125" style="6" customWidth="1"/>
    <col min="85" max="85" width="10.453125" style="6" customWidth="1"/>
    <col min="86" max="86" width="12.453125" style="6" customWidth="1"/>
    <col min="87" max="87" width="16.1796875" style="6" customWidth="1"/>
    <col min="88" max="90" width="12.453125" style="6" customWidth="1"/>
    <col min="91" max="92" width="12.453125" style="8" customWidth="1"/>
    <col min="93" max="93" width="13.453125" style="8" customWidth="1"/>
    <col min="94" max="96" width="12.453125" style="8" customWidth="1"/>
    <col min="97" max="97" width="13.7265625" style="8" customWidth="1"/>
    <col min="98" max="98" width="11.54296875" style="6" customWidth="1"/>
    <col min="99" max="99" width="13.453125" style="8" customWidth="1"/>
    <col min="100" max="100" width="12.453125" style="6" customWidth="1"/>
    <col min="101" max="101" width="13.453125" style="6" customWidth="1"/>
    <col min="102" max="102" width="13.54296875" style="6" customWidth="1"/>
    <col min="103" max="104" width="13.54296875" style="8" customWidth="1"/>
    <col min="105" max="105" width="13.54296875" customWidth="1"/>
    <col min="106" max="106" width="9.1796875" customWidth="1"/>
    <col min="107" max="107" width="12.26953125" customWidth="1"/>
    <col min="108" max="108" width="13.7265625" style="6" customWidth="1"/>
    <col min="109" max="109" width="13.7265625" style="8" customWidth="1"/>
    <col min="110" max="110" width="12.453125" style="8" customWidth="1"/>
    <col min="111" max="111" width="13.453125" style="8" customWidth="1"/>
    <col min="112" max="113" width="12.453125" style="8" customWidth="1"/>
    <col min="114" max="114" width="12.54296875" style="6" customWidth="1"/>
    <col min="115" max="115" width="12.26953125" style="8" customWidth="1"/>
    <col min="116" max="116" width="12.453125" style="8" customWidth="1"/>
    <col min="117" max="117" width="11.453125" style="8" customWidth="1"/>
    <col min="118" max="118" width="14.453125" style="8" customWidth="1"/>
    <col min="119" max="119" width="11.453125" style="8" customWidth="1"/>
    <col min="120" max="120" width="10.453125" style="6" customWidth="1"/>
    <col min="121" max="121" width="11.453125" style="8" customWidth="1"/>
    <col min="122" max="125" width="12.54296875" style="6" customWidth="1"/>
    <col min="126" max="126" width="11.453125" style="6" customWidth="1"/>
    <col min="127" max="127" width="11.453125" style="8" customWidth="1"/>
    <col min="128" max="128" width="11.453125" style="6" customWidth="1"/>
    <col min="129" max="129" width="11.54296875" style="8" customWidth="1"/>
    <col min="130" max="130" width="11.453125" style="6" customWidth="1"/>
    <col min="131" max="131" width="11.453125" style="8" customWidth="1"/>
    <col min="132" max="132" width="11.453125" style="6" customWidth="1"/>
    <col min="133" max="133" width="11.453125" style="8" customWidth="1"/>
    <col min="134" max="134" width="10.54296875" style="6" customWidth="1"/>
    <col min="135" max="135" width="10.453125" style="6" customWidth="1"/>
    <col min="136" max="136" width="9.54296875" style="8" customWidth="1"/>
    <col min="137" max="137" width="10.54296875" style="6" customWidth="1"/>
    <col min="138" max="138" width="10.453125" style="8" customWidth="1"/>
    <col min="139" max="139" width="10.453125" style="6" customWidth="1"/>
    <col min="140" max="140" width="9.54296875" style="8" customWidth="1"/>
    <col min="141" max="141" width="10.453125" style="6" customWidth="1"/>
    <col min="142" max="142" width="9.54296875" style="8" customWidth="1"/>
    <col min="143" max="143" width="10.453125" style="6" customWidth="1"/>
    <col min="144" max="144" width="10.453125" style="8" customWidth="1"/>
    <col min="145" max="145" width="9.54296875" style="6" customWidth="1"/>
    <col min="146" max="146" width="10.54296875" style="8" customWidth="1"/>
    <col min="147" max="147" width="10.453125" style="6" customWidth="1"/>
    <col min="148" max="148" width="10.54296875" style="8" customWidth="1"/>
    <col min="149" max="149" width="10.54296875" style="6" customWidth="1"/>
    <col min="150" max="150" width="10.453125" style="8" customWidth="1"/>
    <col min="151" max="151" width="10.54296875" style="6" customWidth="1"/>
    <col min="152" max="152" width="11.54296875" style="8" customWidth="1"/>
    <col min="153" max="153" width="12.54296875" style="8" customWidth="1"/>
    <col min="154" max="154" width="11.54296875" style="8" customWidth="1"/>
    <col min="155" max="158" width="12.54296875" style="8" customWidth="1"/>
    <col min="159" max="159" width="13.7265625" style="6" customWidth="1"/>
    <col min="160" max="160" width="14.7265625" style="6" customWidth="1"/>
    <col min="161" max="161" width="11.453125" style="6" customWidth="1"/>
    <col min="162" max="162" width="14.453125" style="73" customWidth="1"/>
    <col min="163" max="163" width="13.54296875" customWidth="1"/>
    <col min="164" max="164" width="12.453125" style="8" bestFit="1" customWidth="1"/>
    <col min="165" max="165" width="12.26953125" style="8" customWidth="1"/>
    <col min="166" max="167" width="13.26953125" style="8" customWidth="1"/>
    <col min="168" max="169" width="13.453125" style="8" customWidth="1"/>
    <col min="170" max="171" width="12.453125" style="8" customWidth="1"/>
    <col min="172" max="172" width="13.54296875" style="6" bestFit="1" customWidth="1"/>
    <col min="173" max="174" width="12.453125" style="6" customWidth="1"/>
    <col min="175" max="175" width="13.54296875" style="103" bestFit="1" customWidth="1"/>
    <col min="176" max="176" width="13.453125" style="6" bestFit="1" customWidth="1"/>
    <col min="177" max="178" width="13.54296875" style="6" customWidth="1"/>
    <col min="179" max="179" width="13.453125" style="8" customWidth="1"/>
    <col min="180" max="180" width="12.453125" style="6" customWidth="1"/>
    <col min="181" max="181" width="12.453125" style="8" customWidth="1"/>
    <col min="182" max="182" width="12.1796875" style="6" customWidth="1"/>
    <col min="183" max="183" width="13.453125" style="6" customWidth="1"/>
    <col min="184" max="184" width="12.26953125" style="6" customWidth="1"/>
    <col min="185" max="185" width="12.453125" style="6" customWidth="1"/>
    <col min="186" max="188" width="13.453125" style="8" customWidth="1"/>
    <col min="189" max="189" width="12.453125" style="8" customWidth="1"/>
    <col min="190" max="190" width="12.54296875" style="6" customWidth="1"/>
    <col min="191" max="191" width="11.453125" style="8" customWidth="1"/>
    <col min="192" max="192" width="11.453125" style="6" customWidth="1"/>
    <col min="193" max="193" width="10.453125" style="8" customWidth="1"/>
    <col min="194" max="194" width="10.453125" style="6" customWidth="1"/>
    <col min="195" max="195" width="10.453125" style="8" customWidth="1"/>
    <col min="196" max="196" width="11.453125" style="6" customWidth="1"/>
    <col min="197" max="199" width="11.453125" style="8" customWidth="1"/>
    <col min="200" max="200" width="12.453125" style="8" customWidth="1"/>
    <col min="201" max="204" width="10.453125" style="8" customWidth="1"/>
    <col min="205" max="205" width="12.26953125" style="8" customWidth="1"/>
    <col min="206" max="206" width="13.7265625" style="8" bestFit="1" customWidth="1"/>
    <col min="207" max="208" width="12.54296875" style="6" customWidth="1"/>
    <col min="209" max="209" width="12.26953125" style="8" customWidth="1"/>
    <col min="210" max="210" width="13.81640625" style="8" bestFit="1" customWidth="1"/>
    <col min="211" max="211" width="11.453125" style="8" customWidth="1"/>
    <col min="212" max="212" width="14.453125" style="9" bestFit="1" customWidth="1"/>
    <col min="213" max="213" width="14.453125" style="8" bestFit="1" customWidth="1"/>
    <col min="214" max="214" width="13.54296875" style="473" customWidth="1"/>
    <col min="215" max="215" width="8.81640625" style="31" customWidth="1"/>
    <col min="216" max="216" width="14.54296875" style="31" bestFit="1" customWidth="1"/>
    <col min="217" max="217" width="13.7265625" style="31" bestFit="1" customWidth="1"/>
    <col min="218" max="218" width="14.7265625" style="31" bestFit="1" customWidth="1"/>
    <col min="219" max="219" width="8.81640625" style="31"/>
    <col min="220" max="220" width="11.7265625" style="31" bestFit="1" customWidth="1"/>
    <col min="221" max="221" width="11.1796875" style="31" bestFit="1" customWidth="1"/>
    <col min="222" max="232" width="8.81640625" style="31"/>
    <col min="233" max="16384" width="8.81640625" style="1"/>
  </cols>
  <sheetData>
    <row r="1" spans="1:232" x14ac:dyDescent="0.25">
      <c r="A1" s="325" t="s">
        <v>1723</v>
      </c>
      <c r="B1" s="325" t="s">
        <v>1724</v>
      </c>
      <c r="HE1" s="9"/>
    </row>
    <row r="2" spans="1:232" s="135" customFormat="1" ht="51" customHeight="1" x14ac:dyDescent="0.25">
      <c r="A2" s="4"/>
      <c r="B2" s="203"/>
      <c r="D2" s="204"/>
      <c r="E2" s="20" t="s">
        <v>472</v>
      </c>
      <c r="F2" s="21" t="s">
        <v>473</v>
      </c>
      <c r="G2" s="22" t="s">
        <v>474</v>
      </c>
      <c r="H2" s="30"/>
      <c r="I2" s="21" t="s">
        <v>480</v>
      </c>
      <c r="J2" s="22"/>
      <c r="K2" s="22" t="s">
        <v>1018</v>
      </c>
      <c r="L2" s="23"/>
      <c r="M2" s="22" t="s">
        <v>482</v>
      </c>
      <c r="N2" s="22" t="s">
        <v>1019</v>
      </c>
      <c r="O2" s="22" t="s">
        <v>1020</v>
      </c>
      <c r="P2" s="21" t="s">
        <v>483</v>
      </c>
      <c r="Q2" s="22" t="s">
        <v>484</v>
      </c>
      <c r="R2" s="24" t="s">
        <v>485</v>
      </c>
      <c r="S2" s="23" t="s">
        <v>482</v>
      </c>
      <c r="T2" s="23"/>
      <c r="U2" s="195" t="s">
        <v>489</v>
      </c>
      <c r="V2" s="21" t="s">
        <v>489</v>
      </c>
      <c r="W2" s="37" t="s">
        <v>588</v>
      </c>
      <c r="X2" s="37" t="s">
        <v>587</v>
      </c>
      <c r="Y2" s="37"/>
      <c r="Z2" s="21" t="s">
        <v>478</v>
      </c>
      <c r="AA2" s="22" t="s">
        <v>486</v>
      </c>
      <c r="AB2" s="21" t="s">
        <v>487</v>
      </c>
      <c r="AC2" s="21" t="s">
        <v>487</v>
      </c>
      <c r="AD2" s="79" t="s">
        <v>620</v>
      </c>
      <c r="AE2" s="80" t="s">
        <v>621</v>
      </c>
      <c r="AF2" s="81" t="s">
        <v>622</v>
      </c>
      <c r="AG2" s="78" t="s">
        <v>619</v>
      </c>
      <c r="AH2" s="41"/>
      <c r="AI2" s="44" t="s">
        <v>1595</v>
      </c>
      <c r="AJ2" s="44" t="s">
        <v>578</v>
      </c>
      <c r="AK2" s="92" t="s">
        <v>618</v>
      </c>
      <c r="AL2" s="81" t="s">
        <v>622</v>
      </c>
      <c r="AM2" s="78" t="s">
        <v>619</v>
      </c>
      <c r="AN2" s="41" t="s">
        <v>801</v>
      </c>
      <c r="AO2" s="41" t="s">
        <v>577</v>
      </c>
      <c r="AP2" s="40" t="s">
        <v>490</v>
      </c>
      <c r="AQ2" s="40" t="s">
        <v>491</v>
      </c>
      <c r="AR2" s="41" t="s">
        <v>579</v>
      </c>
      <c r="AS2" s="93" t="s">
        <v>623</v>
      </c>
      <c r="AT2" s="81" t="s">
        <v>622</v>
      </c>
      <c r="AU2" s="78" t="s">
        <v>619</v>
      </c>
      <c r="AV2" s="42" t="s">
        <v>492</v>
      </c>
      <c r="AW2" s="42" t="s">
        <v>493</v>
      </c>
      <c r="AX2" s="42" t="s">
        <v>494</v>
      </c>
      <c r="AY2" s="42" t="s">
        <v>495</v>
      </c>
      <c r="AZ2" s="42" t="s">
        <v>496</v>
      </c>
      <c r="BA2" s="43" t="s">
        <v>580</v>
      </c>
      <c r="BB2" s="43" t="s">
        <v>1718</v>
      </c>
      <c r="BC2" s="42" t="s">
        <v>496</v>
      </c>
      <c r="BD2" s="42" t="s">
        <v>495</v>
      </c>
      <c r="BE2" s="94" t="s">
        <v>624</v>
      </c>
      <c r="BF2" s="81" t="s">
        <v>622</v>
      </c>
      <c r="BG2" s="78" t="s">
        <v>619</v>
      </c>
      <c r="BH2" s="41" t="s">
        <v>801</v>
      </c>
      <c r="BI2" s="307"/>
      <c r="BJ2" s="49" t="s">
        <v>581</v>
      </c>
      <c r="BK2" s="50" t="s">
        <v>501</v>
      </c>
      <c r="BL2" s="95" t="s">
        <v>625</v>
      </c>
      <c r="BM2" s="81" t="s">
        <v>622</v>
      </c>
      <c r="BN2" s="78" t="s">
        <v>619</v>
      </c>
      <c r="BO2" s="86" t="s">
        <v>902</v>
      </c>
      <c r="BP2" s="336" t="s">
        <v>972</v>
      </c>
      <c r="BQ2" s="47" t="s">
        <v>576</v>
      </c>
      <c r="BR2" s="451" t="s">
        <v>481</v>
      </c>
      <c r="BS2" s="46" t="s">
        <v>488</v>
      </c>
      <c r="BT2" s="46" t="s">
        <v>497</v>
      </c>
      <c r="BU2" s="46" t="s">
        <v>488</v>
      </c>
      <c r="BV2" s="46" t="s">
        <v>488</v>
      </c>
      <c r="BW2" s="46" t="s">
        <v>498</v>
      </c>
      <c r="BX2" s="47" t="s">
        <v>582</v>
      </c>
      <c r="BY2" s="22" t="s">
        <v>1771</v>
      </c>
      <c r="BZ2" s="47"/>
      <c r="CA2" s="47"/>
      <c r="CB2" s="96" t="s">
        <v>626</v>
      </c>
      <c r="CC2" s="81" t="s">
        <v>622</v>
      </c>
      <c r="CD2" s="78" t="s">
        <v>619</v>
      </c>
      <c r="CE2" s="78"/>
      <c r="CF2" s="78" t="s">
        <v>960</v>
      </c>
      <c r="CG2" s="45" t="s">
        <v>475</v>
      </c>
      <c r="CH2" s="45" t="s">
        <v>500</v>
      </c>
      <c r="CI2" s="97" t="s">
        <v>627</v>
      </c>
      <c r="CJ2" s="81" t="s">
        <v>622</v>
      </c>
      <c r="CK2" s="78" t="s">
        <v>619</v>
      </c>
      <c r="CL2" s="78" t="s">
        <v>960</v>
      </c>
      <c r="CM2" s="48" t="s">
        <v>499</v>
      </c>
      <c r="CN2" s="98" t="s">
        <v>628</v>
      </c>
      <c r="CO2" s="82" t="s">
        <v>629</v>
      </c>
      <c r="CP2" s="83" t="s">
        <v>630</v>
      </c>
      <c r="CQ2" s="83"/>
      <c r="CR2" s="81" t="s">
        <v>622</v>
      </c>
      <c r="CS2" s="21" t="s">
        <v>476</v>
      </c>
      <c r="CT2" s="21" t="s">
        <v>476</v>
      </c>
      <c r="CU2" s="21" t="s">
        <v>502</v>
      </c>
      <c r="CV2" s="21" t="s">
        <v>503</v>
      </c>
      <c r="CW2" s="21" t="s">
        <v>505</v>
      </c>
      <c r="CX2" s="84" t="s">
        <v>631</v>
      </c>
      <c r="CY2" s="21" t="s">
        <v>504</v>
      </c>
      <c r="CZ2" s="21" t="s">
        <v>1841</v>
      </c>
      <c r="DA2" s="85" t="s">
        <v>632</v>
      </c>
      <c r="DB2" s="85"/>
      <c r="DC2" s="81" t="s">
        <v>622</v>
      </c>
      <c r="DD2" s="22" t="s">
        <v>477</v>
      </c>
      <c r="DE2" s="21" t="s">
        <v>506</v>
      </c>
      <c r="DF2" s="335" t="s">
        <v>961</v>
      </c>
      <c r="DG2" s="86" t="s">
        <v>959</v>
      </c>
      <c r="DH2" s="87" t="s">
        <v>648</v>
      </c>
      <c r="DI2" s="195" t="s">
        <v>961</v>
      </c>
      <c r="DJ2" s="21" t="s">
        <v>324</v>
      </c>
      <c r="DK2" s="23" t="s">
        <v>519</v>
      </c>
      <c r="DL2" s="88" t="s">
        <v>633</v>
      </c>
      <c r="DM2" s="30" t="s">
        <v>584</v>
      </c>
      <c r="DN2" s="23" t="s">
        <v>792</v>
      </c>
      <c r="DO2" s="21" t="s">
        <v>507</v>
      </c>
      <c r="DP2" s="21" t="s">
        <v>508</v>
      </c>
      <c r="DQ2" s="24" t="s">
        <v>509</v>
      </c>
      <c r="DR2" s="30" t="s">
        <v>583</v>
      </c>
      <c r="DS2" s="23" t="s">
        <v>794</v>
      </c>
      <c r="DT2" s="23" t="s">
        <v>795</v>
      </c>
      <c r="DU2" s="23" t="s">
        <v>796</v>
      </c>
      <c r="DV2" s="21"/>
      <c r="DW2" s="494" t="s">
        <v>513</v>
      </c>
      <c r="DX2" s="22"/>
      <c r="DY2" s="21"/>
      <c r="DZ2" s="21"/>
      <c r="EA2" s="21"/>
      <c r="EB2" s="21"/>
      <c r="EC2" s="21"/>
      <c r="ED2" s="22"/>
      <c r="EE2" s="21" t="s">
        <v>520</v>
      </c>
      <c r="EF2" s="21" t="s">
        <v>521</v>
      </c>
      <c r="EG2" s="21" t="s">
        <v>522</v>
      </c>
      <c r="EH2" s="21" t="s">
        <v>523</v>
      </c>
      <c r="EI2" s="21" t="s">
        <v>524</v>
      </c>
      <c r="EJ2" s="21" t="s">
        <v>525</v>
      </c>
      <c r="EK2" s="21" t="s">
        <v>526</v>
      </c>
      <c r="EL2" s="22" t="s">
        <v>527</v>
      </c>
      <c r="EM2" s="22" t="s">
        <v>528</v>
      </c>
      <c r="EN2" s="21" t="s">
        <v>529</v>
      </c>
      <c r="EO2" s="21" t="s">
        <v>530</v>
      </c>
      <c r="EP2" s="21" t="s">
        <v>531</v>
      </c>
      <c r="EQ2" s="21" t="s">
        <v>532</v>
      </c>
      <c r="ER2" s="21" t="s">
        <v>533</v>
      </c>
      <c r="ES2" s="21" t="s">
        <v>534</v>
      </c>
      <c r="ET2" s="21" t="s">
        <v>535</v>
      </c>
      <c r="EU2" s="21" t="s">
        <v>536</v>
      </c>
      <c r="EV2" s="21" t="s">
        <v>537</v>
      </c>
      <c r="EW2" s="89" t="s">
        <v>719</v>
      </c>
      <c r="EX2" s="89" t="s">
        <v>720</v>
      </c>
      <c r="EY2" s="89" t="s">
        <v>634</v>
      </c>
      <c r="EZ2" s="89" t="s">
        <v>635</v>
      </c>
      <c r="FA2" s="89" t="s">
        <v>636</v>
      </c>
      <c r="FB2" s="89"/>
      <c r="FC2" s="21" t="s">
        <v>479</v>
      </c>
      <c r="FD2" s="22" t="s">
        <v>538</v>
      </c>
      <c r="FE2" s="21" t="s">
        <v>540</v>
      </c>
      <c r="FF2" s="86" t="s">
        <v>637</v>
      </c>
      <c r="FG2" s="87" t="s">
        <v>638</v>
      </c>
      <c r="FH2" s="22" t="s">
        <v>539</v>
      </c>
      <c r="FI2" s="81" t="s">
        <v>622</v>
      </c>
      <c r="FJ2" s="78" t="s">
        <v>639</v>
      </c>
      <c r="FK2" s="21" t="s">
        <v>541</v>
      </c>
      <c r="FL2" s="647" t="s">
        <v>1720</v>
      </c>
      <c r="FM2" s="84" t="s">
        <v>640</v>
      </c>
      <c r="FN2" s="81" t="s">
        <v>622</v>
      </c>
      <c r="FO2" s="78" t="s">
        <v>639</v>
      </c>
      <c r="FP2" s="21" t="s">
        <v>542</v>
      </c>
      <c r="FQ2" s="21" t="s">
        <v>1768</v>
      </c>
      <c r="FR2" s="21" t="s">
        <v>1769</v>
      </c>
      <c r="FS2" s="84" t="s">
        <v>641</v>
      </c>
      <c r="FT2" s="81" t="s">
        <v>622</v>
      </c>
      <c r="FU2" s="78" t="s">
        <v>639</v>
      </c>
      <c r="FV2" s="336" t="s">
        <v>972</v>
      </c>
      <c r="FW2" s="21" t="s">
        <v>543</v>
      </c>
      <c r="FX2" s="21" t="s">
        <v>544</v>
      </c>
      <c r="FY2" s="30" t="s">
        <v>585</v>
      </c>
      <c r="FZ2" s="21" t="s">
        <v>545</v>
      </c>
      <c r="GA2" s="84" t="s">
        <v>642</v>
      </c>
      <c r="GB2" s="81" t="s">
        <v>622</v>
      </c>
      <c r="GC2" s="78" t="s">
        <v>639</v>
      </c>
      <c r="GD2" s="21" t="s">
        <v>546</v>
      </c>
      <c r="GE2" s="648" t="s">
        <v>1721</v>
      </c>
      <c r="GF2" s="84" t="s">
        <v>643</v>
      </c>
      <c r="GG2" s="81" t="s">
        <v>622</v>
      </c>
      <c r="GH2" s="26" t="s">
        <v>547</v>
      </c>
      <c r="GI2" s="26" t="s">
        <v>548</v>
      </c>
      <c r="GJ2" s="26" t="s">
        <v>549</v>
      </c>
      <c r="GK2" s="26" t="s">
        <v>550</v>
      </c>
      <c r="GL2" s="26" t="s">
        <v>551</v>
      </c>
      <c r="GM2" s="30" t="s">
        <v>586</v>
      </c>
      <c r="GN2" s="30"/>
      <c r="GO2" s="30"/>
      <c r="GP2" s="30"/>
      <c r="GQ2" s="30"/>
      <c r="GR2" s="90" t="s">
        <v>644</v>
      </c>
      <c r="GS2" s="81" t="s">
        <v>622</v>
      </c>
      <c r="GT2" s="90" t="s">
        <v>645</v>
      </c>
      <c r="GU2" s="91" t="s">
        <v>646</v>
      </c>
      <c r="GV2" s="30"/>
      <c r="GW2" s="81" t="s">
        <v>622</v>
      </c>
      <c r="GX2" s="8"/>
      <c r="GY2" s="21" t="s">
        <v>552</v>
      </c>
      <c r="GZ2" s="21" t="s">
        <v>552</v>
      </c>
      <c r="HA2" s="21" t="s">
        <v>553</v>
      </c>
      <c r="HB2" s="90" t="s">
        <v>647</v>
      </c>
      <c r="HC2" s="21"/>
      <c r="HD2" s="21"/>
      <c r="HE2" s="194"/>
      <c r="HF2" s="26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</row>
    <row r="3" spans="1:232" ht="12.75" customHeight="1" x14ac:dyDescent="0.25">
      <c r="E3" s="27" t="s">
        <v>371</v>
      </c>
      <c r="F3" s="28" t="s">
        <v>372</v>
      </c>
      <c r="G3" s="27" t="s">
        <v>373</v>
      </c>
      <c r="H3" s="12"/>
      <c r="I3" s="13" t="s">
        <v>380</v>
      </c>
      <c r="J3" s="12" t="s">
        <v>891</v>
      </c>
      <c r="K3" s="13" t="s">
        <v>892</v>
      </c>
      <c r="L3" s="12"/>
      <c r="M3" s="13" t="s">
        <v>382</v>
      </c>
      <c r="N3" s="12" t="s">
        <v>893</v>
      </c>
      <c r="O3" s="13" t="s">
        <v>894</v>
      </c>
      <c r="P3" s="12" t="s">
        <v>383</v>
      </c>
      <c r="Q3" s="13" t="s">
        <v>384</v>
      </c>
      <c r="R3" s="12" t="s">
        <v>385</v>
      </c>
      <c r="S3" s="13" t="s">
        <v>790</v>
      </c>
      <c r="T3" s="12" t="s">
        <v>791</v>
      </c>
      <c r="U3" s="196" t="s">
        <v>389</v>
      </c>
      <c r="V3" s="28" t="s">
        <v>406</v>
      </c>
      <c r="W3" s="38"/>
      <c r="X3" s="38"/>
      <c r="Y3" s="38"/>
      <c r="Z3" s="28" t="s">
        <v>377</v>
      </c>
      <c r="AA3" s="27" t="s">
        <v>386</v>
      </c>
      <c r="AB3" s="28" t="s">
        <v>387</v>
      </c>
      <c r="AC3" s="28" t="s">
        <v>402</v>
      </c>
      <c r="AD3" s="74"/>
      <c r="AE3" s="74"/>
      <c r="AF3" s="74"/>
      <c r="AG3" s="74"/>
      <c r="AH3" s="12"/>
      <c r="AI3" s="12"/>
      <c r="AJ3" s="13" t="s">
        <v>393</v>
      </c>
      <c r="AK3" s="13"/>
      <c r="AL3" s="13"/>
      <c r="AM3" s="13"/>
      <c r="AN3" s="12" t="s">
        <v>390</v>
      </c>
      <c r="AO3" s="12" t="s">
        <v>390</v>
      </c>
      <c r="AP3" s="196" t="s">
        <v>391</v>
      </c>
      <c r="AQ3" s="196" t="s">
        <v>392</v>
      </c>
      <c r="AR3" s="12" t="s">
        <v>394</v>
      </c>
      <c r="AS3" s="12"/>
      <c r="AT3" s="12"/>
      <c r="AU3" s="12"/>
      <c r="AV3" s="196" t="s">
        <v>395</v>
      </c>
      <c r="AW3" s="196" t="s">
        <v>396</v>
      </c>
      <c r="AX3" s="196" t="s">
        <v>397</v>
      </c>
      <c r="AY3" s="196" t="s">
        <v>398</v>
      </c>
      <c r="AZ3" s="196" t="s">
        <v>399</v>
      </c>
      <c r="BA3" s="12" t="s">
        <v>400</v>
      </c>
      <c r="BB3" s="12"/>
      <c r="BC3" s="28" t="s">
        <v>404</v>
      </c>
      <c r="BD3" s="28" t="s">
        <v>405</v>
      </c>
      <c r="BE3" s="28"/>
      <c r="BF3" s="28"/>
      <c r="BG3" s="28"/>
      <c r="BH3" s="12" t="s">
        <v>390</v>
      </c>
      <c r="BI3" s="28"/>
      <c r="BJ3" s="13" t="s">
        <v>401</v>
      </c>
      <c r="BK3" s="28" t="s">
        <v>413</v>
      </c>
      <c r="BL3" s="28"/>
      <c r="BM3" s="28"/>
      <c r="BN3" s="28"/>
      <c r="BO3" s="28"/>
      <c r="BP3" s="28"/>
      <c r="BQ3" s="12" t="s">
        <v>379</v>
      </c>
      <c r="BR3" s="12" t="s">
        <v>381</v>
      </c>
      <c r="BS3" s="28" t="s">
        <v>388</v>
      </c>
      <c r="BT3" s="28" t="s">
        <v>403</v>
      </c>
      <c r="BU3" s="12" t="s">
        <v>1464</v>
      </c>
      <c r="BV3" s="28" t="s">
        <v>408</v>
      </c>
      <c r="BW3" s="13" t="s">
        <v>409</v>
      </c>
      <c r="BX3" s="12" t="s">
        <v>410</v>
      </c>
      <c r="BY3" s="12" t="s">
        <v>1765</v>
      </c>
      <c r="BZ3" s="13" t="s">
        <v>1727</v>
      </c>
      <c r="CA3" s="326"/>
      <c r="CB3" s="12"/>
      <c r="CC3" s="12"/>
      <c r="CD3" s="12"/>
      <c r="CE3" s="12"/>
      <c r="CF3" s="12"/>
      <c r="CG3" s="28" t="s">
        <v>374</v>
      </c>
      <c r="CH3" s="28" t="s">
        <v>412</v>
      </c>
      <c r="CI3" s="28"/>
      <c r="CJ3" s="28"/>
      <c r="CK3" s="28"/>
      <c r="CL3" s="12"/>
      <c r="CM3" s="28" t="s">
        <v>411</v>
      </c>
      <c r="CN3" s="28"/>
      <c r="CO3" s="28"/>
      <c r="CP3" s="28"/>
      <c r="CQ3" s="28"/>
      <c r="CR3" s="28"/>
      <c r="CS3" s="28" t="s">
        <v>375</v>
      </c>
      <c r="CT3" s="28" t="s">
        <v>414</v>
      </c>
      <c r="CU3" s="28" t="s">
        <v>415</v>
      </c>
      <c r="CV3" s="28" t="s">
        <v>416</v>
      </c>
      <c r="CW3" s="28" t="s">
        <v>418</v>
      </c>
      <c r="CX3" s="28"/>
      <c r="CY3" s="28" t="s">
        <v>417</v>
      </c>
      <c r="CZ3" s="12" t="s">
        <v>1840</v>
      </c>
      <c r="DD3" s="28" t="s">
        <v>376</v>
      </c>
      <c r="DE3" s="28" t="s">
        <v>419</v>
      </c>
      <c r="DF3" s="28"/>
      <c r="DG3" s="28"/>
      <c r="DH3" s="28"/>
      <c r="DI3" s="28"/>
      <c r="DJ3" s="28" t="s">
        <v>420</v>
      </c>
      <c r="DK3" s="12" t="s">
        <v>435</v>
      </c>
      <c r="DL3" s="12"/>
      <c r="DM3" s="13" t="s">
        <v>425</v>
      </c>
      <c r="DN3" s="12" t="s">
        <v>793</v>
      </c>
      <c r="DO3" s="28" t="s">
        <v>421</v>
      </c>
      <c r="DP3" s="28" t="s">
        <v>422</v>
      </c>
      <c r="DQ3" s="13" t="s">
        <v>423</v>
      </c>
      <c r="DR3" s="12" t="s">
        <v>424</v>
      </c>
      <c r="DS3" s="13" t="s">
        <v>797</v>
      </c>
      <c r="DT3" s="12" t="s">
        <v>798</v>
      </c>
      <c r="DU3" s="13" t="s">
        <v>799</v>
      </c>
      <c r="DV3" s="13" t="s">
        <v>427</v>
      </c>
      <c r="DW3" s="13" t="s">
        <v>429</v>
      </c>
      <c r="DX3" s="27"/>
      <c r="DY3" s="28"/>
      <c r="DZ3" s="28"/>
      <c r="EA3" s="28"/>
      <c r="EB3" s="28"/>
      <c r="EC3" s="28"/>
      <c r="ED3" s="27"/>
      <c r="EE3" s="28" t="s">
        <v>436</v>
      </c>
      <c r="EF3" s="28" t="s">
        <v>437</v>
      </c>
      <c r="EG3" s="28" t="s">
        <v>438</v>
      </c>
      <c r="EH3" s="28" t="s">
        <v>439</v>
      </c>
      <c r="EI3" s="28" t="s">
        <v>440</v>
      </c>
      <c r="EJ3" s="28" t="s">
        <v>441</v>
      </c>
      <c r="EK3" s="28" t="s">
        <v>442</v>
      </c>
      <c r="EL3" s="27" t="s">
        <v>443</v>
      </c>
      <c r="EM3" s="27" t="s">
        <v>444</v>
      </c>
      <c r="EN3" s="28" t="s">
        <v>445</v>
      </c>
      <c r="EO3" s="28" t="s">
        <v>446</v>
      </c>
      <c r="EP3" s="28" t="s">
        <v>447</v>
      </c>
      <c r="EQ3" s="28" t="s">
        <v>448</v>
      </c>
      <c r="ER3" s="28" t="s">
        <v>449</v>
      </c>
      <c r="ES3" s="28" t="s">
        <v>450</v>
      </c>
      <c r="ET3" s="28" t="s">
        <v>451</v>
      </c>
      <c r="EU3" s="28" t="s">
        <v>452</v>
      </c>
      <c r="EV3" s="28" t="s">
        <v>453</v>
      </c>
      <c r="EW3" s="28"/>
      <c r="EX3" s="28"/>
      <c r="EY3" s="28"/>
      <c r="EZ3" s="28"/>
      <c r="FA3" s="28"/>
      <c r="FB3" s="28"/>
      <c r="FC3" s="28" t="s">
        <v>378</v>
      </c>
      <c r="FD3" s="27" t="s">
        <v>454</v>
      </c>
      <c r="FE3" s="28" t="s">
        <v>456</v>
      </c>
      <c r="FF3" s="74"/>
      <c r="FH3" s="27" t="s">
        <v>455</v>
      </c>
      <c r="FI3" s="27"/>
      <c r="FJ3" s="27"/>
      <c r="FK3" s="28" t="s">
        <v>457</v>
      </c>
      <c r="FL3" s="12" t="s">
        <v>1719</v>
      </c>
      <c r="FM3" s="28"/>
      <c r="FN3" s="28"/>
      <c r="FO3" s="28"/>
      <c r="FP3" s="28" t="s">
        <v>458</v>
      </c>
      <c r="FQ3" s="13" t="s">
        <v>1766</v>
      </c>
      <c r="FR3" s="12" t="s">
        <v>1767</v>
      </c>
      <c r="FS3" s="104"/>
      <c r="FT3" s="28"/>
      <c r="FU3" s="28"/>
      <c r="FV3" s="28"/>
      <c r="FW3" s="28" t="s">
        <v>459</v>
      </c>
      <c r="FX3" s="28" t="s">
        <v>460</v>
      </c>
      <c r="FY3" s="13" t="s">
        <v>461</v>
      </c>
      <c r="FZ3" s="28" t="s">
        <v>462</v>
      </c>
      <c r="GA3" s="28"/>
      <c r="GB3" s="28"/>
      <c r="GC3" s="28"/>
      <c r="GD3" s="28" t="s">
        <v>463</v>
      </c>
      <c r="GE3" s="13" t="s">
        <v>1722</v>
      </c>
      <c r="GF3" s="28"/>
      <c r="GG3" s="28"/>
      <c r="GH3" s="12" t="s">
        <v>464</v>
      </c>
      <c r="GI3" s="13" t="s">
        <v>465</v>
      </c>
      <c r="GJ3" s="12" t="s">
        <v>466</v>
      </c>
      <c r="GK3" s="13" t="s">
        <v>467</v>
      </c>
      <c r="GL3" s="12" t="s">
        <v>468</v>
      </c>
      <c r="GM3" s="12" t="s">
        <v>469</v>
      </c>
      <c r="GN3" s="13" t="s">
        <v>895</v>
      </c>
      <c r="GO3" s="12" t="s">
        <v>920</v>
      </c>
      <c r="GP3" s="73" t="s">
        <v>1149</v>
      </c>
      <c r="GQ3" s="73"/>
      <c r="GR3" s="13"/>
      <c r="GS3" s="13"/>
      <c r="GT3" s="13"/>
      <c r="GU3" s="13"/>
      <c r="GV3" s="13"/>
      <c r="GW3" s="13"/>
      <c r="GY3" s="28" t="s">
        <v>470</v>
      </c>
      <c r="GZ3" s="13" t="s">
        <v>1770</v>
      </c>
      <c r="HA3" s="28" t="s">
        <v>471</v>
      </c>
      <c r="HB3" s="28"/>
      <c r="HC3" s="28"/>
      <c r="HD3" s="28"/>
      <c r="HE3" s="1"/>
      <c r="HF3" s="474"/>
    </row>
    <row r="4" spans="1:232" s="11" customFormat="1" ht="12.75" customHeight="1" x14ac:dyDescent="0.25">
      <c r="A4" s="10" t="s">
        <v>366</v>
      </c>
      <c r="B4" s="10" t="s">
        <v>366</v>
      </c>
      <c r="C4" s="11" t="s">
        <v>54</v>
      </c>
      <c r="D4" s="12" t="s">
        <v>369</v>
      </c>
      <c r="E4" s="13" t="s">
        <v>371</v>
      </c>
      <c r="F4" s="12" t="s">
        <v>372</v>
      </c>
      <c r="G4" s="13" t="s">
        <v>373</v>
      </c>
      <c r="H4" s="12"/>
      <c r="I4" s="13" t="s">
        <v>380</v>
      </c>
      <c r="J4" s="12" t="s">
        <v>891</v>
      </c>
      <c r="K4" s="13" t="s">
        <v>892</v>
      </c>
      <c r="L4" s="12" t="s">
        <v>1498</v>
      </c>
      <c r="M4" s="13" t="s">
        <v>382</v>
      </c>
      <c r="N4" s="12" t="s">
        <v>893</v>
      </c>
      <c r="O4" s="13" t="s">
        <v>894</v>
      </c>
      <c r="P4" s="12" t="s">
        <v>383</v>
      </c>
      <c r="Q4" s="13" t="s">
        <v>384</v>
      </c>
      <c r="R4" s="12" t="s">
        <v>385</v>
      </c>
      <c r="S4" s="13" t="s">
        <v>790</v>
      </c>
      <c r="T4" s="12" t="s">
        <v>791</v>
      </c>
      <c r="U4" s="13" t="s">
        <v>389</v>
      </c>
      <c r="V4" s="12" t="s">
        <v>406</v>
      </c>
      <c r="W4" s="38"/>
      <c r="X4" s="38"/>
      <c r="Y4" s="38"/>
      <c r="Z4" s="13" t="s">
        <v>377</v>
      </c>
      <c r="AA4" s="12" t="s">
        <v>386</v>
      </c>
      <c r="AB4" s="13" t="s">
        <v>387</v>
      </c>
      <c r="AC4" s="13" t="s">
        <v>402</v>
      </c>
      <c r="AD4" s="75"/>
      <c r="AE4" s="75"/>
      <c r="AF4" s="75"/>
      <c r="AH4" s="12"/>
      <c r="AI4" s="13" t="s">
        <v>1588</v>
      </c>
      <c r="AJ4" s="13" t="s">
        <v>393</v>
      </c>
      <c r="AK4" s="13"/>
      <c r="AL4" s="13"/>
      <c r="AM4" s="13"/>
      <c r="AN4" s="12" t="s">
        <v>390</v>
      </c>
      <c r="AO4" s="12" t="s">
        <v>390</v>
      </c>
      <c r="AP4" s="13" t="s">
        <v>391</v>
      </c>
      <c r="AQ4" s="12" t="s">
        <v>392</v>
      </c>
      <c r="AR4" s="12" t="s">
        <v>394</v>
      </c>
      <c r="AS4" s="12"/>
      <c r="AT4" s="12"/>
      <c r="AU4" s="12"/>
      <c r="AV4" s="12" t="s">
        <v>395</v>
      </c>
      <c r="AW4" s="13" t="s">
        <v>396</v>
      </c>
      <c r="AX4" s="12" t="s">
        <v>397</v>
      </c>
      <c r="AY4" s="13" t="s">
        <v>398</v>
      </c>
      <c r="AZ4" s="12" t="s">
        <v>399</v>
      </c>
      <c r="BA4" s="13" t="s">
        <v>400</v>
      </c>
      <c r="BB4" s="12" t="s">
        <v>1717</v>
      </c>
      <c r="BC4" s="12" t="s">
        <v>404</v>
      </c>
      <c r="BD4" s="13" t="s">
        <v>405</v>
      </c>
      <c r="BE4" s="13"/>
      <c r="BF4" s="13"/>
      <c r="BG4" s="13"/>
      <c r="BH4" s="12" t="s">
        <v>390</v>
      </c>
      <c r="BI4" s="13" t="s">
        <v>896</v>
      </c>
      <c r="BJ4" s="12" t="s">
        <v>401</v>
      </c>
      <c r="BK4" s="13" t="s">
        <v>413</v>
      </c>
      <c r="BL4" s="13"/>
      <c r="BM4" s="13"/>
      <c r="BN4" s="13"/>
      <c r="BO4" s="13"/>
      <c r="BP4" s="13"/>
      <c r="BQ4" s="12" t="s">
        <v>379</v>
      </c>
      <c r="BR4" s="12" t="s">
        <v>381</v>
      </c>
      <c r="BS4" s="12" t="s">
        <v>388</v>
      </c>
      <c r="BT4" s="12" t="s">
        <v>403</v>
      </c>
      <c r="BU4" s="12" t="s">
        <v>1464</v>
      </c>
      <c r="BV4" s="12" t="s">
        <v>408</v>
      </c>
      <c r="BW4" s="13" t="s">
        <v>409</v>
      </c>
      <c r="BX4" s="12" t="s">
        <v>410</v>
      </c>
      <c r="BY4" s="12" t="s">
        <v>1765</v>
      </c>
      <c r="BZ4" s="13" t="s">
        <v>1727</v>
      </c>
      <c r="CA4" s="13" t="s">
        <v>1505</v>
      </c>
      <c r="CB4" s="12"/>
      <c r="CC4" s="12"/>
      <c r="CD4" s="12"/>
      <c r="CE4" s="12" t="s">
        <v>898</v>
      </c>
      <c r="CF4" s="12"/>
      <c r="CG4" s="12" t="s">
        <v>374</v>
      </c>
      <c r="CH4" s="12" t="s">
        <v>412</v>
      </c>
      <c r="CI4" s="12"/>
      <c r="CJ4" s="12"/>
      <c r="CK4" s="12"/>
      <c r="CL4" s="12"/>
      <c r="CM4" s="13" t="s">
        <v>411</v>
      </c>
      <c r="CN4" s="13"/>
      <c r="CO4" s="13"/>
      <c r="CP4" s="13"/>
      <c r="CQ4" s="13"/>
      <c r="CR4" s="13"/>
      <c r="CS4" s="13" t="s">
        <v>375</v>
      </c>
      <c r="CT4" s="12" t="s">
        <v>414</v>
      </c>
      <c r="CU4" s="13" t="s">
        <v>415</v>
      </c>
      <c r="CV4" s="12" t="s">
        <v>416</v>
      </c>
      <c r="CW4" s="12" t="s">
        <v>418</v>
      </c>
      <c r="CX4" s="12"/>
      <c r="CY4" s="13" t="s">
        <v>417</v>
      </c>
      <c r="CZ4" s="12" t="s">
        <v>1840</v>
      </c>
      <c r="DD4" s="12" t="s">
        <v>376</v>
      </c>
      <c r="DE4" s="13" t="s">
        <v>419</v>
      </c>
      <c r="DF4" s="13"/>
      <c r="DG4" s="13"/>
      <c r="DH4" s="13"/>
      <c r="DI4" s="13"/>
      <c r="DJ4" s="12" t="s">
        <v>420</v>
      </c>
      <c r="DK4" s="12" t="s">
        <v>435</v>
      </c>
      <c r="DL4" s="13"/>
      <c r="DM4" s="13" t="s">
        <v>425</v>
      </c>
      <c r="DN4" s="12" t="s">
        <v>793</v>
      </c>
      <c r="DO4" s="13" t="s">
        <v>421</v>
      </c>
      <c r="DP4" s="13" t="s">
        <v>422</v>
      </c>
      <c r="DQ4" s="12" t="s">
        <v>423</v>
      </c>
      <c r="DR4" s="12" t="s">
        <v>424</v>
      </c>
      <c r="DS4" s="13" t="s">
        <v>797</v>
      </c>
      <c r="DT4" s="12" t="s">
        <v>798</v>
      </c>
      <c r="DU4" s="12" t="s">
        <v>799</v>
      </c>
      <c r="DV4" s="13" t="s">
        <v>427</v>
      </c>
      <c r="DW4" s="13" t="s">
        <v>429</v>
      </c>
      <c r="DX4" s="12" t="s">
        <v>430</v>
      </c>
      <c r="DY4" s="13" t="s">
        <v>433</v>
      </c>
      <c r="DZ4" s="13"/>
      <c r="EA4" s="12"/>
      <c r="EB4" s="13"/>
      <c r="EC4" s="12"/>
      <c r="ED4" s="13"/>
      <c r="EE4" s="13" t="s">
        <v>436</v>
      </c>
      <c r="EF4" s="12" t="s">
        <v>447</v>
      </c>
      <c r="EG4" s="12" t="s">
        <v>438</v>
      </c>
      <c r="EH4" s="13" t="s">
        <v>439</v>
      </c>
      <c r="EI4" s="12" t="s">
        <v>440</v>
      </c>
      <c r="EJ4" s="13" t="s">
        <v>441</v>
      </c>
      <c r="EK4" s="12" t="s">
        <v>442</v>
      </c>
      <c r="EL4" s="13" t="s">
        <v>443</v>
      </c>
      <c r="EM4" s="12" t="s">
        <v>444</v>
      </c>
      <c r="EN4" s="13" t="s">
        <v>445</v>
      </c>
      <c r="EO4" s="12" t="s">
        <v>446</v>
      </c>
      <c r="EP4" s="13" t="s">
        <v>447</v>
      </c>
      <c r="EQ4" s="12" t="s">
        <v>448</v>
      </c>
      <c r="ER4" s="13" t="s">
        <v>449</v>
      </c>
      <c r="ES4" s="12" t="s">
        <v>450</v>
      </c>
      <c r="ET4" s="13" t="s">
        <v>451</v>
      </c>
      <c r="EU4" s="12" t="s">
        <v>452</v>
      </c>
      <c r="EV4" s="13" t="s">
        <v>453</v>
      </c>
      <c r="EW4" s="13"/>
      <c r="EX4" s="13"/>
      <c r="EY4" s="13"/>
      <c r="EZ4" s="13"/>
      <c r="FA4" s="13"/>
      <c r="FB4" s="13"/>
      <c r="FC4" s="12" t="s">
        <v>378</v>
      </c>
      <c r="FD4" s="13" t="s">
        <v>454</v>
      </c>
      <c r="FE4" s="13" t="s">
        <v>456</v>
      </c>
      <c r="FF4" s="75"/>
      <c r="FH4" s="12" t="s">
        <v>455</v>
      </c>
      <c r="FI4" s="13"/>
      <c r="FJ4" s="13"/>
      <c r="FK4" s="12" t="s">
        <v>457</v>
      </c>
      <c r="FL4" s="12" t="s">
        <v>1719</v>
      </c>
      <c r="FM4" s="13"/>
      <c r="FN4" s="13"/>
      <c r="FO4" s="13"/>
      <c r="FP4" s="13" t="s">
        <v>458</v>
      </c>
      <c r="FQ4" s="13" t="s">
        <v>1766</v>
      </c>
      <c r="FR4" s="12" t="s">
        <v>1767</v>
      </c>
      <c r="FS4" s="104"/>
      <c r="FT4" s="12"/>
      <c r="FU4" s="12"/>
      <c r="FV4" s="12"/>
      <c r="FW4" s="12" t="s">
        <v>459</v>
      </c>
      <c r="FX4" s="13" t="s">
        <v>460</v>
      </c>
      <c r="FY4" s="12" t="s">
        <v>461</v>
      </c>
      <c r="FZ4" s="13" t="s">
        <v>462</v>
      </c>
      <c r="GA4" s="12"/>
      <c r="GB4" s="12"/>
      <c r="GC4" s="12"/>
      <c r="GD4" s="12" t="s">
        <v>463</v>
      </c>
      <c r="GE4" s="13" t="s">
        <v>1722</v>
      </c>
      <c r="GF4" s="13"/>
      <c r="GG4" s="13"/>
      <c r="GH4" s="12" t="s">
        <v>464</v>
      </c>
      <c r="GI4" s="13" t="s">
        <v>465</v>
      </c>
      <c r="GJ4" s="12" t="s">
        <v>466</v>
      </c>
      <c r="GK4" s="13" t="s">
        <v>467</v>
      </c>
      <c r="GL4" s="12" t="s">
        <v>468</v>
      </c>
      <c r="GM4" s="12" t="s">
        <v>469</v>
      </c>
      <c r="GN4" s="13" t="s">
        <v>895</v>
      </c>
      <c r="GO4" s="12" t="s">
        <v>920</v>
      </c>
      <c r="GP4" s="73" t="s">
        <v>1149</v>
      </c>
      <c r="GQ4" s="13" t="s">
        <v>1481</v>
      </c>
      <c r="GR4" s="13"/>
      <c r="GS4" s="13"/>
      <c r="GT4" s="13"/>
      <c r="GU4" s="13"/>
      <c r="GV4" s="13"/>
      <c r="GW4" s="13"/>
      <c r="GX4" s="13" t="s">
        <v>897</v>
      </c>
      <c r="GY4" s="13" t="s">
        <v>470</v>
      </c>
      <c r="GZ4" s="13" t="s">
        <v>1770</v>
      </c>
      <c r="HA4" s="12" t="s">
        <v>471</v>
      </c>
      <c r="HB4" s="13"/>
      <c r="HC4" s="13"/>
      <c r="HD4" s="14" t="s">
        <v>365</v>
      </c>
      <c r="HE4" s="14" t="s">
        <v>365</v>
      </c>
      <c r="HF4" s="475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</row>
    <row r="5" spans="1:232" s="16" customFormat="1" ht="13" thickBot="1" x14ac:dyDescent="0.3">
      <c r="A5" s="15" t="s">
        <v>367</v>
      </c>
      <c r="B5" s="15" t="s">
        <v>367</v>
      </c>
      <c r="C5" s="16" t="s">
        <v>368</v>
      </c>
      <c r="D5" s="17" t="s">
        <v>370</v>
      </c>
      <c r="E5" s="18" t="s">
        <v>370</v>
      </c>
      <c r="F5" s="17" t="s">
        <v>370</v>
      </c>
      <c r="G5" s="18" t="s">
        <v>370</v>
      </c>
      <c r="H5" s="17"/>
      <c r="I5" s="18" t="s">
        <v>370</v>
      </c>
      <c r="J5" s="17" t="s">
        <v>370</v>
      </c>
      <c r="K5" s="18" t="s">
        <v>370</v>
      </c>
      <c r="L5" s="17"/>
      <c r="M5" s="18" t="s">
        <v>370</v>
      </c>
      <c r="N5" s="17" t="s">
        <v>370</v>
      </c>
      <c r="O5" s="18" t="s">
        <v>370</v>
      </c>
      <c r="P5" s="17" t="s">
        <v>370</v>
      </c>
      <c r="Q5" s="18" t="s">
        <v>370</v>
      </c>
      <c r="R5" s="17" t="s">
        <v>370</v>
      </c>
      <c r="S5" s="18" t="s">
        <v>370</v>
      </c>
      <c r="T5" s="17" t="s">
        <v>370</v>
      </c>
      <c r="U5" s="18" t="s">
        <v>370</v>
      </c>
      <c r="V5" s="17" t="s">
        <v>370</v>
      </c>
      <c r="W5" s="39"/>
      <c r="X5" s="39"/>
      <c r="Y5" s="39"/>
      <c r="Z5" s="18" t="s">
        <v>370</v>
      </c>
      <c r="AA5" s="17" t="s">
        <v>370</v>
      </c>
      <c r="AB5" s="18" t="s">
        <v>370</v>
      </c>
      <c r="AC5" s="18" t="s">
        <v>370</v>
      </c>
      <c r="AD5" s="76"/>
      <c r="AE5" s="76"/>
      <c r="AF5" s="76"/>
      <c r="AH5" s="17" t="s">
        <v>370</v>
      </c>
      <c r="AI5" s="18" t="s">
        <v>370</v>
      </c>
      <c r="AJ5" s="18" t="s">
        <v>370</v>
      </c>
      <c r="AK5" s="18"/>
      <c r="AL5" s="18"/>
      <c r="AM5" s="18"/>
      <c r="AN5" s="17" t="s">
        <v>370</v>
      </c>
      <c r="AO5" s="17" t="s">
        <v>370</v>
      </c>
      <c r="AP5" s="18" t="s">
        <v>370</v>
      </c>
      <c r="AQ5" s="17" t="s">
        <v>370</v>
      </c>
      <c r="AR5" s="17" t="s">
        <v>370</v>
      </c>
      <c r="AS5" s="17"/>
      <c r="AT5" s="17"/>
      <c r="AU5" s="17"/>
      <c r="AV5" s="17" t="s">
        <v>370</v>
      </c>
      <c r="AW5" s="18" t="s">
        <v>370</v>
      </c>
      <c r="AX5" s="17" t="s">
        <v>370</v>
      </c>
      <c r="AY5" s="18" t="s">
        <v>370</v>
      </c>
      <c r="AZ5" s="17" t="s">
        <v>370</v>
      </c>
      <c r="BA5" s="18" t="s">
        <v>370</v>
      </c>
      <c r="BB5" s="18" t="s">
        <v>370</v>
      </c>
      <c r="BC5" s="17" t="s">
        <v>370</v>
      </c>
      <c r="BD5" s="18" t="s">
        <v>370</v>
      </c>
      <c r="BE5" s="18"/>
      <c r="BF5" s="18"/>
      <c r="BG5" s="18"/>
      <c r="BH5" s="17" t="s">
        <v>370</v>
      </c>
      <c r="BI5" s="18" t="s">
        <v>370</v>
      </c>
      <c r="BJ5" s="17" t="s">
        <v>370</v>
      </c>
      <c r="BK5" s="18" t="s">
        <v>370</v>
      </c>
      <c r="BL5" s="18"/>
      <c r="BM5" s="18"/>
      <c r="BN5" s="18"/>
      <c r="BO5" s="18"/>
      <c r="BP5" s="18"/>
      <c r="BQ5" s="17" t="s">
        <v>370</v>
      </c>
      <c r="BR5" s="17" t="s">
        <v>370</v>
      </c>
      <c r="BS5" s="17" t="s">
        <v>370</v>
      </c>
      <c r="BT5" s="17" t="s">
        <v>370</v>
      </c>
      <c r="BU5" s="18" t="s">
        <v>370</v>
      </c>
      <c r="BV5" s="17" t="s">
        <v>370</v>
      </c>
      <c r="BW5" s="18" t="s">
        <v>370</v>
      </c>
      <c r="BX5" s="17" t="s">
        <v>370</v>
      </c>
      <c r="BY5" s="17"/>
      <c r="BZ5" s="18" t="s">
        <v>370</v>
      </c>
      <c r="CA5" s="18" t="s">
        <v>370</v>
      </c>
      <c r="CB5" s="17"/>
      <c r="CC5" s="17"/>
      <c r="CD5" s="17"/>
      <c r="CE5" s="17" t="s">
        <v>370</v>
      </c>
      <c r="CF5" s="17"/>
      <c r="CG5" s="17" t="s">
        <v>370</v>
      </c>
      <c r="CH5" s="17" t="s">
        <v>370</v>
      </c>
      <c r="CI5" s="17"/>
      <c r="CJ5" s="17"/>
      <c r="CK5" s="17"/>
      <c r="CL5" s="17"/>
      <c r="CM5" s="18" t="s">
        <v>370</v>
      </c>
      <c r="CN5" s="18"/>
      <c r="CO5" s="18"/>
      <c r="CP5" s="18"/>
      <c r="CQ5" s="18"/>
      <c r="CR5" s="18"/>
      <c r="CS5" s="18" t="s">
        <v>370</v>
      </c>
      <c r="CT5" s="17" t="s">
        <v>370</v>
      </c>
      <c r="CU5" s="18" t="s">
        <v>370</v>
      </c>
      <c r="CV5" s="17" t="s">
        <v>370</v>
      </c>
      <c r="CW5" s="17" t="s">
        <v>370</v>
      </c>
      <c r="CX5" s="17"/>
      <c r="CY5" s="18" t="s">
        <v>370</v>
      </c>
      <c r="CZ5" s="18" t="s">
        <v>370</v>
      </c>
      <c r="DD5" s="17" t="s">
        <v>370</v>
      </c>
      <c r="DE5" s="18" t="s">
        <v>370</v>
      </c>
      <c r="DF5" s="18"/>
      <c r="DG5" s="18"/>
      <c r="DH5" s="18"/>
      <c r="DI5" s="18"/>
      <c r="DJ5" s="17" t="s">
        <v>370</v>
      </c>
      <c r="DK5" s="17" t="s">
        <v>370</v>
      </c>
      <c r="DL5" s="18"/>
      <c r="DM5" s="18" t="s">
        <v>370</v>
      </c>
      <c r="DN5" s="17" t="s">
        <v>370</v>
      </c>
      <c r="DO5" s="18" t="s">
        <v>370</v>
      </c>
      <c r="DP5" s="18" t="s">
        <v>370</v>
      </c>
      <c r="DQ5" s="17" t="s">
        <v>370</v>
      </c>
      <c r="DR5" s="17" t="s">
        <v>370</v>
      </c>
      <c r="DS5" s="18" t="s">
        <v>370</v>
      </c>
      <c r="DT5" s="17" t="s">
        <v>370</v>
      </c>
      <c r="DU5" s="17" t="s">
        <v>370</v>
      </c>
      <c r="DV5" s="17" t="s">
        <v>370</v>
      </c>
      <c r="DW5" s="17"/>
      <c r="DX5" s="17" t="s">
        <v>370</v>
      </c>
      <c r="DY5" s="18" t="s">
        <v>370</v>
      </c>
      <c r="DZ5" s="18"/>
      <c r="EA5" s="17"/>
      <c r="EB5" s="18"/>
      <c r="EC5" s="17"/>
      <c r="ED5" s="18"/>
      <c r="EE5" s="18" t="s">
        <v>370</v>
      </c>
      <c r="EF5" s="17" t="s">
        <v>370</v>
      </c>
      <c r="EG5" s="17" t="s">
        <v>370</v>
      </c>
      <c r="EH5" s="18" t="s">
        <v>370</v>
      </c>
      <c r="EI5" s="17" t="s">
        <v>370</v>
      </c>
      <c r="EJ5" s="18" t="s">
        <v>370</v>
      </c>
      <c r="EK5" s="17" t="s">
        <v>370</v>
      </c>
      <c r="EL5" s="18" t="s">
        <v>370</v>
      </c>
      <c r="EM5" s="17" t="s">
        <v>370</v>
      </c>
      <c r="EN5" s="18" t="s">
        <v>370</v>
      </c>
      <c r="EO5" s="17" t="s">
        <v>370</v>
      </c>
      <c r="EP5" s="18" t="s">
        <v>370</v>
      </c>
      <c r="EQ5" s="17" t="s">
        <v>370</v>
      </c>
      <c r="ER5" s="18" t="s">
        <v>370</v>
      </c>
      <c r="ES5" s="17" t="s">
        <v>370</v>
      </c>
      <c r="ET5" s="18" t="s">
        <v>370</v>
      </c>
      <c r="EU5" s="17" t="s">
        <v>370</v>
      </c>
      <c r="EV5" s="18" t="s">
        <v>370</v>
      </c>
      <c r="EW5" s="18"/>
      <c r="EX5" s="18"/>
      <c r="EY5" s="18"/>
      <c r="EZ5" s="18"/>
      <c r="FA5" s="18"/>
      <c r="FB5" s="18"/>
      <c r="FC5" s="17" t="s">
        <v>370</v>
      </c>
      <c r="FD5" s="18" t="s">
        <v>370</v>
      </c>
      <c r="FE5" s="18" t="s">
        <v>370</v>
      </c>
      <c r="FF5" s="76"/>
      <c r="FH5" s="17" t="s">
        <v>370</v>
      </c>
      <c r="FI5" s="18"/>
      <c r="FJ5" s="18"/>
      <c r="FK5" s="17" t="s">
        <v>370</v>
      </c>
      <c r="FL5" s="17" t="s">
        <v>370</v>
      </c>
      <c r="FM5" s="18"/>
      <c r="FN5" s="18"/>
      <c r="FO5" s="18"/>
      <c r="FP5" s="18" t="s">
        <v>370</v>
      </c>
      <c r="FQ5" s="18" t="s">
        <v>370</v>
      </c>
      <c r="FR5" s="18" t="s">
        <v>370</v>
      </c>
      <c r="FS5" s="105"/>
      <c r="FT5" s="17"/>
      <c r="FU5" s="17"/>
      <c r="FV5" s="17"/>
      <c r="FW5" s="17" t="s">
        <v>370</v>
      </c>
      <c r="FX5" s="18" t="s">
        <v>370</v>
      </c>
      <c r="FY5" s="17" t="s">
        <v>370</v>
      </c>
      <c r="FZ5" s="18" t="s">
        <v>370</v>
      </c>
      <c r="GA5" s="17"/>
      <c r="GB5" s="17"/>
      <c r="GC5" s="17"/>
      <c r="GD5" s="17" t="s">
        <v>370</v>
      </c>
      <c r="GE5" s="18" t="s">
        <v>370</v>
      </c>
      <c r="GF5" s="18"/>
      <c r="GG5" s="18"/>
      <c r="GH5" s="17" t="s">
        <v>370</v>
      </c>
      <c r="GI5" s="18" t="s">
        <v>370</v>
      </c>
      <c r="GJ5" s="17" t="s">
        <v>370</v>
      </c>
      <c r="GK5" s="18" t="s">
        <v>370</v>
      </c>
      <c r="GL5" s="17" t="s">
        <v>370</v>
      </c>
      <c r="GM5" s="17" t="s">
        <v>370</v>
      </c>
      <c r="GN5" s="18" t="s">
        <v>370</v>
      </c>
      <c r="GO5" s="17" t="s">
        <v>370</v>
      </c>
      <c r="GP5" s="17" t="s">
        <v>370</v>
      </c>
      <c r="GQ5" s="18" t="s">
        <v>370</v>
      </c>
      <c r="GR5" s="18"/>
      <c r="GS5" s="18"/>
      <c r="GT5" s="18"/>
      <c r="GU5" s="18"/>
      <c r="GV5" s="18"/>
      <c r="GW5" s="18"/>
      <c r="GX5" s="18" t="s">
        <v>370</v>
      </c>
      <c r="GY5" s="18" t="s">
        <v>370</v>
      </c>
      <c r="GZ5" s="18" t="s">
        <v>370</v>
      </c>
      <c r="HA5" s="17" t="s">
        <v>370</v>
      </c>
      <c r="HB5" s="18"/>
      <c r="HC5" s="18"/>
      <c r="HD5" s="19" t="s">
        <v>370</v>
      </c>
      <c r="HE5" s="19" t="s">
        <v>370</v>
      </c>
      <c r="HF5" s="455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</row>
    <row r="6" spans="1:232" ht="13" thickTop="1" x14ac:dyDescent="0.25">
      <c r="A6" s="4" t="s">
        <v>55</v>
      </c>
      <c r="B6" s="4" t="s">
        <v>55</v>
      </c>
      <c r="C6" s="1" t="s">
        <v>56</v>
      </c>
      <c r="D6" s="6">
        <f>SUMIF('Eredeti fejléccel'!$B:$B,'Felosztás eredménykim'!$B6,'Eredeti fejléccel'!$D:$D)</f>
        <v>0</v>
      </c>
      <c r="E6" s="6">
        <f>SUMIF('Eredeti fejléccel'!$B:$B,'Felosztás eredménykim'!$B6,'Eredeti fejléccel'!$E:$E)</f>
        <v>0</v>
      </c>
      <c r="F6" s="6">
        <f>SUMIF('Eredeti fejléccel'!$B:$B,'Felosztás eredménykim'!$B6,'Eredeti fejléccel'!$F:$F)</f>
        <v>0</v>
      </c>
      <c r="G6" s="6">
        <f>SUMIF('Eredeti fejléccel'!$B:$B,'Felosztás eredménykim'!$B6,'Eredeti fejléccel'!$G:$G)</f>
        <v>0</v>
      </c>
      <c r="H6" s="6"/>
      <c r="I6" s="6">
        <f>SUMIF('Eredeti fejléccel'!$B:$B,'Felosztás eredménykim'!$B6,'Eredeti fejléccel'!$O:$O)</f>
        <v>0</v>
      </c>
      <c r="J6" s="6">
        <f>SUMIF('Eredeti fejléccel'!$B:$B,'Felosztás eredménykim'!$B6,'Eredeti fejléccel'!$P:$P)</f>
        <v>0</v>
      </c>
      <c r="K6" s="6">
        <f>SUMIF('Eredeti fejléccel'!$B:$B,'Felosztás eredménykim'!$B6,'Eredeti fejléccel'!$Q:$Q)</f>
        <v>0</v>
      </c>
      <c r="L6" s="6">
        <f>SUMIF('Eredeti fejléccel'!$B:$B,'Felosztás eredménykim'!$B6,'Eredeti fejléccel'!$R:$R)</f>
        <v>0</v>
      </c>
      <c r="M6" s="6">
        <f>SUMIF('Eredeti fejléccel'!$B:$B,'Felosztás eredménykim'!$B6,'Eredeti fejléccel'!$T:$T)</f>
        <v>0</v>
      </c>
      <c r="N6" s="6">
        <f>SUMIF('Eredeti fejléccel'!$B:$B,'Felosztás eredménykim'!$B6,'Eredeti fejléccel'!$U:$U)</f>
        <v>0</v>
      </c>
      <c r="O6" s="6">
        <f>SUMIF('Eredeti fejléccel'!$B:$B,'Felosztás eredménykim'!$B6,'Eredeti fejléccel'!$V:$V)</f>
        <v>0</v>
      </c>
      <c r="P6" s="6">
        <f>SUMIF('Eredeti fejléccel'!$B:$B,'Felosztás eredménykim'!$B6,'Eredeti fejléccel'!$W:$W)</f>
        <v>0</v>
      </c>
      <c r="Q6" s="6">
        <f>SUMIF('Eredeti fejléccel'!$B:$B,'Felosztás eredménykim'!$B6,'Eredeti fejléccel'!$X:$X)</f>
        <v>0</v>
      </c>
      <c r="R6" s="6">
        <f>SUMIF('Eredeti fejléccel'!$B:$B,'Felosztás eredménykim'!$B6,'Eredeti fejléccel'!$Y:$Y)</f>
        <v>0</v>
      </c>
      <c r="S6" s="6">
        <f>SUMIF('Eredeti fejléccel'!$B:$B,'Felosztás eredménykim'!$B6,'Eredeti fejléccel'!$Z:$Z)</f>
        <v>0</v>
      </c>
      <c r="T6" s="6">
        <f>SUMIF('Eredeti fejléccel'!$B:$B,'Felosztás eredménykim'!$B6,'Eredeti fejléccel'!$AA:$AA)</f>
        <v>0</v>
      </c>
      <c r="U6" s="6">
        <f>SUMIF('Eredeti fejléccel'!$B:$B,'Felosztás eredménykim'!$B6,'Eredeti fejléccel'!$D:$D)</f>
        <v>0</v>
      </c>
      <c r="V6" s="6">
        <f>SUMIF('Eredeti fejléccel'!$B:$B,'Felosztás eredménykim'!$B6,'Eredeti fejléccel'!$AT:$AT)</f>
        <v>0</v>
      </c>
      <c r="X6" s="36">
        <f t="shared" ref="X6:X69" si="0">SUM(D6:W6)</f>
        <v>0</v>
      </c>
      <c r="Z6" s="6">
        <f>SUMIF('Eredeti fejléccel'!$B:$B,'Felosztás eredménykim'!$B6,'Eredeti fejléccel'!$K:$K)</f>
        <v>0</v>
      </c>
      <c r="AB6" s="6">
        <f>SUMIF('Eredeti fejléccel'!$B:$B,'Felosztás eredménykim'!$B6,'Eredeti fejléccel'!$AB:$AB)</f>
        <v>0</v>
      </c>
      <c r="AC6" s="6">
        <f>SUMIF('Eredeti fejléccel'!$B:$B,'Felosztás eredménykim'!$B6,'Eredeti fejléccel'!$AQ:$AQ)</f>
        <v>0</v>
      </c>
      <c r="AE6" s="73">
        <f t="shared" ref="AE6:AE74" si="1">SUM(Z6:AD6)</f>
        <v>0</v>
      </c>
      <c r="AF6" s="36">
        <f t="shared" ref="AF6:AF37" si="2">$X6/$HD$290*(AG$290+AG$291)</f>
        <v>0</v>
      </c>
      <c r="AG6" s="8">
        <f t="shared" ref="AG6:AG69" si="3">$AE6/$HD$291*AG$290</f>
        <v>0</v>
      </c>
      <c r="AI6" s="6">
        <f>SUMIF('Eredeti fejléccel'!$B:$B,'Felosztás eredménykim'!$B6,'Eredeti fejléccel'!$BB:$BB)</f>
        <v>0</v>
      </c>
      <c r="AJ6" s="6">
        <f>SUMIF('Eredeti fejléccel'!$B:$B,'Felosztás eredménykim'!$B6,'Eredeti fejléccel'!$AF:$AF)</f>
        <v>0</v>
      </c>
      <c r="AK6" s="8">
        <f t="shared" ref="AK6:AK64" si="4">SUM(AG6:AJ6)</f>
        <v>0</v>
      </c>
      <c r="AL6" s="36">
        <f t="shared" ref="AL6:AL37" si="5">$X6/$HD$290*(AM$290+AM$291)</f>
        <v>0</v>
      </c>
      <c r="AM6" s="8">
        <f t="shared" ref="AM6:AM69" si="6">$AE6/$HD$291*AM$290</f>
        <v>0</v>
      </c>
      <c r="AN6" s="6">
        <f>-AO6/2</f>
        <v>0</v>
      </c>
      <c r="AO6" s="6">
        <f>SUMIF('Eredeti fejléccel'!$B:$B,'Felosztás eredménykim'!$B6,'Eredeti fejléccel'!$AC:$AC)</f>
        <v>0</v>
      </c>
      <c r="AP6" s="6">
        <f>SUMIF('Eredeti fejléccel'!$B:$B,'Felosztás eredménykim'!$B6,'Eredeti fejléccel'!$AD:$AD)</f>
        <v>0</v>
      </c>
      <c r="AQ6" s="6">
        <f>SUMIF('Eredeti fejléccel'!$B:$B,'Felosztás eredménykim'!$B6,'Eredeti fejléccel'!$AE:$AE)</f>
        <v>0</v>
      </c>
      <c r="AR6" s="6">
        <f>SUMIF('Eredeti fejléccel'!$B:$B,'Felosztás eredménykim'!$B6,'Eredeti fejléccel'!$AG:$AG)</f>
        <v>0</v>
      </c>
      <c r="AS6" s="6">
        <f>SUM(AM6:AR6)</f>
        <v>0</v>
      </c>
      <c r="AT6" s="36">
        <f t="shared" ref="AT6:AT37" si="7">$X6/$HD$290*(AU$290+AU$291)</f>
        <v>0</v>
      </c>
      <c r="AU6" s="8">
        <f t="shared" ref="AU6:AU69" si="8">$AE6/$HD$291*AU$290</f>
        <v>0</v>
      </c>
      <c r="AV6" s="6">
        <f>SUMIF('Eredeti fejléccel'!$B:$B,'Felosztás eredménykim'!$B6,'Eredeti fejléccel'!$AI:$AI)</f>
        <v>0</v>
      </c>
      <c r="AW6" s="6">
        <f>SUMIF('Eredeti fejléccel'!$B:$B,'Felosztás eredménykim'!$B6,'Eredeti fejléccel'!$AJ:$AJ)</f>
        <v>0</v>
      </c>
      <c r="AX6" s="6">
        <f>SUMIF('Eredeti fejléccel'!$B:$B,'Felosztás eredménykim'!$B6,'Eredeti fejléccel'!$AK:$AK)</f>
        <v>0</v>
      </c>
      <c r="AY6" s="6">
        <f>SUMIF('Eredeti fejléccel'!$B:$B,'Felosztás eredménykim'!$B6,'Eredeti fejléccel'!$AL:$AL)</f>
        <v>0</v>
      </c>
      <c r="AZ6" s="6">
        <f>SUMIF('Eredeti fejléccel'!$B:$B,'Felosztás eredménykim'!$B6,'Eredeti fejléccel'!$AM:$AM)</f>
        <v>0</v>
      </c>
      <c r="BA6" s="6">
        <f>SUMIF('Eredeti fejléccel'!$B:$B,'Felosztás eredménykim'!$B6,'Eredeti fejléccel'!$AN:$AN)</f>
        <v>0</v>
      </c>
      <c r="BB6" s="6">
        <f>SUMIF('Eredeti fejléccel'!$B:$B,'Felosztás eredménykim'!$B6,'Eredeti fejléccel'!$AP:$AP)</f>
        <v>0</v>
      </c>
      <c r="BD6" s="6">
        <f>SUMIF('Eredeti fejléccel'!$B:$B,'Felosztás eredménykim'!$B6,'Eredeti fejléccel'!$AS:$AS)</f>
        <v>0</v>
      </c>
      <c r="BE6" s="8">
        <f>SUM(AU6:BD6)</f>
        <v>0</v>
      </c>
      <c r="BF6" s="36">
        <f t="shared" ref="BF6:BF37" si="9">$X6/$HD$290*(BG$290+BG$291)</f>
        <v>0</v>
      </c>
      <c r="BG6" s="8">
        <f t="shared" ref="BG6:BG69" si="10">$AE6/$HD$291*BG$290</f>
        <v>0</v>
      </c>
      <c r="BH6" s="6">
        <f>AO6/2</f>
        <v>0</v>
      </c>
      <c r="BI6" s="6">
        <f>SUMIF('Eredeti fejléccel'!$B:$B,'Felosztás eredménykim'!$B6,'Eredeti fejléccel'!$AH:$AH)</f>
        <v>0</v>
      </c>
      <c r="BJ6" s="6">
        <f>SUMIF('Eredeti fejléccel'!$B:$B,'Felosztás eredménykim'!$B6,'Eredeti fejléccel'!$AO:$AO)</f>
        <v>0</v>
      </c>
      <c r="BK6" s="6">
        <f>SUMIF('Eredeti fejléccel'!$B:$B,'Felosztás eredménykim'!$B6,'Eredeti fejléccel'!$BF:$BF)</f>
        <v>0</v>
      </c>
      <c r="BL6" s="8">
        <f>SUM(BG6:BK6)</f>
        <v>0</v>
      </c>
      <c r="BM6" s="36">
        <f t="shared" ref="BM6:BM37" si="11">$X6/$HD$290*(BN$290+BN$291)</f>
        <v>0</v>
      </c>
      <c r="BN6" s="8">
        <f t="shared" ref="BN6:BN69" si="12">$AE6/$HD$291*BN$290</f>
        <v>0</v>
      </c>
      <c r="BP6" s="8">
        <f>-FV6</f>
        <v>0</v>
      </c>
      <c r="BQ6" s="6">
        <f>SUMIF('Eredeti fejléccel'!$B:$B,'Felosztás eredménykim'!$B6,'Eredeti fejléccel'!$N:$N)</f>
        <v>0</v>
      </c>
      <c r="BR6" s="6">
        <f>SUMIF('Eredeti fejléccel'!$B:$B,'Felosztás eredménykim'!$B6,'Eredeti fejléccel'!$S:$S)</f>
        <v>0</v>
      </c>
      <c r="BT6" s="6">
        <f>SUMIF('Eredeti fejléccel'!$B:$B,'Felosztás eredménykim'!$B6,'Eredeti fejléccel'!$AR:$AR)</f>
        <v>0</v>
      </c>
      <c r="BU6" s="6">
        <f>SUMIF('Eredeti fejléccel'!$B:$B,'Felosztás eredménykim'!$B6,'Eredeti fejléccel'!$AU:$AU)</f>
        <v>0</v>
      </c>
      <c r="BV6" s="6">
        <f>SUMIF('Eredeti fejléccel'!$B:$B,'Felosztás eredménykim'!$B6,'Eredeti fejléccel'!$AV:$AV)</f>
        <v>0</v>
      </c>
      <c r="BW6" s="6">
        <f>SUMIF('Eredeti fejléccel'!$B:$B,'Felosztás eredménykim'!$B6,'Eredeti fejléccel'!$AW:$AW)</f>
        <v>0</v>
      </c>
      <c r="BX6" s="6">
        <f>SUMIF('Eredeti fejléccel'!$B:$B,'Felosztás eredménykim'!$B6,'Eredeti fejléccel'!$AX:$AX)</f>
        <v>0</v>
      </c>
      <c r="BY6" s="6">
        <f>SUMIF('Eredeti fejléccel'!$B:$B,'Felosztás eredménykim'!$B6,'Eredeti fejléccel'!$AY:$AY)</f>
        <v>0</v>
      </c>
      <c r="BZ6" s="6">
        <f>SUMIF('Eredeti fejléccel'!$B:$B,'Felosztás eredménykim'!$B6,'Eredeti fejléccel'!$AZ:$AZ)</f>
        <v>0</v>
      </c>
      <c r="CA6" s="6">
        <f>SUMIF('Eredeti fejléccel'!$B:$B,'Felosztás eredménykim'!$B6,'Eredeti fejléccel'!$BA:$BA)</f>
        <v>0</v>
      </c>
      <c r="CB6" s="6">
        <f t="shared" ref="CB6:CB70" si="13">SUM(BN6:CA6)</f>
        <v>0</v>
      </c>
      <c r="CC6" s="36">
        <f t="shared" ref="CC6:CC37" si="14">$X6/$HD$290*(CD$290+CD$291)</f>
        <v>0</v>
      </c>
      <c r="CD6" s="8">
        <f t="shared" ref="CD6:CD69" si="15">$AE6/$HD$291*CD$290</f>
        <v>0</v>
      </c>
      <c r="CE6" s="6">
        <f>SUMIF('Eredeti fejléccel'!$B:$B,'Felosztás eredménykim'!$B6,'Eredeti fejléccel'!$BC:$BC)</f>
        <v>0</v>
      </c>
      <c r="CF6" s="8">
        <f>-CE6/2</f>
        <v>0</v>
      </c>
      <c r="CG6" s="6">
        <f>SUMIF('Eredeti fejléccel'!$B:$B,'Felosztás eredménykim'!$B6,'Eredeti fejléccel'!$H:$H)</f>
        <v>0</v>
      </c>
      <c r="CH6" s="6">
        <f>SUMIF('Eredeti fejléccel'!$B:$B,'Felosztás eredménykim'!$B6,'Eredeti fejléccel'!$BE:$BE)</f>
        <v>0</v>
      </c>
      <c r="CI6" s="6">
        <f>SUM(CD6:CH6)</f>
        <v>0</v>
      </c>
      <c r="CJ6" s="36">
        <f t="shared" ref="CJ6:CJ37" si="16">$X6/$HD$290*(CK$290+CK$291)</f>
        <v>0</v>
      </c>
      <c r="CK6" s="8">
        <f t="shared" ref="CK6:CK69" si="17">$AE6/$HD$291*CK$290</f>
        <v>0</v>
      </c>
      <c r="CL6" s="8">
        <f>CE6/2</f>
        <v>0</v>
      </c>
      <c r="CM6" s="6">
        <f>SUMIF('Eredeti fejléccel'!$B:$B,'Felosztás eredménykim'!$B6,'Eredeti fejléccel'!$BD:$BD)</f>
        <v>0</v>
      </c>
      <c r="CN6" s="8">
        <f>SUM(CK6:CM6)</f>
        <v>0</v>
      </c>
      <c r="CO6" s="8">
        <f t="shared" ref="CO6:CO70" si="18">+AF6+AK6+AL6+AS6+AT6+BE6+BF6+BL6+BM6+CB6+CC6+CI6+CJ6+CN6</f>
        <v>0</v>
      </c>
      <c r="CR6" s="36">
        <f t="shared" ref="CR6:CR69" si="19">$X6/$HD$290*CR$290</f>
        <v>0</v>
      </c>
      <c r="CS6" s="6">
        <f>SUMIF('Eredeti fejléccel'!$B:$B,'Felosztás eredménykim'!$B6,'Eredeti fejléccel'!$I:$I)</f>
        <v>0</v>
      </c>
      <c r="CT6" s="6">
        <f>SUMIF('Eredeti fejléccel'!$B:$B,'Felosztás eredménykim'!$B6,'Eredeti fejléccel'!$BG:$BG)</f>
        <v>0</v>
      </c>
      <c r="CU6" s="6">
        <f>SUMIF('Eredeti fejléccel'!$B:$B,'Felosztás eredménykim'!$B6,'Eredeti fejléccel'!$BH:$BH)</f>
        <v>0</v>
      </c>
      <c r="CV6" s="6">
        <f>SUMIF('Eredeti fejléccel'!$B:$B,'Felosztás eredménykim'!$B6,'Eredeti fejléccel'!$BI:$BI)</f>
        <v>0</v>
      </c>
      <c r="CW6" s="6">
        <f>SUMIF('Eredeti fejléccel'!$B:$B,'Felosztás eredménykim'!$B6,'Eredeti fejléccel'!$BL:$BL)</f>
        <v>0</v>
      </c>
      <c r="CX6" s="6">
        <f>SUM(CS6:CW6)</f>
        <v>0</v>
      </c>
      <c r="CY6" s="6">
        <f>SUMIF('Eredeti fejléccel'!$B:$B,'Felosztás eredménykim'!$B6,'Eredeti fejléccel'!$BJ:$BJ)</f>
        <v>0</v>
      </c>
      <c r="CZ6" s="6">
        <f>SUMIF('Eredeti fejléccel'!$B:$B,'Felosztás eredménykim'!$B6,'Eredeti fejléccel'!$BK:$BK)</f>
        <v>0</v>
      </c>
      <c r="DA6" s="99">
        <f>SUM(CX6:CZ6)</f>
        <v>0</v>
      </c>
      <c r="DC6" s="36">
        <f t="shared" ref="DC6:DC69" si="20">$X6/$HD$290*DC$290</f>
        <v>0</v>
      </c>
      <c r="DD6" s="6">
        <f>SUMIF('Eredeti fejléccel'!$B:$B,'Felosztás eredménykim'!$B6,'Eredeti fejléccel'!$J:$J)</f>
        <v>0</v>
      </c>
      <c r="DE6" s="6">
        <f>SUMIF('Eredeti fejléccel'!$B:$B,'Felosztás eredménykim'!$B6,'Eredeti fejléccel'!$BM:$BM)</f>
        <v>0</v>
      </c>
      <c r="DF6" s="6">
        <f>-DI6</f>
        <v>0</v>
      </c>
      <c r="DG6" s="8">
        <f t="shared" ref="DG6:DG70" si="21">-BO6</f>
        <v>0</v>
      </c>
      <c r="DH6" s="8">
        <f>SUM(DD6:DG6)</f>
        <v>0</v>
      </c>
      <c r="DJ6" s="6">
        <f>SUMIF('Eredeti fejléccel'!$B:$B,'Felosztás eredménykim'!$B6,'Eredeti fejléccel'!$BN:$BN)</f>
        <v>0</v>
      </c>
      <c r="DK6" s="6">
        <f>SUMIF('Eredeti fejléccel'!$B:$B,'Felosztás eredménykim'!$B6,'Eredeti fejléccel'!$BZ:$BZ)</f>
        <v>0</v>
      </c>
      <c r="DL6" s="8">
        <f>SUM(DI6:DK6)</f>
        <v>0</v>
      </c>
      <c r="DM6" s="6">
        <f>SUMIF('Eredeti fejléccel'!$B:$B,'Felosztás eredménykim'!$B6,'Eredeti fejléccel'!$BR:$BR)</f>
        <v>0</v>
      </c>
      <c r="DN6" s="6">
        <f>SUMIF('Eredeti fejléccel'!$B:$B,'Felosztás eredménykim'!$B6,'Eredeti fejléccel'!$BS:$BS)</f>
        <v>0</v>
      </c>
      <c r="DO6" s="6">
        <f>SUMIF('Eredeti fejléccel'!$B:$B,'Felosztás eredménykim'!$B6,'Eredeti fejléccel'!$BO:$BO)</f>
        <v>0</v>
      </c>
      <c r="DP6" s="6">
        <f>SUMIF('Eredeti fejléccel'!$B:$B,'Felosztás eredménykim'!$B6,'Eredeti fejléccel'!$BP:$BP)</f>
        <v>0</v>
      </c>
      <c r="DQ6" s="6">
        <f>SUMIF('Eredeti fejléccel'!$B:$B,'Felosztás eredménykim'!$B6,'Eredeti fejléccel'!$BQ:$BQ)</f>
        <v>0</v>
      </c>
      <c r="DS6" s="8"/>
      <c r="DU6" s="6">
        <f>SUMIF('Eredeti fejléccel'!$B:$B,'Felosztás eredménykim'!$B6,'Eredeti fejléccel'!$BT:$BT)</f>
        <v>0</v>
      </c>
      <c r="DV6" s="6">
        <f>SUMIF('Eredeti fejléccel'!$B:$B,'Felosztás eredménykim'!$B6,'Eredeti fejléccel'!$BU:$BU)</f>
        <v>0</v>
      </c>
      <c r="DW6" s="6">
        <f>SUMIF('Eredeti fejléccel'!$B:$B,'Felosztás eredménykim'!$B6,'Eredeti fejléccel'!$BV:$BV)</f>
        <v>0</v>
      </c>
      <c r="DX6" s="6">
        <f>SUMIF('Eredeti fejléccel'!$B:$B,'Felosztás eredménykim'!$B6,'Eredeti fejléccel'!$BW:$BW)</f>
        <v>0</v>
      </c>
      <c r="DY6" s="6">
        <f>SUMIF('Eredeti fejléccel'!$B:$B,'Felosztás eredménykim'!$B6,'Eredeti fejléccel'!$BX:$BX)</f>
        <v>0</v>
      </c>
      <c r="EA6" s="6"/>
      <c r="EC6" s="6"/>
      <c r="EE6" s="6">
        <f>SUMIF('Eredeti fejléccel'!$B:$B,'Felosztás eredménykim'!$B6,'Eredeti fejléccel'!$CA:$CA)</f>
        <v>0</v>
      </c>
      <c r="EF6" s="6">
        <f>SUMIF('Eredeti fejléccel'!$B:$B,'Felosztás eredménykim'!$B6,'Eredeti fejléccel'!$CB:$CB)</f>
        <v>0</v>
      </c>
      <c r="EG6" s="6">
        <f>SUMIF('Eredeti fejléccel'!$B:$B,'Felosztás eredménykim'!$B6,'Eredeti fejléccel'!$CC:$CC)</f>
        <v>0</v>
      </c>
      <c r="EH6" s="6">
        <f>SUMIF('Eredeti fejléccel'!$B:$B,'Felosztás eredménykim'!$B6,'Eredeti fejléccel'!$CD:$CD)</f>
        <v>0</v>
      </c>
      <c r="EK6" s="6">
        <f>SUMIF('Eredeti fejléccel'!$B:$B,'Felosztás eredménykim'!$B6,'Eredeti fejléccel'!$CE:$CE)</f>
        <v>0</v>
      </c>
      <c r="EN6" s="6">
        <f>SUMIF('Eredeti fejléccel'!$B:$B,'Felosztás eredménykim'!$B6,'Eredeti fejléccel'!$CF:$CF)</f>
        <v>0</v>
      </c>
      <c r="EP6" s="6">
        <f>SUMIF('Eredeti fejléccel'!$B:$B,'Felosztás eredménykim'!$B6,'Eredeti fejléccel'!$CG:$CG)</f>
        <v>0</v>
      </c>
      <c r="ES6" s="6">
        <f>SUMIF('Eredeti fejléccel'!$B:$B,'Felosztás eredménykim'!$B6,'Eredeti fejléccel'!$CH:$CH)</f>
        <v>0</v>
      </c>
      <c r="ET6" s="6">
        <f>SUMIF('Eredeti fejléccel'!$B:$B,'Felosztás eredménykim'!$B6,'Eredeti fejléccel'!$CI:$CI)</f>
        <v>0</v>
      </c>
      <c r="EW6" s="8">
        <f t="shared" ref="EW6:EW70" si="22">SUM(DR6:ED6)</f>
        <v>0</v>
      </c>
      <c r="EX6" s="8">
        <f>SUM(EE6:EV6)</f>
        <v>0</v>
      </c>
      <c r="EY6" s="8">
        <f>SUM(DR6:EV6)+DH6+DN6+DP6-DS6-DT6</f>
        <v>0</v>
      </c>
      <c r="EZ6" s="8">
        <f t="shared" ref="EZ6:EZ70" si="23">EY6+DL6+DM6+DN6+DO6+DP6+DQ6</f>
        <v>0</v>
      </c>
      <c r="FA6" s="8">
        <f t="shared" ref="FA6:FA70" si="24">EZ6-DL6-DM6</f>
        <v>0</v>
      </c>
      <c r="FC6" s="6">
        <f>SUMIF('Eredeti fejléccel'!$B:$B,'Felosztás eredménykim'!$B6,'Eredeti fejléccel'!$L:$L)</f>
        <v>0</v>
      </c>
      <c r="FD6" s="6">
        <f>SUMIF('Eredeti fejléccel'!$B:$B,'Felosztás eredménykim'!$B6,'Eredeti fejléccel'!$CJ:$CJ)</f>
        <v>0</v>
      </c>
      <c r="FE6" s="6">
        <f>SUMIF('Eredeti fejléccel'!$B:$B,'Felosztás eredménykim'!$B6,'Eredeti fejléccel'!$CL:$CL)</f>
        <v>0</v>
      </c>
      <c r="FG6" s="99">
        <f>SUM(FC6:FF6)</f>
        <v>0</v>
      </c>
      <c r="FH6" s="6">
        <f>SUMIF('Eredeti fejléccel'!$B:$B,'Felosztás eredménykim'!$B6,'Eredeti fejléccel'!$CK:$CK)</f>
        <v>0</v>
      </c>
      <c r="FI6" s="36">
        <f t="shared" ref="FI6:FI37" si="25">$X6/$HD$290*(FJ$290+FJ$293)</f>
        <v>0</v>
      </c>
      <c r="FJ6" s="101">
        <f t="shared" ref="FJ6:FJ69" si="26">$FG6/$HD$292*FJ$292</f>
        <v>0</v>
      </c>
      <c r="FK6" s="6">
        <f>SUMIF('Eredeti fejléccel'!$B:$B,'Felosztás eredménykim'!$B6,'Eredeti fejléccel'!$CM:$CM)</f>
        <v>0</v>
      </c>
      <c r="FL6" s="6">
        <f>SUMIF('Eredeti fejléccel'!$B:$B,'Felosztás eredménykim'!$B6,'Eredeti fejléccel'!$CN:$CN)</f>
        <v>0</v>
      </c>
      <c r="FM6" s="8">
        <f>SUM(FJ6:FL6)</f>
        <v>0</v>
      </c>
      <c r="FN6" s="36">
        <f t="shared" ref="FN6:FN37" si="27">$X6/$HD$290*(FO$290+FO$293)</f>
        <v>0</v>
      </c>
      <c r="FO6" s="101">
        <f t="shared" ref="FO6:FO69" si="28">$FG6/$HD$292*FO$292</f>
        <v>0</v>
      </c>
      <c r="FP6" s="6">
        <f>SUMIF('Eredeti fejléccel'!$B:$B,'Felosztás eredménykim'!$B6,'Eredeti fejléccel'!$CO:$CO)</f>
        <v>98030</v>
      </c>
      <c r="FQ6" s="6">
        <f>'Eredeti fejléccel'!CP6</f>
        <v>0</v>
      </c>
      <c r="FR6" s="6">
        <f>'Eredeti fejléccel'!CQ6</f>
        <v>0</v>
      </c>
      <c r="FS6" s="103">
        <f>SUM(FO6:FR6)</f>
        <v>98030</v>
      </c>
      <c r="FT6" s="36">
        <f t="shared" ref="FT6:FT37" si="29">$X6/$HD$290*(FU$290+FU$293)</f>
        <v>0</v>
      </c>
      <c r="FU6" s="101">
        <f t="shared" ref="FU6:FU69" si="30">$FG6/$HD$292*FU$292</f>
        <v>0</v>
      </c>
      <c r="FV6" s="101"/>
      <c r="FW6" s="6">
        <f>SUMIF('Eredeti fejléccel'!$B:$B,'Felosztás eredménykim'!$B6,'Eredeti fejléccel'!$CR:$CR)</f>
        <v>0</v>
      </c>
      <c r="FX6" s="6">
        <f>SUMIF('Eredeti fejléccel'!$B:$B,'Felosztás eredménykim'!$B6,'Eredeti fejléccel'!$CS:$CS)</f>
        <v>0</v>
      </c>
      <c r="FY6" s="6">
        <f>SUMIF('Eredeti fejléccel'!$B:$B,'Felosztás eredménykim'!$B6,'Eredeti fejléccel'!$CT:$CT)</f>
        <v>0</v>
      </c>
      <c r="FZ6" s="6">
        <f>SUMIF('Eredeti fejléccel'!$B:$B,'Felosztás eredménykim'!$B6,'Eredeti fejléccel'!$CU:$CU)</f>
        <v>0</v>
      </c>
      <c r="GA6" s="103">
        <f>SUM(FU6:FZ6)</f>
        <v>0</v>
      </c>
      <c r="GB6" s="36">
        <f t="shared" ref="GB6:GB37" si="31">$X6/$HD$290*(GC$290+GC$293)</f>
        <v>0</v>
      </c>
      <c r="GC6" s="101">
        <f t="shared" ref="GC6:GC69" si="32">$FG6/$HD$292*GC$292</f>
        <v>0</v>
      </c>
      <c r="GD6" s="6">
        <f>SUMIF('Eredeti fejléccel'!$B:$B,'Felosztás eredménykim'!$B6,'Eredeti fejléccel'!$CV:$CV)</f>
        <v>0</v>
      </c>
      <c r="GE6" s="6">
        <f>SUMIF('Eredeti fejléccel'!$B:$B,'Felosztás eredménykim'!$B6,'Eredeti fejléccel'!$CW:$CW)</f>
        <v>0</v>
      </c>
      <c r="GF6" s="103">
        <f>SUM(GC6:GE6)</f>
        <v>0</v>
      </c>
      <c r="GG6" s="36">
        <f t="shared" ref="GG6:GG69" si="33">$X6/$HD$290*GG$290</f>
        <v>0</v>
      </c>
      <c r="GM6" s="6">
        <f>SUMIF('Eredeti fejléccel'!$B:$B,'Felosztás eredménykim'!$B6,'Eredeti fejléccel'!$CX:$CX)</f>
        <v>0</v>
      </c>
      <c r="GN6" s="6">
        <f>SUMIF('Eredeti fejléccel'!$B:$B,'Felosztás eredménykim'!$B6,'Eredeti fejléccel'!$CY:$CY)</f>
        <v>0</v>
      </c>
      <c r="GO6" s="6">
        <f>SUMIF('Eredeti fejléccel'!$B:$B,'Felosztás eredménykim'!$B6,'Eredeti fejléccel'!$CZ:$CZ)</f>
        <v>0</v>
      </c>
      <c r="GP6" s="6">
        <f>SUMIF('Eredeti fejléccel'!$B:$B,'Felosztás eredménykim'!$B6,'Eredeti fejléccel'!$DA:$DA)</f>
        <v>0</v>
      </c>
      <c r="GQ6" s="6">
        <f>SUMIF('Eredeti fejléccel'!$B:$B,'Felosztás eredménykim'!$B6,'Eredeti fejléccel'!$DB:$DB)</f>
        <v>0</v>
      </c>
      <c r="GR6" s="103">
        <f>SUM(GH6:GQ6)</f>
        <v>0</v>
      </c>
      <c r="GW6" s="36">
        <f t="shared" ref="GW6:GW69" si="34">$X6/$HD$290*GW$290</f>
        <v>0</v>
      </c>
      <c r="GX6" s="6">
        <f>SUMIF('Eredeti fejléccel'!$B:$B,'Felosztás eredménykim'!$B6,'Eredeti fejléccel'!$M:$M)</f>
        <v>0</v>
      </c>
      <c r="GY6" s="6">
        <f>SUMIF('Eredeti fejléccel'!$B:$B,'Felosztás eredménykim'!$B6,'Eredeti fejléccel'!$DC:$DC)</f>
        <v>0</v>
      </c>
      <c r="GZ6" s="6">
        <f>SUMIF('Eredeti fejléccel'!$B:$B,'Felosztás eredménykim'!$B6,'Eredeti fejléccel'!$DD:$DD)</f>
        <v>0</v>
      </c>
      <c r="HA6" s="6">
        <f>SUMIF('Eredeti fejléccel'!$B:$B,'Felosztás eredménykim'!$B6,'Eredeti fejléccel'!$DE:$DE)</f>
        <v>0</v>
      </c>
      <c r="HB6" s="103">
        <f>SUM(GX6:HA6)</f>
        <v>0</v>
      </c>
      <c r="HD6" s="9">
        <f t="shared" ref="HD6:HD37" si="35">SUM(D6:HA6)-W6-X6-AD6-AE6-AF6-AG6-AK6-AL6-AM6-AS6-AT6-AU6-BE6-BF6-BG6-BL6-BM6-BN6-CB6-CC6-CD6-CI6-CJ6-CK6-CN6-CO6-CP6-CR6-CX6-DA6-DC6-DG6-DH6-DL6-EW6-EX6-EY6-EZ6-FA6-FF6-FG6-FI6-FJ6-FM6-FN6-FO6-FS6-FT6-FU6-GA6-GB6-GC6-GF6-GG6-GR6-GS6-GT6-GU6-GW6</f>
        <v>98030</v>
      </c>
      <c r="HE6" s="9">
        <v>98030</v>
      </c>
      <c r="HF6" s="476"/>
      <c r="HH6" s="34">
        <f>+HD6-HE6</f>
        <v>0</v>
      </c>
    </row>
    <row r="7" spans="1:232" x14ac:dyDescent="0.25">
      <c r="A7" s="4" t="s">
        <v>57</v>
      </c>
      <c r="B7" s="4" t="s">
        <v>57</v>
      </c>
      <c r="C7" s="1" t="s">
        <v>58</v>
      </c>
      <c r="D7" s="6">
        <f>SUMIF('Eredeti fejléccel'!$B:$B,'Felosztás eredménykim'!$B7,'Eredeti fejléccel'!$D:$D)</f>
        <v>0</v>
      </c>
      <c r="E7" s="6">
        <f>SUMIF('Eredeti fejléccel'!$B:$B,'Felosztás eredménykim'!$B7,'Eredeti fejléccel'!$E:$E)</f>
        <v>1176126.07</v>
      </c>
      <c r="F7" s="6">
        <f>SUMIF('Eredeti fejléccel'!$B:$B,'Felosztás eredménykim'!$B7,'Eredeti fejléccel'!$F:$F)</f>
        <v>0</v>
      </c>
      <c r="G7" s="6">
        <f>SUMIF('Eredeti fejléccel'!$B:$B,'Felosztás eredménykim'!$B7,'Eredeti fejléccel'!$G:$G)</f>
        <v>0</v>
      </c>
      <c r="H7" s="6"/>
      <c r="I7" s="6">
        <f>SUMIF('Eredeti fejléccel'!$B:$B,'Felosztás eredménykim'!$B7,'Eredeti fejléccel'!$O:$O)</f>
        <v>0</v>
      </c>
      <c r="J7" s="6">
        <f>SUMIF('Eredeti fejléccel'!$B:$B,'Felosztás eredménykim'!$B7,'Eredeti fejléccel'!$P:$P)</f>
        <v>0</v>
      </c>
      <c r="K7" s="6">
        <f>SUMIF('Eredeti fejléccel'!$B:$B,'Felosztás eredménykim'!$B7,'Eredeti fejléccel'!$Q:$Q)</f>
        <v>0</v>
      </c>
      <c r="L7" s="6">
        <f>SUMIF('Eredeti fejléccel'!$B:$B,'Felosztás eredménykim'!$B7,'Eredeti fejléccel'!$R:$R)</f>
        <v>0</v>
      </c>
      <c r="M7" s="6">
        <f>SUMIF('Eredeti fejléccel'!$B:$B,'Felosztás eredménykim'!$B7,'Eredeti fejléccel'!$T:$T)</f>
        <v>0</v>
      </c>
      <c r="N7" s="6">
        <f>SUMIF('Eredeti fejléccel'!$B:$B,'Felosztás eredménykim'!$B7,'Eredeti fejléccel'!$U:$U)</f>
        <v>0</v>
      </c>
      <c r="O7" s="6">
        <f>SUMIF('Eredeti fejléccel'!$B:$B,'Felosztás eredménykim'!$B7,'Eredeti fejléccel'!$V:$V)</f>
        <v>0</v>
      </c>
      <c r="P7" s="6">
        <f>SUMIF('Eredeti fejléccel'!$B:$B,'Felosztás eredménykim'!$B7,'Eredeti fejléccel'!$W:$W)</f>
        <v>493716.4</v>
      </c>
      <c r="Q7" s="6">
        <f>SUMIF('Eredeti fejléccel'!$B:$B,'Felosztás eredménykim'!$B7,'Eredeti fejléccel'!$X:$X)</f>
        <v>0</v>
      </c>
      <c r="R7" s="6">
        <f>SUMIF('Eredeti fejléccel'!$B:$B,'Felosztás eredménykim'!$B7,'Eredeti fejléccel'!$Y:$Y)</f>
        <v>0</v>
      </c>
      <c r="S7" s="6">
        <f>SUMIF('Eredeti fejléccel'!$B:$B,'Felosztás eredménykim'!$B7,'Eredeti fejléccel'!$Z:$Z)</f>
        <v>0</v>
      </c>
      <c r="T7" s="6">
        <f>SUMIF('Eredeti fejléccel'!$B:$B,'Felosztás eredménykim'!$B7,'Eredeti fejléccel'!$AA:$AA)</f>
        <v>0</v>
      </c>
      <c r="U7" s="6">
        <f>SUMIF('Eredeti fejléccel'!$B:$B,'Felosztás eredménykim'!$B7,'Eredeti fejléccel'!$D:$D)</f>
        <v>0</v>
      </c>
      <c r="V7" s="6">
        <f>SUMIF('Eredeti fejléccel'!$B:$B,'Felosztás eredménykim'!$B7,'Eredeti fejléccel'!$AT:$AT)</f>
        <v>0</v>
      </c>
      <c r="X7" s="36">
        <f t="shared" si="0"/>
        <v>1669842.4700000002</v>
      </c>
      <c r="Z7" s="6">
        <f>SUMIF('Eredeti fejléccel'!$B:$B,'Felosztás eredménykim'!$B7,'Eredeti fejléccel'!$K:$K)</f>
        <v>308352.35000000003</v>
      </c>
      <c r="AB7" s="6">
        <f>SUMIF('Eredeti fejléccel'!$B:$B,'Felosztás eredménykim'!$B7,'Eredeti fejléccel'!$AB:$AB)</f>
        <v>0</v>
      </c>
      <c r="AC7" s="6">
        <f>SUMIF('Eredeti fejléccel'!$B:$B,'Felosztás eredménykim'!$B7,'Eredeti fejléccel'!$AQ:$AQ)</f>
        <v>0</v>
      </c>
      <c r="AE7" s="73">
        <f t="shared" si="1"/>
        <v>308352.35000000003</v>
      </c>
      <c r="AF7" s="36">
        <f t="shared" si="2"/>
        <v>199203.25887708776</v>
      </c>
      <c r="AG7" s="8">
        <f t="shared" si="3"/>
        <v>98316.441083087382</v>
      </c>
      <c r="AI7" s="6">
        <f>SUMIF('Eredeti fejléccel'!$B:$B,'Felosztás eredménykim'!$B7,'Eredeti fejléccel'!$BB:$BB)</f>
        <v>0</v>
      </c>
      <c r="AJ7" s="6">
        <f>SUMIF('Eredeti fejléccel'!$B:$B,'Felosztás eredménykim'!$B7,'Eredeti fejléccel'!$AF:$AF)</f>
        <v>0</v>
      </c>
      <c r="AK7" s="8">
        <f t="shared" si="4"/>
        <v>98316.441083087382</v>
      </c>
      <c r="AL7" s="36">
        <f t="shared" si="5"/>
        <v>79122.528631123801</v>
      </c>
      <c r="AM7" s="8">
        <f t="shared" si="6"/>
        <v>39050.793989804137</v>
      </c>
      <c r="AN7" s="6">
        <f t="shared" ref="AN7:AN73" si="36">-AO7/2</f>
        <v>0</v>
      </c>
      <c r="AO7" s="6">
        <f>SUMIF('Eredeti fejléccel'!$B:$B,'Felosztás eredménykim'!$B7,'Eredeti fejléccel'!$AC:$AC)</f>
        <v>0</v>
      </c>
      <c r="AP7" s="6">
        <f>SUMIF('Eredeti fejléccel'!$B:$B,'Felosztás eredménykim'!$B7,'Eredeti fejléccel'!$AD:$AD)</f>
        <v>0</v>
      </c>
      <c r="AQ7" s="6">
        <f>SUMIF('Eredeti fejléccel'!$B:$B,'Felosztás eredménykim'!$B7,'Eredeti fejléccel'!$AE:$AE)</f>
        <v>0</v>
      </c>
      <c r="AR7" s="6">
        <f>SUMIF('Eredeti fejléccel'!$B:$B,'Felosztás eredménykim'!$B7,'Eredeti fejléccel'!$AG:$AG)</f>
        <v>0</v>
      </c>
      <c r="AS7" s="6">
        <f t="shared" ref="AS7:AS73" si="37">SUM(AM7:AR7)</f>
        <v>39050.793989804137</v>
      </c>
      <c r="AT7" s="36">
        <f t="shared" si="7"/>
        <v>128518.23153360504</v>
      </c>
      <c r="AU7" s="8">
        <f t="shared" si="8"/>
        <v>63429.961989088632</v>
      </c>
      <c r="AV7" s="6">
        <f>SUMIF('Eredeti fejléccel'!$B:$B,'Felosztás eredménykim'!$B7,'Eredeti fejléccel'!$AI:$AI)</f>
        <v>0</v>
      </c>
      <c r="AW7" s="6">
        <f>SUMIF('Eredeti fejléccel'!$B:$B,'Felosztás eredménykim'!$B7,'Eredeti fejléccel'!$AJ:$AJ)</f>
        <v>0</v>
      </c>
      <c r="AX7" s="6">
        <f>SUMIF('Eredeti fejléccel'!$B:$B,'Felosztás eredménykim'!$B7,'Eredeti fejléccel'!$AK:$AK)</f>
        <v>0</v>
      </c>
      <c r="AY7" s="6">
        <f>SUMIF('Eredeti fejléccel'!$B:$B,'Felosztás eredménykim'!$B7,'Eredeti fejléccel'!$AL:$AL)</f>
        <v>0</v>
      </c>
      <c r="AZ7" s="6">
        <f>SUMIF('Eredeti fejléccel'!$B:$B,'Felosztás eredménykim'!$B7,'Eredeti fejléccel'!$AM:$AM)</f>
        <v>0</v>
      </c>
      <c r="BA7" s="6">
        <f>SUMIF('Eredeti fejléccel'!$B:$B,'Felosztás eredménykim'!$B7,'Eredeti fejléccel'!$AN:$AN)</f>
        <v>0</v>
      </c>
      <c r="BB7" s="6">
        <f>SUMIF('Eredeti fejléccel'!$B:$B,'Felosztás eredménykim'!$B7,'Eredeti fejléccel'!$AP:$AP)</f>
        <v>0</v>
      </c>
      <c r="BD7" s="6">
        <f>SUMIF('Eredeti fejléccel'!$B:$B,'Felosztás eredménykim'!$B7,'Eredeti fejléccel'!$AS:$AS)</f>
        <v>0</v>
      </c>
      <c r="BE7" s="8">
        <f t="shared" ref="BE7:BE65" si="38">SUM(AU7:BD7)</f>
        <v>63429.961989088632</v>
      </c>
      <c r="BF7" s="36">
        <f t="shared" si="9"/>
        <v>33526.495182679573</v>
      </c>
      <c r="BG7" s="8">
        <f t="shared" si="10"/>
        <v>16546.946605849211</v>
      </c>
      <c r="BH7" s="6">
        <f t="shared" ref="BH7:BH73" si="39">AO7/2</f>
        <v>0</v>
      </c>
      <c r="BI7" s="6">
        <f>SUMIF('Eredeti fejléccel'!$B:$B,'Felosztás eredménykim'!$B7,'Eredeti fejléccel'!$AH:$AH)</f>
        <v>0</v>
      </c>
      <c r="BJ7" s="6">
        <f>SUMIF('Eredeti fejléccel'!$B:$B,'Felosztás eredménykim'!$B7,'Eredeti fejléccel'!$AO:$AO)</f>
        <v>0</v>
      </c>
      <c r="BK7" s="6">
        <f>SUMIF('Eredeti fejléccel'!$B:$B,'Felosztás eredménykim'!$B7,'Eredeti fejléccel'!$BF:$BF)</f>
        <v>0</v>
      </c>
      <c r="BL7" s="8">
        <f t="shared" ref="BL7:BL73" si="40">SUM(BG7:BK7)</f>
        <v>16546.946605849211</v>
      </c>
      <c r="BM7" s="36">
        <f t="shared" si="11"/>
        <v>125612.60195110615</v>
      </c>
      <c r="BN7" s="8">
        <f t="shared" si="12"/>
        <v>61995.89328324837</v>
      </c>
      <c r="BP7" s="8">
        <f t="shared" ref="BP7:BP73" si="41">-FV7</f>
        <v>0</v>
      </c>
      <c r="BQ7" s="6">
        <f>SUMIF('Eredeti fejléccel'!$B:$B,'Felosztás eredménykim'!$B7,'Eredeti fejléccel'!$N:$N)</f>
        <v>0</v>
      </c>
      <c r="BR7" s="6">
        <f>SUMIF('Eredeti fejléccel'!$B:$B,'Felosztás eredménykim'!$B7,'Eredeti fejléccel'!$S:$S)</f>
        <v>0</v>
      </c>
      <c r="BT7" s="6">
        <f>SUMIF('Eredeti fejléccel'!$B:$B,'Felosztás eredménykim'!$B7,'Eredeti fejléccel'!$AR:$AR)</f>
        <v>0</v>
      </c>
      <c r="BU7" s="6">
        <f>SUMIF('Eredeti fejléccel'!$B:$B,'Felosztás eredménykim'!$B7,'Eredeti fejléccel'!$AU:$AU)</f>
        <v>0</v>
      </c>
      <c r="BV7" s="6">
        <f>SUMIF('Eredeti fejléccel'!$B:$B,'Felosztás eredménykim'!$B7,'Eredeti fejléccel'!$AV:$AV)</f>
        <v>0</v>
      </c>
      <c r="BW7" s="6">
        <f>SUMIF('Eredeti fejléccel'!$B:$B,'Felosztás eredménykim'!$B7,'Eredeti fejléccel'!$AW:$AW)</f>
        <v>0</v>
      </c>
      <c r="BX7" s="6">
        <f>SUMIF('Eredeti fejléccel'!$B:$B,'Felosztás eredménykim'!$B7,'Eredeti fejléccel'!$AX:$AX)</f>
        <v>0</v>
      </c>
      <c r="BY7" s="6">
        <f>SUMIF('Eredeti fejléccel'!$B:$B,'Felosztás eredménykim'!$B7,'Eredeti fejléccel'!$AY:$AY)</f>
        <v>0</v>
      </c>
      <c r="BZ7" s="6">
        <f>SUMIF('Eredeti fejléccel'!$B:$B,'Felosztás eredménykim'!$B7,'Eredeti fejléccel'!$AZ:$AZ)</f>
        <v>0</v>
      </c>
      <c r="CA7" s="6">
        <f>SUMIF('Eredeti fejléccel'!$B:$B,'Felosztás eredménykim'!$B7,'Eredeti fejléccel'!$BA:$BA)</f>
        <v>0</v>
      </c>
      <c r="CB7" s="6">
        <f t="shared" si="13"/>
        <v>61995.89328324837</v>
      </c>
      <c r="CC7" s="36">
        <f t="shared" si="14"/>
        <v>34197.02508633316</v>
      </c>
      <c r="CD7" s="8">
        <f t="shared" si="15"/>
        <v>16877.885537966195</v>
      </c>
      <c r="CE7" s="6">
        <f>SUMIF('Eredeti fejléccel'!$B:$B,'Felosztás eredménykim'!$B7,'Eredeti fejléccel'!$BC:$BC)</f>
        <v>0</v>
      </c>
      <c r="CF7" s="8">
        <f t="shared" ref="CF7:CF75" si="42">-CE7/2</f>
        <v>0</v>
      </c>
      <c r="CG7" s="6">
        <f>SUMIF('Eredeti fejléccel'!$B:$B,'Felosztás eredménykim'!$B7,'Eredeti fejléccel'!$H:$H)</f>
        <v>0</v>
      </c>
      <c r="CH7" s="6">
        <f>SUMIF('Eredeti fejléccel'!$B:$B,'Felosztás eredménykim'!$B7,'Eredeti fejléccel'!$BE:$BE)</f>
        <v>0</v>
      </c>
      <c r="CI7" s="6">
        <f t="shared" ref="CI7:CI65" si="43">SUM(CD7:CH7)</f>
        <v>16877.885537966195</v>
      </c>
      <c r="CJ7" s="36">
        <f t="shared" si="16"/>
        <v>24586.096467298357</v>
      </c>
      <c r="CK7" s="8">
        <f t="shared" si="17"/>
        <v>12134.427510956088</v>
      </c>
      <c r="CL7" s="8">
        <f t="shared" ref="CL7:CL75" si="44">CE7/2</f>
        <v>0</v>
      </c>
      <c r="CM7" s="6">
        <f>SUMIF('Eredeti fejléccel'!$B:$B,'Felosztás eredménykim'!$B7,'Eredeti fejléccel'!$BD:$BD)</f>
        <v>0</v>
      </c>
      <c r="CN7" s="8">
        <f t="shared" ref="CN7:CN65" si="45">SUM(CK7:CM7)</f>
        <v>12134.427510956088</v>
      </c>
      <c r="CO7" s="8">
        <f t="shared" si="18"/>
        <v>933118.58772923378</v>
      </c>
      <c r="CR7" s="36">
        <f t="shared" si="19"/>
        <v>147683.74968094012</v>
      </c>
      <c r="CS7" s="6">
        <f>SUMIF('Eredeti fejléccel'!$B:$B,'Felosztás eredménykim'!$B7,'Eredeti fejléccel'!$I:$I)</f>
        <v>0</v>
      </c>
      <c r="CT7" s="6">
        <f>SUMIF('Eredeti fejléccel'!$B:$B,'Felosztás eredménykim'!$B7,'Eredeti fejléccel'!$BG:$BG)</f>
        <v>0</v>
      </c>
      <c r="CU7" s="6">
        <f>SUMIF('Eredeti fejléccel'!$B:$B,'Felosztás eredménykim'!$B7,'Eredeti fejléccel'!$BH:$BH)</f>
        <v>0</v>
      </c>
      <c r="CV7" s="6">
        <f>SUMIF('Eredeti fejléccel'!$B:$B,'Felosztás eredménykim'!$B7,'Eredeti fejléccel'!$BI:$BI)</f>
        <v>0</v>
      </c>
      <c r="CW7" s="6">
        <f>SUMIF('Eredeti fejléccel'!$B:$B,'Felosztás eredménykim'!$B7,'Eredeti fejléccel'!$BL:$BL)</f>
        <v>1101174.6600000004</v>
      </c>
      <c r="CX7" s="6">
        <f t="shared" ref="CX7:CX65" si="46">SUM(CS7:CW7)</f>
        <v>1101174.6600000004</v>
      </c>
      <c r="CY7" s="6">
        <f>SUMIF('Eredeti fejléccel'!$B:$B,'Felosztás eredménykim'!$B7,'Eredeti fejléccel'!$BJ:$BJ)</f>
        <v>169009.53000000006</v>
      </c>
      <c r="CZ7" s="6">
        <f>SUMIF('Eredeti fejléccel'!$B:$B,'Felosztás eredménykim'!$B7,'Eredeti fejléccel'!$BK:$BK)</f>
        <v>12730.54</v>
      </c>
      <c r="DA7" s="99">
        <f t="shared" ref="DA7:DA70" si="47">SUM(CX7:CZ7)</f>
        <v>1282914.7300000004</v>
      </c>
      <c r="DC7" s="36">
        <f t="shared" si="20"/>
        <v>129350.96531938188</v>
      </c>
      <c r="DD7" s="6">
        <f>SUMIF('Eredeti fejléccel'!$B:$B,'Felosztás eredménykim'!$B7,'Eredeti fejléccel'!$J:$J)</f>
        <v>0</v>
      </c>
      <c r="DE7" s="6">
        <f>SUMIF('Eredeti fejléccel'!$B:$B,'Felosztás eredménykim'!$B7,'Eredeti fejléccel'!$BM:$BM)</f>
        <v>289154.49</v>
      </c>
      <c r="DF7" s="6">
        <f t="shared" ref="DF7:DF73" si="48">-DI7</f>
        <v>0</v>
      </c>
      <c r="DG7" s="8">
        <f t="shared" si="21"/>
        <v>0</v>
      </c>
      <c r="DH7" s="8">
        <f t="shared" ref="DH7:DH73" si="49">SUM(DD7:DG7)</f>
        <v>289154.49</v>
      </c>
      <c r="DJ7" s="6">
        <f>SUMIF('Eredeti fejléccel'!$B:$B,'Felosztás eredménykim'!$B7,'Eredeti fejléccel'!$BN:$BN)</f>
        <v>0</v>
      </c>
      <c r="DK7" s="6">
        <f>SUMIF('Eredeti fejléccel'!$B:$B,'Felosztás eredménykim'!$B7,'Eredeti fejléccel'!$BZ:$BZ)</f>
        <v>0</v>
      </c>
      <c r="DL7" s="8">
        <f t="shared" ref="DL7:DL73" si="50">SUM(DI7:DK7)</f>
        <v>0</v>
      </c>
      <c r="DM7" s="6">
        <f>SUMIF('Eredeti fejléccel'!$B:$B,'Felosztás eredménykim'!$B7,'Eredeti fejléccel'!$BR:$BR)</f>
        <v>0</v>
      </c>
      <c r="DN7" s="6">
        <f>SUMIF('Eredeti fejléccel'!$B:$B,'Felosztás eredménykim'!$B7,'Eredeti fejléccel'!$BS:$BS)</f>
        <v>0</v>
      </c>
      <c r="DO7" s="6">
        <f>SUMIF('Eredeti fejléccel'!$B:$B,'Felosztás eredménykim'!$B7,'Eredeti fejléccel'!$BO:$BO)</f>
        <v>0</v>
      </c>
      <c r="DP7" s="6">
        <f>SUMIF('Eredeti fejléccel'!$B:$B,'Felosztás eredménykim'!$B7,'Eredeti fejléccel'!$BP:$BP)</f>
        <v>0</v>
      </c>
      <c r="DQ7" s="6">
        <f>SUMIF('Eredeti fejléccel'!$B:$B,'Felosztás eredménykim'!$B7,'Eredeti fejléccel'!$BQ:$BQ)</f>
        <v>0</v>
      </c>
      <c r="DS7" s="8"/>
      <c r="DU7" s="6">
        <f>SUMIF('Eredeti fejléccel'!$B:$B,'Felosztás eredménykim'!$B7,'Eredeti fejléccel'!$BT:$BT)</f>
        <v>0</v>
      </c>
      <c r="DV7" s="6">
        <f>SUMIF('Eredeti fejléccel'!$B:$B,'Felosztás eredménykim'!$B7,'Eredeti fejléccel'!$BU:$BU)</f>
        <v>0</v>
      </c>
      <c r="DW7" s="6">
        <f>SUMIF('Eredeti fejléccel'!$B:$B,'Felosztás eredménykim'!$B7,'Eredeti fejléccel'!$BV:$BV)</f>
        <v>0</v>
      </c>
      <c r="DX7" s="6">
        <f>SUMIF('Eredeti fejléccel'!$B:$B,'Felosztás eredménykim'!$B7,'Eredeti fejléccel'!$BW:$BW)</f>
        <v>0</v>
      </c>
      <c r="DY7" s="6">
        <f>SUMIF('Eredeti fejléccel'!$B:$B,'Felosztás eredménykim'!$B7,'Eredeti fejléccel'!$BX:$BX)</f>
        <v>0</v>
      </c>
      <c r="EA7" s="6"/>
      <c r="EC7" s="6"/>
      <c r="EE7" s="6">
        <f>SUMIF('Eredeti fejléccel'!$B:$B,'Felosztás eredménykim'!$B7,'Eredeti fejléccel'!$CA:$CA)</f>
        <v>0</v>
      </c>
      <c r="EF7" s="6">
        <f>SUMIF('Eredeti fejléccel'!$B:$B,'Felosztás eredménykim'!$B7,'Eredeti fejléccel'!$CB:$CB)</f>
        <v>0</v>
      </c>
      <c r="EG7" s="6">
        <f>SUMIF('Eredeti fejléccel'!$B:$B,'Felosztás eredménykim'!$B7,'Eredeti fejléccel'!$CC:$CC)</f>
        <v>0</v>
      </c>
      <c r="EH7" s="6">
        <f>SUMIF('Eredeti fejléccel'!$B:$B,'Felosztás eredménykim'!$B7,'Eredeti fejléccel'!$CD:$CD)</f>
        <v>0</v>
      </c>
      <c r="EK7" s="6">
        <f>SUMIF('Eredeti fejléccel'!$B:$B,'Felosztás eredménykim'!$B7,'Eredeti fejléccel'!$CE:$CE)</f>
        <v>0</v>
      </c>
      <c r="EN7" s="6">
        <f>SUMIF('Eredeti fejléccel'!$B:$B,'Felosztás eredménykim'!$B7,'Eredeti fejléccel'!$CF:$CF)</f>
        <v>0</v>
      </c>
      <c r="EP7" s="6">
        <f>SUMIF('Eredeti fejléccel'!$B:$B,'Felosztás eredménykim'!$B7,'Eredeti fejléccel'!$CG:$CG)</f>
        <v>0</v>
      </c>
      <c r="ES7" s="6">
        <f>SUMIF('Eredeti fejléccel'!$B:$B,'Felosztás eredménykim'!$B7,'Eredeti fejléccel'!$CH:$CH)</f>
        <v>0</v>
      </c>
      <c r="ET7" s="6">
        <f>SUMIF('Eredeti fejléccel'!$B:$B,'Felosztás eredménykim'!$B7,'Eredeti fejléccel'!$CI:$CI)</f>
        <v>0</v>
      </c>
      <c r="EW7" s="8">
        <f t="shared" si="22"/>
        <v>0</v>
      </c>
      <c r="EX7" s="8">
        <f t="shared" ref="EX7:EX65" si="51">SUM(EE7:EV7)</f>
        <v>0</v>
      </c>
      <c r="EY7" s="8">
        <f t="shared" ref="EY7:EY70" si="52">SUM(DR7:EV7)+DH7+DN7+DP7-DS7-DT7</f>
        <v>289154.49</v>
      </c>
      <c r="EZ7" s="8">
        <f t="shared" si="23"/>
        <v>289154.49</v>
      </c>
      <c r="FA7" s="8">
        <f t="shared" si="24"/>
        <v>289154.49</v>
      </c>
      <c r="FC7" s="6">
        <f>SUMIF('Eredeti fejléccel'!$B:$B,'Felosztás eredménykim'!$B7,'Eredeti fejléccel'!$L:$L)</f>
        <v>0</v>
      </c>
      <c r="FD7" s="6">
        <f>SUMIF('Eredeti fejléccel'!$B:$B,'Felosztás eredménykim'!$B7,'Eredeti fejléccel'!$CJ:$CJ)</f>
        <v>817594.47000000009</v>
      </c>
      <c r="FE7" s="6">
        <f>SUMIF('Eredeti fejléccel'!$B:$B,'Felosztás eredménykim'!$B7,'Eredeti fejléccel'!$CL:$CL)</f>
        <v>0</v>
      </c>
      <c r="FG7" s="99">
        <f t="shared" ref="FG7:FG65" si="53">SUM(FC7:FF7)</f>
        <v>817594.47000000009</v>
      </c>
      <c r="FH7" s="6">
        <f>SUMIF('Eredeti fejléccel'!$B:$B,'Felosztás eredménykim'!$B7,'Eredeti fejléccel'!$CK:$CK)</f>
        <v>0</v>
      </c>
      <c r="FI7" s="36">
        <f t="shared" si="25"/>
        <v>152189.60826920869</v>
      </c>
      <c r="FJ7" s="101">
        <f t="shared" si="26"/>
        <v>181298.43421261117</v>
      </c>
      <c r="FK7" s="6">
        <f>SUMIF('Eredeti fejléccel'!$B:$B,'Felosztás eredménykim'!$B7,'Eredeti fejléccel'!$CM:$CM)</f>
        <v>0</v>
      </c>
      <c r="FL7" s="6">
        <f>SUMIF('Eredeti fejléccel'!$B:$B,'Felosztás eredménykim'!$B7,'Eredeti fejléccel'!$CN:$CN)</f>
        <v>0</v>
      </c>
      <c r="FM7" s="8">
        <f t="shared" ref="FM7:FM65" si="54">SUM(FJ7:FL7)</f>
        <v>181298.43421261117</v>
      </c>
      <c r="FN7" s="36">
        <f t="shared" si="27"/>
        <v>129386.1343360535</v>
      </c>
      <c r="FO7" s="101">
        <f t="shared" si="28"/>
        <v>154133.41180598224</v>
      </c>
      <c r="FP7" s="6">
        <f>SUMIF('Eredeti fejléccel'!$B:$B,'Felosztás eredménykim'!$B7,'Eredeti fejléccel'!$CO:$CO)</f>
        <v>707834.61</v>
      </c>
      <c r="FQ7" s="6">
        <f>'Eredeti fejléccel'!CP7</f>
        <v>0</v>
      </c>
      <c r="FR7" s="6">
        <f>'Eredeti fejléccel'!CQ7</f>
        <v>0</v>
      </c>
      <c r="FS7" s="103">
        <f t="shared" ref="FS7:FS70" si="55">SUM(FO7:FR7)</f>
        <v>861968.02180598222</v>
      </c>
      <c r="FT7" s="36">
        <f t="shared" si="29"/>
        <v>357143.45914287149</v>
      </c>
      <c r="FU7" s="101">
        <f t="shared" si="30"/>
        <v>425453.16114713025</v>
      </c>
      <c r="FV7" s="101"/>
      <c r="FW7" s="6">
        <f>SUMIF('Eredeti fejléccel'!$B:$B,'Felosztás eredménykim'!$B7,'Eredeti fejléccel'!$CR:$CR)</f>
        <v>9105409.6899999995</v>
      </c>
      <c r="FX7" s="6">
        <f>SUMIF('Eredeti fejléccel'!$B:$B,'Felosztás eredménykim'!$B7,'Eredeti fejléccel'!$CS:$CS)</f>
        <v>0</v>
      </c>
      <c r="FY7" s="6">
        <f>SUMIF('Eredeti fejléccel'!$B:$B,'Felosztás eredménykim'!$B7,'Eredeti fejléccel'!$CT:$CT)</f>
        <v>0</v>
      </c>
      <c r="FZ7" s="6">
        <f>SUMIF('Eredeti fejléccel'!$B:$B,'Felosztás eredménykim'!$B7,'Eredeti fejléccel'!$CU:$CU)</f>
        <v>0</v>
      </c>
      <c r="GA7" s="103">
        <f t="shared" ref="GA7:GA65" si="56">SUM(FU7:FZ7)</f>
        <v>9530862.8511471301</v>
      </c>
      <c r="GB7" s="36">
        <f t="shared" si="31"/>
        <v>47604.332444397034</v>
      </c>
      <c r="GC7" s="101">
        <f t="shared" si="32"/>
        <v>56709.462834276485</v>
      </c>
      <c r="GD7" s="6">
        <f>SUMIF('Eredeti fejléccel'!$B:$B,'Felosztás eredménykim'!$B7,'Eredeti fejléccel'!$CV:$CV)</f>
        <v>2278907.0099999998</v>
      </c>
      <c r="GE7" s="6">
        <f>SUMIF('Eredeti fejléccel'!$B:$B,'Felosztás eredménykim'!$B7,'Eredeti fejléccel'!$CW:$CW)</f>
        <v>0</v>
      </c>
      <c r="GF7" s="103">
        <f t="shared" ref="GF7:GF65" si="57">SUM(GC7:GE7)</f>
        <v>2335616.472834276</v>
      </c>
      <c r="GG7" s="36">
        <f t="shared" si="33"/>
        <v>0</v>
      </c>
      <c r="GM7" s="6">
        <f>SUMIF('Eredeti fejléccel'!$B:$B,'Felosztás eredménykim'!$B7,'Eredeti fejléccel'!$CX:$CX)</f>
        <v>0</v>
      </c>
      <c r="GN7" s="6">
        <f>SUMIF('Eredeti fejléccel'!$B:$B,'Felosztás eredménykim'!$B7,'Eredeti fejléccel'!$CY:$CY)</f>
        <v>0</v>
      </c>
      <c r="GO7" s="6">
        <f>SUMIF('Eredeti fejléccel'!$B:$B,'Felosztás eredménykim'!$B7,'Eredeti fejléccel'!$CZ:$CZ)</f>
        <v>0</v>
      </c>
      <c r="GP7" s="6">
        <f>SUMIF('Eredeti fejléccel'!$B:$B,'Felosztás eredménykim'!$B7,'Eredeti fejléccel'!$DA:$DA)</f>
        <v>0</v>
      </c>
      <c r="GQ7" s="6">
        <f>SUMIF('Eredeti fejléccel'!$B:$B,'Felosztás eredménykim'!$B7,'Eredeti fejléccel'!$DB:$DB)</f>
        <v>0</v>
      </c>
      <c r="GR7" s="103">
        <f t="shared" ref="GR7:GR65" si="58">SUM(GH7:GQ7)</f>
        <v>0</v>
      </c>
      <c r="GW7" s="36">
        <f t="shared" si="34"/>
        <v>81717.983077913726</v>
      </c>
      <c r="GX7" s="6">
        <f>SUMIF('Eredeti fejléccel'!$B:$B,'Felosztás eredménykim'!$B7,'Eredeti fejléccel'!$M:$M)</f>
        <v>0</v>
      </c>
      <c r="GY7" s="6">
        <f>SUMIF('Eredeti fejléccel'!$B:$B,'Felosztás eredménykim'!$B7,'Eredeti fejléccel'!$DC:$DC)</f>
        <v>0</v>
      </c>
      <c r="GZ7" s="6">
        <f>SUMIF('Eredeti fejléccel'!$B:$B,'Felosztás eredménykim'!$B7,'Eredeti fejléccel'!$DD:$DD)</f>
        <v>0</v>
      </c>
      <c r="HA7" s="6">
        <f>SUMIF('Eredeti fejléccel'!$B:$B,'Felosztás eredménykim'!$B7,'Eredeti fejléccel'!$DE:$DE)</f>
        <v>0</v>
      </c>
      <c r="HB7" s="103">
        <f t="shared" ref="HB7:HB65" si="59">SUM(GX7:HA7)</f>
        <v>0</v>
      </c>
      <c r="HD7" s="9">
        <f t="shared" si="35"/>
        <v>16460009.82000001</v>
      </c>
      <c r="HE7" s="9">
        <v>16460009.819999998</v>
      </c>
      <c r="HF7" s="476"/>
      <c r="HH7" s="34">
        <f t="shared" ref="HH7:HH65" si="60">+HD7-HE7</f>
        <v>0</v>
      </c>
    </row>
    <row r="8" spans="1:232" x14ac:dyDescent="0.25">
      <c r="A8" s="4" t="s">
        <v>59</v>
      </c>
      <c r="B8" s="4" t="s">
        <v>59</v>
      </c>
      <c r="C8" s="1" t="s">
        <v>60</v>
      </c>
      <c r="D8" s="6">
        <f>SUMIF('Eredeti fejléccel'!$B:$B,'Felosztás eredménykim'!$B8,'Eredeti fejléccel'!$D:$D)</f>
        <v>0</v>
      </c>
      <c r="E8" s="6">
        <f>SUMIF('Eredeti fejléccel'!$B:$B,'Felosztás eredménykim'!$B8,'Eredeti fejléccel'!$E:$E)</f>
        <v>235812</v>
      </c>
      <c r="F8" s="6">
        <f>SUMIF('Eredeti fejléccel'!$B:$B,'Felosztás eredménykim'!$B8,'Eredeti fejléccel'!$F:$F)</f>
        <v>0</v>
      </c>
      <c r="G8" s="6">
        <f>SUMIF('Eredeti fejléccel'!$B:$B,'Felosztás eredménykim'!$B8,'Eredeti fejléccel'!$G:$G)</f>
        <v>5890</v>
      </c>
      <c r="H8" s="6"/>
      <c r="I8" s="6">
        <f>SUMIF('Eredeti fejléccel'!$B:$B,'Felosztás eredménykim'!$B8,'Eredeti fejléccel'!$O:$O)</f>
        <v>0</v>
      </c>
      <c r="J8" s="6">
        <f>SUMIF('Eredeti fejléccel'!$B:$B,'Felosztás eredménykim'!$B8,'Eredeti fejléccel'!$P:$P)</f>
        <v>0</v>
      </c>
      <c r="K8" s="6">
        <f>SUMIF('Eredeti fejléccel'!$B:$B,'Felosztás eredménykim'!$B8,'Eredeti fejléccel'!$Q:$Q)</f>
        <v>0</v>
      </c>
      <c r="L8" s="6">
        <f>SUMIF('Eredeti fejléccel'!$B:$B,'Felosztás eredménykim'!$B8,'Eredeti fejléccel'!$R:$R)</f>
        <v>0</v>
      </c>
      <c r="M8" s="6">
        <f>SUMIF('Eredeti fejléccel'!$B:$B,'Felosztás eredménykim'!$B8,'Eredeti fejléccel'!$T:$T)</f>
        <v>0</v>
      </c>
      <c r="N8" s="6">
        <f>SUMIF('Eredeti fejléccel'!$B:$B,'Felosztás eredménykim'!$B8,'Eredeti fejléccel'!$U:$U)</f>
        <v>0</v>
      </c>
      <c r="O8" s="6">
        <f>SUMIF('Eredeti fejléccel'!$B:$B,'Felosztás eredménykim'!$B8,'Eredeti fejléccel'!$V:$V)</f>
        <v>0</v>
      </c>
      <c r="P8" s="6">
        <f>SUMIF('Eredeti fejléccel'!$B:$B,'Felosztás eredménykim'!$B8,'Eredeti fejléccel'!$W:$W)</f>
        <v>0</v>
      </c>
      <c r="Q8" s="6">
        <f>SUMIF('Eredeti fejléccel'!$B:$B,'Felosztás eredménykim'!$B8,'Eredeti fejléccel'!$X:$X)</f>
        <v>0</v>
      </c>
      <c r="R8" s="6">
        <f>SUMIF('Eredeti fejléccel'!$B:$B,'Felosztás eredménykim'!$B8,'Eredeti fejléccel'!$Y:$Y)</f>
        <v>0</v>
      </c>
      <c r="S8" s="6">
        <f>SUMIF('Eredeti fejléccel'!$B:$B,'Felosztás eredménykim'!$B8,'Eredeti fejléccel'!$Z:$Z)</f>
        <v>0</v>
      </c>
      <c r="T8" s="6">
        <f>SUMIF('Eredeti fejléccel'!$B:$B,'Felosztás eredménykim'!$B8,'Eredeti fejléccel'!$AA:$AA)</f>
        <v>0</v>
      </c>
      <c r="U8" s="6">
        <f>SUMIF('Eredeti fejléccel'!$B:$B,'Felosztás eredménykim'!$B8,'Eredeti fejléccel'!$D:$D)</f>
        <v>0</v>
      </c>
      <c r="V8" s="6">
        <f>SUMIF('Eredeti fejléccel'!$B:$B,'Felosztás eredménykim'!$B8,'Eredeti fejléccel'!$AT:$AT)</f>
        <v>0</v>
      </c>
      <c r="X8" s="36">
        <f t="shared" si="0"/>
        <v>241702</v>
      </c>
      <c r="Z8" s="6">
        <f>SUMIF('Eredeti fejléccel'!$B:$B,'Felosztás eredménykim'!$B8,'Eredeti fejléccel'!$K:$K)</f>
        <v>70092</v>
      </c>
      <c r="AB8" s="6">
        <f>SUMIF('Eredeti fejléccel'!$B:$B,'Felosztás eredménykim'!$B8,'Eredeti fejléccel'!$AB:$AB)</f>
        <v>0</v>
      </c>
      <c r="AC8" s="6">
        <f>SUMIF('Eredeti fejléccel'!$B:$B,'Felosztás eredménykim'!$B8,'Eredeti fejléccel'!$AQ:$AQ)</f>
        <v>0</v>
      </c>
      <c r="AE8" s="73">
        <f t="shared" si="1"/>
        <v>70092</v>
      </c>
      <c r="AF8" s="36">
        <f t="shared" si="2"/>
        <v>28833.753448078169</v>
      </c>
      <c r="AG8" s="8">
        <f t="shared" si="3"/>
        <v>22348.446471693045</v>
      </c>
      <c r="AI8" s="6">
        <f>SUMIF('Eredeti fejléccel'!$B:$B,'Felosztás eredménykim'!$B8,'Eredeti fejléccel'!$BB:$BB)</f>
        <v>0</v>
      </c>
      <c r="AJ8" s="6">
        <f>SUMIF('Eredeti fejléccel'!$B:$B,'Felosztás eredménykim'!$B8,'Eredeti fejléccel'!$AF:$AF)</f>
        <v>0</v>
      </c>
      <c r="AK8" s="8">
        <f t="shared" si="4"/>
        <v>22348.446471693045</v>
      </c>
      <c r="AL8" s="36">
        <f t="shared" si="5"/>
        <v>11452.621285407768</v>
      </c>
      <c r="AM8" s="8">
        <f t="shared" si="6"/>
        <v>8876.6900992755545</v>
      </c>
      <c r="AN8" s="6">
        <f t="shared" si="36"/>
        <v>0</v>
      </c>
      <c r="AO8" s="6">
        <f>SUMIF('Eredeti fejléccel'!$B:$B,'Felosztás eredménykim'!$B8,'Eredeti fejléccel'!$AC:$AC)</f>
        <v>0</v>
      </c>
      <c r="AP8" s="6">
        <f>SUMIF('Eredeti fejléccel'!$B:$B,'Felosztás eredménykim'!$B8,'Eredeti fejléccel'!$AD:$AD)</f>
        <v>0</v>
      </c>
      <c r="AQ8" s="6">
        <f>SUMIF('Eredeti fejléccel'!$B:$B,'Felosztás eredménykim'!$B8,'Eredeti fejléccel'!$AE:$AE)</f>
        <v>0</v>
      </c>
      <c r="AR8" s="6">
        <f>SUMIF('Eredeti fejléccel'!$B:$B,'Felosztás eredménykim'!$B8,'Eredeti fejléccel'!$AG:$AG)</f>
        <v>0</v>
      </c>
      <c r="AS8" s="6">
        <f t="shared" si="37"/>
        <v>8876.6900992755545</v>
      </c>
      <c r="AT8" s="36">
        <f t="shared" si="7"/>
        <v>18602.421579405272</v>
      </c>
      <c r="AU8" s="8">
        <f t="shared" si="8"/>
        <v>14418.352562382612</v>
      </c>
      <c r="AV8" s="6">
        <f>SUMIF('Eredeti fejléccel'!$B:$B,'Felosztás eredménykim'!$B8,'Eredeti fejléccel'!$AI:$AI)</f>
        <v>0</v>
      </c>
      <c r="AW8" s="6">
        <f>SUMIF('Eredeti fejléccel'!$B:$B,'Felosztás eredménykim'!$B8,'Eredeti fejléccel'!$AJ:$AJ)</f>
        <v>0</v>
      </c>
      <c r="AX8" s="6">
        <f>SUMIF('Eredeti fejléccel'!$B:$B,'Felosztás eredménykim'!$B8,'Eredeti fejléccel'!$AK:$AK)</f>
        <v>0</v>
      </c>
      <c r="AY8" s="6">
        <f>SUMIF('Eredeti fejléccel'!$B:$B,'Felosztás eredménykim'!$B8,'Eredeti fejléccel'!$AL:$AL)</f>
        <v>0</v>
      </c>
      <c r="AZ8" s="6">
        <f>SUMIF('Eredeti fejléccel'!$B:$B,'Felosztás eredménykim'!$B8,'Eredeti fejléccel'!$AM:$AM)</f>
        <v>0</v>
      </c>
      <c r="BA8" s="6">
        <f>SUMIF('Eredeti fejléccel'!$B:$B,'Felosztás eredménykim'!$B8,'Eredeti fejléccel'!$AN:$AN)</f>
        <v>0</v>
      </c>
      <c r="BB8" s="6">
        <f>SUMIF('Eredeti fejléccel'!$B:$B,'Felosztás eredménykim'!$B8,'Eredeti fejléccel'!$AP:$AP)</f>
        <v>0</v>
      </c>
      <c r="BD8" s="6">
        <f>SUMIF('Eredeti fejléccel'!$B:$B,'Felosztás eredménykim'!$B8,'Eredeti fejléccel'!$AS:$AS)</f>
        <v>0</v>
      </c>
      <c r="BE8" s="8">
        <f t="shared" si="38"/>
        <v>14418.352562382612</v>
      </c>
      <c r="BF8" s="36">
        <f t="shared" si="9"/>
        <v>4852.8056294100707</v>
      </c>
      <c r="BG8" s="8">
        <f t="shared" si="10"/>
        <v>3761.3093640998113</v>
      </c>
      <c r="BH8" s="6">
        <f t="shared" si="39"/>
        <v>0</v>
      </c>
      <c r="BI8" s="6">
        <f>SUMIF('Eredeti fejléccel'!$B:$B,'Felosztás eredménykim'!$B8,'Eredeti fejléccel'!$AH:$AH)</f>
        <v>0</v>
      </c>
      <c r="BJ8" s="6">
        <f>SUMIF('Eredeti fejléccel'!$B:$B,'Felosztás eredménykim'!$B8,'Eredeti fejléccel'!$AO:$AO)</f>
        <v>0</v>
      </c>
      <c r="BK8" s="6">
        <f>SUMIF('Eredeti fejléccel'!$B:$B,'Felosztás eredménykim'!$B8,'Eredeti fejléccel'!$BF:$BF)</f>
        <v>0</v>
      </c>
      <c r="BL8" s="8">
        <f t="shared" si="40"/>
        <v>3761.3093640998113</v>
      </c>
      <c r="BM8" s="36">
        <f t="shared" si="11"/>
        <v>18181.845091523068</v>
      </c>
      <c r="BN8" s="8">
        <f t="shared" si="12"/>
        <v>14092.372417493962</v>
      </c>
      <c r="BP8" s="8">
        <f t="shared" si="41"/>
        <v>0</v>
      </c>
      <c r="BQ8" s="6">
        <f>SUMIF('Eredeti fejléccel'!$B:$B,'Felosztás eredménykim'!$B8,'Eredeti fejléccel'!$N:$N)</f>
        <v>0</v>
      </c>
      <c r="BR8" s="6">
        <f>SUMIF('Eredeti fejléccel'!$B:$B,'Felosztás eredménykim'!$B8,'Eredeti fejléccel'!$S:$S)</f>
        <v>0</v>
      </c>
      <c r="BT8" s="6">
        <f>SUMIF('Eredeti fejléccel'!$B:$B,'Felosztás eredménykim'!$B8,'Eredeti fejléccel'!$AR:$AR)</f>
        <v>0</v>
      </c>
      <c r="BU8" s="6">
        <f>SUMIF('Eredeti fejléccel'!$B:$B,'Felosztás eredménykim'!$B8,'Eredeti fejléccel'!$AU:$AU)</f>
        <v>0</v>
      </c>
      <c r="BV8" s="6">
        <f>SUMIF('Eredeti fejléccel'!$B:$B,'Felosztás eredménykim'!$B8,'Eredeti fejléccel'!$AV:$AV)</f>
        <v>0</v>
      </c>
      <c r="BW8" s="6">
        <f>SUMIF('Eredeti fejléccel'!$B:$B,'Felosztás eredménykim'!$B8,'Eredeti fejléccel'!$AW:$AW)</f>
        <v>0</v>
      </c>
      <c r="BX8" s="6">
        <f>SUMIF('Eredeti fejléccel'!$B:$B,'Felosztás eredménykim'!$B8,'Eredeti fejléccel'!$AX:$AX)</f>
        <v>0</v>
      </c>
      <c r="BY8" s="6">
        <f>SUMIF('Eredeti fejléccel'!$B:$B,'Felosztás eredménykim'!$B8,'Eredeti fejléccel'!$AY:$AY)</f>
        <v>0</v>
      </c>
      <c r="BZ8" s="6">
        <f>SUMIF('Eredeti fejléccel'!$B:$B,'Felosztás eredménykim'!$B8,'Eredeti fejléccel'!$AZ:$AZ)</f>
        <v>0</v>
      </c>
      <c r="CA8" s="6">
        <f>SUMIF('Eredeti fejléccel'!$B:$B,'Felosztás eredménykim'!$B8,'Eredeti fejléccel'!$BA:$BA)</f>
        <v>0</v>
      </c>
      <c r="CB8" s="6">
        <f t="shared" si="13"/>
        <v>14092.372417493962</v>
      </c>
      <c r="CC8" s="36">
        <f t="shared" si="14"/>
        <v>4949.861741998272</v>
      </c>
      <c r="CD8" s="8">
        <f t="shared" si="15"/>
        <v>3836.5355513818076</v>
      </c>
      <c r="CE8" s="6">
        <f>SUMIF('Eredeti fejléccel'!$B:$B,'Felosztás eredménykim'!$B8,'Eredeti fejléccel'!$BC:$BC)</f>
        <v>0</v>
      </c>
      <c r="CF8" s="8">
        <f t="shared" si="42"/>
        <v>0</v>
      </c>
      <c r="CG8" s="6">
        <f>SUMIF('Eredeti fejléccel'!$B:$B,'Felosztás eredménykim'!$B8,'Eredeti fejléccel'!$H:$H)</f>
        <v>0</v>
      </c>
      <c r="CH8" s="6">
        <f>SUMIF('Eredeti fejléccel'!$B:$B,'Felosztás eredménykim'!$B8,'Eredeti fejléccel'!$BE:$BE)</f>
        <v>0</v>
      </c>
      <c r="CI8" s="6">
        <f t="shared" si="43"/>
        <v>3836.5355513818076</v>
      </c>
      <c r="CJ8" s="36">
        <f t="shared" si="16"/>
        <v>3558.7241282340524</v>
      </c>
      <c r="CK8" s="8">
        <f t="shared" si="17"/>
        <v>2758.2935336731953</v>
      </c>
      <c r="CL8" s="8">
        <f t="shared" si="44"/>
        <v>0</v>
      </c>
      <c r="CM8" s="6">
        <f>SUMIF('Eredeti fejléccel'!$B:$B,'Felosztás eredménykim'!$B8,'Eredeti fejléccel'!$BD:$BD)</f>
        <v>0</v>
      </c>
      <c r="CN8" s="8">
        <f t="shared" si="45"/>
        <v>2758.2935336731953</v>
      </c>
      <c r="CO8" s="8">
        <f t="shared" si="18"/>
        <v>160524.03290405666</v>
      </c>
      <c r="CR8" s="36">
        <f t="shared" si="19"/>
        <v>21376.541983258212</v>
      </c>
      <c r="CS8" s="6">
        <f>SUMIF('Eredeti fejléccel'!$B:$B,'Felosztás eredménykim'!$B8,'Eredeti fejléccel'!$I:$I)</f>
        <v>0</v>
      </c>
      <c r="CT8" s="6">
        <f>SUMIF('Eredeti fejléccel'!$B:$B,'Felosztás eredménykim'!$B8,'Eredeti fejléccel'!$BG:$BG)</f>
        <v>0</v>
      </c>
      <c r="CU8" s="6">
        <f>SUMIF('Eredeti fejléccel'!$B:$B,'Felosztás eredménykim'!$B8,'Eredeti fejléccel'!$BH:$BH)</f>
        <v>0</v>
      </c>
      <c r="CV8" s="6">
        <f>SUMIF('Eredeti fejléccel'!$B:$B,'Felosztás eredménykim'!$B8,'Eredeti fejléccel'!$BI:$BI)</f>
        <v>0</v>
      </c>
      <c r="CW8" s="6">
        <f>SUMIF('Eredeti fejléccel'!$B:$B,'Felosztás eredménykim'!$B8,'Eredeti fejléccel'!$BL:$BL)</f>
        <v>26511.59</v>
      </c>
      <c r="CX8" s="6">
        <f t="shared" si="46"/>
        <v>26511.59</v>
      </c>
      <c r="CY8" s="6">
        <f>SUMIF('Eredeti fejléccel'!$B:$B,'Felosztás eredménykim'!$B8,'Eredeti fejléccel'!$BJ:$BJ)</f>
        <v>4753.4399999999996</v>
      </c>
      <c r="CZ8" s="6">
        <f>SUMIF('Eredeti fejléccel'!$B:$B,'Felosztás eredménykim'!$B8,'Eredeti fejléccel'!$BK:$BK)</f>
        <v>0</v>
      </c>
      <c r="DA8" s="99">
        <f t="shared" si="47"/>
        <v>31265.03</v>
      </c>
      <c r="DC8" s="36">
        <f t="shared" si="20"/>
        <v>18722.955956213784</v>
      </c>
      <c r="DD8" s="6">
        <f>SUMIF('Eredeti fejléccel'!$B:$B,'Felosztás eredménykim'!$B8,'Eredeti fejléccel'!$J:$J)</f>
        <v>0</v>
      </c>
      <c r="DE8" s="6">
        <f>SUMIF('Eredeti fejléccel'!$B:$B,'Felosztás eredménykim'!$B8,'Eredeti fejléccel'!$BM:$BM)</f>
        <v>0</v>
      </c>
      <c r="DF8" s="6">
        <f t="shared" si="48"/>
        <v>0</v>
      </c>
      <c r="DG8" s="8">
        <f t="shared" si="21"/>
        <v>0</v>
      </c>
      <c r="DH8" s="8">
        <f t="shared" si="49"/>
        <v>0</v>
      </c>
      <c r="DJ8" s="6">
        <f>SUMIF('Eredeti fejléccel'!$B:$B,'Felosztás eredménykim'!$B8,'Eredeti fejléccel'!$BN:$BN)</f>
        <v>0</v>
      </c>
      <c r="DK8" s="6">
        <f>SUMIF('Eredeti fejléccel'!$B:$B,'Felosztás eredménykim'!$B8,'Eredeti fejléccel'!$BZ:$BZ)</f>
        <v>0</v>
      </c>
      <c r="DL8" s="8">
        <f t="shared" si="50"/>
        <v>0</v>
      </c>
      <c r="DM8" s="6">
        <f>SUMIF('Eredeti fejléccel'!$B:$B,'Felosztás eredménykim'!$B8,'Eredeti fejléccel'!$BR:$BR)</f>
        <v>0</v>
      </c>
      <c r="DN8" s="6">
        <f>SUMIF('Eredeti fejléccel'!$B:$B,'Felosztás eredménykim'!$B8,'Eredeti fejléccel'!$BS:$BS)</f>
        <v>0</v>
      </c>
      <c r="DO8" s="6">
        <f>SUMIF('Eredeti fejléccel'!$B:$B,'Felosztás eredménykim'!$B8,'Eredeti fejléccel'!$BO:$BO)</f>
        <v>0</v>
      </c>
      <c r="DP8" s="6">
        <f>SUMIF('Eredeti fejléccel'!$B:$B,'Felosztás eredménykim'!$B8,'Eredeti fejléccel'!$BP:$BP)</f>
        <v>0</v>
      </c>
      <c r="DQ8" s="6">
        <f>SUMIF('Eredeti fejléccel'!$B:$B,'Felosztás eredménykim'!$B8,'Eredeti fejléccel'!$BQ:$BQ)</f>
        <v>0</v>
      </c>
      <c r="DS8" s="8"/>
      <c r="DU8" s="6">
        <f>SUMIF('Eredeti fejléccel'!$B:$B,'Felosztás eredménykim'!$B8,'Eredeti fejléccel'!$BT:$BT)</f>
        <v>0</v>
      </c>
      <c r="DV8" s="6">
        <f>SUMIF('Eredeti fejléccel'!$B:$B,'Felosztás eredménykim'!$B8,'Eredeti fejléccel'!$BU:$BU)</f>
        <v>0</v>
      </c>
      <c r="DW8" s="6">
        <f>SUMIF('Eredeti fejléccel'!$B:$B,'Felosztás eredménykim'!$B8,'Eredeti fejléccel'!$BV:$BV)</f>
        <v>0</v>
      </c>
      <c r="DX8" s="6">
        <f>SUMIF('Eredeti fejléccel'!$B:$B,'Felosztás eredménykim'!$B8,'Eredeti fejléccel'!$BW:$BW)</f>
        <v>0</v>
      </c>
      <c r="DY8" s="6">
        <f>SUMIF('Eredeti fejléccel'!$B:$B,'Felosztás eredménykim'!$B8,'Eredeti fejléccel'!$BX:$BX)</f>
        <v>0</v>
      </c>
      <c r="EA8" s="6"/>
      <c r="EC8" s="6"/>
      <c r="EE8" s="6">
        <f>SUMIF('Eredeti fejléccel'!$B:$B,'Felosztás eredménykim'!$B8,'Eredeti fejléccel'!$CA:$CA)</f>
        <v>0</v>
      </c>
      <c r="EF8" s="6">
        <f>SUMIF('Eredeti fejléccel'!$B:$B,'Felosztás eredménykim'!$B8,'Eredeti fejléccel'!$CB:$CB)</f>
        <v>0</v>
      </c>
      <c r="EG8" s="6">
        <f>SUMIF('Eredeti fejléccel'!$B:$B,'Felosztás eredménykim'!$B8,'Eredeti fejléccel'!$CC:$CC)</f>
        <v>0</v>
      </c>
      <c r="EH8" s="6">
        <f>SUMIF('Eredeti fejléccel'!$B:$B,'Felosztás eredménykim'!$B8,'Eredeti fejléccel'!$CD:$CD)</f>
        <v>0</v>
      </c>
      <c r="EK8" s="6">
        <f>SUMIF('Eredeti fejléccel'!$B:$B,'Felosztás eredménykim'!$B8,'Eredeti fejléccel'!$CE:$CE)</f>
        <v>0</v>
      </c>
      <c r="EN8" s="6">
        <f>SUMIF('Eredeti fejléccel'!$B:$B,'Felosztás eredménykim'!$B8,'Eredeti fejléccel'!$CF:$CF)</f>
        <v>0</v>
      </c>
      <c r="EP8" s="6">
        <f>SUMIF('Eredeti fejléccel'!$B:$B,'Felosztás eredménykim'!$B8,'Eredeti fejléccel'!$CG:$CG)</f>
        <v>0</v>
      </c>
      <c r="ES8" s="6">
        <f>SUMIF('Eredeti fejléccel'!$B:$B,'Felosztás eredménykim'!$B8,'Eredeti fejléccel'!$CH:$CH)</f>
        <v>0</v>
      </c>
      <c r="ET8" s="6">
        <f>SUMIF('Eredeti fejléccel'!$B:$B,'Felosztás eredménykim'!$B8,'Eredeti fejléccel'!$CI:$CI)</f>
        <v>0</v>
      </c>
      <c r="EW8" s="8">
        <f t="shared" si="22"/>
        <v>0</v>
      </c>
      <c r="EX8" s="8">
        <f t="shared" si="51"/>
        <v>0</v>
      </c>
      <c r="EY8" s="8">
        <f t="shared" si="52"/>
        <v>0</v>
      </c>
      <c r="EZ8" s="8">
        <f t="shared" si="23"/>
        <v>0</v>
      </c>
      <c r="FA8" s="8">
        <f t="shared" si="24"/>
        <v>0</v>
      </c>
      <c r="FC8" s="6">
        <f>SUMIF('Eredeti fejléccel'!$B:$B,'Felosztás eredménykim'!$B8,'Eredeti fejléccel'!$L:$L)</f>
        <v>0</v>
      </c>
      <c r="FD8" s="6">
        <f>SUMIF('Eredeti fejléccel'!$B:$B,'Felosztás eredménykim'!$B8,'Eredeti fejléccel'!$CJ:$CJ)</f>
        <v>15082.04</v>
      </c>
      <c r="FE8" s="6">
        <f>SUMIF('Eredeti fejléccel'!$B:$B,'Felosztás eredménykim'!$B8,'Eredeti fejléccel'!$CL:$CL)</f>
        <v>0</v>
      </c>
      <c r="FG8" s="99">
        <f t="shared" si="53"/>
        <v>15082.04</v>
      </c>
      <c r="FH8" s="6">
        <f>SUMIF('Eredeti fejléccel'!$B:$B,'Felosztás eredménykim'!$B8,'Eredeti fejléccel'!$CK:$CK)</f>
        <v>0</v>
      </c>
      <c r="FI8" s="36">
        <f t="shared" si="25"/>
        <v>22028.744243092751</v>
      </c>
      <c r="FJ8" s="101">
        <f t="shared" si="26"/>
        <v>3344.3844559417948</v>
      </c>
      <c r="FK8" s="6">
        <f>SUMIF('Eredeti fejléccel'!$B:$B,'Felosztás eredménykim'!$B8,'Eredeti fejléccel'!$CM:$CM)</f>
        <v>0</v>
      </c>
      <c r="FL8" s="6">
        <f>SUMIF('Eredeti fejléccel'!$B:$B,'Felosztás eredménykim'!$B8,'Eredeti fejléccel'!$CN:$CN)</f>
        <v>0</v>
      </c>
      <c r="FM8" s="8">
        <f t="shared" si="54"/>
        <v>3344.3844559417948</v>
      </c>
      <c r="FN8" s="36">
        <f t="shared" si="27"/>
        <v>18728.046509257128</v>
      </c>
      <c r="FO8" s="101">
        <f t="shared" si="28"/>
        <v>2843.2754470493132</v>
      </c>
      <c r="FP8" s="6">
        <f>SUMIF('Eredeti fejléccel'!$B:$B,'Felosztás eredménykim'!$B8,'Eredeti fejléccel'!$CO:$CO)</f>
        <v>26507</v>
      </c>
      <c r="FQ8" s="6">
        <f>'Eredeti fejléccel'!CP8</f>
        <v>0</v>
      </c>
      <c r="FR8" s="6">
        <f>'Eredeti fejléccel'!CQ8</f>
        <v>0</v>
      </c>
      <c r="FS8" s="103">
        <f t="shared" si="55"/>
        <v>29350.275447049313</v>
      </c>
      <c r="FT8" s="36">
        <f t="shared" si="29"/>
        <v>51694.869373965754</v>
      </c>
      <c r="FU8" s="101">
        <f t="shared" si="30"/>
        <v>7848.2693193209388</v>
      </c>
      <c r="FV8" s="101"/>
      <c r="FW8" s="6">
        <f>SUMIF('Eredeti fejléccel'!$B:$B,'Felosztás eredménykim'!$B8,'Eredeti fejléccel'!$CR:$CR)</f>
        <v>92528.57</v>
      </c>
      <c r="FX8" s="6">
        <f>SUMIF('Eredeti fejléccel'!$B:$B,'Felosztás eredménykim'!$B8,'Eredeti fejléccel'!$CS:$CS)</f>
        <v>0</v>
      </c>
      <c r="FY8" s="6">
        <f>SUMIF('Eredeti fejléccel'!$B:$B,'Felosztás eredménykim'!$B8,'Eredeti fejléccel'!$CT:$CT)</f>
        <v>0</v>
      </c>
      <c r="FZ8" s="6">
        <f>SUMIF('Eredeti fejléccel'!$B:$B,'Felosztás eredménykim'!$B8,'Eredeti fejléccel'!$CU:$CU)</f>
        <v>0</v>
      </c>
      <c r="GA8" s="103">
        <f t="shared" si="56"/>
        <v>100376.83931932095</v>
      </c>
      <c r="GB8" s="36">
        <f t="shared" si="31"/>
        <v>6890.5076779342253</v>
      </c>
      <c r="GC8" s="101">
        <f t="shared" si="32"/>
        <v>1046.1107776879549</v>
      </c>
      <c r="GD8" s="6">
        <f>SUMIF('Eredeti fejléccel'!$B:$B,'Felosztás eredménykim'!$B8,'Eredeti fejléccel'!$CV:$CV)</f>
        <v>1811</v>
      </c>
      <c r="GE8" s="6">
        <f>SUMIF('Eredeti fejléccel'!$B:$B,'Felosztás eredménykim'!$B8,'Eredeti fejléccel'!$CW:$CW)</f>
        <v>0</v>
      </c>
      <c r="GF8" s="103">
        <f t="shared" si="57"/>
        <v>2857.1107776879549</v>
      </c>
      <c r="GG8" s="36">
        <f t="shared" si="33"/>
        <v>0</v>
      </c>
      <c r="GM8" s="6">
        <f>SUMIF('Eredeti fejléccel'!$B:$B,'Felosztás eredménykim'!$B8,'Eredeti fejléccel'!$CX:$CX)</f>
        <v>0</v>
      </c>
      <c r="GN8" s="6">
        <f>SUMIF('Eredeti fejléccel'!$B:$B,'Felosztás eredménykim'!$B8,'Eredeti fejléccel'!$CY:$CY)</f>
        <v>0</v>
      </c>
      <c r="GO8" s="6">
        <f>SUMIF('Eredeti fejléccel'!$B:$B,'Felosztás eredménykim'!$B8,'Eredeti fejléccel'!$CZ:$CZ)</f>
        <v>0</v>
      </c>
      <c r="GP8" s="6">
        <f>SUMIF('Eredeti fejléccel'!$B:$B,'Felosztás eredménykim'!$B8,'Eredeti fejléccel'!$DA:$DA)</f>
        <v>0</v>
      </c>
      <c r="GQ8" s="6">
        <f>SUMIF('Eredeti fejléccel'!$B:$B,'Felosztás eredménykim'!$B8,'Eredeti fejléccel'!$DB:$DB)</f>
        <v>0</v>
      </c>
      <c r="GR8" s="103">
        <f t="shared" si="58"/>
        <v>0</v>
      </c>
      <c r="GW8" s="36">
        <f t="shared" si="34"/>
        <v>11828.301352221508</v>
      </c>
      <c r="GX8" s="6">
        <f>SUMIF('Eredeti fejléccel'!$B:$B,'Felosztás eredménykim'!$B8,'Eredeti fejléccel'!$M:$M)</f>
        <v>0</v>
      </c>
      <c r="GY8" s="6">
        <f>SUMIF('Eredeti fejléccel'!$B:$B,'Felosztás eredménykim'!$B8,'Eredeti fejléccel'!$DC:$DC)</f>
        <v>0</v>
      </c>
      <c r="GZ8" s="6">
        <f>SUMIF('Eredeti fejléccel'!$B:$B,'Felosztás eredménykim'!$B8,'Eredeti fejléccel'!$DD:$DD)</f>
        <v>0</v>
      </c>
      <c r="HA8" s="6">
        <f>SUMIF('Eredeti fejléccel'!$B:$B,'Felosztás eredménykim'!$B8,'Eredeti fejléccel'!$DE:$DE)</f>
        <v>0</v>
      </c>
      <c r="HB8" s="103">
        <f t="shared" si="59"/>
        <v>0</v>
      </c>
      <c r="HD8" s="9">
        <f t="shared" si="35"/>
        <v>478987.64000000048</v>
      </c>
      <c r="HE8" s="9">
        <v>478987.64</v>
      </c>
      <c r="HF8" s="476"/>
      <c r="HH8" s="34">
        <f t="shared" si="60"/>
        <v>4.6566128730773926E-10</v>
      </c>
    </row>
    <row r="9" spans="1:232" x14ac:dyDescent="0.25">
      <c r="A9" s="4" t="s">
        <v>61</v>
      </c>
      <c r="B9" s="4" t="s">
        <v>61</v>
      </c>
      <c r="C9" s="1" t="s">
        <v>62</v>
      </c>
      <c r="D9" s="6">
        <f>SUMIF('Eredeti fejléccel'!$B:$B,'Felosztás eredménykim'!$B9,'Eredeti fejléccel'!$D:$D)</f>
        <v>0</v>
      </c>
      <c r="E9" s="6">
        <f>SUMIF('Eredeti fejléccel'!$B:$B,'Felosztás eredménykim'!$B9,'Eredeti fejléccel'!$E:$E)</f>
        <v>110151</v>
      </c>
      <c r="F9" s="6">
        <f>SUMIF('Eredeti fejléccel'!$B:$B,'Felosztás eredménykim'!$B9,'Eredeti fejléccel'!$F:$F)</f>
        <v>0</v>
      </c>
      <c r="G9" s="6">
        <f>SUMIF('Eredeti fejléccel'!$B:$B,'Felosztás eredménykim'!$B9,'Eredeti fejléccel'!$G:$G)</f>
        <v>0</v>
      </c>
      <c r="H9" s="6"/>
      <c r="I9" s="6">
        <f>SUMIF('Eredeti fejléccel'!$B:$B,'Felosztás eredménykim'!$B9,'Eredeti fejléccel'!$O:$O)</f>
        <v>150038</v>
      </c>
      <c r="J9" s="6">
        <f>SUMIF('Eredeti fejléccel'!$B:$B,'Felosztás eredménykim'!$B9,'Eredeti fejléccel'!$P:$P)</f>
        <v>0</v>
      </c>
      <c r="K9" s="6">
        <f>SUMIF('Eredeti fejléccel'!$B:$B,'Felosztás eredménykim'!$B9,'Eredeti fejléccel'!$Q:$Q)</f>
        <v>0</v>
      </c>
      <c r="L9" s="6">
        <f>SUMIF('Eredeti fejléccel'!$B:$B,'Felosztás eredménykim'!$B9,'Eredeti fejléccel'!$R:$R)</f>
        <v>0</v>
      </c>
      <c r="M9" s="6">
        <f>SUMIF('Eredeti fejléccel'!$B:$B,'Felosztás eredménykim'!$B9,'Eredeti fejléccel'!$T:$T)</f>
        <v>0</v>
      </c>
      <c r="N9" s="6">
        <f>SUMIF('Eredeti fejléccel'!$B:$B,'Felosztás eredménykim'!$B9,'Eredeti fejléccel'!$U:$U)</f>
        <v>0</v>
      </c>
      <c r="O9" s="6">
        <f>SUMIF('Eredeti fejléccel'!$B:$B,'Felosztás eredménykim'!$B9,'Eredeti fejléccel'!$V:$V)</f>
        <v>22297</v>
      </c>
      <c r="P9" s="6">
        <f>SUMIF('Eredeti fejléccel'!$B:$B,'Felosztás eredménykim'!$B9,'Eredeti fejléccel'!$W:$W)</f>
        <v>65047</v>
      </c>
      <c r="Q9" s="6">
        <f>SUMIF('Eredeti fejléccel'!$B:$B,'Felosztás eredménykim'!$B9,'Eredeti fejléccel'!$X:$X)</f>
        <v>0</v>
      </c>
      <c r="R9" s="6">
        <f>SUMIF('Eredeti fejléccel'!$B:$B,'Felosztás eredménykim'!$B9,'Eredeti fejléccel'!$Y:$Y)</f>
        <v>0</v>
      </c>
      <c r="S9" s="6">
        <f>SUMIF('Eredeti fejléccel'!$B:$B,'Felosztás eredménykim'!$B9,'Eredeti fejléccel'!$Z:$Z)</f>
        <v>0</v>
      </c>
      <c r="T9" s="6">
        <f>SUMIF('Eredeti fejléccel'!$B:$B,'Felosztás eredménykim'!$B9,'Eredeti fejléccel'!$AA:$AA)</f>
        <v>0</v>
      </c>
      <c r="U9" s="6">
        <f>SUMIF('Eredeti fejléccel'!$B:$B,'Felosztás eredménykim'!$B9,'Eredeti fejléccel'!$D:$D)</f>
        <v>0</v>
      </c>
      <c r="V9" s="6">
        <f>SUMIF('Eredeti fejléccel'!$B:$B,'Felosztás eredménykim'!$B9,'Eredeti fejléccel'!$AT:$AT)</f>
        <v>0</v>
      </c>
      <c r="X9" s="36">
        <f t="shared" si="0"/>
        <v>347533</v>
      </c>
      <c r="Z9" s="6">
        <f>SUMIF('Eredeti fejléccel'!$B:$B,'Felosztás eredménykim'!$B9,'Eredeti fejléccel'!$K:$K)</f>
        <v>18897</v>
      </c>
      <c r="AB9" s="6">
        <f>SUMIF('Eredeti fejléccel'!$B:$B,'Felosztás eredménykim'!$B9,'Eredeti fejléccel'!$AB:$AB)</f>
        <v>0</v>
      </c>
      <c r="AC9" s="6">
        <f>SUMIF('Eredeti fejléccel'!$B:$B,'Felosztás eredménykim'!$B9,'Eredeti fejléccel'!$AQ:$AQ)</f>
        <v>0</v>
      </c>
      <c r="AE9" s="73">
        <f t="shared" si="1"/>
        <v>18897</v>
      </c>
      <c r="AF9" s="36">
        <f t="shared" si="2"/>
        <v>41458.824656274875</v>
      </c>
      <c r="AG9" s="8">
        <f t="shared" si="3"/>
        <v>6025.2039173598059</v>
      </c>
      <c r="AI9" s="6">
        <f>SUMIF('Eredeti fejléccel'!$B:$B,'Felosztás eredménykim'!$B9,'Eredeti fejléccel'!$BB:$BB)</f>
        <v>0</v>
      </c>
      <c r="AJ9" s="6">
        <f>SUMIF('Eredeti fejléccel'!$B:$B,'Felosztás eredménykim'!$B9,'Eredeti fejléccel'!$AF:$AF)</f>
        <v>0</v>
      </c>
      <c r="AK9" s="8">
        <f t="shared" si="4"/>
        <v>6025.2039173598059</v>
      </c>
      <c r="AL9" s="36">
        <f t="shared" si="5"/>
        <v>16467.235824203432</v>
      </c>
      <c r="AM9" s="8">
        <f t="shared" si="6"/>
        <v>2393.180574188355</v>
      </c>
      <c r="AN9" s="6">
        <f t="shared" si="36"/>
        <v>0</v>
      </c>
      <c r="AO9" s="6">
        <f>SUMIF('Eredeti fejléccel'!$B:$B,'Felosztás eredménykim'!$B9,'Eredeti fejléccel'!$AC:$AC)</f>
        <v>0</v>
      </c>
      <c r="AP9" s="6">
        <f>SUMIF('Eredeti fejléccel'!$B:$B,'Felosztás eredménykim'!$B9,'Eredeti fejléccel'!$AD:$AD)</f>
        <v>0</v>
      </c>
      <c r="AQ9" s="6">
        <f>SUMIF('Eredeti fejléccel'!$B:$B,'Felosztás eredménykim'!$B9,'Eredeti fejléccel'!$AE:$AE)</f>
        <v>0</v>
      </c>
      <c r="AR9" s="6">
        <f>SUMIF('Eredeti fejléccel'!$B:$B,'Felosztás eredménykim'!$B9,'Eredeti fejléccel'!$AG:$AG)</f>
        <v>6850</v>
      </c>
      <c r="AS9" s="6">
        <f t="shared" si="37"/>
        <v>9243.1805741883545</v>
      </c>
      <c r="AT9" s="36">
        <f t="shared" si="7"/>
        <v>26747.628810499926</v>
      </c>
      <c r="AU9" s="8">
        <f t="shared" si="8"/>
        <v>3887.2283337805197</v>
      </c>
      <c r="AV9" s="6">
        <f>SUMIF('Eredeti fejléccel'!$B:$B,'Felosztás eredménykim'!$B9,'Eredeti fejléccel'!$AI:$AI)</f>
        <v>0</v>
      </c>
      <c r="AW9" s="6">
        <f>SUMIF('Eredeti fejléccel'!$B:$B,'Felosztás eredménykim'!$B9,'Eredeti fejléccel'!$AJ:$AJ)</f>
        <v>0</v>
      </c>
      <c r="AX9" s="6">
        <f>SUMIF('Eredeti fejléccel'!$B:$B,'Felosztás eredménykim'!$B9,'Eredeti fejléccel'!$AK:$AK)</f>
        <v>0</v>
      </c>
      <c r="AY9" s="6">
        <f>SUMIF('Eredeti fejléccel'!$B:$B,'Felosztás eredménykim'!$B9,'Eredeti fejléccel'!$AL:$AL)</f>
        <v>0</v>
      </c>
      <c r="AZ9" s="6">
        <f>SUMIF('Eredeti fejléccel'!$B:$B,'Felosztás eredménykim'!$B9,'Eredeti fejléccel'!$AM:$AM)</f>
        <v>0</v>
      </c>
      <c r="BA9" s="6">
        <f>SUMIF('Eredeti fejléccel'!$B:$B,'Felosztás eredménykim'!$B9,'Eredeti fejléccel'!$AN:$AN)</f>
        <v>0</v>
      </c>
      <c r="BB9" s="6">
        <f>SUMIF('Eredeti fejléccel'!$B:$B,'Felosztás eredménykim'!$B9,'Eredeti fejléccel'!$AP:$AP)</f>
        <v>0</v>
      </c>
      <c r="BD9" s="6">
        <f>SUMIF('Eredeti fejléccel'!$B:$B,'Felosztás eredménykim'!$B9,'Eredeti fejléccel'!$AS:$AS)</f>
        <v>0</v>
      </c>
      <c r="BE9" s="8">
        <f t="shared" si="38"/>
        <v>3887.2283337805197</v>
      </c>
      <c r="BF9" s="36">
        <f t="shared" si="9"/>
        <v>6977.6422983912844</v>
      </c>
      <c r="BG9" s="8">
        <f t="shared" si="10"/>
        <v>1014.0595653340487</v>
      </c>
      <c r="BH9" s="6">
        <f t="shared" si="39"/>
        <v>0</v>
      </c>
      <c r="BI9" s="6">
        <f>SUMIF('Eredeti fejléccel'!$B:$B,'Felosztás eredménykim'!$B9,'Eredeti fejléccel'!$AH:$AH)</f>
        <v>0</v>
      </c>
      <c r="BJ9" s="6">
        <f>SUMIF('Eredeti fejléccel'!$B:$B,'Felosztás eredménykim'!$B9,'Eredeti fejléccel'!$AO:$AO)</f>
        <v>0</v>
      </c>
      <c r="BK9" s="6">
        <f>SUMIF('Eredeti fejléccel'!$B:$B,'Felosztás eredménykim'!$B9,'Eredeti fejléccel'!$BF:$BF)</f>
        <v>0</v>
      </c>
      <c r="BL9" s="8">
        <f t="shared" si="40"/>
        <v>1014.0595653340487</v>
      </c>
      <c r="BM9" s="36">
        <f t="shared" si="11"/>
        <v>26142.899811306015</v>
      </c>
      <c r="BN9" s="8">
        <f t="shared" si="12"/>
        <v>3799.3431714515691</v>
      </c>
      <c r="BP9" s="8">
        <f t="shared" si="41"/>
        <v>0</v>
      </c>
      <c r="BQ9" s="6">
        <f>SUMIF('Eredeti fejléccel'!$B:$B,'Felosztás eredménykim'!$B9,'Eredeti fejléccel'!$N:$N)</f>
        <v>0</v>
      </c>
      <c r="BR9" s="6">
        <f>SUMIF('Eredeti fejléccel'!$B:$B,'Felosztás eredménykim'!$B9,'Eredeti fejléccel'!$S:$S)</f>
        <v>0</v>
      </c>
      <c r="BT9" s="6">
        <f>SUMIF('Eredeti fejléccel'!$B:$B,'Felosztás eredménykim'!$B9,'Eredeti fejléccel'!$AR:$AR)</f>
        <v>0</v>
      </c>
      <c r="BU9" s="6">
        <f>SUMIF('Eredeti fejléccel'!$B:$B,'Felosztás eredménykim'!$B9,'Eredeti fejléccel'!$AU:$AU)</f>
        <v>0</v>
      </c>
      <c r="BV9" s="6">
        <f>SUMIF('Eredeti fejléccel'!$B:$B,'Felosztás eredménykim'!$B9,'Eredeti fejléccel'!$AV:$AV)</f>
        <v>0</v>
      </c>
      <c r="BW9" s="6">
        <f>SUMIF('Eredeti fejléccel'!$B:$B,'Felosztás eredménykim'!$B9,'Eredeti fejléccel'!$AW:$AW)</f>
        <v>0</v>
      </c>
      <c r="BX9" s="6">
        <f>SUMIF('Eredeti fejléccel'!$B:$B,'Felosztás eredménykim'!$B9,'Eredeti fejléccel'!$AX:$AX)</f>
        <v>0</v>
      </c>
      <c r="BY9" s="6">
        <f>SUMIF('Eredeti fejléccel'!$B:$B,'Felosztás eredménykim'!$B9,'Eredeti fejléccel'!$AY:$AY)</f>
        <v>0</v>
      </c>
      <c r="BZ9" s="6">
        <f>SUMIF('Eredeti fejléccel'!$B:$B,'Felosztás eredménykim'!$B9,'Eredeti fejléccel'!$AZ:$AZ)</f>
        <v>0</v>
      </c>
      <c r="CA9" s="6">
        <f>SUMIF('Eredeti fejléccel'!$B:$B,'Felosztás eredménykim'!$B9,'Eredeti fejléccel'!$BA:$BA)</f>
        <v>0</v>
      </c>
      <c r="CB9" s="6">
        <f t="shared" si="13"/>
        <v>3799.3431714515691</v>
      </c>
      <c r="CC9" s="36">
        <f t="shared" si="14"/>
        <v>7117.1951443591106</v>
      </c>
      <c r="CD9" s="8">
        <f t="shared" si="15"/>
        <v>1034.3407566407298</v>
      </c>
      <c r="CE9" s="6">
        <f>SUMIF('Eredeti fejléccel'!$B:$B,'Felosztás eredménykim'!$B9,'Eredeti fejléccel'!$BC:$BC)</f>
        <v>0</v>
      </c>
      <c r="CF9" s="8">
        <f t="shared" si="42"/>
        <v>0</v>
      </c>
      <c r="CG9" s="6">
        <f>SUMIF('Eredeti fejléccel'!$B:$B,'Felosztás eredménykim'!$B9,'Eredeti fejléccel'!$H:$H)</f>
        <v>0</v>
      </c>
      <c r="CH9" s="6">
        <f>SUMIF('Eredeti fejléccel'!$B:$B,'Felosztás eredménykim'!$B9,'Eredeti fejléccel'!$BE:$BE)</f>
        <v>0</v>
      </c>
      <c r="CI9" s="6">
        <f t="shared" si="43"/>
        <v>1034.3407566407298</v>
      </c>
      <c r="CJ9" s="36">
        <f t="shared" si="16"/>
        <v>5116.9376854869424</v>
      </c>
      <c r="CK9" s="8">
        <f t="shared" si="17"/>
        <v>743.64368124496912</v>
      </c>
      <c r="CL9" s="8">
        <f t="shared" si="44"/>
        <v>0</v>
      </c>
      <c r="CM9" s="6">
        <f>SUMIF('Eredeti fejléccel'!$B:$B,'Felosztás eredménykim'!$B9,'Eredeti fejléccel'!$BD:$BD)</f>
        <v>0</v>
      </c>
      <c r="CN9" s="8">
        <f t="shared" si="45"/>
        <v>743.64368124496912</v>
      </c>
      <c r="CO9" s="8">
        <f t="shared" si="18"/>
        <v>155775.36423052158</v>
      </c>
      <c r="CR9" s="36">
        <f t="shared" si="19"/>
        <v>30736.418254990345</v>
      </c>
      <c r="CS9" s="6">
        <f>SUMIF('Eredeti fejléccel'!$B:$B,'Felosztás eredménykim'!$B9,'Eredeti fejléccel'!$I:$I)</f>
        <v>0</v>
      </c>
      <c r="CT9" s="6">
        <f>SUMIF('Eredeti fejléccel'!$B:$B,'Felosztás eredménykim'!$B9,'Eredeti fejléccel'!$BG:$BG)</f>
        <v>0</v>
      </c>
      <c r="CU9" s="6">
        <f>SUMIF('Eredeti fejléccel'!$B:$B,'Felosztás eredménykim'!$B9,'Eredeti fejléccel'!$BH:$BH)</f>
        <v>0</v>
      </c>
      <c r="CV9" s="6">
        <f>SUMIF('Eredeti fejléccel'!$B:$B,'Felosztás eredménykim'!$B9,'Eredeti fejléccel'!$BI:$BI)</f>
        <v>0</v>
      </c>
      <c r="CW9" s="6">
        <f>SUMIF('Eredeti fejléccel'!$B:$B,'Felosztás eredménykim'!$B9,'Eredeti fejléccel'!$BL:$BL)</f>
        <v>306849</v>
      </c>
      <c r="CX9" s="6">
        <f t="shared" si="46"/>
        <v>306849</v>
      </c>
      <c r="CY9" s="6">
        <f>SUMIF('Eredeti fejléccel'!$B:$B,'Felosztás eredménykim'!$B9,'Eredeti fejléccel'!$BJ:$BJ)</f>
        <v>45851</v>
      </c>
      <c r="CZ9" s="6">
        <f>SUMIF('Eredeti fejléccel'!$B:$B,'Felosztás eredménykim'!$B9,'Eredeti fejléccel'!$BK:$BK)</f>
        <v>0</v>
      </c>
      <c r="DA9" s="99">
        <f t="shared" si="47"/>
        <v>352700</v>
      </c>
      <c r="DC9" s="36">
        <f t="shared" si="20"/>
        <v>26920.940051513207</v>
      </c>
      <c r="DD9" s="6">
        <f>SUMIF('Eredeti fejléccel'!$B:$B,'Felosztás eredménykim'!$B9,'Eredeti fejléccel'!$J:$J)</f>
        <v>0</v>
      </c>
      <c r="DE9" s="6">
        <f>SUMIF('Eredeti fejléccel'!$B:$B,'Felosztás eredménykim'!$B9,'Eredeti fejléccel'!$BM:$BM)</f>
        <v>0</v>
      </c>
      <c r="DF9" s="6">
        <f t="shared" si="48"/>
        <v>0</v>
      </c>
      <c r="DG9" s="8">
        <f t="shared" si="21"/>
        <v>0</v>
      </c>
      <c r="DH9" s="8">
        <f t="shared" si="49"/>
        <v>0</v>
      </c>
      <c r="DJ9" s="6">
        <f>SUMIF('Eredeti fejléccel'!$B:$B,'Felosztás eredménykim'!$B9,'Eredeti fejléccel'!$BN:$BN)</f>
        <v>0</v>
      </c>
      <c r="DK9" s="6">
        <f>SUMIF('Eredeti fejléccel'!$B:$B,'Felosztás eredménykim'!$B9,'Eredeti fejléccel'!$BZ:$BZ)</f>
        <v>0</v>
      </c>
      <c r="DL9" s="8">
        <f t="shared" si="50"/>
        <v>0</v>
      </c>
      <c r="DM9" s="6">
        <f>SUMIF('Eredeti fejléccel'!$B:$B,'Felosztás eredménykim'!$B9,'Eredeti fejléccel'!$BR:$BR)</f>
        <v>0</v>
      </c>
      <c r="DN9" s="6">
        <f>SUMIF('Eredeti fejléccel'!$B:$B,'Felosztás eredménykim'!$B9,'Eredeti fejléccel'!$BS:$BS)</f>
        <v>0</v>
      </c>
      <c r="DO9" s="6">
        <f>SUMIF('Eredeti fejléccel'!$B:$B,'Felosztás eredménykim'!$B9,'Eredeti fejléccel'!$BO:$BO)</f>
        <v>0</v>
      </c>
      <c r="DP9" s="6">
        <f>SUMIF('Eredeti fejléccel'!$B:$B,'Felosztás eredménykim'!$B9,'Eredeti fejléccel'!$BP:$BP)</f>
        <v>0</v>
      </c>
      <c r="DQ9" s="6">
        <f>SUMIF('Eredeti fejléccel'!$B:$B,'Felosztás eredménykim'!$B9,'Eredeti fejléccel'!$BQ:$BQ)</f>
        <v>0</v>
      </c>
      <c r="DS9" s="8"/>
      <c r="DU9" s="6">
        <f>SUMIF('Eredeti fejléccel'!$B:$B,'Felosztás eredménykim'!$B9,'Eredeti fejléccel'!$BT:$BT)</f>
        <v>0</v>
      </c>
      <c r="DV9" s="6">
        <f>SUMIF('Eredeti fejléccel'!$B:$B,'Felosztás eredménykim'!$B9,'Eredeti fejléccel'!$BU:$BU)</f>
        <v>0</v>
      </c>
      <c r="DW9" s="6">
        <f>SUMIF('Eredeti fejléccel'!$B:$B,'Felosztás eredménykim'!$B9,'Eredeti fejléccel'!$BV:$BV)</f>
        <v>0</v>
      </c>
      <c r="DX9" s="6">
        <f>SUMIF('Eredeti fejléccel'!$B:$B,'Felosztás eredménykim'!$B9,'Eredeti fejléccel'!$BW:$BW)</f>
        <v>0</v>
      </c>
      <c r="DY9" s="6">
        <f>SUMIF('Eredeti fejléccel'!$B:$B,'Felosztás eredménykim'!$B9,'Eredeti fejléccel'!$BX:$BX)</f>
        <v>0</v>
      </c>
      <c r="EA9" s="6"/>
      <c r="EC9" s="6"/>
      <c r="EE9" s="6">
        <f>SUMIF('Eredeti fejléccel'!$B:$B,'Felosztás eredménykim'!$B9,'Eredeti fejléccel'!$CA:$CA)</f>
        <v>0</v>
      </c>
      <c r="EF9" s="6">
        <f>SUMIF('Eredeti fejléccel'!$B:$B,'Felosztás eredménykim'!$B9,'Eredeti fejléccel'!$CB:$CB)</f>
        <v>0</v>
      </c>
      <c r="EG9" s="6">
        <f>SUMIF('Eredeti fejléccel'!$B:$B,'Felosztás eredménykim'!$B9,'Eredeti fejléccel'!$CC:$CC)</f>
        <v>0</v>
      </c>
      <c r="EH9" s="6">
        <f>SUMIF('Eredeti fejléccel'!$B:$B,'Felosztás eredménykim'!$B9,'Eredeti fejléccel'!$CD:$CD)</f>
        <v>0</v>
      </c>
      <c r="EK9" s="6">
        <f>SUMIF('Eredeti fejléccel'!$B:$B,'Felosztás eredménykim'!$B9,'Eredeti fejléccel'!$CE:$CE)</f>
        <v>0</v>
      </c>
      <c r="EN9" s="6">
        <f>SUMIF('Eredeti fejléccel'!$B:$B,'Felosztás eredménykim'!$B9,'Eredeti fejléccel'!$CF:$CF)</f>
        <v>0</v>
      </c>
      <c r="EP9" s="6">
        <f>SUMIF('Eredeti fejléccel'!$B:$B,'Felosztás eredménykim'!$B9,'Eredeti fejléccel'!$CG:$CG)</f>
        <v>0</v>
      </c>
      <c r="ES9" s="6">
        <f>SUMIF('Eredeti fejléccel'!$B:$B,'Felosztás eredménykim'!$B9,'Eredeti fejléccel'!$CH:$CH)</f>
        <v>0</v>
      </c>
      <c r="ET9" s="6">
        <f>SUMIF('Eredeti fejléccel'!$B:$B,'Felosztás eredménykim'!$B9,'Eredeti fejléccel'!$CI:$CI)</f>
        <v>0</v>
      </c>
      <c r="EW9" s="8">
        <f t="shared" si="22"/>
        <v>0</v>
      </c>
      <c r="EX9" s="8">
        <f t="shared" si="51"/>
        <v>0</v>
      </c>
      <c r="EY9" s="8">
        <f t="shared" si="52"/>
        <v>0</v>
      </c>
      <c r="EZ9" s="8">
        <f t="shared" si="23"/>
        <v>0</v>
      </c>
      <c r="FA9" s="8">
        <f t="shared" si="24"/>
        <v>0</v>
      </c>
      <c r="FC9" s="6">
        <f>SUMIF('Eredeti fejléccel'!$B:$B,'Felosztás eredménykim'!$B9,'Eredeti fejléccel'!$L:$L)</f>
        <v>0</v>
      </c>
      <c r="FD9" s="6">
        <f>SUMIF('Eredeti fejléccel'!$B:$B,'Felosztás eredménykim'!$B9,'Eredeti fejléccel'!$CJ:$CJ)</f>
        <v>0</v>
      </c>
      <c r="FE9" s="6">
        <f>SUMIF('Eredeti fejléccel'!$B:$B,'Felosztás eredménykim'!$B9,'Eredeti fejléccel'!$CL:$CL)</f>
        <v>0</v>
      </c>
      <c r="FG9" s="99">
        <f t="shared" si="53"/>
        <v>0</v>
      </c>
      <c r="FH9" s="6">
        <f>SUMIF('Eredeti fejléccel'!$B:$B,'Felosztás eredménykim'!$B9,'Eredeti fejléccel'!$CK:$CK)</f>
        <v>0</v>
      </c>
      <c r="FI9" s="36">
        <f t="shared" si="25"/>
        <v>31674.19207550932</v>
      </c>
      <c r="FJ9" s="101">
        <f t="shared" si="26"/>
        <v>0</v>
      </c>
      <c r="FK9" s="6">
        <f>SUMIF('Eredeti fejléccel'!$B:$B,'Felosztás eredménykim'!$B9,'Eredeti fejléccel'!$CM:$CM)</f>
        <v>3150</v>
      </c>
      <c r="FL9" s="6">
        <f>SUMIF('Eredeti fejléccel'!$B:$B,'Felosztás eredménykim'!$B9,'Eredeti fejléccel'!$CN:$CN)</f>
        <v>0</v>
      </c>
      <c r="FM9" s="8">
        <f t="shared" si="54"/>
        <v>3150</v>
      </c>
      <c r="FN9" s="36">
        <f t="shared" si="27"/>
        <v>26928.259540680912</v>
      </c>
      <c r="FO9" s="101">
        <f t="shared" si="28"/>
        <v>0</v>
      </c>
      <c r="FP9" s="6">
        <f>SUMIF('Eredeti fejléccel'!$B:$B,'Felosztás eredménykim'!$B9,'Eredeti fejléccel'!$CO:$CO)</f>
        <v>12653</v>
      </c>
      <c r="FQ9" s="6">
        <f>'Eredeti fejléccel'!CP9</f>
        <v>0</v>
      </c>
      <c r="FR9" s="6">
        <f>'Eredeti fejléccel'!CQ9</f>
        <v>0</v>
      </c>
      <c r="FS9" s="103">
        <f t="shared" si="55"/>
        <v>12653</v>
      </c>
      <c r="FT9" s="36">
        <f t="shared" si="29"/>
        <v>74329.848483431837</v>
      </c>
      <c r="FU9" s="101">
        <f t="shared" si="30"/>
        <v>0</v>
      </c>
      <c r="FV9" s="101"/>
      <c r="FW9" s="6">
        <f>SUMIF('Eredeti fejléccel'!$B:$B,'Felosztás eredménykim'!$B9,'Eredeti fejléccel'!$CR:$CR)</f>
        <v>0</v>
      </c>
      <c r="FX9" s="6">
        <f>SUMIF('Eredeti fejléccel'!$B:$B,'Felosztás eredménykim'!$B9,'Eredeti fejléccel'!$CS:$CS)</f>
        <v>0</v>
      </c>
      <c r="FY9" s="6">
        <f>SUMIF('Eredeti fejléccel'!$B:$B,'Felosztás eredménykim'!$B9,'Eredeti fejléccel'!$CT:$CT)</f>
        <v>0</v>
      </c>
      <c r="FZ9" s="6">
        <f>SUMIF('Eredeti fejléccel'!$B:$B,'Felosztás eredménykim'!$B9,'Eredeti fejléccel'!$CU:$CU)</f>
        <v>0</v>
      </c>
      <c r="GA9" s="103">
        <f t="shared" si="56"/>
        <v>0</v>
      </c>
      <c r="GB9" s="36">
        <f t="shared" si="31"/>
        <v>9907.5671894958068</v>
      </c>
      <c r="GC9" s="101">
        <f t="shared" si="32"/>
        <v>0</v>
      </c>
      <c r="GD9" s="6">
        <f>SUMIF('Eredeti fejléccel'!$B:$B,'Felosztás eredménykim'!$B9,'Eredeti fejléccel'!$CV:$CV)</f>
        <v>0</v>
      </c>
      <c r="GE9" s="6">
        <f>SUMIF('Eredeti fejléccel'!$B:$B,'Felosztás eredménykim'!$B9,'Eredeti fejléccel'!$CW:$CW)</f>
        <v>0</v>
      </c>
      <c r="GF9" s="103">
        <f t="shared" si="57"/>
        <v>0</v>
      </c>
      <c r="GG9" s="36">
        <f t="shared" si="33"/>
        <v>0</v>
      </c>
      <c r="GM9" s="6">
        <f>SUMIF('Eredeti fejléccel'!$B:$B,'Felosztás eredménykim'!$B9,'Eredeti fejléccel'!$CX:$CX)</f>
        <v>0</v>
      </c>
      <c r="GN9" s="6">
        <f>SUMIF('Eredeti fejléccel'!$B:$B,'Felosztás eredménykim'!$B9,'Eredeti fejléccel'!$CY:$CY)</f>
        <v>0</v>
      </c>
      <c r="GO9" s="6">
        <f>SUMIF('Eredeti fejléccel'!$B:$B,'Felosztás eredménykim'!$B9,'Eredeti fejléccel'!$CZ:$CZ)</f>
        <v>0</v>
      </c>
      <c r="GP9" s="6">
        <f>SUMIF('Eredeti fejléccel'!$B:$B,'Felosztás eredménykim'!$B9,'Eredeti fejléccel'!$DA:$DA)</f>
        <v>0</v>
      </c>
      <c r="GQ9" s="6">
        <f>SUMIF('Eredeti fejléccel'!$B:$B,'Felosztás eredménykim'!$B9,'Eredeti fejléccel'!$DB:$DB)</f>
        <v>0</v>
      </c>
      <c r="GR9" s="103">
        <f t="shared" si="58"/>
        <v>0</v>
      </c>
      <c r="GW9" s="36">
        <f t="shared" si="34"/>
        <v>17007.410173857053</v>
      </c>
      <c r="GX9" s="6">
        <f>SUMIF('Eredeti fejléccel'!$B:$B,'Felosztás eredménykim'!$B9,'Eredeti fejléccel'!$M:$M)</f>
        <v>0</v>
      </c>
      <c r="GY9" s="6">
        <f>SUMIF('Eredeti fejléccel'!$B:$B,'Felosztás eredménykim'!$B9,'Eredeti fejléccel'!$DC:$DC)</f>
        <v>0</v>
      </c>
      <c r="GZ9" s="6">
        <f>SUMIF('Eredeti fejléccel'!$B:$B,'Felosztás eredménykim'!$B9,'Eredeti fejléccel'!$DD:$DD)</f>
        <v>0</v>
      </c>
      <c r="HA9" s="6">
        <f>SUMIF('Eredeti fejléccel'!$B:$B,'Felosztás eredménykim'!$B9,'Eredeti fejléccel'!$DE:$DE)</f>
        <v>0</v>
      </c>
      <c r="HB9" s="103">
        <f t="shared" si="59"/>
        <v>0</v>
      </c>
      <c r="HD9" s="9">
        <f t="shared" si="35"/>
        <v>741783.00000000047</v>
      </c>
      <c r="HE9" s="9">
        <v>741783</v>
      </c>
      <c r="HF9" s="476"/>
      <c r="HH9" s="34">
        <f t="shared" si="60"/>
        <v>0</v>
      </c>
    </row>
    <row r="10" spans="1:232" x14ac:dyDescent="0.25">
      <c r="A10" s="4" t="s">
        <v>63</v>
      </c>
      <c r="B10" s="4" t="s">
        <v>63</v>
      </c>
      <c r="C10" s="1" t="s">
        <v>64</v>
      </c>
      <c r="D10" s="6">
        <f>SUMIF('Eredeti fejléccel'!$B:$B,'Felosztás eredménykim'!$B10,'Eredeti fejléccel'!$D:$D)</f>
        <v>0</v>
      </c>
      <c r="E10" s="6">
        <f>SUMIF('Eredeti fejléccel'!$B:$B,'Felosztás eredménykim'!$B10,'Eredeti fejléccel'!$E:$E)</f>
        <v>159457</v>
      </c>
      <c r="F10" s="6">
        <f>SUMIF('Eredeti fejléccel'!$B:$B,'Felosztás eredménykim'!$B10,'Eredeti fejléccel'!$F:$F)</f>
        <v>0</v>
      </c>
      <c r="G10" s="6">
        <f>SUMIF('Eredeti fejléccel'!$B:$B,'Felosztás eredménykim'!$B10,'Eredeti fejléccel'!$G:$G)</f>
        <v>0</v>
      </c>
      <c r="H10" s="6"/>
      <c r="I10" s="6">
        <f>SUMIF('Eredeti fejléccel'!$B:$B,'Felosztás eredménykim'!$B10,'Eredeti fejléccel'!$O:$O)</f>
        <v>0</v>
      </c>
      <c r="J10" s="6">
        <f>SUMIF('Eredeti fejléccel'!$B:$B,'Felosztás eredménykim'!$B10,'Eredeti fejléccel'!$P:$P)</f>
        <v>0</v>
      </c>
      <c r="K10" s="6">
        <f>SUMIF('Eredeti fejléccel'!$B:$B,'Felosztás eredménykim'!$B10,'Eredeti fejléccel'!$Q:$Q)</f>
        <v>0</v>
      </c>
      <c r="L10" s="6">
        <f>SUMIF('Eredeti fejléccel'!$B:$B,'Felosztás eredménykim'!$B10,'Eredeti fejléccel'!$R:$R)</f>
        <v>0</v>
      </c>
      <c r="M10" s="6">
        <f>SUMIF('Eredeti fejléccel'!$B:$B,'Felosztás eredménykim'!$B10,'Eredeti fejléccel'!$T:$T)</f>
        <v>0</v>
      </c>
      <c r="N10" s="6">
        <f>SUMIF('Eredeti fejléccel'!$B:$B,'Felosztás eredménykim'!$B10,'Eredeti fejléccel'!$U:$U)</f>
        <v>0</v>
      </c>
      <c r="O10" s="6">
        <f>SUMIF('Eredeti fejléccel'!$B:$B,'Felosztás eredménykim'!$B10,'Eredeti fejléccel'!$V:$V)</f>
        <v>0</v>
      </c>
      <c r="P10" s="6">
        <f>SUMIF('Eredeti fejléccel'!$B:$B,'Felosztás eredménykim'!$B10,'Eredeti fejléccel'!$W:$W)</f>
        <v>0</v>
      </c>
      <c r="Q10" s="6">
        <f>SUMIF('Eredeti fejléccel'!$B:$B,'Felosztás eredménykim'!$B10,'Eredeti fejléccel'!$X:$X)</f>
        <v>0</v>
      </c>
      <c r="R10" s="6">
        <f>SUMIF('Eredeti fejléccel'!$B:$B,'Felosztás eredménykim'!$B10,'Eredeti fejléccel'!$Y:$Y)</f>
        <v>0</v>
      </c>
      <c r="S10" s="6">
        <f>SUMIF('Eredeti fejléccel'!$B:$B,'Felosztás eredménykim'!$B10,'Eredeti fejléccel'!$Z:$Z)</f>
        <v>0</v>
      </c>
      <c r="T10" s="6">
        <f>SUMIF('Eredeti fejléccel'!$B:$B,'Felosztás eredménykim'!$B10,'Eredeti fejléccel'!$AA:$AA)</f>
        <v>0</v>
      </c>
      <c r="U10" s="6">
        <f>SUMIF('Eredeti fejléccel'!$B:$B,'Felosztás eredménykim'!$B10,'Eredeti fejléccel'!$D:$D)</f>
        <v>0</v>
      </c>
      <c r="V10" s="6">
        <f>SUMIF('Eredeti fejléccel'!$B:$B,'Felosztás eredménykim'!$B10,'Eredeti fejléccel'!$AT:$AT)</f>
        <v>0</v>
      </c>
      <c r="X10" s="36">
        <f t="shared" si="0"/>
        <v>159457</v>
      </c>
      <c r="Z10" s="6">
        <f>SUMIF('Eredeti fejléccel'!$B:$B,'Felosztás eredménykim'!$B10,'Eredeti fejléccel'!$K:$K)</f>
        <v>0</v>
      </c>
      <c r="AB10" s="6">
        <f>SUMIF('Eredeti fejléccel'!$B:$B,'Felosztás eredménykim'!$B10,'Eredeti fejléccel'!$AB:$AB)</f>
        <v>0</v>
      </c>
      <c r="AC10" s="6">
        <f>SUMIF('Eredeti fejléccel'!$B:$B,'Felosztás eredménykim'!$B10,'Eredeti fejléccel'!$AQ:$AQ)</f>
        <v>0</v>
      </c>
      <c r="AE10" s="73">
        <f t="shared" si="1"/>
        <v>0</v>
      </c>
      <c r="AF10" s="36">
        <f t="shared" si="2"/>
        <v>19022.365655105048</v>
      </c>
      <c r="AG10" s="8">
        <f t="shared" si="3"/>
        <v>0</v>
      </c>
      <c r="AI10" s="6">
        <f>SUMIF('Eredeti fejléccel'!$B:$B,'Felosztás eredménykim'!$B10,'Eredeti fejléccel'!$BB:$BB)</f>
        <v>0</v>
      </c>
      <c r="AJ10" s="6">
        <f>SUMIF('Eredeti fejléccel'!$B:$B,'Felosztás eredménykim'!$B10,'Eredeti fejléccel'!$AF:$AF)</f>
        <v>0</v>
      </c>
      <c r="AK10" s="8">
        <f t="shared" si="4"/>
        <v>0</v>
      </c>
      <c r="AL10" s="36">
        <f t="shared" si="5"/>
        <v>7555.5875926027356</v>
      </c>
      <c r="AM10" s="8">
        <f t="shared" si="6"/>
        <v>0</v>
      </c>
      <c r="AN10" s="6">
        <f t="shared" si="36"/>
        <v>0</v>
      </c>
      <c r="AO10" s="6">
        <f>SUMIF('Eredeti fejléccel'!$B:$B,'Felosztás eredménykim'!$B10,'Eredeti fejléccel'!$AC:$AC)</f>
        <v>0</v>
      </c>
      <c r="AP10" s="6">
        <f>SUMIF('Eredeti fejléccel'!$B:$B,'Felosztás eredménykim'!$B10,'Eredeti fejléccel'!$AD:$AD)</f>
        <v>0</v>
      </c>
      <c r="AQ10" s="6">
        <f>SUMIF('Eredeti fejléccel'!$B:$B,'Felosztás eredménykim'!$B10,'Eredeti fejléccel'!$AE:$AE)</f>
        <v>0</v>
      </c>
      <c r="AR10" s="6">
        <f>SUMIF('Eredeti fejléccel'!$B:$B,'Felosztás eredménykim'!$B10,'Eredeti fejléccel'!$AG:$AG)</f>
        <v>0</v>
      </c>
      <c r="AS10" s="6">
        <f t="shared" si="37"/>
        <v>0</v>
      </c>
      <c r="AT10" s="36">
        <f t="shared" si="7"/>
        <v>12272.493971035516</v>
      </c>
      <c r="AU10" s="8">
        <f t="shared" si="8"/>
        <v>0</v>
      </c>
      <c r="AV10" s="6">
        <f>SUMIF('Eredeti fejléccel'!$B:$B,'Felosztás eredménykim'!$B10,'Eredeti fejléccel'!$AI:$AI)</f>
        <v>0</v>
      </c>
      <c r="AW10" s="6">
        <f>SUMIF('Eredeti fejléccel'!$B:$B,'Felosztás eredménykim'!$B10,'Eredeti fejléccel'!$AJ:$AJ)</f>
        <v>0</v>
      </c>
      <c r="AX10" s="6">
        <f>SUMIF('Eredeti fejléccel'!$B:$B,'Felosztás eredménykim'!$B10,'Eredeti fejléccel'!$AK:$AK)</f>
        <v>0</v>
      </c>
      <c r="AY10" s="6">
        <f>SUMIF('Eredeti fejléccel'!$B:$B,'Felosztás eredménykim'!$B10,'Eredeti fejléccel'!$AL:$AL)</f>
        <v>0</v>
      </c>
      <c r="AZ10" s="6">
        <f>SUMIF('Eredeti fejléccel'!$B:$B,'Felosztás eredménykim'!$B10,'Eredeti fejléccel'!$AM:$AM)</f>
        <v>0</v>
      </c>
      <c r="BA10" s="6">
        <f>SUMIF('Eredeti fejléccel'!$B:$B,'Felosztás eredménykim'!$B10,'Eredeti fejléccel'!$AN:$AN)</f>
        <v>0</v>
      </c>
      <c r="BB10" s="6">
        <f>SUMIF('Eredeti fejléccel'!$B:$B,'Felosztás eredménykim'!$B10,'Eredeti fejléccel'!$AP:$AP)</f>
        <v>0</v>
      </c>
      <c r="BD10" s="6">
        <f>SUMIF('Eredeti fejléccel'!$B:$B,'Felosztás eredménykim'!$B10,'Eredeti fejléccel'!$AS:$AS)</f>
        <v>0</v>
      </c>
      <c r="BE10" s="8">
        <f t="shared" si="38"/>
        <v>0</v>
      </c>
      <c r="BF10" s="36">
        <f t="shared" si="9"/>
        <v>3201.5201663570911</v>
      </c>
      <c r="BG10" s="8">
        <f t="shared" si="10"/>
        <v>0</v>
      </c>
      <c r="BH10" s="6">
        <f t="shared" si="39"/>
        <v>0</v>
      </c>
      <c r="BI10" s="6">
        <f>SUMIF('Eredeti fejléccel'!$B:$B,'Felosztás eredménykim'!$B10,'Eredeti fejléccel'!$AH:$AH)</f>
        <v>0</v>
      </c>
      <c r="BJ10" s="6">
        <f>SUMIF('Eredeti fejléccel'!$B:$B,'Felosztás eredménykim'!$B10,'Eredeti fejléccel'!$AO:$AO)</f>
        <v>0</v>
      </c>
      <c r="BK10" s="6">
        <f>SUMIF('Eredeti fejléccel'!$B:$B,'Felosztás eredménykim'!$B10,'Eredeti fejléccel'!$BF:$BF)</f>
        <v>0</v>
      </c>
      <c r="BL10" s="8">
        <f t="shared" si="40"/>
        <v>0</v>
      </c>
      <c r="BM10" s="36">
        <f t="shared" si="11"/>
        <v>11995.028889951234</v>
      </c>
      <c r="BN10" s="8">
        <f t="shared" si="12"/>
        <v>0</v>
      </c>
      <c r="BP10" s="8">
        <f t="shared" si="41"/>
        <v>0</v>
      </c>
      <c r="BQ10" s="6">
        <f>SUMIF('Eredeti fejléccel'!$B:$B,'Felosztás eredménykim'!$B10,'Eredeti fejléccel'!$N:$N)</f>
        <v>0</v>
      </c>
      <c r="BR10" s="6">
        <f>SUMIF('Eredeti fejléccel'!$B:$B,'Felosztás eredménykim'!$B10,'Eredeti fejléccel'!$S:$S)</f>
        <v>0</v>
      </c>
      <c r="BT10" s="6">
        <f>SUMIF('Eredeti fejléccel'!$B:$B,'Felosztás eredménykim'!$B10,'Eredeti fejléccel'!$AR:$AR)</f>
        <v>0</v>
      </c>
      <c r="BU10" s="6">
        <f>SUMIF('Eredeti fejléccel'!$B:$B,'Felosztás eredménykim'!$B10,'Eredeti fejléccel'!$AU:$AU)</f>
        <v>0</v>
      </c>
      <c r="BV10" s="6">
        <f>SUMIF('Eredeti fejléccel'!$B:$B,'Felosztás eredménykim'!$B10,'Eredeti fejléccel'!$AV:$AV)</f>
        <v>0</v>
      </c>
      <c r="BW10" s="6">
        <f>SUMIF('Eredeti fejléccel'!$B:$B,'Felosztás eredménykim'!$B10,'Eredeti fejléccel'!$AW:$AW)</f>
        <v>0</v>
      </c>
      <c r="BX10" s="6">
        <f>SUMIF('Eredeti fejléccel'!$B:$B,'Felosztás eredménykim'!$B10,'Eredeti fejléccel'!$AX:$AX)</f>
        <v>0</v>
      </c>
      <c r="BY10" s="6">
        <f>SUMIF('Eredeti fejléccel'!$B:$B,'Felosztás eredménykim'!$B10,'Eredeti fejléccel'!$AY:$AY)</f>
        <v>0</v>
      </c>
      <c r="BZ10" s="6">
        <f>SUMIF('Eredeti fejléccel'!$B:$B,'Felosztás eredménykim'!$B10,'Eredeti fejléccel'!$AZ:$AZ)</f>
        <v>0</v>
      </c>
      <c r="CA10" s="6">
        <f>SUMIF('Eredeti fejléccel'!$B:$B,'Felosztás eredménykim'!$B10,'Eredeti fejléccel'!$BA:$BA)</f>
        <v>0</v>
      </c>
      <c r="CB10" s="6">
        <f t="shared" si="13"/>
        <v>0</v>
      </c>
      <c r="CC10" s="36">
        <f t="shared" si="14"/>
        <v>3265.5505696842329</v>
      </c>
      <c r="CD10" s="8">
        <f t="shared" si="15"/>
        <v>0</v>
      </c>
      <c r="CE10" s="6">
        <f>SUMIF('Eredeti fejléccel'!$B:$B,'Felosztás eredménykim'!$B10,'Eredeti fejléccel'!$BC:$BC)</f>
        <v>0</v>
      </c>
      <c r="CF10" s="8">
        <f t="shared" si="42"/>
        <v>0</v>
      </c>
      <c r="CG10" s="6">
        <f>SUMIF('Eredeti fejléccel'!$B:$B,'Felosztás eredménykim'!$B10,'Eredeti fejléccel'!$H:$H)</f>
        <v>0</v>
      </c>
      <c r="CH10" s="6">
        <f>SUMIF('Eredeti fejléccel'!$B:$B,'Felosztás eredménykim'!$B10,'Eredeti fejléccel'!$BE:$BE)</f>
        <v>0</v>
      </c>
      <c r="CI10" s="6">
        <f t="shared" si="43"/>
        <v>0</v>
      </c>
      <c r="CJ10" s="36">
        <f t="shared" si="16"/>
        <v>2347.7814553285339</v>
      </c>
      <c r="CK10" s="8">
        <f t="shared" si="17"/>
        <v>0</v>
      </c>
      <c r="CL10" s="8">
        <f t="shared" si="44"/>
        <v>0</v>
      </c>
      <c r="CM10" s="6">
        <f>SUMIF('Eredeti fejléccel'!$B:$B,'Felosztás eredménykim'!$B10,'Eredeti fejléccel'!$BD:$BD)</f>
        <v>0</v>
      </c>
      <c r="CN10" s="8">
        <f t="shared" si="45"/>
        <v>0</v>
      </c>
      <c r="CO10" s="8">
        <f t="shared" si="18"/>
        <v>59660.328300064393</v>
      </c>
      <c r="CR10" s="36">
        <f t="shared" si="19"/>
        <v>14102.65225370251</v>
      </c>
      <c r="CS10" s="6">
        <f>SUMIF('Eredeti fejléccel'!$B:$B,'Felosztás eredménykim'!$B10,'Eredeti fejléccel'!$I:$I)</f>
        <v>0</v>
      </c>
      <c r="CT10" s="6">
        <f>SUMIF('Eredeti fejléccel'!$B:$B,'Felosztás eredménykim'!$B10,'Eredeti fejléccel'!$BG:$BG)</f>
        <v>0</v>
      </c>
      <c r="CU10" s="6">
        <f>SUMIF('Eredeti fejléccel'!$B:$B,'Felosztás eredménykim'!$B10,'Eredeti fejléccel'!$BH:$BH)</f>
        <v>0</v>
      </c>
      <c r="CV10" s="6">
        <f>SUMIF('Eredeti fejléccel'!$B:$B,'Felosztás eredménykim'!$B10,'Eredeti fejléccel'!$BI:$BI)</f>
        <v>0</v>
      </c>
      <c r="CW10" s="6">
        <f>SUMIF('Eredeti fejléccel'!$B:$B,'Felosztás eredménykim'!$B10,'Eredeti fejléccel'!$BL:$BL)</f>
        <v>0</v>
      </c>
      <c r="CX10" s="6">
        <f t="shared" si="46"/>
        <v>0</v>
      </c>
      <c r="CY10" s="6">
        <f>SUMIF('Eredeti fejléccel'!$B:$B,'Felosztás eredménykim'!$B10,'Eredeti fejléccel'!$BJ:$BJ)</f>
        <v>0</v>
      </c>
      <c r="CZ10" s="6">
        <f>SUMIF('Eredeti fejléccel'!$B:$B,'Felosztás eredménykim'!$B10,'Eredeti fejléccel'!$BK:$BK)</f>
        <v>0</v>
      </c>
      <c r="DA10" s="99">
        <f t="shared" si="47"/>
        <v>0</v>
      </c>
      <c r="DC10" s="36">
        <f t="shared" si="20"/>
        <v>12352.013586606568</v>
      </c>
      <c r="DD10" s="6">
        <f>SUMIF('Eredeti fejléccel'!$B:$B,'Felosztás eredménykim'!$B10,'Eredeti fejléccel'!$J:$J)</f>
        <v>0</v>
      </c>
      <c r="DE10" s="6">
        <f>SUMIF('Eredeti fejléccel'!$B:$B,'Felosztás eredménykim'!$B10,'Eredeti fejléccel'!$BM:$BM)</f>
        <v>0</v>
      </c>
      <c r="DF10" s="6">
        <f t="shared" si="48"/>
        <v>0</v>
      </c>
      <c r="DG10" s="8">
        <f t="shared" si="21"/>
        <v>0</v>
      </c>
      <c r="DH10" s="8">
        <f t="shared" si="49"/>
        <v>0</v>
      </c>
      <c r="DJ10" s="6">
        <f>SUMIF('Eredeti fejléccel'!$B:$B,'Felosztás eredménykim'!$B10,'Eredeti fejléccel'!$BN:$BN)</f>
        <v>0</v>
      </c>
      <c r="DK10" s="6">
        <f>SUMIF('Eredeti fejléccel'!$B:$B,'Felosztás eredménykim'!$B10,'Eredeti fejléccel'!$BZ:$BZ)</f>
        <v>0</v>
      </c>
      <c r="DL10" s="8">
        <f t="shared" si="50"/>
        <v>0</v>
      </c>
      <c r="DM10" s="6">
        <f>SUMIF('Eredeti fejléccel'!$B:$B,'Felosztás eredménykim'!$B10,'Eredeti fejléccel'!$BR:$BR)</f>
        <v>0</v>
      </c>
      <c r="DN10" s="6">
        <f>SUMIF('Eredeti fejléccel'!$B:$B,'Felosztás eredménykim'!$B10,'Eredeti fejléccel'!$BS:$BS)</f>
        <v>0</v>
      </c>
      <c r="DO10" s="6">
        <f>SUMIF('Eredeti fejléccel'!$B:$B,'Felosztás eredménykim'!$B10,'Eredeti fejléccel'!$BO:$BO)</f>
        <v>0</v>
      </c>
      <c r="DP10" s="6">
        <f>SUMIF('Eredeti fejléccel'!$B:$B,'Felosztás eredménykim'!$B10,'Eredeti fejléccel'!$BP:$BP)</f>
        <v>0</v>
      </c>
      <c r="DQ10" s="6">
        <f>SUMIF('Eredeti fejléccel'!$B:$B,'Felosztás eredménykim'!$B10,'Eredeti fejléccel'!$BQ:$BQ)</f>
        <v>0</v>
      </c>
      <c r="DS10" s="8"/>
      <c r="DU10" s="6">
        <f>SUMIF('Eredeti fejléccel'!$B:$B,'Felosztás eredménykim'!$B10,'Eredeti fejléccel'!$BT:$BT)</f>
        <v>0</v>
      </c>
      <c r="DV10" s="6">
        <f>SUMIF('Eredeti fejléccel'!$B:$B,'Felosztás eredménykim'!$B10,'Eredeti fejléccel'!$BU:$BU)</f>
        <v>0</v>
      </c>
      <c r="DW10" s="6">
        <f>SUMIF('Eredeti fejléccel'!$B:$B,'Felosztás eredménykim'!$B10,'Eredeti fejléccel'!$BV:$BV)</f>
        <v>0</v>
      </c>
      <c r="DX10" s="6">
        <f>SUMIF('Eredeti fejléccel'!$B:$B,'Felosztás eredménykim'!$B10,'Eredeti fejléccel'!$BW:$BW)</f>
        <v>0</v>
      </c>
      <c r="DY10" s="6">
        <f>SUMIF('Eredeti fejléccel'!$B:$B,'Felosztás eredménykim'!$B10,'Eredeti fejléccel'!$BX:$BX)</f>
        <v>0</v>
      </c>
      <c r="EA10" s="6"/>
      <c r="EC10" s="6"/>
      <c r="EE10" s="6">
        <f>SUMIF('Eredeti fejléccel'!$B:$B,'Felosztás eredménykim'!$B10,'Eredeti fejléccel'!$CA:$CA)</f>
        <v>0</v>
      </c>
      <c r="EF10" s="6">
        <f>SUMIF('Eredeti fejléccel'!$B:$B,'Felosztás eredménykim'!$B10,'Eredeti fejléccel'!$CB:$CB)</f>
        <v>0</v>
      </c>
      <c r="EG10" s="6">
        <f>SUMIF('Eredeti fejléccel'!$B:$B,'Felosztás eredménykim'!$B10,'Eredeti fejléccel'!$CC:$CC)</f>
        <v>0</v>
      </c>
      <c r="EH10" s="6">
        <f>SUMIF('Eredeti fejléccel'!$B:$B,'Felosztás eredménykim'!$B10,'Eredeti fejléccel'!$CD:$CD)</f>
        <v>0</v>
      </c>
      <c r="EK10" s="6">
        <f>SUMIF('Eredeti fejléccel'!$B:$B,'Felosztás eredménykim'!$B10,'Eredeti fejléccel'!$CE:$CE)</f>
        <v>0</v>
      </c>
      <c r="EN10" s="6">
        <f>SUMIF('Eredeti fejléccel'!$B:$B,'Felosztás eredménykim'!$B10,'Eredeti fejléccel'!$CF:$CF)</f>
        <v>0</v>
      </c>
      <c r="EP10" s="6">
        <f>SUMIF('Eredeti fejléccel'!$B:$B,'Felosztás eredménykim'!$B10,'Eredeti fejléccel'!$CG:$CG)</f>
        <v>0</v>
      </c>
      <c r="ES10" s="6">
        <f>SUMIF('Eredeti fejléccel'!$B:$B,'Felosztás eredménykim'!$B10,'Eredeti fejléccel'!$CH:$CH)</f>
        <v>0</v>
      </c>
      <c r="ET10" s="6">
        <f>SUMIF('Eredeti fejléccel'!$B:$B,'Felosztás eredménykim'!$B10,'Eredeti fejléccel'!$CI:$CI)</f>
        <v>0</v>
      </c>
      <c r="EW10" s="8">
        <f t="shared" si="22"/>
        <v>0</v>
      </c>
      <c r="EX10" s="8">
        <f t="shared" si="51"/>
        <v>0</v>
      </c>
      <c r="EY10" s="8">
        <f t="shared" si="52"/>
        <v>0</v>
      </c>
      <c r="EZ10" s="8">
        <f t="shared" si="23"/>
        <v>0</v>
      </c>
      <c r="FA10" s="8">
        <f t="shared" si="24"/>
        <v>0</v>
      </c>
      <c r="FC10" s="6">
        <f>SUMIF('Eredeti fejléccel'!$B:$B,'Felosztás eredménykim'!$B10,'Eredeti fejléccel'!$L:$L)</f>
        <v>0</v>
      </c>
      <c r="FD10" s="6">
        <f>SUMIF('Eredeti fejléccel'!$B:$B,'Felosztás eredménykim'!$B10,'Eredeti fejléccel'!$CJ:$CJ)</f>
        <v>0</v>
      </c>
      <c r="FE10" s="6">
        <f>SUMIF('Eredeti fejléccel'!$B:$B,'Felosztás eredménykim'!$B10,'Eredeti fejléccel'!$CL:$CL)</f>
        <v>0</v>
      </c>
      <c r="FG10" s="99">
        <f t="shared" si="53"/>
        <v>0</v>
      </c>
      <c r="FH10" s="6">
        <f>SUMIF('Eredeti fejléccel'!$B:$B,'Felosztás eredménykim'!$B10,'Eredeti fejléccel'!$CK:$CK)</f>
        <v>0</v>
      </c>
      <c r="FI10" s="36">
        <f t="shared" si="25"/>
        <v>14532.926789066041</v>
      </c>
      <c r="FJ10" s="101">
        <f t="shared" si="26"/>
        <v>0</v>
      </c>
      <c r="FK10" s="6">
        <f>SUMIF('Eredeti fejléccel'!$B:$B,'Felosztás eredménykim'!$B10,'Eredeti fejléccel'!$CM:$CM)</f>
        <v>0</v>
      </c>
      <c r="FL10" s="6">
        <f>SUMIF('Eredeti fejléccel'!$B:$B,'Felosztás eredménykim'!$B10,'Eredeti fejléccel'!$CN:$CN)</f>
        <v>0</v>
      </c>
      <c r="FM10" s="8">
        <f t="shared" si="54"/>
        <v>0</v>
      </c>
      <c r="FN10" s="36">
        <f t="shared" si="27"/>
        <v>12355.371954831211</v>
      </c>
      <c r="FO10" s="101">
        <f t="shared" si="28"/>
        <v>0</v>
      </c>
      <c r="FP10" s="6">
        <f>SUMIF('Eredeti fejléccel'!$B:$B,'Felosztás eredménykim'!$B10,'Eredeti fejléccel'!$CO:$CO)</f>
        <v>0</v>
      </c>
      <c r="FQ10" s="6">
        <f>'Eredeti fejléccel'!CP10</f>
        <v>0</v>
      </c>
      <c r="FR10" s="6">
        <f>'Eredeti fejléccel'!CQ10</f>
        <v>0</v>
      </c>
      <c r="FS10" s="103">
        <f t="shared" si="55"/>
        <v>0</v>
      </c>
      <c r="FT10" s="36">
        <f t="shared" si="29"/>
        <v>34104.429362456482</v>
      </c>
      <c r="FU10" s="101">
        <f t="shared" si="30"/>
        <v>0</v>
      </c>
      <c r="FV10" s="101"/>
      <c r="FW10" s="6">
        <f>SUMIF('Eredeti fejléccel'!$B:$B,'Felosztás eredménykim'!$B10,'Eredeti fejléccel'!$CR:$CR)</f>
        <v>0</v>
      </c>
      <c r="FX10" s="6">
        <f>SUMIF('Eredeti fejléccel'!$B:$B,'Felosztás eredménykim'!$B10,'Eredeti fejléccel'!$CS:$CS)</f>
        <v>0</v>
      </c>
      <c r="FY10" s="6">
        <f>SUMIF('Eredeti fejléccel'!$B:$B,'Felosztás eredménykim'!$B10,'Eredeti fejléccel'!$CT:$CT)</f>
        <v>0</v>
      </c>
      <c r="FZ10" s="6">
        <f>SUMIF('Eredeti fejléccel'!$B:$B,'Felosztás eredménykim'!$B10,'Eredeti fejléccel'!$CU:$CU)</f>
        <v>0</v>
      </c>
      <c r="GA10" s="103">
        <f t="shared" si="56"/>
        <v>0</v>
      </c>
      <c r="GB10" s="36">
        <f t="shared" si="31"/>
        <v>4545.8443984756341</v>
      </c>
      <c r="GC10" s="101">
        <f t="shared" si="32"/>
        <v>0</v>
      </c>
      <c r="GD10" s="6">
        <f>SUMIF('Eredeti fejléccel'!$B:$B,'Felosztás eredménykim'!$B10,'Eredeti fejléccel'!$CV:$CV)</f>
        <v>0</v>
      </c>
      <c r="GE10" s="6">
        <f>SUMIF('Eredeti fejléccel'!$B:$B,'Felosztás eredménykim'!$B10,'Eredeti fejléccel'!$CW:$CW)</f>
        <v>0</v>
      </c>
      <c r="GF10" s="103">
        <f t="shared" si="57"/>
        <v>0</v>
      </c>
      <c r="GG10" s="36">
        <f t="shared" si="33"/>
        <v>0</v>
      </c>
      <c r="GM10" s="6">
        <f>SUMIF('Eredeti fejléccel'!$B:$B,'Felosztás eredménykim'!$B10,'Eredeti fejléccel'!$CX:$CX)</f>
        <v>0</v>
      </c>
      <c r="GN10" s="6">
        <f>SUMIF('Eredeti fejléccel'!$B:$B,'Felosztás eredménykim'!$B10,'Eredeti fejléccel'!$CY:$CY)</f>
        <v>0</v>
      </c>
      <c r="GO10" s="6">
        <f>SUMIF('Eredeti fejléccel'!$B:$B,'Felosztás eredménykim'!$B10,'Eredeti fejléccel'!$CZ:$CZ)</f>
        <v>0</v>
      </c>
      <c r="GP10" s="6">
        <f>SUMIF('Eredeti fejléccel'!$B:$B,'Felosztás eredménykim'!$B10,'Eredeti fejléccel'!$DA:$DA)</f>
        <v>0</v>
      </c>
      <c r="GQ10" s="6">
        <f>SUMIF('Eredeti fejléccel'!$B:$B,'Felosztás eredménykim'!$B10,'Eredeti fejléccel'!$DB:$DB)</f>
        <v>0</v>
      </c>
      <c r="GR10" s="103">
        <f t="shared" si="58"/>
        <v>0</v>
      </c>
      <c r="GW10" s="36">
        <f t="shared" si="34"/>
        <v>7803.4333547971664</v>
      </c>
      <c r="GX10" s="6">
        <f>SUMIF('Eredeti fejléccel'!$B:$B,'Felosztás eredménykim'!$B10,'Eredeti fejléccel'!$M:$M)</f>
        <v>0</v>
      </c>
      <c r="GY10" s="6">
        <f>SUMIF('Eredeti fejléccel'!$B:$B,'Felosztás eredménykim'!$B10,'Eredeti fejléccel'!$DC:$DC)</f>
        <v>0</v>
      </c>
      <c r="GZ10" s="6">
        <f>SUMIF('Eredeti fejléccel'!$B:$B,'Felosztás eredménykim'!$B10,'Eredeti fejléccel'!$DD:$DD)</f>
        <v>0</v>
      </c>
      <c r="HA10" s="6">
        <f>SUMIF('Eredeti fejléccel'!$B:$B,'Felosztás eredménykim'!$B10,'Eredeti fejléccel'!$DE:$DE)</f>
        <v>0</v>
      </c>
      <c r="HB10" s="103">
        <f t="shared" si="59"/>
        <v>0</v>
      </c>
      <c r="HD10" s="9">
        <f t="shared" si="35"/>
        <v>159457.00000000003</v>
      </c>
      <c r="HE10" s="9">
        <v>159457</v>
      </c>
      <c r="HF10" s="476"/>
      <c r="HH10" s="34">
        <f t="shared" si="60"/>
        <v>0</v>
      </c>
    </row>
    <row r="11" spans="1:232" x14ac:dyDescent="0.25">
      <c r="A11" s="4" t="s">
        <v>65</v>
      </c>
      <c r="B11" s="4" t="s">
        <v>65</v>
      </c>
      <c r="C11" s="1" t="s">
        <v>66</v>
      </c>
      <c r="D11" s="6">
        <f>SUMIF('Eredeti fejléccel'!$B:$B,'Felosztás eredménykim'!$B11,'Eredeti fejléccel'!$D:$D)</f>
        <v>0</v>
      </c>
      <c r="E11" s="6">
        <f>SUMIF('Eredeti fejléccel'!$B:$B,'Felosztás eredménykim'!$B11,'Eredeti fejléccel'!$E:$E)</f>
        <v>1434962</v>
      </c>
      <c r="F11" s="6">
        <f>SUMIF('Eredeti fejléccel'!$B:$B,'Felosztás eredménykim'!$B11,'Eredeti fejléccel'!$F:$F)</f>
        <v>0</v>
      </c>
      <c r="G11" s="6">
        <f>SUMIF('Eredeti fejléccel'!$B:$B,'Felosztás eredménykim'!$B11,'Eredeti fejléccel'!$G:$G)</f>
        <v>34180</v>
      </c>
      <c r="H11" s="6"/>
      <c r="I11" s="6">
        <f>SUMIF('Eredeti fejléccel'!$B:$B,'Felosztás eredménykim'!$B11,'Eredeti fejléccel'!$O:$O)</f>
        <v>0</v>
      </c>
      <c r="J11" s="6">
        <f>SUMIF('Eredeti fejléccel'!$B:$B,'Felosztás eredménykim'!$B11,'Eredeti fejléccel'!$P:$P)</f>
        <v>0</v>
      </c>
      <c r="K11" s="6">
        <f>SUMIF('Eredeti fejléccel'!$B:$B,'Felosztás eredménykim'!$B11,'Eredeti fejléccel'!$Q:$Q)</f>
        <v>0</v>
      </c>
      <c r="L11" s="6">
        <f>SUMIF('Eredeti fejléccel'!$B:$B,'Felosztás eredménykim'!$B11,'Eredeti fejléccel'!$R:$R)</f>
        <v>57217</v>
      </c>
      <c r="M11" s="6">
        <f>SUMIF('Eredeti fejléccel'!$B:$B,'Felosztás eredménykim'!$B11,'Eredeti fejléccel'!$T:$T)</f>
        <v>49193.16</v>
      </c>
      <c r="N11" s="6">
        <f>SUMIF('Eredeti fejléccel'!$B:$B,'Felosztás eredménykim'!$B11,'Eredeti fejléccel'!$U:$U)</f>
        <v>0</v>
      </c>
      <c r="O11" s="6">
        <f>SUMIF('Eredeti fejléccel'!$B:$B,'Felosztás eredménykim'!$B11,'Eredeti fejléccel'!$V:$V)</f>
        <v>424990</v>
      </c>
      <c r="P11" s="6">
        <f>SUMIF('Eredeti fejléccel'!$B:$B,'Felosztás eredménykim'!$B11,'Eredeti fejléccel'!$W:$W)</f>
        <v>671576.14000000013</v>
      </c>
      <c r="Q11" s="6">
        <f>SUMIF('Eredeti fejléccel'!$B:$B,'Felosztás eredménykim'!$B11,'Eredeti fejléccel'!$X:$X)</f>
        <v>126286</v>
      </c>
      <c r="R11" s="6">
        <f>SUMIF('Eredeti fejléccel'!$B:$B,'Felosztás eredménykim'!$B11,'Eredeti fejléccel'!$Y:$Y)</f>
        <v>241590.54</v>
      </c>
      <c r="S11" s="6">
        <f>SUMIF('Eredeti fejléccel'!$B:$B,'Felosztás eredménykim'!$B11,'Eredeti fejléccel'!$Z:$Z)</f>
        <v>12424</v>
      </c>
      <c r="T11" s="6">
        <f>SUMIF('Eredeti fejléccel'!$B:$B,'Felosztás eredménykim'!$B11,'Eredeti fejléccel'!$AA:$AA)</f>
        <v>0</v>
      </c>
      <c r="U11" s="6">
        <f>SUMIF('Eredeti fejléccel'!$B:$B,'Felosztás eredménykim'!$B11,'Eredeti fejléccel'!$D:$D)</f>
        <v>0</v>
      </c>
      <c r="V11" s="6">
        <f>SUMIF('Eredeti fejléccel'!$B:$B,'Felosztás eredménykim'!$B11,'Eredeti fejléccel'!$AT:$AT)</f>
        <v>358695.16</v>
      </c>
      <c r="W11" s="555">
        <v>-938547</v>
      </c>
      <c r="X11" s="36">
        <f t="shared" si="0"/>
        <v>2472567</v>
      </c>
      <c r="Z11" s="6">
        <f>SUMIF('Eredeti fejléccel'!$B:$B,'Felosztás eredménykim'!$B11,'Eredeti fejléccel'!$K:$K)</f>
        <v>184322</v>
      </c>
      <c r="AB11" s="6">
        <f>SUMIF('Eredeti fejléccel'!$B:$B,'Felosztás eredménykim'!$B11,'Eredeti fejléccel'!$AB:$AB)</f>
        <v>0</v>
      </c>
      <c r="AC11" s="6">
        <f>SUMIF('Eredeti fejléccel'!$B:$B,'Felosztás eredménykim'!$B11,'Eredeti fejléccel'!$AQ:$AQ)</f>
        <v>0</v>
      </c>
      <c r="AE11" s="73">
        <f t="shared" si="1"/>
        <v>184322</v>
      </c>
      <c r="AF11" s="36">
        <f t="shared" si="2"/>
        <v>294963.99393407704</v>
      </c>
      <c r="AG11" s="8">
        <f t="shared" si="3"/>
        <v>58770.050084965551</v>
      </c>
      <c r="AI11" s="6">
        <f>SUMIF('Eredeti fejléccel'!$B:$B,'Felosztás eredménykim'!$B11,'Eredeti fejléccel'!$BB:$BB)</f>
        <v>0</v>
      </c>
      <c r="AJ11" s="6">
        <f>SUMIF('Eredeti fejléccel'!$B:$B,'Felosztás eredménykim'!$B11,'Eredeti fejléccel'!$AF:$AF)</f>
        <v>0</v>
      </c>
      <c r="AK11" s="8">
        <f t="shared" si="4"/>
        <v>58770.050084965551</v>
      </c>
      <c r="AL11" s="36">
        <f t="shared" si="5"/>
        <v>117158.20909134732</v>
      </c>
      <c r="AM11" s="8">
        <f t="shared" si="6"/>
        <v>23343.167158572574</v>
      </c>
      <c r="AN11" s="6">
        <f t="shared" si="36"/>
        <v>0</v>
      </c>
      <c r="AO11" s="6">
        <f>SUMIF('Eredeti fejléccel'!$B:$B,'Felosztás eredménykim'!$B11,'Eredeti fejléccel'!$AC:$AC)</f>
        <v>0</v>
      </c>
      <c r="AP11" s="6">
        <f>SUMIF('Eredeti fejléccel'!$B:$B,'Felosztás eredménykim'!$B11,'Eredeti fejléccel'!$AD:$AD)</f>
        <v>0</v>
      </c>
      <c r="AQ11" s="6">
        <f>SUMIF('Eredeti fejléccel'!$B:$B,'Felosztás eredménykim'!$B11,'Eredeti fejléccel'!$AE:$AE)</f>
        <v>0</v>
      </c>
      <c r="AR11" s="6">
        <f>SUMIF('Eredeti fejléccel'!$B:$B,'Felosztás eredménykim'!$B11,'Eredeti fejléccel'!$AG:$AG)</f>
        <v>924944</v>
      </c>
      <c r="AS11" s="6">
        <f t="shared" si="37"/>
        <v>948287.16715857259</v>
      </c>
      <c r="AT11" s="36">
        <f t="shared" si="7"/>
        <v>190299.35092521104</v>
      </c>
      <c r="AU11" s="8">
        <f t="shared" si="8"/>
        <v>37916.161345139066</v>
      </c>
      <c r="AV11" s="6">
        <f>SUMIF('Eredeti fejléccel'!$B:$B,'Felosztás eredménykim'!$B11,'Eredeti fejléccel'!$AI:$AI)</f>
        <v>0</v>
      </c>
      <c r="AW11" s="6">
        <f>SUMIF('Eredeti fejléccel'!$B:$B,'Felosztás eredménykim'!$B11,'Eredeti fejléccel'!$AJ:$AJ)</f>
        <v>0</v>
      </c>
      <c r="AX11" s="6">
        <f>SUMIF('Eredeti fejléccel'!$B:$B,'Felosztás eredménykim'!$B11,'Eredeti fejléccel'!$AK:$AK)</f>
        <v>245341</v>
      </c>
      <c r="AY11" s="6">
        <f>SUMIF('Eredeti fejléccel'!$B:$B,'Felosztás eredménykim'!$B11,'Eredeti fejléccel'!$AL:$AL)</f>
        <v>233019</v>
      </c>
      <c r="AZ11" s="6">
        <f>SUMIF('Eredeti fejléccel'!$B:$B,'Felosztás eredménykim'!$B11,'Eredeti fejléccel'!$AM:$AM)</f>
        <v>213103</v>
      </c>
      <c r="BA11" s="6">
        <f>SUMIF('Eredeti fejléccel'!$B:$B,'Felosztás eredménykim'!$B11,'Eredeti fejléccel'!$AN:$AN)</f>
        <v>0</v>
      </c>
      <c r="BB11" s="6">
        <f>SUMIF('Eredeti fejléccel'!$B:$B,'Felosztás eredménykim'!$B11,'Eredeti fejléccel'!$AP:$AP)</f>
        <v>0</v>
      </c>
      <c r="BD11" s="6">
        <f>SUMIF('Eredeti fejléccel'!$B:$B,'Felosztás eredménykim'!$B11,'Eredeti fejléccel'!$AS:$AS)</f>
        <v>0</v>
      </c>
      <c r="BE11" s="8">
        <f t="shared" si="38"/>
        <v>729379.16134513915</v>
      </c>
      <c r="BF11" s="36">
        <f t="shared" si="9"/>
        <v>49643.30893701157</v>
      </c>
      <c r="BG11" s="8">
        <f t="shared" si="10"/>
        <v>9891.1725248188868</v>
      </c>
      <c r="BH11" s="6">
        <f t="shared" si="39"/>
        <v>0</v>
      </c>
      <c r="BI11" s="6">
        <f>SUMIF('Eredeti fejléccel'!$B:$B,'Felosztás eredménykim'!$B11,'Eredeti fejléccel'!$AH:$AH)</f>
        <v>246498</v>
      </c>
      <c r="BJ11" s="6">
        <f>SUMIF('Eredeti fejléccel'!$B:$B,'Felosztás eredménykim'!$B11,'Eredeti fejléccel'!$AO:$AO)</f>
        <v>0</v>
      </c>
      <c r="BK11" s="6">
        <f>SUMIF('Eredeti fejléccel'!$B:$B,'Felosztás eredménykim'!$B11,'Eredeti fejléccel'!$BF:$BF)</f>
        <v>0</v>
      </c>
      <c r="BL11" s="8">
        <f t="shared" si="40"/>
        <v>256389.17252481889</v>
      </c>
      <c r="BM11" s="36">
        <f t="shared" si="11"/>
        <v>185996.93081733672</v>
      </c>
      <c r="BN11" s="8">
        <f t="shared" si="12"/>
        <v>37058.926392988098</v>
      </c>
      <c r="BP11" s="8">
        <f t="shared" si="41"/>
        <v>0</v>
      </c>
      <c r="BQ11" s="6">
        <f>SUMIF('Eredeti fejléccel'!$B:$B,'Felosztás eredménykim'!$B11,'Eredeti fejléccel'!$N:$N)</f>
        <v>0</v>
      </c>
      <c r="BR11" s="6">
        <f>SUMIF('Eredeti fejléccel'!$B:$B,'Felosztás eredménykim'!$B11,'Eredeti fejléccel'!$S:$S)</f>
        <v>0</v>
      </c>
      <c r="BT11" s="6">
        <f>SUMIF('Eredeti fejléccel'!$B:$B,'Felosztás eredménykim'!$B11,'Eredeti fejléccel'!$AR:$AR)</f>
        <v>0</v>
      </c>
      <c r="BU11" s="6">
        <f>SUMIF('Eredeti fejléccel'!$B:$B,'Felosztás eredménykim'!$B11,'Eredeti fejléccel'!$AU:$AU)</f>
        <v>0</v>
      </c>
      <c r="BV11" s="6">
        <f>SUMIF('Eredeti fejléccel'!$B:$B,'Felosztás eredménykim'!$B11,'Eredeti fejléccel'!$AV:$AV)</f>
        <v>507</v>
      </c>
      <c r="BW11" s="6">
        <f>SUMIF('Eredeti fejléccel'!$B:$B,'Felosztás eredménykim'!$B11,'Eredeti fejléccel'!$AW:$AW)</f>
        <v>0</v>
      </c>
      <c r="BX11" s="6">
        <f>SUMIF('Eredeti fejléccel'!$B:$B,'Felosztás eredménykim'!$B11,'Eredeti fejléccel'!$AX:$AX)</f>
        <v>0</v>
      </c>
      <c r="BY11" s="6">
        <f>SUMIF('Eredeti fejléccel'!$B:$B,'Felosztás eredménykim'!$B11,'Eredeti fejléccel'!$AY:$AY)</f>
        <v>0</v>
      </c>
      <c r="BZ11" s="6">
        <f>SUMIF('Eredeti fejléccel'!$B:$B,'Felosztás eredménykim'!$B11,'Eredeti fejléccel'!$AZ:$AZ)</f>
        <v>0</v>
      </c>
      <c r="CA11" s="6">
        <f>SUMIF('Eredeti fejléccel'!$B:$B,'Felosztás eredménykim'!$B11,'Eredeti fejléccel'!$BA:$BA)</f>
        <v>538052</v>
      </c>
      <c r="CB11" s="6">
        <f t="shared" si="13"/>
        <v>575617.92639298807</v>
      </c>
      <c r="CC11" s="36">
        <f t="shared" si="14"/>
        <v>50636.175115751801</v>
      </c>
      <c r="CD11" s="8">
        <f t="shared" si="15"/>
        <v>10088.995975315265</v>
      </c>
      <c r="CE11" s="6">
        <f>SUMIF('Eredeti fejléccel'!$B:$B,'Felosztás eredménykim'!$B11,'Eredeti fejléccel'!$BC:$BC)</f>
        <v>0</v>
      </c>
      <c r="CF11" s="8">
        <f t="shared" si="42"/>
        <v>0</v>
      </c>
      <c r="CG11" s="6">
        <f>SUMIF('Eredeti fejléccel'!$B:$B,'Felosztás eredménykim'!$B11,'Eredeti fejléccel'!$H:$H)</f>
        <v>0</v>
      </c>
      <c r="CH11" s="6">
        <f>SUMIF('Eredeti fejléccel'!$B:$B,'Felosztás eredménykim'!$B11,'Eredeti fejléccel'!$BE:$BE)</f>
        <v>150108</v>
      </c>
      <c r="CI11" s="6">
        <f t="shared" si="43"/>
        <v>160196.99597531528</v>
      </c>
      <c r="CJ11" s="36">
        <f t="shared" si="16"/>
        <v>36405.093220475159</v>
      </c>
      <c r="CK11" s="8">
        <f t="shared" si="17"/>
        <v>7253.5265182005178</v>
      </c>
      <c r="CL11" s="8">
        <f t="shared" si="44"/>
        <v>0</v>
      </c>
      <c r="CM11" s="6">
        <f>SUMIF('Eredeti fejléccel'!$B:$B,'Felosztás eredménykim'!$B11,'Eredeti fejléccel'!$BD:$BD)</f>
        <v>121736</v>
      </c>
      <c r="CN11" s="8">
        <f t="shared" si="45"/>
        <v>128989.52651820052</v>
      </c>
      <c r="CO11" s="8">
        <f t="shared" si="18"/>
        <v>3782733.0620412114</v>
      </c>
      <c r="CR11" s="36">
        <f t="shared" si="19"/>
        <v>218678.09236960721</v>
      </c>
      <c r="CS11" s="6">
        <f>SUMIF('Eredeti fejléccel'!$B:$B,'Felosztás eredménykim'!$B11,'Eredeti fejléccel'!$I:$I)</f>
        <v>0</v>
      </c>
      <c r="CT11" s="6">
        <f>SUMIF('Eredeti fejléccel'!$B:$B,'Felosztás eredménykim'!$B11,'Eredeti fejléccel'!$BG:$BG)</f>
        <v>0</v>
      </c>
      <c r="CU11" s="6">
        <f>SUMIF('Eredeti fejléccel'!$B:$B,'Felosztás eredménykim'!$B11,'Eredeti fejléccel'!$BH:$BH)</f>
        <v>0</v>
      </c>
      <c r="CV11" s="6">
        <f>SUMIF('Eredeti fejléccel'!$B:$B,'Felosztás eredménykim'!$B11,'Eredeti fejléccel'!$BI:$BI)</f>
        <v>0</v>
      </c>
      <c r="CW11" s="6">
        <f>SUMIF('Eredeti fejléccel'!$B:$B,'Felosztás eredménykim'!$B11,'Eredeti fejléccel'!$BL:$BL)</f>
        <v>1809457.7599999995</v>
      </c>
      <c r="CX11" s="6">
        <f t="shared" si="46"/>
        <v>1809457.7599999995</v>
      </c>
      <c r="CY11" s="6">
        <f>SUMIF('Eredeti fejléccel'!$B:$B,'Felosztás eredménykim'!$B11,'Eredeti fejléccel'!$BJ:$BJ)</f>
        <v>555972.58000000007</v>
      </c>
      <c r="CZ11" s="6">
        <f>SUMIF('Eredeti fejléccel'!$B:$B,'Felosztás eredménykim'!$B11,'Eredeti fejléccel'!$BK:$BK)</f>
        <v>110.5</v>
      </c>
      <c r="DA11" s="99">
        <f t="shared" si="47"/>
        <v>2365540.84</v>
      </c>
      <c r="DC11" s="36">
        <f t="shared" si="20"/>
        <v>191532.39542820351</v>
      </c>
      <c r="DD11" s="6">
        <f>SUMIF('Eredeti fejléccel'!$B:$B,'Felosztás eredménykim'!$B11,'Eredeti fejléccel'!$J:$J)</f>
        <v>0</v>
      </c>
      <c r="DE11" s="6">
        <f>SUMIF('Eredeti fejléccel'!$B:$B,'Felosztás eredménykim'!$B11,'Eredeti fejléccel'!$BM:$BM)</f>
        <v>409096</v>
      </c>
      <c r="DF11" s="6">
        <f t="shared" si="48"/>
        <v>0</v>
      </c>
      <c r="DG11" s="8">
        <f t="shared" si="21"/>
        <v>0</v>
      </c>
      <c r="DH11" s="8">
        <f t="shared" si="49"/>
        <v>409096</v>
      </c>
      <c r="DJ11" s="6">
        <f>SUMIF('Eredeti fejléccel'!$B:$B,'Felosztás eredménykim'!$B11,'Eredeti fejléccel'!$BN:$BN)</f>
        <v>0</v>
      </c>
      <c r="DK11" s="6">
        <f>SUMIF('Eredeti fejléccel'!$B:$B,'Felosztás eredménykim'!$B11,'Eredeti fejléccel'!$BZ:$BZ)</f>
        <v>0</v>
      </c>
      <c r="DL11" s="8">
        <f t="shared" si="50"/>
        <v>0</v>
      </c>
      <c r="DM11" s="6">
        <f>SUMIF('Eredeti fejléccel'!$B:$B,'Felosztás eredménykim'!$B11,'Eredeti fejléccel'!$BR:$BR)</f>
        <v>0</v>
      </c>
      <c r="DN11" s="6">
        <f>SUMIF('Eredeti fejléccel'!$B:$B,'Felosztás eredménykim'!$B11,'Eredeti fejléccel'!$BS:$BS)</f>
        <v>0</v>
      </c>
      <c r="DO11" s="6">
        <f>SUMIF('Eredeti fejléccel'!$B:$B,'Felosztás eredménykim'!$B11,'Eredeti fejléccel'!$BO:$BO)</f>
        <v>0</v>
      </c>
      <c r="DP11" s="6">
        <f>SUMIF('Eredeti fejléccel'!$B:$B,'Felosztás eredménykim'!$B11,'Eredeti fejléccel'!$BP:$BP)</f>
        <v>0</v>
      </c>
      <c r="DQ11" s="6">
        <f>SUMIF('Eredeti fejléccel'!$B:$B,'Felosztás eredménykim'!$B11,'Eredeti fejléccel'!$BQ:$BQ)</f>
        <v>0</v>
      </c>
      <c r="DS11" s="8"/>
      <c r="DU11" s="6">
        <f>SUMIF('Eredeti fejléccel'!$B:$B,'Felosztás eredménykim'!$B11,'Eredeti fejléccel'!$BT:$BT)</f>
        <v>0</v>
      </c>
      <c r="DV11" s="6">
        <f>SUMIF('Eredeti fejléccel'!$B:$B,'Felosztás eredménykim'!$B11,'Eredeti fejléccel'!$BU:$BU)</f>
        <v>0</v>
      </c>
      <c r="DW11" s="6">
        <f>SUMIF('Eredeti fejléccel'!$B:$B,'Felosztás eredménykim'!$B11,'Eredeti fejléccel'!$BV:$BV)</f>
        <v>0</v>
      </c>
      <c r="DX11" s="6">
        <f>SUMIF('Eredeti fejléccel'!$B:$B,'Felosztás eredménykim'!$B11,'Eredeti fejléccel'!$BW:$BW)</f>
        <v>0</v>
      </c>
      <c r="DY11" s="6">
        <f>SUMIF('Eredeti fejléccel'!$B:$B,'Felosztás eredménykim'!$B11,'Eredeti fejléccel'!$BX:$BX)</f>
        <v>0</v>
      </c>
      <c r="EA11" s="6"/>
      <c r="EC11" s="6"/>
      <c r="EE11" s="6">
        <f>SUMIF('Eredeti fejléccel'!$B:$B,'Felosztás eredménykim'!$B11,'Eredeti fejléccel'!$CA:$CA)</f>
        <v>0</v>
      </c>
      <c r="EF11" s="6">
        <f>SUMIF('Eredeti fejléccel'!$B:$B,'Felosztás eredménykim'!$B11,'Eredeti fejléccel'!$CB:$CB)</f>
        <v>0</v>
      </c>
      <c r="EG11" s="6">
        <f>SUMIF('Eredeti fejléccel'!$B:$B,'Felosztás eredménykim'!$B11,'Eredeti fejléccel'!$CC:$CC)</f>
        <v>0</v>
      </c>
      <c r="EH11" s="6">
        <f>SUMIF('Eredeti fejléccel'!$B:$B,'Felosztás eredménykim'!$B11,'Eredeti fejléccel'!$CD:$CD)</f>
        <v>0</v>
      </c>
      <c r="EK11" s="6">
        <f>SUMIF('Eredeti fejléccel'!$B:$B,'Felosztás eredménykim'!$B11,'Eredeti fejléccel'!$CE:$CE)</f>
        <v>0</v>
      </c>
      <c r="EN11" s="6">
        <f>SUMIF('Eredeti fejléccel'!$B:$B,'Felosztás eredménykim'!$B11,'Eredeti fejléccel'!$CF:$CF)</f>
        <v>0</v>
      </c>
      <c r="EP11" s="6">
        <f>SUMIF('Eredeti fejléccel'!$B:$B,'Felosztás eredménykim'!$B11,'Eredeti fejléccel'!$CG:$CG)</f>
        <v>0</v>
      </c>
      <c r="ES11" s="6">
        <f>SUMIF('Eredeti fejléccel'!$B:$B,'Felosztás eredménykim'!$B11,'Eredeti fejléccel'!$CH:$CH)</f>
        <v>0</v>
      </c>
      <c r="ET11" s="6">
        <f>SUMIF('Eredeti fejléccel'!$B:$B,'Felosztás eredménykim'!$B11,'Eredeti fejléccel'!$CI:$CI)</f>
        <v>0</v>
      </c>
      <c r="EW11" s="8">
        <f t="shared" si="22"/>
        <v>0</v>
      </c>
      <c r="EX11" s="8">
        <f t="shared" si="51"/>
        <v>0</v>
      </c>
      <c r="EY11" s="8">
        <f t="shared" si="52"/>
        <v>409096</v>
      </c>
      <c r="EZ11" s="8">
        <f t="shared" si="23"/>
        <v>409096</v>
      </c>
      <c r="FA11" s="8">
        <f t="shared" si="24"/>
        <v>409096</v>
      </c>
      <c r="FC11" s="6">
        <f>SUMIF('Eredeti fejléccel'!$B:$B,'Felosztás eredménykim'!$B11,'Eredeti fejléccel'!$L:$L)</f>
        <v>0</v>
      </c>
      <c r="FD11" s="6">
        <f>SUMIF('Eredeti fejléccel'!$B:$B,'Felosztás eredménykim'!$B11,'Eredeti fejléccel'!$CJ:$CJ)</f>
        <v>148928</v>
      </c>
      <c r="FE11" s="6">
        <f>SUMIF('Eredeti fejléccel'!$B:$B,'Felosztás eredménykim'!$B11,'Eredeti fejléccel'!$CL:$CL)</f>
        <v>0</v>
      </c>
      <c r="FG11" s="99">
        <f t="shared" si="53"/>
        <v>148928</v>
      </c>
      <c r="FH11" s="6">
        <f>SUMIF('Eredeti fejléccel'!$B:$B,'Felosztás eredménykim'!$B11,'Eredeti fejléccel'!$CK:$CK)</f>
        <v>0</v>
      </c>
      <c r="FI11" s="36">
        <f t="shared" si="25"/>
        <v>225350.00151803094</v>
      </c>
      <c r="FJ11" s="101">
        <f t="shared" si="26"/>
        <v>33024.212126111561</v>
      </c>
      <c r="FK11" s="6">
        <f>SUMIF('Eredeti fejléccel'!$B:$B,'Felosztás eredménykim'!$B11,'Eredeti fejléccel'!$CM:$CM)</f>
        <v>0</v>
      </c>
      <c r="FL11" s="6">
        <f>SUMIF('Eredeti fejléccel'!$B:$B,'Felosztás eredménykim'!$B11,'Eredeti fejléccel'!$CN:$CN)</f>
        <v>0</v>
      </c>
      <c r="FM11" s="8">
        <f t="shared" si="54"/>
        <v>33024.212126111561</v>
      </c>
      <c r="FN11" s="36">
        <f t="shared" si="27"/>
        <v>191584.47084945251</v>
      </c>
      <c r="FO11" s="101">
        <f t="shared" si="28"/>
        <v>28075.998059822152</v>
      </c>
      <c r="FP11" s="6">
        <f>SUMIF('Eredeti fejléccel'!$B:$B,'Felosztás eredménykim'!$B11,'Eredeti fejléccel'!$CO:$CO)</f>
        <v>0</v>
      </c>
      <c r="FQ11" s="6">
        <f>'Eredeti fejléccel'!CP11</f>
        <v>0</v>
      </c>
      <c r="FR11" s="6">
        <f>'Eredeti fejléccel'!CQ11</f>
        <v>0</v>
      </c>
      <c r="FS11" s="103">
        <f t="shared" si="55"/>
        <v>28075.998059822152</v>
      </c>
      <c r="FT11" s="36">
        <f t="shared" si="29"/>
        <v>528829.00465605734</v>
      </c>
      <c r="FU11" s="101">
        <f t="shared" si="30"/>
        <v>77497.941471301543</v>
      </c>
      <c r="FV11" s="101"/>
      <c r="FW11" s="6">
        <f>SUMIF('Eredeti fejléccel'!$B:$B,'Felosztás eredménykim'!$B11,'Eredeti fejléccel'!$CR:$CR)</f>
        <v>0</v>
      </c>
      <c r="FX11" s="6">
        <f>SUMIF('Eredeti fejléccel'!$B:$B,'Felosztás eredménykim'!$B11,'Eredeti fejléccel'!$CS:$CS)</f>
        <v>0</v>
      </c>
      <c r="FY11" s="6">
        <f>SUMIF('Eredeti fejléccel'!$B:$B,'Felosztás eredménykim'!$B11,'Eredeti fejléccel'!$CT:$CT)</f>
        <v>0</v>
      </c>
      <c r="FZ11" s="6">
        <f>SUMIF('Eredeti fejléccel'!$B:$B,'Felosztás eredménykim'!$B11,'Eredeti fejléccel'!$CU:$CU)</f>
        <v>0</v>
      </c>
      <c r="GA11" s="103">
        <f t="shared" si="56"/>
        <v>77497.941471301543</v>
      </c>
      <c r="GB11" s="36">
        <f t="shared" si="31"/>
        <v>70488.626067251389</v>
      </c>
      <c r="GC11" s="101">
        <f t="shared" si="32"/>
        <v>10329.848342764753</v>
      </c>
      <c r="GD11" s="6">
        <f>SUMIF('Eredeti fejléccel'!$B:$B,'Felosztás eredménykim'!$B11,'Eredeti fejléccel'!$CV:$CV)</f>
        <v>0</v>
      </c>
      <c r="GE11" s="6">
        <f>SUMIF('Eredeti fejléccel'!$B:$B,'Felosztás eredménykim'!$B11,'Eredeti fejléccel'!$CW:$CW)</f>
        <v>0</v>
      </c>
      <c r="GF11" s="103">
        <f t="shared" si="57"/>
        <v>10329.848342764753</v>
      </c>
      <c r="GG11" s="36">
        <f t="shared" si="33"/>
        <v>0</v>
      </c>
      <c r="GM11" s="6">
        <f>SUMIF('Eredeti fejléccel'!$B:$B,'Felosztás eredménykim'!$B11,'Eredeti fejléccel'!$CX:$CX)</f>
        <v>0</v>
      </c>
      <c r="GN11" s="6">
        <f>SUMIF('Eredeti fejléccel'!$B:$B,'Felosztás eredménykim'!$B11,'Eredeti fejléccel'!$CY:$CY)</f>
        <v>0</v>
      </c>
      <c r="GO11" s="6">
        <f>SUMIF('Eredeti fejléccel'!$B:$B,'Felosztás eredménykim'!$B11,'Eredeti fejléccel'!$CZ:$CZ)</f>
        <v>0</v>
      </c>
      <c r="GP11" s="6">
        <f>SUMIF('Eredeti fejléccel'!$B:$B,'Felosztás eredménykim'!$B11,'Eredeti fejléccel'!$DA:$DA)</f>
        <v>0</v>
      </c>
      <c r="GQ11" s="6">
        <f>SUMIF('Eredeti fejléccel'!$B:$B,'Felosztás eredménykim'!$B11,'Eredeti fejléccel'!$DB:$DB)</f>
        <v>0</v>
      </c>
      <c r="GR11" s="103">
        <f t="shared" si="58"/>
        <v>0</v>
      </c>
      <c r="GW11" s="36">
        <f t="shared" si="34"/>
        <v>121001.34707018675</v>
      </c>
      <c r="GX11" s="6">
        <f>SUMIF('Eredeti fejléccel'!$B:$B,'Felosztás eredménykim'!$B11,'Eredeti fejléccel'!$M:$M)</f>
        <v>0</v>
      </c>
      <c r="GY11" s="6">
        <f>SUMIF('Eredeti fejléccel'!$B:$B,'Felosztás eredménykim'!$B11,'Eredeti fejléccel'!$DC:$DC)</f>
        <v>116379</v>
      </c>
      <c r="GZ11" s="6">
        <f>SUMIF('Eredeti fejléccel'!$B:$B,'Felosztás eredménykim'!$B11,'Eredeti fejléccel'!$DD:$DD)</f>
        <v>0</v>
      </c>
      <c r="HA11" s="6">
        <f>SUMIF('Eredeti fejléccel'!$B:$B,'Felosztás eredménykim'!$B11,'Eredeti fejléccel'!$DE:$DE)</f>
        <v>0</v>
      </c>
      <c r="HB11" s="103">
        <f t="shared" si="59"/>
        <v>116379</v>
      </c>
      <c r="HD11" s="9">
        <f t="shared" si="35"/>
        <v>9308687.8399999831</v>
      </c>
      <c r="HE11" s="9">
        <v>9308687.8399999999</v>
      </c>
      <c r="HF11" s="476"/>
      <c r="HH11" s="34">
        <f t="shared" si="60"/>
        <v>-1.6763806343078613E-8</v>
      </c>
    </row>
    <row r="12" spans="1:232" x14ac:dyDescent="0.25">
      <c r="A12" s="4" t="s">
        <v>67</v>
      </c>
      <c r="B12" s="4" t="s">
        <v>67</v>
      </c>
      <c r="C12" s="1" t="s">
        <v>68</v>
      </c>
      <c r="D12" s="6">
        <f>SUMIF('Eredeti fejléccel'!$B:$B,'Felosztás eredménykim'!$B12,'Eredeti fejléccel'!$D:$D)</f>
        <v>0</v>
      </c>
      <c r="E12" s="6">
        <f>SUMIF('Eredeti fejléccel'!$B:$B,'Felosztás eredménykim'!$B12,'Eredeti fejléccel'!$E:$E)</f>
        <v>3477917.5</v>
      </c>
      <c r="F12" s="6">
        <f>SUMIF('Eredeti fejléccel'!$B:$B,'Felosztás eredménykim'!$B12,'Eredeti fejléccel'!$F:$F)</f>
        <v>0</v>
      </c>
      <c r="G12" s="6">
        <f>SUMIF('Eredeti fejléccel'!$B:$B,'Felosztás eredménykim'!$B12,'Eredeti fejléccel'!$G:$G)</f>
        <v>45869</v>
      </c>
      <c r="H12" s="6"/>
      <c r="I12" s="6">
        <f>SUMIF('Eredeti fejléccel'!$B:$B,'Felosztás eredménykim'!$B12,'Eredeti fejléccel'!$O:$O)</f>
        <v>83454</v>
      </c>
      <c r="J12" s="6">
        <f>SUMIF('Eredeti fejléccel'!$B:$B,'Felosztás eredménykim'!$B12,'Eredeti fejléccel'!$P:$P)</f>
        <v>0</v>
      </c>
      <c r="K12" s="6">
        <f>SUMIF('Eredeti fejléccel'!$B:$B,'Felosztás eredménykim'!$B12,'Eredeti fejléccel'!$Q:$Q)</f>
        <v>0</v>
      </c>
      <c r="L12" s="6">
        <f>SUMIF('Eredeti fejléccel'!$B:$B,'Felosztás eredménykim'!$B12,'Eredeti fejléccel'!$R:$R)</f>
        <v>141908</v>
      </c>
      <c r="M12" s="6">
        <f>SUMIF('Eredeti fejléccel'!$B:$B,'Felosztás eredménykim'!$B12,'Eredeti fejléccel'!$T:$T)</f>
        <v>33055</v>
      </c>
      <c r="N12" s="6">
        <f>SUMIF('Eredeti fejléccel'!$B:$B,'Felosztás eredménykim'!$B12,'Eredeti fejléccel'!$U:$U)</f>
        <v>0</v>
      </c>
      <c r="O12" s="6">
        <f>SUMIF('Eredeti fejléccel'!$B:$B,'Felosztás eredménykim'!$B12,'Eredeti fejléccel'!$V:$V)</f>
        <v>413136</v>
      </c>
      <c r="P12" s="503">
        <f>SUMIF('Eredeti fejléccel'!$B:$B,'Felosztás eredménykim'!$B12,'Eredeti fejléccel'!$W:$W)</f>
        <v>957004.65999999992</v>
      </c>
      <c r="Q12" s="6">
        <f>SUMIF('Eredeti fejléccel'!$B:$B,'Felosztás eredménykim'!$B12,'Eredeti fejléccel'!$X:$X)</f>
        <v>7087</v>
      </c>
      <c r="R12" s="6">
        <f>SUMIF('Eredeti fejléccel'!$B:$B,'Felosztás eredménykim'!$B12,'Eredeti fejléccel'!$Y:$Y)</f>
        <v>0</v>
      </c>
      <c r="S12" s="6">
        <f>SUMIF('Eredeti fejléccel'!$B:$B,'Felosztás eredménykim'!$B12,'Eredeti fejléccel'!$Z:$Z)</f>
        <v>0</v>
      </c>
      <c r="T12" s="6">
        <f>SUMIF('Eredeti fejléccel'!$B:$B,'Felosztás eredménykim'!$B12,'Eredeti fejléccel'!$AA:$AA)</f>
        <v>0</v>
      </c>
      <c r="U12" s="6">
        <f>SUMIF('Eredeti fejléccel'!$B:$B,'Felosztás eredménykim'!$B12,'Eredeti fejléccel'!$D:$D)</f>
        <v>0</v>
      </c>
      <c r="V12" s="6">
        <f>SUMIF('Eredeti fejléccel'!$B:$B,'Felosztás eredménykim'!$B12,'Eredeti fejléccel'!$AT:$AT)</f>
        <v>0</v>
      </c>
      <c r="W12" s="555">
        <v>-314191</v>
      </c>
      <c r="X12" s="36">
        <f t="shared" si="0"/>
        <v>4845240.16</v>
      </c>
      <c r="Z12" s="6">
        <f>SUMIF('Eredeti fejléccel'!$B:$B,'Felosztás eredménykim'!$B12,'Eredeti fejléccel'!$K:$K)</f>
        <v>839110.5</v>
      </c>
      <c r="AB12" s="6">
        <f>SUMIF('Eredeti fejléccel'!$B:$B,'Felosztás eredménykim'!$B12,'Eredeti fejléccel'!$AB:$AB)</f>
        <v>0</v>
      </c>
      <c r="AC12" s="6">
        <f>SUMIF('Eredeti fejléccel'!$B:$B,'Felosztás eredménykim'!$B12,'Eredeti fejléccel'!$AQ:$AQ)</f>
        <v>0</v>
      </c>
      <c r="AE12" s="73">
        <f t="shared" si="1"/>
        <v>839110.5</v>
      </c>
      <c r="AF12" s="36">
        <f t="shared" si="2"/>
        <v>578011.18803388812</v>
      </c>
      <c r="AG12" s="8">
        <f t="shared" si="3"/>
        <v>267545.74121277162</v>
      </c>
      <c r="AI12" s="6">
        <f>SUMIF('Eredeti fejléccel'!$B:$B,'Felosztás eredménykim'!$B12,'Eredeti fejléccel'!$BB:$BB)</f>
        <v>1538346.4500000002</v>
      </c>
      <c r="AJ12" s="6">
        <f>SUMIF('Eredeti fejléccel'!$B:$B,'Felosztás eredménykim'!$B12,'Eredeti fejléccel'!$AF:$AF)</f>
        <v>0</v>
      </c>
      <c r="AK12" s="8">
        <f t="shared" si="4"/>
        <v>1805892.1912127719</v>
      </c>
      <c r="AL12" s="36">
        <f t="shared" si="5"/>
        <v>229583.1254574995</v>
      </c>
      <c r="AM12" s="8">
        <f t="shared" si="6"/>
        <v>106267.81754762543</v>
      </c>
      <c r="AN12" s="6">
        <f t="shared" si="36"/>
        <v>0</v>
      </c>
      <c r="AO12" s="6">
        <f>SUMIF('Eredeti fejléccel'!$B:$B,'Felosztás eredménykim'!$B12,'Eredeti fejléccel'!$AC:$AC)</f>
        <v>0</v>
      </c>
      <c r="AP12" s="6">
        <f>SUMIF('Eredeti fejléccel'!$B:$B,'Felosztás eredménykim'!$B12,'Eredeti fejléccel'!$AD:$AD)</f>
        <v>0</v>
      </c>
      <c r="AQ12" s="6">
        <f>SUMIF('Eredeti fejléccel'!$B:$B,'Felosztás eredménykim'!$B12,'Eredeti fejléccel'!$AE:$AE)</f>
        <v>0</v>
      </c>
      <c r="AR12" s="6">
        <f>SUMIF('Eredeti fejléccel'!$B:$B,'Felosztás eredménykim'!$B12,'Eredeti fejléccel'!$AG:$AG)</f>
        <v>236126</v>
      </c>
      <c r="AS12" s="6">
        <f t="shared" si="37"/>
        <v>342393.8175476254</v>
      </c>
      <c r="AT12" s="36">
        <f t="shared" si="7"/>
        <v>372910.4438928311</v>
      </c>
      <c r="AU12" s="8">
        <f t="shared" si="8"/>
        <v>172610.155621143</v>
      </c>
      <c r="AV12" s="6">
        <f>SUMIF('Eredeti fejléccel'!$B:$B,'Felosztás eredménykim'!$B12,'Eredeti fejléccel'!$AI:$AI)</f>
        <v>0</v>
      </c>
      <c r="AW12" s="6">
        <f>SUMIF('Eredeti fejléccel'!$B:$B,'Felosztás eredménykim'!$B12,'Eredeti fejléccel'!$AJ:$AJ)</f>
        <v>0</v>
      </c>
      <c r="AX12" s="6">
        <f>SUMIF('Eredeti fejléccel'!$B:$B,'Felosztás eredménykim'!$B12,'Eredeti fejléccel'!$AK:$AK)</f>
        <v>383966</v>
      </c>
      <c r="AY12" s="6">
        <f>SUMIF('Eredeti fejléccel'!$B:$B,'Felosztás eredménykim'!$B12,'Eredeti fejléccel'!$AL:$AL)</f>
        <v>336190</v>
      </c>
      <c r="AZ12" s="6">
        <f>SUMIF('Eredeti fejléccel'!$B:$B,'Felosztás eredménykim'!$B12,'Eredeti fejléccel'!$AM:$AM)</f>
        <v>235522.85</v>
      </c>
      <c r="BA12" s="6">
        <f>SUMIF('Eredeti fejléccel'!$B:$B,'Felosztás eredménykim'!$B12,'Eredeti fejléccel'!$AN:$AN)</f>
        <v>0</v>
      </c>
      <c r="BB12" s="6">
        <f>SUMIF('Eredeti fejléccel'!$B:$B,'Felosztás eredménykim'!$B12,'Eredeti fejléccel'!$AP:$AP)</f>
        <v>0</v>
      </c>
      <c r="BD12" s="6">
        <f>SUMIF('Eredeti fejléccel'!$B:$B,'Felosztás eredménykim'!$B12,'Eredeti fejléccel'!$AS:$AS)</f>
        <v>0</v>
      </c>
      <c r="BE12" s="8">
        <f t="shared" si="38"/>
        <v>1128289.0056211432</v>
      </c>
      <c r="BF12" s="36">
        <f t="shared" si="9"/>
        <v>97280.985363347238</v>
      </c>
      <c r="BG12" s="8">
        <f t="shared" si="10"/>
        <v>45028.736248993824</v>
      </c>
      <c r="BH12" s="6">
        <f t="shared" si="39"/>
        <v>0</v>
      </c>
      <c r="BI12" s="6">
        <f>SUMIF('Eredeti fejléccel'!$B:$B,'Felosztás eredménykim'!$B12,'Eredeti fejléccel'!$AH:$AH)</f>
        <v>219236</v>
      </c>
      <c r="BJ12" s="6">
        <f>SUMIF('Eredeti fejléccel'!$B:$B,'Felosztás eredménykim'!$B12,'Eredeti fejléccel'!$AO:$AO)</f>
        <v>0</v>
      </c>
      <c r="BK12" s="6">
        <f>SUMIF('Eredeti fejléccel'!$B:$B,'Felosztás eredménykim'!$B12,'Eredeti fejléccel'!$BF:$BF)</f>
        <v>0</v>
      </c>
      <c r="BL12" s="8">
        <f t="shared" si="40"/>
        <v>264264.73624899384</v>
      </c>
      <c r="BM12" s="36">
        <f t="shared" si="11"/>
        <v>364479.42516134103</v>
      </c>
      <c r="BN12" s="8">
        <f t="shared" si="12"/>
        <v>168707.6651462302</v>
      </c>
      <c r="BP12" s="8">
        <f t="shared" si="41"/>
        <v>0</v>
      </c>
      <c r="BQ12" s="6">
        <f>SUMIF('Eredeti fejléccel'!$B:$B,'Felosztás eredménykim'!$B12,'Eredeti fejléccel'!$N:$N)</f>
        <v>0</v>
      </c>
      <c r="BR12" s="6">
        <f>SUMIF('Eredeti fejléccel'!$B:$B,'Felosztás eredménykim'!$B12,'Eredeti fejléccel'!$S:$S)</f>
        <v>0</v>
      </c>
      <c r="BT12" s="6">
        <f>SUMIF('Eredeti fejléccel'!$B:$B,'Felosztás eredménykim'!$B12,'Eredeti fejléccel'!$AR:$AR)</f>
        <v>0</v>
      </c>
      <c r="BU12" s="6">
        <f>SUMIF('Eredeti fejléccel'!$B:$B,'Felosztás eredménykim'!$B12,'Eredeti fejléccel'!$AU:$AU)</f>
        <v>0</v>
      </c>
      <c r="BV12" s="6">
        <f>SUMIF('Eredeti fejléccel'!$B:$B,'Felosztás eredménykim'!$B12,'Eredeti fejléccel'!$AV:$AV)</f>
        <v>0</v>
      </c>
      <c r="BW12" s="6">
        <f>SUMIF('Eredeti fejléccel'!$B:$B,'Felosztás eredménykim'!$B12,'Eredeti fejléccel'!$AW:$AW)</f>
        <v>0</v>
      </c>
      <c r="BX12" s="6">
        <f>SUMIF('Eredeti fejléccel'!$B:$B,'Felosztás eredménykim'!$B12,'Eredeti fejléccel'!$AX:$AX)</f>
        <v>0</v>
      </c>
      <c r="BY12" s="6">
        <f>SUMIF('Eredeti fejléccel'!$B:$B,'Felosztás eredménykim'!$B12,'Eredeti fejléccel'!$AY:$AY)</f>
        <v>0</v>
      </c>
      <c r="BZ12" s="6">
        <f>SUMIF('Eredeti fejléccel'!$B:$B,'Felosztás eredménykim'!$B12,'Eredeti fejléccel'!$AZ:$AZ)</f>
        <v>0</v>
      </c>
      <c r="CA12" s="6">
        <f>SUMIF('Eredeti fejléccel'!$B:$B,'Felosztás eredménykim'!$B12,'Eredeti fejléccel'!$BA:$BA)</f>
        <v>1081224.7</v>
      </c>
      <c r="CB12" s="6">
        <f t="shared" si="13"/>
        <v>1249932.3651462302</v>
      </c>
      <c r="CC12" s="36">
        <f t="shared" si="14"/>
        <v>99226.605070614183</v>
      </c>
      <c r="CD12" s="8">
        <f t="shared" si="15"/>
        <v>45929.310973973705</v>
      </c>
      <c r="CE12" s="6">
        <f>SUMIF('Eredeti fejléccel'!$B:$B,'Felosztás eredménykim'!$B12,'Eredeti fejléccel'!$BC:$BC)</f>
        <v>0</v>
      </c>
      <c r="CF12" s="8">
        <f t="shared" si="42"/>
        <v>0</v>
      </c>
      <c r="CG12" s="6">
        <f>SUMIF('Eredeti fejléccel'!$B:$B,'Felosztás eredménykim'!$B12,'Eredeti fejléccel'!$H:$H)</f>
        <v>0</v>
      </c>
      <c r="CH12" s="6">
        <f>SUMIF('Eredeti fejléccel'!$B:$B,'Felosztás eredménykim'!$B12,'Eredeti fejléccel'!$BE:$BE)</f>
        <v>101201</v>
      </c>
      <c r="CI12" s="6">
        <f t="shared" si="43"/>
        <v>147130.31097397371</v>
      </c>
      <c r="CJ12" s="36">
        <f t="shared" si="16"/>
        <v>71339.389266454658</v>
      </c>
      <c r="CK12" s="8">
        <f t="shared" si="17"/>
        <v>33021.073249262139</v>
      </c>
      <c r="CL12" s="8">
        <f t="shared" si="44"/>
        <v>0</v>
      </c>
      <c r="CM12" s="6">
        <f>SUMIF('Eredeti fejléccel'!$B:$B,'Felosztás eredménykim'!$B12,'Eredeti fejléccel'!$BD:$BD)</f>
        <v>139681</v>
      </c>
      <c r="CN12" s="8">
        <f t="shared" si="45"/>
        <v>172702.07324926215</v>
      </c>
      <c r="CO12" s="8">
        <f t="shared" si="18"/>
        <v>6923435.6622459767</v>
      </c>
      <c r="CR12" s="36">
        <f t="shared" si="19"/>
        <v>428521.40114359307</v>
      </c>
      <c r="CS12" s="6">
        <f>SUMIF('Eredeti fejléccel'!$B:$B,'Felosztás eredménykim'!$B12,'Eredeti fejléccel'!$I:$I)</f>
        <v>0</v>
      </c>
      <c r="CT12" s="6">
        <f>SUMIF('Eredeti fejléccel'!$B:$B,'Felosztás eredménykim'!$B12,'Eredeti fejléccel'!$BG:$BG)</f>
        <v>0</v>
      </c>
      <c r="CU12" s="6">
        <f>SUMIF('Eredeti fejléccel'!$B:$B,'Felosztás eredménykim'!$B12,'Eredeti fejléccel'!$BH:$BH)</f>
        <v>0</v>
      </c>
      <c r="CV12" s="6">
        <f>SUMIF('Eredeti fejléccel'!$B:$B,'Felosztás eredménykim'!$B12,'Eredeti fejléccel'!$BI:$BI)</f>
        <v>0</v>
      </c>
      <c r="CW12" s="6">
        <f>SUMIF('Eredeti fejléccel'!$B:$B,'Felosztás eredménykim'!$B12,'Eredeti fejléccel'!$BL:$BL)</f>
        <v>2199063.3199999998</v>
      </c>
      <c r="CX12" s="6">
        <f t="shared" si="46"/>
        <v>2199063.3199999998</v>
      </c>
      <c r="CY12" s="6">
        <f>SUMIF('Eredeti fejléccel'!$B:$B,'Felosztás eredménykim'!$B12,'Eredeti fejléccel'!$BJ:$BJ)</f>
        <v>337057.88</v>
      </c>
      <c r="CZ12" s="6">
        <f>SUMIF('Eredeti fejléccel'!$B:$B,'Felosztás eredménykim'!$B12,'Eredeti fejléccel'!$BK:$BK)</f>
        <v>0</v>
      </c>
      <c r="DA12" s="99">
        <f t="shared" si="47"/>
        <v>2536121.1999999997</v>
      </c>
      <c r="DC12" s="36">
        <f t="shared" si="20"/>
        <v>375326.71683708963</v>
      </c>
      <c r="DD12" s="6">
        <f>SUMIF('Eredeti fejléccel'!$B:$B,'Felosztás eredménykim'!$B12,'Eredeti fejléccel'!$J:$J)</f>
        <v>0</v>
      </c>
      <c r="DE12" s="6">
        <f>SUMIF('Eredeti fejléccel'!$B:$B,'Felosztás eredménykim'!$B12,'Eredeti fejléccel'!$BM:$BM)</f>
        <v>710925</v>
      </c>
      <c r="DF12" s="6">
        <f t="shared" si="48"/>
        <v>0</v>
      </c>
      <c r="DG12" s="8">
        <f t="shared" si="21"/>
        <v>0</v>
      </c>
      <c r="DH12" s="8">
        <f t="shared" si="49"/>
        <v>710925</v>
      </c>
      <c r="DJ12" s="6">
        <f>SUMIF('Eredeti fejléccel'!$B:$B,'Felosztás eredménykim'!$B12,'Eredeti fejléccel'!$BN:$BN)</f>
        <v>5181399</v>
      </c>
      <c r="DK12" s="6">
        <f>SUMIF('Eredeti fejléccel'!$B:$B,'Felosztás eredménykim'!$B12,'Eredeti fejléccel'!$BZ:$BZ)</f>
        <v>0</v>
      </c>
      <c r="DL12" s="8">
        <f t="shared" si="50"/>
        <v>5181399</v>
      </c>
      <c r="DM12" s="6">
        <f>SUMIF('Eredeti fejléccel'!$B:$B,'Felosztás eredménykim'!$B12,'Eredeti fejléccel'!$BR:$BR)</f>
        <v>6142</v>
      </c>
      <c r="DN12" s="6">
        <f>SUMIF('Eredeti fejléccel'!$B:$B,'Felosztás eredménykim'!$B12,'Eredeti fejléccel'!$BS:$BS)</f>
        <v>0</v>
      </c>
      <c r="DO12" s="6">
        <f>SUMIF('Eredeti fejléccel'!$B:$B,'Felosztás eredménykim'!$B12,'Eredeti fejléccel'!$BO:$BO)</f>
        <v>0</v>
      </c>
      <c r="DP12" s="6">
        <f>SUMIF('Eredeti fejléccel'!$B:$B,'Felosztás eredménykim'!$B12,'Eredeti fejléccel'!$BP:$BP)</f>
        <v>0</v>
      </c>
      <c r="DQ12" s="6">
        <f>SUMIF('Eredeti fejléccel'!$B:$B,'Felosztás eredménykim'!$B12,'Eredeti fejléccel'!$BQ:$BQ)</f>
        <v>0</v>
      </c>
      <c r="DS12" s="8"/>
      <c r="DU12" s="6">
        <f>SUMIF('Eredeti fejléccel'!$B:$B,'Felosztás eredménykim'!$B12,'Eredeti fejléccel'!$BT:$BT)</f>
        <v>0</v>
      </c>
      <c r="DV12" s="6">
        <f>SUMIF('Eredeti fejléccel'!$B:$B,'Felosztás eredménykim'!$B12,'Eredeti fejléccel'!$BU:$BU)</f>
        <v>0</v>
      </c>
      <c r="DW12" s="6">
        <f>SUMIF('Eredeti fejléccel'!$B:$B,'Felosztás eredménykim'!$B12,'Eredeti fejléccel'!$BV:$BV)</f>
        <v>0</v>
      </c>
      <c r="DX12" s="6">
        <f>SUMIF('Eredeti fejléccel'!$B:$B,'Felosztás eredménykim'!$B12,'Eredeti fejléccel'!$BW:$BW)</f>
        <v>0</v>
      </c>
      <c r="DY12" s="6">
        <f>SUMIF('Eredeti fejléccel'!$B:$B,'Felosztás eredménykim'!$B12,'Eredeti fejléccel'!$BX:$BX)</f>
        <v>0</v>
      </c>
      <c r="EA12" s="6"/>
      <c r="EC12" s="6"/>
      <c r="EE12" s="6">
        <f>SUMIF('Eredeti fejléccel'!$B:$B,'Felosztás eredménykim'!$B12,'Eredeti fejléccel'!$CA:$CA)</f>
        <v>0</v>
      </c>
      <c r="EF12" s="6">
        <f>SUMIF('Eredeti fejléccel'!$B:$B,'Felosztás eredménykim'!$B12,'Eredeti fejléccel'!$CB:$CB)</f>
        <v>0</v>
      </c>
      <c r="EG12" s="6">
        <f>SUMIF('Eredeti fejléccel'!$B:$B,'Felosztás eredménykim'!$B12,'Eredeti fejléccel'!$CC:$CC)</f>
        <v>0</v>
      </c>
      <c r="EH12" s="6">
        <f>SUMIF('Eredeti fejléccel'!$B:$B,'Felosztás eredménykim'!$B12,'Eredeti fejléccel'!$CD:$CD)</f>
        <v>0</v>
      </c>
      <c r="EK12" s="6">
        <f>SUMIF('Eredeti fejléccel'!$B:$B,'Felosztás eredménykim'!$B12,'Eredeti fejléccel'!$CE:$CE)</f>
        <v>0</v>
      </c>
      <c r="EN12" s="6">
        <f>SUMIF('Eredeti fejléccel'!$B:$B,'Felosztás eredménykim'!$B12,'Eredeti fejléccel'!$CF:$CF)</f>
        <v>0</v>
      </c>
      <c r="EP12" s="6">
        <f>SUMIF('Eredeti fejléccel'!$B:$B,'Felosztás eredménykim'!$B12,'Eredeti fejléccel'!$CG:$CG)</f>
        <v>0</v>
      </c>
      <c r="ES12" s="6">
        <f>SUMIF('Eredeti fejléccel'!$B:$B,'Felosztás eredménykim'!$B12,'Eredeti fejléccel'!$CH:$CH)</f>
        <v>0</v>
      </c>
      <c r="ET12" s="6">
        <f>SUMIF('Eredeti fejléccel'!$B:$B,'Felosztás eredménykim'!$B12,'Eredeti fejléccel'!$CI:$CI)</f>
        <v>0</v>
      </c>
      <c r="EW12" s="8">
        <f t="shared" si="22"/>
        <v>0</v>
      </c>
      <c r="EX12" s="8">
        <f t="shared" si="51"/>
        <v>0</v>
      </c>
      <c r="EY12" s="8">
        <f t="shared" si="52"/>
        <v>710925</v>
      </c>
      <c r="EZ12" s="8">
        <f t="shared" si="23"/>
        <v>5898466</v>
      </c>
      <c r="FA12" s="8">
        <f t="shared" si="24"/>
        <v>710925</v>
      </c>
      <c r="FC12" s="6">
        <f>SUMIF('Eredeti fejléccel'!$B:$B,'Felosztás eredménykim'!$B12,'Eredeti fejléccel'!$L:$L)</f>
        <v>0</v>
      </c>
      <c r="FD12" s="6">
        <f>SUMIF('Eredeti fejléccel'!$B:$B,'Felosztás eredménykim'!$B12,'Eredeti fejléccel'!$CJ:$CJ)</f>
        <v>1297469.6600000001</v>
      </c>
      <c r="FE12" s="6">
        <f>SUMIF('Eredeti fejléccel'!$B:$B,'Felosztás eredménykim'!$B12,'Eredeti fejléccel'!$CL:$CL)</f>
        <v>0</v>
      </c>
      <c r="FG12" s="99">
        <f t="shared" si="53"/>
        <v>1297469.6600000001</v>
      </c>
      <c r="FH12" s="6">
        <f>SUMIF('Eredeti fejléccel'!$B:$B,'Felosztás eredménykim'!$B12,'Eredeti fejléccel'!$CK:$CK)</f>
        <v>0</v>
      </c>
      <c r="FI12" s="36">
        <f t="shared" si="25"/>
        <v>441595.66855467396</v>
      </c>
      <c r="FJ12" s="101">
        <f t="shared" si="26"/>
        <v>287708.91490541631</v>
      </c>
      <c r="FK12" s="6">
        <f>SUMIF('Eredeti fejléccel'!$B:$B,'Felosztás eredménykim'!$B12,'Eredeti fejléccel'!$CM:$CM)</f>
        <v>0</v>
      </c>
      <c r="FL12" s="6">
        <f>SUMIF('Eredeti fejléccel'!$B:$B,'Felosztás eredménykim'!$B12,'Eredeti fejléccel'!$CN:$CN)</f>
        <v>0</v>
      </c>
      <c r="FM12" s="8">
        <f t="shared" si="54"/>
        <v>287708.91490541631</v>
      </c>
      <c r="FN12" s="36">
        <f t="shared" si="27"/>
        <v>375428.76378764119</v>
      </c>
      <c r="FO12" s="101">
        <f t="shared" si="28"/>
        <v>244599.77745513342</v>
      </c>
      <c r="FP12" s="6">
        <f>SUMIF('Eredeti fejléccel'!$B:$B,'Felosztás eredménykim'!$B12,'Eredeti fejléccel'!$CO:$CO)</f>
        <v>3044201.38</v>
      </c>
      <c r="FQ12" s="6">
        <f>'Eredeti fejléccel'!CP12</f>
        <v>906801</v>
      </c>
      <c r="FR12" s="6">
        <f>'Eredeti fejléccel'!CQ12</f>
        <v>310550</v>
      </c>
      <c r="FS12" s="103">
        <f t="shared" si="55"/>
        <v>4506152.1574551333</v>
      </c>
      <c r="FT12" s="36">
        <f t="shared" si="29"/>
        <v>1036292.8612783218</v>
      </c>
      <c r="FU12" s="101">
        <f t="shared" si="30"/>
        <v>675166.70989652397</v>
      </c>
      <c r="FV12" s="101"/>
      <c r="FW12" s="6">
        <f>SUMIF('Eredeti fejléccel'!$B:$B,'Felosztás eredménykim'!$B12,'Eredeti fejléccel'!$CR:$CR)</f>
        <v>14686511</v>
      </c>
      <c r="FX12" s="6">
        <f>SUMIF('Eredeti fejléccel'!$B:$B,'Felosztás eredménykim'!$B12,'Eredeti fejléccel'!$CS:$CS)</f>
        <v>0</v>
      </c>
      <c r="FY12" s="6">
        <f>SUMIF('Eredeti fejléccel'!$B:$B,'Felosztás eredménykim'!$B12,'Eredeti fejléccel'!$CT:$CT)</f>
        <v>0</v>
      </c>
      <c r="FZ12" s="6">
        <f>SUMIF('Eredeti fejléccel'!$B:$B,'Felosztás eredménykim'!$B12,'Eredeti fejléccel'!$CU:$CU)</f>
        <v>0</v>
      </c>
      <c r="GA12" s="103">
        <f t="shared" si="56"/>
        <v>15361677.709896524</v>
      </c>
      <c r="GB12" s="36">
        <f t="shared" si="31"/>
        <v>138129.45082752834</v>
      </c>
      <c r="GC12" s="101">
        <f t="shared" si="32"/>
        <v>89994.257742926435</v>
      </c>
      <c r="GD12" s="6">
        <f>SUMIF('Eredeti fejléccel'!$B:$B,'Felosztás eredménykim'!$B12,'Eredeti fejléccel'!$CV:$CV)</f>
        <v>990943.5</v>
      </c>
      <c r="GE12" s="6">
        <f>SUMIF('Eredeti fejléccel'!$B:$B,'Felosztás eredménykim'!$B12,'Eredeti fejléccel'!$CW:$CW)</f>
        <v>0</v>
      </c>
      <c r="GF12" s="103">
        <f t="shared" si="57"/>
        <v>1080937.7577429265</v>
      </c>
      <c r="GG12" s="36">
        <f t="shared" si="33"/>
        <v>0</v>
      </c>
      <c r="GM12" s="6">
        <f>SUMIF('Eredeti fejléccel'!$B:$B,'Felosztás eredménykim'!$B12,'Eredeti fejléccel'!$CX:$CX)</f>
        <v>0</v>
      </c>
      <c r="GN12" s="6">
        <f>SUMIF('Eredeti fejléccel'!$B:$B,'Felosztás eredménykim'!$B12,'Eredeti fejléccel'!$CY:$CY)</f>
        <v>0</v>
      </c>
      <c r="GO12" s="6">
        <f>SUMIF('Eredeti fejléccel'!$B:$B,'Felosztás eredménykim'!$B12,'Eredeti fejléccel'!$CZ:$CZ)</f>
        <v>0</v>
      </c>
      <c r="GP12" s="6">
        <f>SUMIF('Eredeti fejléccel'!$B:$B,'Felosztás eredménykim'!$B12,'Eredeti fejléccel'!$DA:$DA)</f>
        <v>0</v>
      </c>
      <c r="GQ12" s="6">
        <f>SUMIF('Eredeti fejléccel'!$B:$B,'Felosztás eredménykim'!$B12,'Eredeti fejléccel'!$DB:$DB)</f>
        <v>0</v>
      </c>
      <c r="GR12" s="103">
        <f t="shared" si="58"/>
        <v>0</v>
      </c>
      <c r="GW12" s="36">
        <f t="shared" si="34"/>
        <v>237114.13532517711</v>
      </c>
      <c r="GX12" s="6">
        <f>SUMIF('Eredeti fejléccel'!$B:$B,'Felosztás eredménykim'!$B12,'Eredeti fejléccel'!$M:$M)</f>
        <v>0</v>
      </c>
      <c r="GY12" s="6">
        <f>SUMIF('Eredeti fejléccel'!$B:$B,'Felosztás eredménykim'!$B12,'Eredeti fejléccel'!$DC:$DC)</f>
        <v>1353063</v>
      </c>
      <c r="GZ12" s="6">
        <f>SUMIF('Eredeti fejléccel'!$B:$B,'Felosztás eredménykim'!$B12,'Eredeti fejléccel'!$DD:$DD)</f>
        <v>0</v>
      </c>
      <c r="HA12" s="6">
        <f>SUMIF('Eredeti fejléccel'!$B:$B,'Felosztás eredménykim'!$B12,'Eredeti fejléccel'!$DE:$DE)</f>
        <v>0</v>
      </c>
      <c r="HB12" s="103">
        <f t="shared" si="59"/>
        <v>1353063</v>
      </c>
      <c r="HD12" s="9">
        <f t="shared" si="35"/>
        <v>41294162.399999939</v>
      </c>
      <c r="HE12" s="9">
        <v>41294162.399999999</v>
      </c>
      <c r="HF12" s="476"/>
      <c r="HH12" s="207">
        <f t="shared" si="60"/>
        <v>-5.9604644775390625E-8</v>
      </c>
    </row>
    <row r="13" spans="1:232" x14ac:dyDescent="0.25">
      <c r="A13" s="4" t="s">
        <v>69</v>
      </c>
      <c r="B13" s="4" t="s">
        <v>69</v>
      </c>
      <c r="C13" s="1" t="s">
        <v>70</v>
      </c>
      <c r="D13" s="6">
        <f>SUMIF('Eredeti fejléccel'!$B:$B,'Felosztás eredménykim'!$B13,'Eredeti fejléccel'!$D:$D)</f>
        <v>0</v>
      </c>
      <c r="E13" s="6">
        <f>SUMIF('Eredeti fejléccel'!$B:$B,'Felosztás eredménykim'!$B13,'Eredeti fejléccel'!$E:$E)</f>
        <v>21639</v>
      </c>
      <c r="F13" s="6">
        <f>SUMIF('Eredeti fejléccel'!$B:$B,'Felosztás eredménykim'!$B13,'Eredeti fejléccel'!$F:$F)</f>
        <v>0</v>
      </c>
      <c r="G13" s="6">
        <f>SUMIF('Eredeti fejléccel'!$B:$B,'Felosztás eredménykim'!$B13,'Eredeti fejléccel'!$G:$G)</f>
        <v>0</v>
      </c>
      <c r="H13" s="6"/>
      <c r="I13" s="6">
        <f>SUMIF('Eredeti fejléccel'!$B:$B,'Felosztás eredménykim'!$B13,'Eredeti fejléccel'!$O:$O)</f>
        <v>0</v>
      </c>
      <c r="J13" s="6">
        <f>SUMIF('Eredeti fejléccel'!$B:$B,'Felosztás eredménykim'!$B13,'Eredeti fejléccel'!$P:$P)</f>
        <v>0</v>
      </c>
      <c r="K13" s="6">
        <f>SUMIF('Eredeti fejléccel'!$B:$B,'Felosztás eredménykim'!$B13,'Eredeti fejléccel'!$Q:$Q)</f>
        <v>0</v>
      </c>
      <c r="L13" s="6">
        <f>SUMIF('Eredeti fejléccel'!$B:$B,'Felosztás eredménykim'!$B13,'Eredeti fejléccel'!$R:$R)</f>
        <v>3213</v>
      </c>
      <c r="M13" s="6">
        <f>SUMIF('Eredeti fejléccel'!$B:$B,'Felosztás eredménykim'!$B13,'Eredeti fejléccel'!$T:$T)</f>
        <v>0</v>
      </c>
      <c r="N13" s="6">
        <f>SUMIF('Eredeti fejléccel'!$B:$B,'Felosztás eredménykim'!$B13,'Eredeti fejléccel'!$U:$U)</f>
        <v>0</v>
      </c>
      <c r="O13" s="6">
        <f>SUMIF('Eredeti fejléccel'!$B:$B,'Felosztás eredménykim'!$B13,'Eredeti fejléccel'!$V:$V)</f>
        <v>516287.36</v>
      </c>
      <c r="P13" s="6">
        <f>SUMIF('Eredeti fejléccel'!$B:$B,'Felosztás eredménykim'!$B13,'Eredeti fejléccel'!$W:$W)</f>
        <v>147687.47</v>
      </c>
      <c r="Q13" s="6">
        <f>SUMIF('Eredeti fejléccel'!$B:$B,'Felosztás eredménykim'!$B13,'Eredeti fejléccel'!$X:$X)</f>
        <v>0</v>
      </c>
      <c r="R13" s="6">
        <f>SUMIF('Eredeti fejléccel'!$B:$B,'Felosztás eredménykim'!$B13,'Eredeti fejléccel'!$Y:$Y)</f>
        <v>0</v>
      </c>
      <c r="S13" s="6">
        <f>SUMIF('Eredeti fejléccel'!$B:$B,'Felosztás eredménykim'!$B13,'Eredeti fejléccel'!$Z:$Z)</f>
        <v>0</v>
      </c>
      <c r="T13" s="6">
        <f>SUMIF('Eredeti fejléccel'!$B:$B,'Felosztás eredménykim'!$B13,'Eredeti fejléccel'!$AA:$AA)</f>
        <v>0</v>
      </c>
      <c r="U13" s="6">
        <f>SUMIF('Eredeti fejléccel'!$B:$B,'Felosztás eredménykim'!$B13,'Eredeti fejléccel'!$D:$D)</f>
        <v>0</v>
      </c>
      <c r="V13" s="6">
        <f>SUMIF('Eredeti fejléccel'!$B:$B,'Felosztás eredménykim'!$B13,'Eredeti fejléccel'!$AT:$AT)</f>
        <v>0</v>
      </c>
      <c r="X13" s="36">
        <f t="shared" si="0"/>
        <v>688826.83</v>
      </c>
      <c r="Z13" s="6">
        <f>SUMIF('Eredeti fejléccel'!$B:$B,'Felosztás eredménykim'!$B13,'Eredeti fejléccel'!$K:$K)</f>
        <v>147075.65000000002</v>
      </c>
      <c r="AB13" s="6">
        <f>SUMIF('Eredeti fejléccel'!$B:$B,'Felosztás eredménykim'!$B13,'Eredeti fejléccel'!$AB:$AB)</f>
        <v>0</v>
      </c>
      <c r="AC13" s="6">
        <f>SUMIF('Eredeti fejléccel'!$B:$B,'Felosztás eredménykim'!$B13,'Eredeti fejléccel'!$AQ:$AQ)</f>
        <v>0</v>
      </c>
      <c r="AE13" s="73">
        <f t="shared" si="1"/>
        <v>147075.65000000002</v>
      </c>
      <c r="AF13" s="36">
        <f t="shared" si="2"/>
        <v>82173.349763929349</v>
      </c>
      <c r="AG13" s="8">
        <f t="shared" si="3"/>
        <v>46894.257423307397</v>
      </c>
      <c r="AI13" s="6">
        <f>SUMIF('Eredeti fejléccel'!$B:$B,'Felosztás eredménykim'!$B13,'Eredeti fejléccel'!$BB:$BB)</f>
        <v>0</v>
      </c>
      <c r="AJ13" s="6">
        <f>SUMIF('Eredeti fejléccel'!$B:$B,'Felosztás eredménykim'!$B13,'Eredeti fejléccel'!$AF:$AF)</f>
        <v>0</v>
      </c>
      <c r="AK13" s="8">
        <f t="shared" si="4"/>
        <v>46894.257423307397</v>
      </c>
      <c r="AL13" s="36">
        <f t="shared" si="5"/>
        <v>32638.83962572903</v>
      </c>
      <c r="AM13" s="8">
        <f t="shared" si="6"/>
        <v>18626.162275288436</v>
      </c>
      <c r="AN13" s="6">
        <f t="shared" si="36"/>
        <v>0</v>
      </c>
      <c r="AO13" s="6">
        <f>SUMIF('Eredeti fejléccel'!$B:$B,'Felosztás eredménykim'!$B13,'Eredeti fejléccel'!$AC:$AC)</f>
        <v>0</v>
      </c>
      <c r="AP13" s="6">
        <f>SUMIF('Eredeti fejléccel'!$B:$B,'Felosztás eredménykim'!$B13,'Eredeti fejléccel'!$AD:$AD)</f>
        <v>0</v>
      </c>
      <c r="AQ13" s="6">
        <f>SUMIF('Eredeti fejléccel'!$B:$B,'Felosztás eredménykim'!$B13,'Eredeti fejléccel'!$AE:$AE)</f>
        <v>0</v>
      </c>
      <c r="AR13" s="6">
        <f>SUMIF('Eredeti fejléccel'!$B:$B,'Felosztás eredménykim'!$B13,'Eredeti fejléccel'!$AG:$AG)</f>
        <v>20365</v>
      </c>
      <c r="AS13" s="6">
        <f t="shared" si="37"/>
        <v>38991.162275288436</v>
      </c>
      <c r="AT13" s="36">
        <f t="shared" si="7"/>
        <v>53015.064363825397</v>
      </c>
      <c r="AU13" s="8">
        <f t="shared" si="8"/>
        <v>30254.359627940255</v>
      </c>
      <c r="AV13" s="6">
        <f>SUMIF('Eredeti fejléccel'!$B:$B,'Felosztás eredménykim'!$B13,'Eredeti fejléccel'!$AI:$AI)</f>
        <v>0</v>
      </c>
      <c r="AW13" s="6">
        <f>SUMIF('Eredeti fejléccel'!$B:$B,'Felosztás eredménykim'!$B13,'Eredeti fejléccel'!$AJ:$AJ)</f>
        <v>0</v>
      </c>
      <c r="AX13" s="6">
        <f>SUMIF('Eredeti fejléccel'!$B:$B,'Felosztás eredménykim'!$B13,'Eredeti fejléccel'!$AK:$AK)</f>
        <v>32713.39</v>
      </c>
      <c r="AY13" s="6">
        <f>SUMIF('Eredeti fejléccel'!$B:$B,'Felosztás eredménykim'!$B13,'Eredeti fejléccel'!$AL:$AL)</f>
        <v>142</v>
      </c>
      <c r="AZ13" s="6">
        <f>SUMIF('Eredeti fejléccel'!$B:$B,'Felosztás eredménykim'!$B13,'Eredeti fejléccel'!$AM:$AM)</f>
        <v>0</v>
      </c>
      <c r="BA13" s="6">
        <f>SUMIF('Eredeti fejléccel'!$B:$B,'Felosztás eredménykim'!$B13,'Eredeti fejléccel'!$AN:$AN)</f>
        <v>0</v>
      </c>
      <c r="BB13" s="6">
        <f>SUMIF('Eredeti fejléccel'!$B:$B,'Felosztás eredménykim'!$B13,'Eredeti fejléccel'!$AP:$AP)</f>
        <v>0</v>
      </c>
      <c r="BD13" s="6">
        <f>SUMIF('Eredeti fejléccel'!$B:$B,'Felosztás eredménykim'!$B13,'Eredeti fejléccel'!$AS:$AS)</f>
        <v>0</v>
      </c>
      <c r="BE13" s="8">
        <f t="shared" si="38"/>
        <v>63109.749627940255</v>
      </c>
      <c r="BF13" s="36">
        <f t="shared" si="9"/>
        <v>13830.016790563146</v>
      </c>
      <c r="BG13" s="8">
        <f t="shared" si="10"/>
        <v>7892.4416420713715</v>
      </c>
      <c r="BH13" s="6">
        <f t="shared" si="39"/>
        <v>0</v>
      </c>
      <c r="BI13" s="6">
        <f>SUMIF('Eredeti fejléccel'!$B:$B,'Felosztás eredménykim'!$B13,'Eredeti fejléccel'!$AH:$AH)</f>
        <v>0</v>
      </c>
      <c r="BJ13" s="6">
        <f>SUMIF('Eredeti fejléccel'!$B:$B,'Felosztás eredménykim'!$B13,'Eredeti fejléccel'!$AO:$AO)</f>
        <v>0</v>
      </c>
      <c r="BK13" s="6">
        <f>SUMIF('Eredeti fejléccel'!$B:$B,'Felosztás eredménykim'!$B13,'Eredeti fejléccel'!$BF:$BF)</f>
        <v>0</v>
      </c>
      <c r="BL13" s="8">
        <f t="shared" si="40"/>
        <v>7892.4416420713715</v>
      </c>
      <c r="BM13" s="36">
        <f t="shared" si="11"/>
        <v>51816.462908643261</v>
      </c>
      <c r="BN13" s="8">
        <f t="shared" si="12"/>
        <v>29570.34801896074</v>
      </c>
      <c r="BP13" s="8">
        <f t="shared" si="41"/>
        <v>0</v>
      </c>
      <c r="BQ13" s="6">
        <f>SUMIF('Eredeti fejléccel'!$B:$B,'Felosztás eredménykim'!$B13,'Eredeti fejléccel'!$N:$N)</f>
        <v>0</v>
      </c>
      <c r="BR13" s="6">
        <f>SUMIF('Eredeti fejléccel'!$B:$B,'Felosztás eredménykim'!$B13,'Eredeti fejléccel'!$S:$S)</f>
        <v>0</v>
      </c>
      <c r="BT13" s="6">
        <f>SUMIF('Eredeti fejléccel'!$B:$B,'Felosztás eredménykim'!$B13,'Eredeti fejléccel'!$AR:$AR)</f>
        <v>0</v>
      </c>
      <c r="BU13" s="6">
        <f>SUMIF('Eredeti fejléccel'!$B:$B,'Felosztás eredménykim'!$B13,'Eredeti fejléccel'!$AU:$AU)</f>
        <v>0</v>
      </c>
      <c r="BV13" s="6">
        <f>SUMIF('Eredeti fejléccel'!$B:$B,'Felosztás eredménykim'!$B13,'Eredeti fejléccel'!$AV:$AV)</f>
        <v>0</v>
      </c>
      <c r="BW13" s="6">
        <f>SUMIF('Eredeti fejléccel'!$B:$B,'Felosztás eredménykim'!$B13,'Eredeti fejléccel'!$AW:$AW)</f>
        <v>0</v>
      </c>
      <c r="BX13" s="6">
        <f>SUMIF('Eredeti fejléccel'!$B:$B,'Felosztás eredménykim'!$B13,'Eredeti fejléccel'!$AX:$AX)</f>
        <v>0</v>
      </c>
      <c r="BY13" s="6">
        <f>SUMIF('Eredeti fejléccel'!$B:$B,'Felosztás eredménykim'!$B13,'Eredeti fejléccel'!$AY:$AY)</f>
        <v>0</v>
      </c>
      <c r="BZ13" s="6">
        <f>SUMIF('Eredeti fejléccel'!$B:$B,'Felosztás eredménykim'!$B13,'Eredeti fejléccel'!$AZ:$AZ)</f>
        <v>0</v>
      </c>
      <c r="CA13" s="6">
        <f>SUMIF('Eredeti fejléccel'!$B:$B,'Felosztás eredménykim'!$B13,'Eredeti fejléccel'!$BA:$BA)</f>
        <v>58793.35</v>
      </c>
      <c r="CB13" s="6">
        <f t="shared" si="13"/>
        <v>88363.698018960742</v>
      </c>
      <c r="CC13" s="36">
        <f t="shared" si="14"/>
        <v>14106.617126374409</v>
      </c>
      <c r="CD13" s="8">
        <f t="shared" si="15"/>
        <v>8050.2904749127993</v>
      </c>
      <c r="CE13" s="6">
        <f>SUMIF('Eredeti fejléccel'!$B:$B,'Felosztás eredménykim'!$B13,'Eredeti fejléccel'!$BC:$BC)</f>
        <v>0</v>
      </c>
      <c r="CF13" s="8">
        <f t="shared" si="42"/>
        <v>0</v>
      </c>
      <c r="CG13" s="6">
        <f>SUMIF('Eredeti fejléccel'!$B:$B,'Felosztás eredménykim'!$B13,'Eredeti fejléccel'!$H:$H)</f>
        <v>0</v>
      </c>
      <c r="CH13" s="6">
        <f>SUMIF('Eredeti fejléccel'!$B:$B,'Felosztás eredménykim'!$B13,'Eredeti fejléccel'!$BE:$BE)</f>
        <v>0</v>
      </c>
      <c r="CI13" s="6">
        <f t="shared" si="43"/>
        <v>8050.2904749127993</v>
      </c>
      <c r="CJ13" s="36">
        <f t="shared" si="16"/>
        <v>10142.012313079642</v>
      </c>
      <c r="CK13" s="8">
        <f t="shared" si="17"/>
        <v>5787.7905375190066</v>
      </c>
      <c r="CL13" s="8">
        <f t="shared" si="44"/>
        <v>0</v>
      </c>
      <c r="CM13" s="6">
        <f>SUMIF('Eredeti fejléccel'!$B:$B,'Felosztás eredménykim'!$B13,'Eredeti fejléccel'!$BD:$BD)</f>
        <v>0</v>
      </c>
      <c r="CN13" s="8">
        <f t="shared" si="45"/>
        <v>5787.7905375190066</v>
      </c>
      <c r="CO13" s="8">
        <f t="shared" si="18"/>
        <v>516811.75289214414</v>
      </c>
      <c r="CR13" s="36">
        <f t="shared" si="19"/>
        <v>60921.033548293621</v>
      </c>
      <c r="CS13" s="6">
        <f>SUMIF('Eredeti fejléccel'!$B:$B,'Felosztás eredménykim'!$B13,'Eredeti fejléccel'!$I:$I)</f>
        <v>0</v>
      </c>
      <c r="CT13" s="6">
        <f>SUMIF('Eredeti fejléccel'!$B:$B,'Felosztás eredménykim'!$B13,'Eredeti fejléccel'!$BG:$BG)</f>
        <v>0</v>
      </c>
      <c r="CU13" s="6">
        <f>SUMIF('Eredeti fejléccel'!$B:$B,'Felosztás eredménykim'!$B13,'Eredeti fejléccel'!$BH:$BH)</f>
        <v>0</v>
      </c>
      <c r="CV13" s="6">
        <f>SUMIF('Eredeti fejléccel'!$B:$B,'Felosztás eredménykim'!$B13,'Eredeti fejléccel'!$BI:$BI)</f>
        <v>0</v>
      </c>
      <c r="CW13" s="6">
        <f>SUMIF('Eredeti fejléccel'!$B:$B,'Felosztás eredménykim'!$B13,'Eredeti fejléccel'!$BL:$BL)</f>
        <v>96465.700000000012</v>
      </c>
      <c r="CX13" s="6">
        <f t="shared" si="46"/>
        <v>96465.700000000012</v>
      </c>
      <c r="CY13" s="6">
        <f>SUMIF('Eredeti fejléccel'!$B:$B,'Felosztás eredménykim'!$B13,'Eredeti fejléccel'!$BJ:$BJ)</f>
        <v>14416.3</v>
      </c>
      <c r="CZ13" s="6">
        <f>SUMIF('Eredeti fejléccel'!$B:$B,'Felosztás eredménykim'!$B13,'Eredeti fejléccel'!$BK:$BK)</f>
        <v>0</v>
      </c>
      <c r="DA13" s="99">
        <f t="shared" si="47"/>
        <v>110882.00000000001</v>
      </c>
      <c r="DC13" s="36">
        <f t="shared" si="20"/>
        <v>53358.575433998718</v>
      </c>
      <c r="DD13" s="6">
        <f>SUMIF('Eredeti fejléccel'!$B:$B,'Felosztás eredménykim'!$B13,'Eredeti fejléccel'!$J:$J)</f>
        <v>0</v>
      </c>
      <c r="DE13" s="6">
        <f>SUMIF('Eredeti fejléccel'!$B:$B,'Felosztás eredménykim'!$B13,'Eredeti fejléccel'!$BM:$BM)</f>
        <v>473422.61</v>
      </c>
      <c r="DF13" s="6">
        <f t="shared" si="48"/>
        <v>0</v>
      </c>
      <c r="DG13" s="8">
        <f t="shared" si="21"/>
        <v>0</v>
      </c>
      <c r="DH13" s="8">
        <f t="shared" si="49"/>
        <v>473422.61</v>
      </c>
      <c r="DJ13" s="6">
        <f>SUMIF('Eredeti fejléccel'!$B:$B,'Felosztás eredménykim'!$B13,'Eredeti fejléccel'!$BN:$BN)</f>
        <v>0</v>
      </c>
      <c r="DK13" s="6">
        <f>SUMIF('Eredeti fejléccel'!$B:$B,'Felosztás eredménykim'!$B13,'Eredeti fejléccel'!$BZ:$BZ)</f>
        <v>0</v>
      </c>
      <c r="DL13" s="8">
        <f t="shared" si="50"/>
        <v>0</v>
      </c>
      <c r="DM13" s="6">
        <f>SUMIF('Eredeti fejléccel'!$B:$B,'Felosztás eredménykim'!$B13,'Eredeti fejléccel'!$BR:$BR)</f>
        <v>0</v>
      </c>
      <c r="DN13" s="6">
        <f>SUMIF('Eredeti fejléccel'!$B:$B,'Felosztás eredménykim'!$B13,'Eredeti fejléccel'!$BS:$BS)</f>
        <v>0</v>
      </c>
      <c r="DO13" s="6">
        <f>SUMIF('Eredeti fejléccel'!$B:$B,'Felosztás eredménykim'!$B13,'Eredeti fejléccel'!$BO:$BO)</f>
        <v>0</v>
      </c>
      <c r="DP13" s="6">
        <f>SUMIF('Eredeti fejléccel'!$B:$B,'Felosztás eredménykim'!$B13,'Eredeti fejléccel'!$BP:$BP)</f>
        <v>0</v>
      </c>
      <c r="DQ13" s="6">
        <f>SUMIF('Eredeti fejléccel'!$B:$B,'Felosztás eredménykim'!$B13,'Eredeti fejléccel'!$BQ:$BQ)</f>
        <v>0</v>
      </c>
      <c r="DS13" s="8"/>
      <c r="DU13" s="6">
        <f>SUMIF('Eredeti fejléccel'!$B:$B,'Felosztás eredménykim'!$B13,'Eredeti fejléccel'!$BT:$BT)</f>
        <v>0</v>
      </c>
      <c r="DV13" s="6">
        <f>SUMIF('Eredeti fejléccel'!$B:$B,'Felosztás eredménykim'!$B13,'Eredeti fejléccel'!$BU:$BU)</f>
        <v>0</v>
      </c>
      <c r="DW13" s="6">
        <f>SUMIF('Eredeti fejléccel'!$B:$B,'Felosztás eredménykim'!$B13,'Eredeti fejléccel'!$BV:$BV)</f>
        <v>0</v>
      </c>
      <c r="DX13" s="6">
        <f>SUMIF('Eredeti fejléccel'!$B:$B,'Felosztás eredménykim'!$B13,'Eredeti fejléccel'!$BW:$BW)</f>
        <v>0</v>
      </c>
      <c r="DY13" s="6">
        <f>SUMIF('Eredeti fejléccel'!$B:$B,'Felosztás eredménykim'!$B13,'Eredeti fejléccel'!$BX:$BX)</f>
        <v>0</v>
      </c>
      <c r="EA13" s="6"/>
      <c r="EC13" s="6"/>
      <c r="EE13" s="6">
        <f>SUMIF('Eredeti fejléccel'!$B:$B,'Felosztás eredménykim'!$B13,'Eredeti fejléccel'!$CA:$CA)</f>
        <v>0</v>
      </c>
      <c r="EF13" s="6">
        <f>SUMIF('Eredeti fejléccel'!$B:$B,'Felosztás eredménykim'!$B13,'Eredeti fejléccel'!$CB:$CB)</f>
        <v>0</v>
      </c>
      <c r="EG13" s="6">
        <f>SUMIF('Eredeti fejléccel'!$B:$B,'Felosztás eredménykim'!$B13,'Eredeti fejléccel'!$CC:$CC)</f>
        <v>0</v>
      </c>
      <c r="EH13" s="6">
        <f>SUMIF('Eredeti fejléccel'!$B:$B,'Felosztás eredménykim'!$B13,'Eredeti fejléccel'!$CD:$CD)</f>
        <v>0</v>
      </c>
      <c r="EK13" s="6">
        <f>SUMIF('Eredeti fejléccel'!$B:$B,'Felosztás eredménykim'!$B13,'Eredeti fejléccel'!$CE:$CE)</f>
        <v>0</v>
      </c>
      <c r="EN13" s="6">
        <f>SUMIF('Eredeti fejléccel'!$B:$B,'Felosztás eredménykim'!$B13,'Eredeti fejléccel'!$CF:$CF)</f>
        <v>0</v>
      </c>
      <c r="EP13" s="6">
        <f>SUMIF('Eredeti fejléccel'!$B:$B,'Felosztás eredménykim'!$B13,'Eredeti fejléccel'!$CG:$CG)</f>
        <v>0</v>
      </c>
      <c r="ES13" s="6">
        <f>SUMIF('Eredeti fejléccel'!$B:$B,'Felosztás eredménykim'!$B13,'Eredeti fejléccel'!$CH:$CH)</f>
        <v>0</v>
      </c>
      <c r="ET13" s="6">
        <f>SUMIF('Eredeti fejléccel'!$B:$B,'Felosztás eredménykim'!$B13,'Eredeti fejléccel'!$CI:$CI)</f>
        <v>0</v>
      </c>
      <c r="EW13" s="8">
        <f t="shared" si="22"/>
        <v>0</v>
      </c>
      <c r="EX13" s="8">
        <f t="shared" si="51"/>
        <v>0</v>
      </c>
      <c r="EY13" s="8">
        <f t="shared" si="52"/>
        <v>473422.61</v>
      </c>
      <c r="EZ13" s="8">
        <f t="shared" si="23"/>
        <v>473422.61</v>
      </c>
      <c r="FA13" s="8">
        <f t="shared" si="24"/>
        <v>473422.61</v>
      </c>
      <c r="FC13" s="6">
        <f>SUMIF('Eredeti fejléccel'!$B:$B,'Felosztás eredménykim'!$B13,'Eredeti fejléccel'!$L:$L)</f>
        <v>0</v>
      </c>
      <c r="FD13" s="6">
        <f>SUMIF('Eredeti fejléccel'!$B:$B,'Felosztás eredménykim'!$B13,'Eredeti fejléccel'!$CJ:$CJ)</f>
        <v>20532</v>
      </c>
      <c r="FE13" s="6">
        <f>SUMIF('Eredeti fejléccel'!$B:$B,'Felosztás eredménykim'!$B13,'Eredeti fejléccel'!$CL:$CL)</f>
        <v>0</v>
      </c>
      <c r="FG13" s="99">
        <f t="shared" si="53"/>
        <v>20532</v>
      </c>
      <c r="FH13" s="6">
        <f>SUMIF('Eredeti fejléccel'!$B:$B,'Felosztás eredménykim'!$B13,'Eredeti fejléccel'!$CK:$CK)</f>
        <v>0</v>
      </c>
      <c r="FI13" s="36">
        <f t="shared" si="25"/>
        <v>62779.745578647788</v>
      </c>
      <c r="FJ13" s="101">
        <f t="shared" si="26"/>
        <v>4552.8921584478576</v>
      </c>
      <c r="FK13" s="6">
        <f>SUMIF('Eredeti fejléccel'!$B:$B,'Felosztás eredménykim'!$B13,'Eredeti fejléccel'!$CM:$CM)</f>
        <v>0</v>
      </c>
      <c r="FL13" s="6">
        <f>SUMIF('Eredeti fejléccel'!$B:$B,'Felosztás eredménykim'!$B13,'Eredeti fejléccel'!$CN:$CN)</f>
        <v>0</v>
      </c>
      <c r="FM13" s="8">
        <f t="shared" si="54"/>
        <v>4552.8921584478576</v>
      </c>
      <c r="FN13" s="36">
        <f t="shared" si="27"/>
        <v>53373.083007439542</v>
      </c>
      <c r="FO13" s="101">
        <f t="shared" si="28"/>
        <v>3870.7052546483428</v>
      </c>
      <c r="FP13" s="6">
        <f>SUMIF('Eredeti fejléccel'!$B:$B,'Felosztás eredménykim'!$B13,'Eredeti fejléccel'!$CO:$CO)</f>
        <v>4559554</v>
      </c>
      <c r="FQ13" s="6">
        <f>'Eredeti fejléccel'!CP13</f>
        <v>2740.18</v>
      </c>
      <c r="FR13" s="6">
        <f>'Eredeti fejléccel'!CQ13</f>
        <v>3735911.7399999998</v>
      </c>
      <c r="FS13" s="103">
        <f t="shared" si="55"/>
        <v>8302076.6252546478</v>
      </c>
      <c r="FT13" s="36">
        <f t="shared" si="29"/>
        <v>147325.27243520084</v>
      </c>
      <c r="FU13" s="101">
        <f t="shared" si="30"/>
        <v>10684.275181891675</v>
      </c>
      <c r="FV13" s="101"/>
      <c r="FW13" s="6">
        <f>SUMIF('Eredeti fejléccel'!$B:$B,'Felosztás eredménykim'!$B13,'Eredeti fejléccel'!$CR:$CR)</f>
        <v>745220.0199999999</v>
      </c>
      <c r="FX13" s="6">
        <f>SUMIF('Eredeti fejléccel'!$B:$B,'Felosztás eredménykim'!$B13,'Eredeti fejléccel'!$CS:$CS)</f>
        <v>0</v>
      </c>
      <c r="FY13" s="6">
        <f>SUMIF('Eredeti fejléccel'!$B:$B,'Felosztás eredménykim'!$B13,'Eredeti fejléccel'!$CT:$CT)</f>
        <v>10091</v>
      </c>
      <c r="FZ13" s="6">
        <f>SUMIF('Eredeti fejléccel'!$B:$B,'Felosztás eredménykim'!$B13,'Eredeti fejléccel'!$CU:$CU)</f>
        <v>0</v>
      </c>
      <c r="GA13" s="103">
        <f t="shared" si="56"/>
        <v>765995.29518189153</v>
      </c>
      <c r="GB13" s="36">
        <f t="shared" si="31"/>
        <v>19637.266389529639</v>
      </c>
      <c r="GC13" s="101">
        <f t="shared" si="32"/>
        <v>1424.127405012126</v>
      </c>
      <c r="GD13" s="6">
        <f>SUMIF('Eredeti fejléccel'!$B:$B,'Felosztás eredménykim'!$B13,'Eredeti fejléccel'!$CV:$CV)</f>
        <v>137237</v>
      </c>
      <c r="GE13" s="6">
        <f>SUMIF('Eredeti fejléccel'!$B:$B,'Felosztás eredménykim'!$B13,'Eredeti fejléccel'!$CW:$CW)</f>
        <v>0</v>
      </c>
      <c r="GF13" s="103">
        <f t="shared" si="57"/>
        <v>138661.12740501211</v>
      </c>
      <c r="GG13" s="36">
        <f t="shared" si="33"/>
        <v>0</v>
      </c>
      <c r="GM13" s="6">
        <f>SUMIF('Eredeti fejléccel'!$B:$B,'Felosztás eredménykim'!$B13,'Eredeti fejléccel'!$CX:$CX)</f>
        <v>0</v>
      </c>
      <c r="GN13" s="6">
        <f>SUMIF('Eredeti fejléccel'!$B:$B,'Felosztás eredménykim'!$B13,'Eredeti fejléccel'!$CY:$CY)</f>
        <v>0</v>
      </c>
      <c r="GO13" s="6">
        <f>SUMIF('Eredeti fejléccel'!$B:$B,'Felosztás eredménykim'!$B13,'Eredeti fejléccel'!$CZ:$CZ)</f>
        <v>0</v>
      </c>
      <c r="GP13" s="6">
        <f>SUMIF('Eredeti fejléccel'!$B:$B,'Felosztás eredménykim'!$B13,'Eredeti fejléccel'!$DA:$DA)</f>
        <v>0</v>
      </c>
      <c r="GQ13" s="6">
        <f>SUMIF('Eredeti fejléccel'!$B:$B,'Felosztás eredménykim'!$B13,'Eredeti fejléccel'!$DB:$DB)</f>
        <v>0</v>
      </c>
      <c r="GR13" s="103">
        <f t="shared" si="58"/>
        <v>0</v>
      </c>
      <c r="GW13" s="36">
        <f t="shared" si="34"/>
        <v>33709.490714745654</v>
      </c>
      <c r="GX13" s="6">
        <f>SUMIF('Eredeti fejléccel'!$B:$B,'Felosztás eredménykim'!$B13,'Eredeti fejléccel'!$M:$M)</f>
        <v>0</v>
      </c>
      <c r="GY13" s="6">
        <f>SUMIF('Eredeti fejléccel'!$B:$B,'Felosztás eredménykim'!$B13,'Eredeti fejléccel'!$DC:$DC)</f>
        <v>393483</v>
      </c>
      <c r="GZ13" s="6">
        <f>SUMIF('Eredeti fejléccel'!$B:$B,'Felosztás eredménykim'!$B13,'Eredeti fejléccel'!$DD:$DD)</f>
        <v>0</v>
      </c>
      <c r="HA13" s="6">
        <f>SUMIF('Eredeti fejléccel'!$B:$B,'Felosztás eredménykim'!$B13,'Eredeti fejléccel'!$DE:$DE)</f>
        <v>0</v>
      </c>
      <c r="HB13" s="103">
        <f t="shared" si="59"/>
        <v>393483</v>
      </c>
      <c r="HD13" s="9">
        <f t="shared" si="35"/>
        <v>11136989.770000016</v>
      </c>
      <c r="HE13" s="9">
        <v>11136989.77</v>
      </c>
      <c r="HF13" s="476"/>
      <c r="HH13" s="34">
        <f t="shared" si="60"/>
        <v>1.6763806343078613E-8</v>
      </c>
    </row>
    <row r="14" spans="1:232" x14ac:dyDescent="0.25">
      <c r="A14" s="4" t="s">
        <v>759</v>
      </c>
      <c r="B14" s="4" t="s">
        <v>759</v>
      </c>
      <c r="C14" s="1" t="s">
        <v>760</v>
      </c>
      <c r="D14" s="6">
        <f>SUMIF('Eredeti fejléccel'!$B:$B,'Felosztás eredménykim'!$B14,'Eredeti fejléccel'!$D:$D)</f>
        <v>0</v>
      </c>
      <c r="E14" s="6">
        <f>SUMIF('Eredeti fejléccel'!$B:$B,'Felosztás eredménykim'!$B14,'Eredeti fejléccel'!$E:$E)</f>
        <v>0</v>
      </c>
      <c r="F14" s="6">
        <f>SUMIF('Eredeti fejléccel'!$B:$B,'Felosztás eredménykim'!$B14,'Eredeti fejléccel'!$F:$F)</f>
        <v>0</v>
      </c>
      <c r="G14" s="6">
        <f>SUMIF('Eredeti fejléccel'!$B:$B,'Felosztás eredménykim'!$B14,'Eredeti fejléccel'!$G:$G)</f>
        <v>0</v>
      </c>
      <c r="H14" s="6"/>
      <c r="I14" s="6">
        <f>SUMIF('Eredeti fejléccel'!$B:$B,'Felosztás eredménykim'!$B14,'Eredeti fejléccel'!$O:$O)</f>
        <v>0</v>
      </c>
      <c r="J14" s="6">
        <f>SUMIF('Eredeti fejléccel'!$B:$B,'Felosztás eredménykim'!$B14,'Eredeti fejléccel'!$P:$P)</f>
        <v>0</v>
      </c>
      <c r="K14" s="6">
        <f>SUMIF('Eredeti fejléccel'!$B:$B,'Felosztás eredménykim'!$B14,'Eredeti fejléccel'!$Q:$Q)</f>
        <v>0</v>
      </c>
      <c r="L14" s="6">
        <f>SUMIF('Eredeti fejléccel'!$B:$B,'Felosztás eredménykim'!$B14,'Eredeti fejléccel'!$R:$R)</f>
        <v>0</v>
      </c>
      <c r="M14" s="6">
        <f>SUMIF('Eredeti fejléccel'!$B:$B,'Felosztás eredménykim'!$B14,'Eredeti fejléccel'!$T:$T)</f>
        <v>0</v>
      </c>
      <c r="N14" s="6">
        <f>SUMIF('Eredeti fejléccel'!$B:$B,'Felosztás eredménykim'!$B14,'Eredeti fejléccel'!$U:$U)</f>
        <v>0</v>
      </c>
      <c r="O14" s="6">
        <f>SUMIF('Eredeti fejléccel'!$B:$B,'Felosztás eredménykim'!$B14,'Eredeti fejléccel'!$V:$V)</f>
        <v>0</v>
      </c>
      <c r="P14" s="6">
        <f>SUMIF('Eredeti fejléccel'!$B:$B,'Felosztás eredménykim'!$B14,'Eredeti fejléccel'!$W:$W)</f>
        <v>0</v>
      </c>
      <c r="Q14" s="6">
        <f>SUMIF('Eredeti fejléccel'!$B:$B,'Felosztás eredménykim'!$B14,'Eredeti fejléccel'!$X:$X)</f>
        <v>0</v>
      </c>
      <c r="R14" s="6">
        <f>SUMIF('Eredeti fejléccel'!$B:$B,'Felosztás eredménykim'!$B14,'Eredeti fejléccel'!$Y:$Y)</f>
        <v>0</v>
      </c>
      <c r="S14" s="6">
        <f>SUMIF('Eredeti fejléccel'!$B:$B,'Felosztás eredménykim'!$B14,'Eredeti fejléccel'!$Z:$Z)</f>
        <v>0</v>
      </c>
      <c r="T14" s="6">
        <f>SUMIF('Eredeti fejléccel'!$B:$B,'Felosztás eredménykim'!$B14,'Eredeti fejléccel'!$AA:$AA)</f>
        <v>0</v>
      </c>
      <c r="U14" s="6">
        <f>SUMIF('Eredeti fejléccel'!$B:$B,'Felosztás eredménykim'!$B14,'Eredeti fejléccel'!$D:$D)</f>
        <v>0</v>
      </c>
      <c r="V14" s="6">
        <f>SUMIF('Eredeti fejléccel'!$B:$B,'Felosztás eredménykim'!$B14,'Eredeti fejléccel'!$AT:$AT)</f>
        <v>0</v>
      </c>
      <c r="X14" s="36">
        <f t="shared" si="0"/>
        <v>0</v>
      </c>
      <c r="Z14" s="6">
        <f>SUMIF('Eredeti fejléccel'!$B:$B,'Felosztás eredménykim'!$B14,'Eredeti fejléccel'!$K:$K)</f>
        <v>0</v>
      </c>
      <c r="AB14" s="6">
        <f>SUMIF('Eredeti fejléccel'!$B:$B,'Felosztás eredménykim'!$B14,'Eredeti fejléccel'!$AB:$AB)</f>
        <v>0</v>
      </c>
      <c r="AC14" s="6">
        <f>SUMIF('Eredeti fejléccel'!$B:$B,'Felosztás eredménykim'!$B14,'Eredeti fejléccel'!$AQ:$AQ)</f>
        <v>0</v>
      </c>
      <c r="AE14" s="73">
        <f t="shared" si="1"/>
        <v>0</v>
      </c>
      <c r="AF14" s="36">
        <f t="shared" si="2"/>
        <v>0</v>
      </c>
      <c r="AG14" s="8">
        <f t="shared" si="3"/>
        <v>0</v>
      </c>
      <c r="AI14" s="6">
        <f>SUMIF('Eredeti fejléccel'!$B:$B,'Felosztás eredménykim'!$B14,'Eredeti fejléccel'!$BB:$BB)</f>
        <v>0</v>
      </c>
      <c r="AJ14" s="6">
        <f>SUMIF('Eredeti fejléccel'!$B:$B,'Felosztás eredménykim'!$B14,'Eredeti fejléccel'!$AF:$AF)</f>
        <v>0</v>
      </c>
      <c r="AK14" s="8">
        <f t="shared" si="4"/>
        <v>0</v>
      </c>
      <c r="AL14" s="36">
        <f t="shared" si="5"/>
        <v>0</v>
      </c>
      <c r="AM14" s="8">
        <f t="shared" si="6"/>
        <v>0</v>
      </c>
      <c r="AN14" s="6">
        <f t="shared" si="36"/>
        <v>0</v>
      </c>
      <c r="AO14" s="6">
        <f>SUMIF('Eredeti fejléccel'!$B:$B,'Felosztás eredménykim'!$B14,'Eredeti fejléccel'!$AC:$AC)</f>
        <v>0</v>
      </c>
      <c r="AP14" s="6">
        <f>SUMIF('Eredeti fejléccel'!$B:$B,'Felosztás eredménykim'!$B14,'Eredeti fejléccel'!$AD:$AD)</f>
        <v>0</v>
      </c>
      <c r="AQ14" s="6">
        <f>SUMIF('Eredeti fejléccel'!$B:$B,'Felosztás eredménykim'!$B14,'Eredeti fejléccel'!$AE:$AE)</f>
        <v>0</v>
      </c>
      <c r="AR14" s="6">
        <f>SUMIF('Eredeti fejléccel'!$B:$B,'Felosztás eredménykim'!$B14,'Eredeti fejléccel'!$AG:$AG)</f>
        <v>0</v>
      </c>
      <c r="AS14" s="6">
        <f t="shared" si="37"/>
        <v>0</v>
      </c>
      <c r="AT14" s="36">
        <f t="shared" si="7"/>
        <v>0</v>
      </c>
      <c r="AU14" s="8">
        <f t="shared" si="8"/>
        <v>0</v>
      </c>
      <c r="AV14" s="6">
        <f>SUMIF('Eredeti fejléccel'!$B:$B,'Felosztás eredménykim'!$B14,'Eredeti fejléccel'!$AI:$AI)</f>
        <v>0</v>
      </c>
      <c r="AW14" s="6">
        <f>SUMIF('Eredeti fejléccel'!$B:$B,'Felosztás eredménykim'!$B14,'Eredeti fejléccel'!$AJ:$AJ)</f>
        <v>0</v>
      </c>
      <c r="AX14" s="6">
        <f>SUMIF('Eredeti fejléccel'!$B:$B,'Felosztás eredménykim'!$B14,'Eredeti fejléccel'!$AK:$AK)</f>
        <v>0</v>
      </c>
      <c r="AY14" s="6">
        <f>SUMIF('Eredeti fejléccel'!$B:$B,'Felosztás eredménykim'!$B14,'Eredeti fejléccel'!$AL:$AL)</f>
        <v>0</v>
      </c>
      <c r="AZ14" s="6">
        <f>SUMIF('Eredeti fejléccel'!$B:$B,'Felosztás eredménykim'!$B14,'Eredeti fejléccel'!$AM:$AM)</f>
        <v>0</v>
      </c>
      <c r="BA14" s="6">
        <f>SUMIF('Eredeti fejléccel'!$B:$B,'Felosztás eredménykim'!$B14,'Eredeti fejléccel'!$AN:$AN)</f>
        <v>0</v>
      </c>
      <c r="BB14" s="6">
        <f>SUMIF('Eredeti fejléccel'!$B:$B,'Felosztás eredménykim'!$B14,'Eredeti fejléccel'!$AP:$AP)</f>
        <v>0</v>
      </c>
      <c r="BD14" s="6">
        <f>SUMIF('Eredeti fejléccel'!$B:$B,'Felosztás eredménykim'!$B14,'Eredeti fejléccel'!$AS:$AS)</f>
        <v>0</v>
      </c>
      <c r="BE14" s="8">
        <f t="shared" si="38"/>
        <v>0</v>
      </c>
      <c r="BF14" s="36">
        <f t="shared" si="9"/>
        <v>0</v>
      </c>
      <c r="BG14" s="8">
        <f t="shared" si="10"/>
        <v>0</v>
      </c>
      <c r="BH14" s="6">
        <f t="shared" si="39"/>
        <v>0</v>
      </c>
      <c r="BI14" s="6">
        <f>SUMIF('Eredeti fejléccel'!$B:$B,'Felosztás eredménykim'!$B14,'Eredeti fejléccel'!$AH:$AH)</f>
        <v>0</v>
      </c>
      <c r="BJ14" s="6">
        <f>SUMIF('Eredeti fejléccel'!$B:$B,'Felosztás eredménykim'!$B14,'Eredeti fejléccel'!$AO:$AO)</f>
        <v>0</v>
      </c>
      <c r="BK14" s="6">
        <f>SUMIF('Eredeti fejléccel'!$B:$B,'Felosztás eredménykim'!$B14,'Eredeti fejléccel'!$BF:$BF)</f>
        <v>0</v>
      </c>
      <c r="BL14" s="8">
        <f t="shared" si="40"/>
        <v>0</v>
      </c>
      <c r="BM14" s="36">
        <f t="shared" si="11"/>
        <v>0</v>
      </c>
      <c r="BN14" s="8">
        <f t="shared" si="12"/>
        <v>0</v>
      </c>
      <c r="BP14" s="8">
        <f t="shared" si="41"/>
        <v>0</v>
      </c>
      <c r="BQ14" s="6">
        <f>SUMIF('Eredeti fejléccel'!$B:$B,'Felosztás eredménykim'!$B14,'Eredeti fejléccel'!$N:$N)</f>
        <v>0</v>
      </c>
      <c r="BR14" s="6">
        <f>SUMIF('Eredeti fejléccel'!$B:$B,'Felosztás eredménykim'!$B14,'Eredeti fejléccel'!$S:$S)</f>
        <v>0</v>
      </c>
      <c r="BT14" s="6">
        <f>SUMIF('Eredeti fejléccel'!$B:$B,'Felosztás eredménykim'!$B14,'Eredeti fejléccel'!$AR:$AR)</f>
        <v>0</v>
      </c>
      <c r="BU14" s="6">
        <f>SUMIF('Eredeti fejléccel'!$B:$B,'Felosztás eredménykim'!$B14,'Eredeti fejléccel'!$AU:$AU)</f>
        <v>0</v>
      </c>
      <c r="BV14" s="6">
        <f>SUMIF('Eredeti fejléccel'!$B:$B,'Felosztás eredménykim'!$B14,'Eredeti fejléccel'!$AV:$AV)</f>
        <v>0</v>
      </c>
      <c r="BW14" s="6">
        <f>SUMIF('Eredeti fejléccel'!$B:$B,'Felosztás eredménykim'!$B14,'Eredeti fejléccel'!$AW:$AW)</f>
        <v>0</v>
      </c>
      <c r="BX14" s="6">
        <f>SUMIF('Eredeti fejléccel'!$B:$B,'Felosztás eredménykim'!$B14,'Eredeti fejléccel'!$AX:$AX)</f>
        <v>0</v>
      </c>
      <c r="BY14" s="6">
        <f>SUMIF('Eredeti fejléccel'!$B:$B,'Felosztás eredménykim'!$B14,'Eredeti fejléccel'!$AY:$AY)</f>
        <v>0</v>
      </c>
      <c r="BZ14" s="6">
        <f>SUMIF('Eredeti fejléccel'!$B:$B,'Felosztás eredménykim'!$B14,'Eredeti fejléccel'!$AZ:$AZ)</f>
        <v>0</v>
      </c>
      <c r="CA14" s="6">
        <f>SUMIF('Eredeti fejléccel'!$B:$B,'Felosztás eredménykim'!$B14,'Eredeti fejléccel'!$BA:$BA)</f>
        <v>0</v>
      </c>
      <c r="CB14" s="6">
        <f t="shared" si="13"/>
        <v>0</v>
      </c>
      <c r="CC14" s="36">
        <f t="shared" si="14"/>
        <v>0</v>
      </c>
      <c r="CD14" s="8">
        <f t="shared" si="15"/>
        <v>0</v>
      </c>
      <c r="CE14" s="6">
        <f>SUMIF('Eredeti fejléccel'!$B:$B,'Felosztás eredménykim'!$B14,'Eredeti fejléccel'!$BC:$BC)</f>
        <v>0</v>
      </c>
      <c r="CF14" s="8">
        <f t="shared" si="42"/>
        <v>0</v>
      </c>
      <c r="CG14" s="6">
        <f>SUMIF('Eredeti fejléccel'!$B:$B,'Felosztás eredménykim'!$B14,'Eredeti fejléccel'!$H:$H)</f>
        <v>0</v>
      </c>
      <c r="CH14" s="6">
        <f>SUMIF('Eredeti fejléccel'!$B:$B,'Felosztás eredménykim'!$B14,'Eredeti fejléccel'!$BE:$BE)</f>
        <v>0</v>
      </c>
      <c r="CI14" s="6">
        <f t="shared" si="43"/>
        <v>0</v>
      </c>
      <c r="CJ14" s="36">
        <f t="shared" si="16"/>
        <v>0</v>
      </c>
      <c r="CK14" s="8">
        <f t="shared" si="17"/>
        <v>0</v>
      </c>
      <c r="CL14" s="8">
        <f t="shared" si="44"/>
        <v>0</v>
      </c>
      <c r="CM14" s="6">
        <f>SUMIF('Eredeti fejléccel'!$B:$B,'Felosztás eredménykim'!$B14,'Eredeti fejléccel'!$BD:$BD)</f>
        <v>0</v>
      </c>
      <c r="CN14" s="8">
        <f t="shared" si="45"/>
        <v>0</v>
      </c>
      <c r="CO14" s="8">
        <f t="shared" si="18"/>
        <v>0</v>
      </c>
      <c r="CR14" s="36">
        <f t="shared" si="19"/>
        <v>0</v>
      </c>
      <c r="CS14" s="6">
        <f>SUMIF('Eredeti fejléccel'!$B:$B,'Felosztás eredménykim'!$B14,'Eredeti fejléccel'!$I:$I)</f>
        <v>0</v>
      </c>
      <c r="CT14" s="6">
        <f>SUMIF('Eredeti fejléccel'!$B:$B,'Felosztás eredménykim'!$B14,'Eredeti fejléccel'!$BG:$BG)</f>
        <v>0</v>
      </c>
      <c r="CU14" s="6">
        <f>SUMIF('Eredeti fejléccel'!$B:$B,'Felosztás eredménykim'!$B14,'Eredeti fejléccel'!$BH:$BH)</f>
        <v>0</v>
      </c>
      <c r="CV14" s="6">
        <f>SUMIF('Eredeti fejléccel'!$B:$B,'Felosztás eredménykim'!$B14,'Eredeti fejléccel'!$BI:$BI)</f>
        <v>0</v>
      </c>
      <c r="CW14" s="6">
        <f>SUMIF('Eredeti fejléccel'!$B:$B,'Felosztás eredménykim'!$B14,'Eredeti fejléccel'!$BL:$BL)</f>
        <v>0</v>
      </c>
      <c r="CX14" s="6">
        <f t="shared" si="46"/>
        <v>0</v>
      </c>
      <c r="CY14" s="6">
        <f>SUMIF('Eredeti fejléccel'!$B:$B,'Felosztás eredménykim'!$B14,'Eredeti fejléccel'!$BJ:$BJ)</f>
        <v>0</v>
      </c>
      <c r="CZ14" s="6">
        <f>SUMIF('Eredeti fejléccel'!$B:$B,'Felosztás eredménykim'!$B14,'Eredeti fejléccel'!$BK:$BK)</f>
        <v>0</v>
      </c>
      <c r="DA14" s="99">
        <f t="shared" si="47"/>
        <v>0</v>
      </c>
      <c r="DC14" s="36">
        <f t="shared" si="20"/>
        <v>0</v>
      </c>
      <c r="DD14" s="6">
        <f>SUMIF('Eredeti fejléccel'!$B:$B,'Felosztás eredménykim'!$B14,'Eredeti fejléccel'!$J:$J)</f>
        <v>0</v>
      </c>
      <c r="DE14" s="6">
        <f>SUMIF('Eredeti fejléccel'!$B:$B,'Felosztás eredménykim'!$B14,'Eredeti fejléccel'!$BM:$BM)</f>
        <v>0</v>
      </c>
      <c r="DF14" s="6">
        <f t="shared" si="48"/>
        <v>0</v>
      </c>
      <c r="DG14" s="8">
        <f t="shared" si="21"/>
        <v>0</v>
      </c>
      <c r="DH14" s="8">
        <f t="shared" si="49"/>
        <v>0</v>
      </c>
      <c r="DJ14" s="6">
        <f>SUMIF('Eredeti fejléccel'!$B:$B,'Felosztás eredménykim'!$B14,'Eredeti fejléccel'!$BN:$BN)</f>
        <v>0</v>
      </c>
      <c r="DK14" s="6">
        <f>SUMIF('Eredeti fejléccel'!$B:$B,'Felosztás eredménykim'!$B14,'Eredeti fejléccel'!$BZ:$BZ)</f>
        <v>0</v>
      </c>
      <c r="DL14" s="8">
        <f t="shared" si="50"/>
        <v>0</v>
      </c>
      <c r="DM14" s="6">
        <f>SUMIF('Eredeti fejléccel'!$B:$B,'Felosztás eredménykim'!$B14,'Eredeti fejléccel'!$BR:$BR)</f>
        <v>0</v>
      </c>
      <c r="DN14" s="6">
        <f>SUMIF('Eredeti fejléccel'!$B:$B,'Felosztás eredménykim'!$B14,'Eredeti fejléccel'!$BS:$BS)</f>
        <v>0</v>
      </c>
      <c r="DO14" s="6">
        <f>SUMIF('Eredeti fejléccel'!$B:$B,'Felosztás eredménykim'!$B14,'Eredeti fejléccel'!$BO:$BO)</f>
        <v>0</v>
      </c>
      <c r="DP14" s="6">
        <f>SUMIF('Eredeti fejléccel'!$B:$B,'Felosztás eredménykim'!$B14,'Eredeti fejléccel'!$BP:$BP)</f>
        <v>0</v>
      </c>
      <c r="DQ14" s="6">
        <f>SUMIF('Eredeti fejléccel'!$B:$B,'Felosztás eredménykim'!$B14,'Eredeti fejléccel'!$BQ:$BQ)</f>
        <v>0</v>
      </c>
      <c r="DS14" s="8"/>
      <c r="DU14" s="6">
        <f>SUMIF('Eredeti fejléccel'!$B:$B,'Felosztás eredménykim'!$B14,'Eredeti fejléccel'!$BT:$BT)</f>
        <v>0</v>
      </c>
      <c r="DV14" s="6">
        <f>SUMIF('Eredeti fejléccel'!$B:$B,'Felosztás eredménykim'!$B14,'Eredeti fejléccel'!$BU:$BU)</f>
        <v>0</v>
      </c>
      <c r="DW14" s="6">
        <f>SUMIF('Eredeti fejléccel'!$B:$B,'Felosztás eredménykim'!$B14,'Eredeti fejléccel'!$BV:$BV)</f>
        <v>0</v>
      </c>
      <c r="DX14" s="6">
        <f>SUMIF('Eredeti fejléccel'!$B:$B,'Felosztás eredménykim'!$B14,'Eredeti fejléccel'!$BW:$BW)</f>
        <v>0</v>
      </c>
      <c r="DY14" s="6">
        <f>SUMIF('Eredeti fejléccel'!$B:$B,'Felosztás eredménykim'!$B14,'Eredeti fejléccel'!$BX:$BX)</f>
        <v>0</v>
      </c>
      <c r="EA14" s="6"/>
      <c r="EC14" s="6"/>
      <c r="EE14" s="6">
        <f>SUMIF('Eredeti fejléccel'!$B:$B,'Felosztás eredménykim'!$B14,'Eredeti fejléccel'!$CA:$CA)</f>
        <v>0</v>
      </c>
      <c r="EF14" s="6">
        <f>SUMIF('Eredeti fejléccel'!$B:$B,'Felosztás eredménykim'!$B14,'Eredeti fejléccel'!$CB:$CB)</f>
        <v>0</v>
      </c>
      <c r="EG14" s="6">
        <f>SUMIF('Eredeti fejléccel'!$B:$B,'Felosztás eredménykim'!$B14,'Eredeti fejléccel'!$CC:$CC)</f>
        <v>0</v>
      </c>
      <c r="EH14" s="6">
        <f>SUMIF('Eredeti fejléccel'!$B:$B,'Felosztás eredménykim'!$B14,'Eredeti fejléccel'!$CD:$CD)</f>
        <v>0</v>
      </c>
      <c r="EK14" s="6">
        <f>SUMIF('Eredeti fejléccel'!$B:$B,'Felosztás eredménykim'!$B14,'Eredeti fejléccel'!$CE:$CE)</f>
        <v>0</v>
      </c>
      <c r="EN14" s="6">
        <f>SUMIF('Eredeti fejléccel'!$B:$B,'Felosztás eredménykim'!$B14,'Eredeti fejléccel'!$CF:$CF)</f>
        <v>0</v>
      </c>
      <c r="EP14" s="6">
        <f>SUMIF('Eredeti fejléccel'!$B:$B,'Felosztás eredménykim'!$B14,'Eredeti fejléccel'!$CG:$CG)</f>
        <v>0</v>
      </c>
      <c r="ES14" s="6">
        <f>SUMIF('Eredeti fejléccel'!$B:$B,'Felosztás eredménykim'!$B14,'Eredeti fejléccel'!$CH:$CH)</f>
        <v>0</v>
      </c>
      <c r="ET14" s="6">
        <f>SUMIF('Eredeti fejléccel'!$B:$B,'Felosztás eredménykim'!$B14,'Eredeti fejléccel'!$CI:$CI)</f>
        <v>0</v>
      </c>
      <c r="EW14" s="8">
        <f t="shared" si="22"/>
        <v>0</v>
      </c>
      <c r="EX14" s="8">
        <f t="shared" si="51"/>
        <v>0</v>
      </c>
      <c r="EY14" s="8">
        <f t="shared" si="52"/>
        <v>0</v>
      </c>
      <c r="EZ14" s="8">
        <f t="shared" si="23"/>
        <v>0</v>
      </c>
      <c r="FA14" s="8">
        <f t="shared" si="24"/>
        <v>0</v>
      </c>
      <c r="FC14" s="6">
        <f>SUMIF('Eredeti fejléccel'!$B:$B,'Felosztás eredménykim'!$B14,'Eredeti fejléccel'!$L:$L)</f>
        <v>0</v>
      </c>
      <c r="FD14" s="6">
        <f>SUMIF('Eredeti fejléccel'!$B:$B,'Felosztás eredménykim'!$B14,'Eredeti fejléccel'!$CJ:$CJ)</f>
        <v>0</v>
      </c>
      <c r="FE14" s="6">
        <f>SUMIF('Eredeti fejléccel'!$B:$B,'Felosztás eredménykim'!$B14,'Eredeti fejléccel'!$CL:$CL)</f>
        <v>0</v>
      </c>
      <c r="FG14" s="99">
        <f t="shared" si="53"/>
        <v>0</v>
      </c>
      <c r="FH14" s="6">
        <f>SUMIF('Eredeti fejléccel'!$B:$B,'Felosztás eredménykim'!$B14,'Eredeti fejléccel'!$CK:$CK)</f>
        <v>0</v>
      </c>
      <c r="FI14" s="36">
        <f t="shared" si="25"/>
        <v>0</v>
      </c>
      <c r="FJ14" s="101">
        <f t="shared" si="26"/>
        <v>0</v>
      </c>
      <c r="FK14" s="6">
        <f>SUMIF('Eredeti fejléccel'!$B:$B,'Felosztás eredménykim'!$B14,'Eredeti fejléccel'!$CM:$CM)</f>
        <v>0</v>
      </c>
      <c r="FL14" s="6">
        <f>SUMIF('Eredeti fejléccel'!$B:$B,'Felosztás eredménykim'!$B14,'Eredeti fejléccel'!$CN:$CN)</f>
        <v>0</v>
      </c>
      <c r="FM14" s="8">
        <f t="shared" si="54"/>
        <v>0</v>
      </c>
      <c r="FN14" s="36">
        <f t="shared" si="27"/>
        <v>0</v>
      </c>
      <c r="FO14" s="101">
        <f t="shared" si="28"/>
        <v>0</v>
      </c>
      <c r="FP14" s="6">
        <f>SUMIF('Eredeti fejléccel'!$B:$B,'Felosztás eredménykim'!$B14,'Eredeti fejléccel'!$CO:$CO)</f>
        <v>0</v>
      </c>
      <c r="FQ14" s="6">
        <f>'Eredeti fejléccel'!CP14</f>
        <v>0</v>
      </c>
      <c r="FR14" s="6">
        <f>'Eredeti fejléccel'!CQ14</f>
        <v>0</v>
      </c>
      <c r="FS14" s="103">
        <f t="shared" si="55"/>
        <v>0</v>
      </c>
      <c r="FT14" s="36">
        <f t="shared" si="29"/>
        <v>0</v>
      </c>
      <c r="FU14" s="101">
        <f t="shared" si="30"/>
        <v>0</v>
      </c>
      <c r="FV14" s="101"/>
      <c r="FW14" s="6">
        <f>SUMIF('Eredeti fejléccel'!$B:$B,'Felosztás eredménykim'!$B14,'Eredeti fejléccel'!$CR:$CR)</f>
        <v>0</v>
      </c>
      <c r="FX14" s="6">
        <f>SUMIF('Eredeti fejléccel'!$B:$B,'Felosztás eredménykim'!$B14,'Eredeti fejléccel'!$CS:$CS)</f>
        <v>0</v>
      </c>
      <c r="FY14" s="6">
        <f>SUMIF('Eredeti fejléccel'!$B:$B,'Felosztás eredménykim'!$B14,'Eredeti fejléccel'!$CT:$CT)</f>
        <v>0</v>
      </c>
      <c r="FZ14" s="6">
        <f>SUMIF('Eredeti fejléccel'!$B:$B,'Felosztás eredménykim'!$B14,'Eredeti fejléccel'!$CU:$CU)</f>
        <v>0</v>
      </c>
      <c r="GA14" s="103">
        <f t="shared" si="56"/>
        <v>0</v>
      </c>
      <c r="GB14" s="36">
        <f t="shared" si="31"/>
        <v>0</v>
      </c>
      <c r="GC14" s="101">
        <f t="shared" si="32"/>
        <v>0</v>
      </c>
      <c r="GD14" s="6">
        <f>SUMIF('Eredeti fejléccel'!$B:$B,'Felosztás eredménykim'!$B14,'Eredeti fejléccel'!$CV:$CV)</f>
        <v>0</v>
      </c>
      <c r="GE14" s="6">
        <f>SUMIF('Eredeti fejléccel'!$B:$B,'Felosztás eredménykim'!$B14,'Eredeti fejléccel'!$CW:$CW)</f>
        <v>0</v>
      </c>
      <c r="GF14" s="103">
        <f t="shared" si="57"/>
        <v>0</v>
      </c>
      <c r="GG14" s="36">
        <f t="shared" si="33"/>
        <v>0</v>
      </c>
      <c r="GM14" s="6">
        <f>SUMIF('Eredeti fejléccel'!$B:$B,'Felosztás eredménykim'!$B14,'Eredeti fejléccel'!$CX:$CX)</f>
        <v>0</v>
      </c>
      <c r="GN14" s="6">
        <f>SUMIF('Eredeti fejléccel'!$B:$B,'Felosztás eredménykim'!$B14,'Eredeti fejléccel'!$CY:$CY)</f>
        <v>0</v>
      </c>
      <c r="GO14" s="6">
        <f>SUMIF('Eredeti fejléccel'!$B:$B,'Felosztás eredménykim'!$B14,'Eredeti fejléccel'!$CZ:$CZ)</f>
        <v>0</v>
      </c>
      <c r="GP14" s="6">
        <f>SUMIF('Eredeti fejléccel'!$B:$B,'Felosztás eredménykim'!$B14,'Eredeti fejléccel'!$DA:$DA)</f>
        <v>0</v>
      </c>
      <c r="GQ14" s="6">
        <f>SUMIF('Eredeti fejléccel'!$B:$B,'Felosztás eredménykim'!$B14,'Eredeti fejléccel'!$DB:$DB)</f>
        <v>0</v>
      </c>
      <c r="GR14" s="103">
        <f t="shared" si="58"/>
        <v>0</v>
      </c>
      <c r="GW14" s="36">
        <f t="shared" si="34"/>
        <v>0</v>
      </c>
      <c r="GX14" s="6">
        <f>SUMIF('Eredeti fejléccel'!$B:$B,'Felosztás eredménykim'!$B14,'Eredeti fejléccel'!$M:$M)</f>
        <v>0</v>
      </c>
      <c r="GY14" s="6">
        <f>SUMIF('Eredeti fejléccel'!$B:$B,'Felosztás eredménykim'!$B14,'Eredeti fejléccel'!$DC:$DC)</f>
        <v>0</v>
      </c>
      <c r="GZ14" s="6">
        <f>SUMIF('Eredeti fejléccel'!$B:$B,'Felosztás eredménykim'!$B14,'Eredeti fejléccel'!$DD:$DD)</f>
        <v>0</v>
      </c>
      <c r="HA14" s="6">
        <f>SUMIF('Eredeti fejléccel'!$B:$B,'Felosztás eredménykim'!$B14,'Eredeti fejléccel'!$DE:$DE)</f>
        <v>0</v>
      </c>
      <c r="HB14" s="103">
        <f t="shared" si="59"/>
        <v>0</v>
      </c>
      <c r="HD14" s="9">
        <f t="shared" si="35"/>
        <v>0</v>
      </c>
      <c r="HE14" s="9"/>
      <c r="HF14" s="476"/>
      <c r="HH14" s="34">
        <f t="shared" si="60"/>
        <v>0</v>
      </c>
    </row>
    <row r="15" spans="1:232" x14ac:dyDescent="0.25">
      <c r="A15" s="4" t="s">
        <v>71</v>
      </c>
      <c r="B15" s="4" t="s">
        <v>71</v>
      </c>
      <c r="C15" s="1" t="s">
        <v>72</v>
      </c>
      <c r="D15" s="6">
        <f>SUMIF('Eredeti fejléccel'!$B:$B,'Felosztás eredménykim'!$B15,'Eredeti fejléccel'!$D:$D)</f>
        <v>0</v>
      </c>
      <c r="E15" s="6">
        <f>SUMIF('Eredeti fejléccel'!$B:$B,'Felosztás eredménykim'!$B15,'Eredeti fejléccel'!$E:$E)</f>
        <v>0</v>
      </c>
      <c r="F15" s="6">
        <f>SUMIF('Eredeti fejléccel'!$B:$B,'Felosztás eredménykim'!$B15,'Eredeti fejléccel'!$F:$F)</f>
        <v>0</v>
      </c>
      <c r="G15" s="6">
        <f>SUMIF('Eredeti fejléccel'!$B:$B,'Felosztás eredménykim'!$B15,'Eredeti fejléccel'!$G:$G)</f>
        <v>0</v>
      </c>
      <c r="H15" s="6"/>
      <c r="I15" s="6">
        <f>SUMIF('Eredeti fejléccel'!$B:$B,'Felosztás eredménykim'!$B15,'Eredeti fejléccel'!$O:$O)</f>
        <v>0</v>
      </c>
      <c r="J15" s="6">
        <f>SUMIF('Eredeti fejléccel'!$B:$B,'Felosztás eredménykim'!$B15,'Eredeti fejléccel'!$P:$P)</f>
        <v>0</v>
      </c>
      <c r="K15" s="6">
        <f>SUMIF('Eredeti fejléccel'!$B:$B,'Felosztás eredménykim'!$B15,'Eredeti fejléccel'!$Q:$Q)</f>
        <v>0</v>
      </c>
      <c r="L15" s="6">
        <f>SUMIF('Eredeti fejléccel'!$B:$B,'Felosztás eredménykim'!$B15,'Eredeti fejléccel'!$R:$R)</f>
        <v>0</v>
      </c>
      <c r="M15" s="6">
        <f>SUMIF('Eredeti fejléccel'!$B:$B,'Felosztás eredménykim'!$B15,'Eredeti fejléccel'!$T:$T)</f>
        <v>0</v>
      </c>
      <c r="N15" s="6">
        <f>SUMIF('Eredeti fejléccel'!$B:$B,'Felosztás eredménykim'!$B15,'Eredeti fejléccel'!$U:$U)</f>
        <v>0</v>
      </c>
      <c r="O15" s="6">
        <f>SUMIF('Eredeti fejléccel'!$B:$B,'Felosztás eredménykim'!$B15,'Eredeti fejléccel'!$V:$V)</f>
        <v>0</v>
      </c>
      <c r="P15" s="6">
        <f>SUMIF('Eredeti fejléccel'!$B:$B,'Felosztás eredménykim'!$B15,'Eredeti fejléccel'!$W:$W)</f>
        <v>0</v>
      </c>
      <c r="Q15" s="6">
        <f>SUMIF('Eredeti fejléccel'!$B:$B,'Felosztás eredménykim'!$B15,'Eredeti fejléccel'!$X:$X)</f>
        <v>0</v>
      </c>
      <c r="R15" s="6">
        <f>SUMIF('Eredeti fejléccel'!$B:$B,'Felosztás eredménykim'!$B15,'Eredeti fejléccel'!$Y:$Y)</f>
        <v>0</v>
      </c>
      <c r="S15" s="6">
        <f>SUMIF('Eredeti fejléccel'!$B:$B,'Felosztás eredménykim'!$B15,'Eredeti fejléccel'!$Z:$Z)</f>
        <v>0</v>
      </c>
      <c r="T15" s="6">
        <f>SUMIF('Eredeti fejléccel'!$B:$B,'Felosztás eredménykim'!$B15,'Eredeti fejléccel'!$AA:$AA)</f>
        <v>0</v>
      </c>
      <c r="U15" s="6">
        <f>SUMIF('Eredeti fejléccel'!$B:$B,'Felosztás eredménykim'!$B15,'Eredeti fejléccel'!$D:$D)</f>
        <v>0</v>
      </c>
      <c r="V15" s="6">
        <f>SUMIF('Eredeti fejléccel'!$B:$B,'Felosztás eredménykim'!$B15,'Eredeti fejléccel'!$AT:$AT)</f>
        <v>0</v>
      </c>
      <c r="X15" s="36">
        <f t="shared" si="0"/>
        <v>0</v>
      </c>
      <c r="Z15" s="6">
        <f>SUMIF('Eredeti fejléccel'!$B:$B,'Felosztás eredménykim'!$B15,'Eredeti fejléccel'!$K:$K)</f>
        <v>0</v>
      </c>
      <c r="AB15" s="6">
        <f>SUMIF('Eredeti fejléccel'!$B:$B,'Felosztás eredménykim'!$B15,'Eredeti fejléccel'!$AB:$AB)</f>
        <v>0</v>
      </c>
      <c r="AC15" s="6">
        <f>SUMIF('Eredeti fejléccel'!$B:$B,'Felosztás eredménykim'!$B15,'Eredeti fejléccel'!$AQ:$AQ)</f>
        <v>0</v>
      </c>
      <c r="AE15" s="73">
        <f t="shared" si="1"/>
        <v>0</v>
      </c>
      <c r="AF15" s="36">
        <f t="shared" si="2"/>
        <v>0</v>
      </c>
      <c r="AG15" s="8">
        <f t="shared" si="3"/>
        <v>0</v>
      </c>
      <c r="AI15" s="6">
        <f>SUMIF('Eredeti fejléccel'!$B:$B,'Felosztás eredménykim'!$B15,'Eredeti fejléccel'!$BB:$BB)</f>
        <v>611150</v>
      </c>
      <c r="AJ15" s="6">
        <f>SUMIF('Eredeti fejléccel'!$B:$B,'Felosztás eredménykim'!$B15,'Eredeti fejléccel'!$AF:$AF)</f>
        <v>0</v>
      </c>
      <c r="AK15" s="8">
        <f t="shared" si="4"/>
        <v>611150</v>
      </c>
      <c r="AL15" s="36">
        <f t="shared" si="5"/>
        <v>0</v>
      </c>
      <c r="AM15" s="8">
        <f t="shared" si="6"/>
        <v>0</v>
      </c>
      <c r="AN15" s="6">
        <f t="shared" si="36"/>
        <v>0</v>
      </c>
      <c r="AO15" s="6">
        <f>SUMIF('Eredeti fejléccel'!$B:$B,'Felosztás eredménykim'!$B15,'Eredeti fejléccel'!$AC:$AC)</f>
        <v>0</v>
      </c>
      <c r="AP15" s="6">
        <f>SUMIF('Eredeti fejléccel'!$B:$B,'Felosztás eredménykim'!$B15,'Eredeti fejléccel'!$AD:$AD)</f>
        <v>0</v>
      </c>
      <c r="AQ15" s="6">
        <f>SUMIF('Eredeti fejléccel'!$B:$B,'Felosztás eredménykim'!$B15,'Eredeti fejléccel'!$AE:$AE)</f>
        <v>0</v>
      </c>
      <c r="AR15" s="6">
        <f>SUMIF('Eredeti fejléccel'!$B:$B,'Felosztás eredménykim'!$B15,'Eredeti fejléccel'!$AG:$AG)</f>
        <v>0</v>
      </c>
      <c r="AS15" s="6">
        <f t="shared" si="37"/>
        <v>0</v>
      </c>
      <c r="AT15" s="36">
        <f t="shared" si="7"/>
        <v>0</v>
      </c>
      <c r="AU15" s="8">
        <f t="shared" si="8"/>
        <v>0</v>
      </c>
      <c r="AV15" s="6">
        <f>SUMIF('Eredeti fejléccel'!$B:$B,'Felosztás eredménykim'!$B15,'Eredeti fejléccel'!$AI:$AI)</f>
        <v>0</v>
      </c>
      <c r="AW15" s="6">
        <f>SUMIF('Eredeti fejléccel'!$B:$B,'Felosztás eredménykim'!$B15,'Eredeti fejléccel'!$AJ:$AJ)</f>
        <v>0</v>
      </c>
      <c r="AX15" s="6">
        <f>SUMIF('Eredeti fejléccel'!$B:$B,'Felosztás eredménykim'!$B15,'Eredeti fejléccel'!$AK:$AK)</f>
        <v>0</v>
      </c>
      <c r="AY15" s="6">
        <f>SUMIF('Eredeti fejléccel'!$B:$B,'Felosztás eredménykim'!$B15,'Eredeti fejléccel'!$AL:$AL)</f>
        <v>0</v>
      </c>
      <c r="AZ15" s="6">
        <f>SUMIF('Eredeti fejléccel'!$B:$B,'Felosztás eredménykim'!$B15,'Eredeti fejléccel'!$AM:$AM)</f>
        <v>0</v>
      </c>
      <c r="BA15" s="6">
        <f>SUMIF('Eredeti fejléccel'!$B:$B,'Felosztás eredménykim'!$B15,'Eredeti fejléccel'!$AN:$AN)</f>
        <v>0</v>
      </c>
      <c r="BB15" s="6">
        <f>SUMIF('Eredeti fejléccel'!$B:$B,'Felosztás eredménykim'!$B15,'Eredeti fejléccel'!$AP:$AP)</f>
        <v>0</v>
      </c>
      <c r="BD15" s="6">
        <f>SUMIF('Eredeti fejléccel'!$B:$B,'Felosztás eredménykim'!$B15,'Eredeti fejléccel'!$AS:$AS)</f>
        <v>0</v>
      </c>
      <c r="BE15" s="8">
        <f t="shared" si="38"/>
        <v>0</v>
      </c>
      <c r="BF15" s="36">
        <f t="shared" si="9"/>
        <v>0</v>
      </c>
      <c r="BG15" s="8">
        <f t="shared" si="10"/>
        <v>0</v>
      </c>
      <c r="BH15" s="6">
        <f t="shared" si="39"/>
        <v>0</v>
      </c>
      <c r="BI15" s="6">
        <f>SUMIF('Eredeti fejléccel'!$B:$B,'Felosztás eredménykim'!$B15,'Eredeti fejléccel'!$AH:$AH)</f>
        <v>0</v>
      </c>
      <c r="BJ15" s="6">
        <f>SUMIF('Eredeti fejléccel'!$B:$B,'Felosztás eredménykim'!$B15,'Eredeti fejléccel'!$AO:$AO)</f>
        <v>0</v>
      </c>
      <c r="BK15" s="6">
        <f>SUMIF('Eredeti fejléccel'!$B:$B,'Felosztás eredménykim'!$B15,'Eredeti fejléccel'!$BF:$BF)</f>
        <v>0</v>
      </c>
      <c r="BL15" s="8">
        <f t="shared" si="40"/>
        <v>0</v>
      </c>
      <c r="BM15" s="36">
        <f t="shared" si="11"/>
        <v>0</v>
      </c>
      <c r="BN15" s="8">
        <f t="shared" si="12"/>
        <v>0</v>
      </c>
      <c r="BP15" s="8">
        <f t="shared" si="41"/>
        <v>0</v>
      </c>
      <c r="BQ15" s="6">
        <f>SUMIF('Eredeti fejléccel'!$B:$B,'Felosztás eredménykim'!$B15,'Eredeti fejléccel'!$N:$N)</f>
        <v>0</v>
      </c>
      <c r="BR15" s="6">
        <f>SUMIF('Eredeti fejléccel'!$B:$B,'Felosztás eredménykim'!$B15,'Eredeti fejléccel'!$S:$S)</f>
        <v>0</v>
      </c>
      <c r="BT15" s="6">
        <f>SUMIF('Eredeti fejléccel'!$B:$B,'Felosztás eredménykim'!$B15,'Eredeti fejléccel'!$AR:$AR)</f>
        <v>0</v>
      </c>
      <c r="BU15" s="6">
        <f>SUMIF('Eredeti fejléccel'!$B:$B,'Felosztás eredménykim'!$B15,'Eredeti fejléccel'!$AU:$AU)</f>
        <v>0</v>
      </c>
      <c r="BV15" s="6">
        <f>SUMIF('Eredeti fejléccel'!$B:$B,'Felosztás eredménykim'!$B15,'Eredeti fejléccel'!$AV:$AV)</f>
        <v>0</v>
      </c>
      <c r="BW15" s="6">
        <f>SUMIF('Eredeti fejléccel'!$B:$B,'Felosztás eredménykim'!$B15,'Eredeti fejléccel'!$AW:$AW)</f>
        <v>0</v>
      </c>
      <c r="BX15" s="6">
        <f>SUMIF('Eredeti fejléccel'!$B:$B,'Felosztás eredménykim'!$B15,'Eredeti fejléccel'!$AX:$AX)</f>
        <v>0</v>
      </c>
      <c r="BY15" s="6">
        <f>SUMIF('Eredeti fejléccel'!$B:$B,'Felosztás eredménykim'!$B15,'Eredeti fejléccel'!$AY:$AY)</f>
        <v>0</v>
      </c>
      <c r="BZ15" s="6">
        <f>SUMIF('Eredeti fejléccel'!$B:$B,'Felosztás eredménykim'!$B15,'Eredeti fejléccel'!$AZ:$AZ)</f>
        <v>0</v>
      </c>
      <c r="CA15" s="6">
        <f>SUMIF('Eredeti fejléccel'!$B:$B,'Felosztás eredménykim'!$B15,'Eredeti fejléccel'!$BA:$BA)</f>
        <v>172262</v>
      </c>
      <c r="CB15" s="6">
        <f t="shared" si="13"/>
        <v>172262</v>
      </c>
      <c r="CC15" s="36">
        <f t="shared" si="14"/>
        <v>0</v>
      </c>
      <c r="CD15" s="8">
        <f t="shared" si="15"/>
        <v>0</v>
      </c>
      <c r="CE15" s="6">
        <f>SUMIF('Eredeti fejléccel'!$B:$B,'Felosztás eredménykim'!$B15,'Eredeti fejléccel'!$BC:$BC)</f>
        <v>0</v>
      </c>
      <c r="CF15" s="8">
        <f t="shared" si="42"/>
        <v>0</v>
      </c>
      <c r="CG15" s="6">
        <f>SUMIF('Eredeti fejléccel'!$B:$B,'Felosztás eredménykim'!$B15,'Eredeti fejléccel'!$H:$H)</f>
        <v>0</v>
      </c>
      <c r="CH15" s="6">
        <f>SUMIF('Eredeti fejléccel'!$B:$B,'Felosztás eredménykim'!$B15,'Eredeti fejléccel'!$BE:$BE)</f>
        <v>0</v>
      </c>
      <c r="CI15" s="6">
        <f t="shared" si="43"/>
        <v>0</v>
      </c>
      <c r="CJ15" s="36">
        <f t="shared" si="16"/>
        <v>0</v>
      </c>
      <c r="CK15" s="8">
        <f t="shared" si="17"/>
        <v>0</v>
      </c>
      <c r="CL15" s="8">
        <f t="shared" si="44"/>
        <v>0</v>
      </c>
      <c r="CM15" s="6">
        <f>SUMIF('Eredeti fejléccel'!$B:$B,'Felosztás eredménykim'!$B15,'Eredeti fejléccel'!$BD:$BD)</f>
        <v>0</v>
      </c>
      <c r="CN15" s="8">
        <f t="shared" si="45"/>
        <v>0</v>
      </c>
      <c r="CO15" s="8">
        <f t="shared" si="18"/>
        <v>783412</v>
      </c>
      <c r="CR15" s="36">
        <f t="shared" si="19"/>
        <v>0</v>
      </c>
      <c r="CS15" s="6">
        <f>SUMIF('Eredeti fejléccel'!$B:$B,'Felosztás eredménykim'!$B15,'Eredeti fejléccel'!$I:$I)</f>
        <v>0</v>
      </c>
      <c r="CT15" s="6">
        <f>SUMIF('Eredeti fejléccel'!$B:$B,'Felosztás eredménykim'!$B15,'Eredeti fejléccel'!$BG:$BG)</f>
        <v>0</v>
      </c>
      <c r="CU15" s="6">
        <f>SUMIF('Eredeti fejléccel'!$B:$B,'Felosztás eredménykim'!$B15,'Eredeti fejléccel'!$BH:$BH)</f>
        <v>0</v>
      </c>
      <c r="CV15" s="6">
        <f>SUMIF('Eredeti fejléccel'!$B:$B,'Felosztás eredménykim'!$B15,'Eredeti fejléccel'!$BI:$BI)</f>
        <v>0</v>
      </c>
      <c r="CW15" s="6">
        <f>SUMIF('Eredeti fejléccel'!$B:$B,'Felosztás eredménykim'!$B15,'Eredeti fejléccel'!$BL:$BL)</f>
        <v>648902.69000000006</v>
      </c>
      <c r="CX15" s="6">
        <f t="shared" si="46"/>
        <v>648902.69000000006</v>
      </c>
      <c r="CY15" s="6">
        <f>SUMIF('Eredeti fejléccel'!$B:$B,'Felosztás eredménykim'!$B15,'Eredeti fejléccel'!$BJ:$BJ)</f>
        <v>96962.310000000012</v>
      </c>
      <c r="CZ15" s="6">
        <f>SUMIF('Eredeti fejléccel'!$B:$B,'Felosztás eredménykim'!$B15,'Eredeti fejléccel'!$BK:$BK)</f>
        <v>0</v>
      </c>
      <c r="DA15" s="99">
        <f t="shared" si="47"/>
        <v>745865.00000000012</v>
      </c>
      <c r="DC15" s="36">
        <f t="shared" si="20"/>
        <v>0</v>
      </c>
      <c r="DD15" s="6">
        <f>SUMIF('Eredeti fejléccel'!$B:$B,'Felosztás eredménykim'!$B15,'Eredeti fejléccel'!$J:$J)</f>
        <v>0</v>
      </c>
      <c r="DE15" s="6">
        <f>SUMIF('Eredeti fejléccel'!$B:$B,'Felosztás eredménykim'!$B15,'Eredeti fejléccel'!$BM:$BM)</f>
        <v>971787</v>
      </c>
      <c r="DF15" s="6">
        <f t="shared" si="48"/>
        <v>0</v>
      </c>
      <c r="DG15" s="8">
        <f t="shared" si="21"/>
        <v>0</v>
      </c>
      <c r="DH15" s="8">
        <f t="shared" si="49"/>
        <v>971787</v>
      </c>
      <c r="DJ15" s="6">
        <f>SUMIF('Eredeti fejléccel'!$B:$B,'Felosztás eredménykim'!$B15,'Eredeti fejléccel'!$BN:$BN)</f>
        <v>0</v>
      </c>
      <c r="DK15" s="6">
        <f>SUMIF('Eredeti fejléccel'!$B:$B,'Felosztás eredménykim'!$B15,'Eredeti fejléccel'!$BZ:$BZ)</f>
        <v>0</v>
      </c>
      <c r="DL15" s="8">
        <f t="shared" si="50"/>
        <v>0</v>
      </c>
      <c r="DM15" s="6">
        <f>SUMIF('Eredeti fejléccel'!$B:$B,'Felosztás eredménykim'!$B15,'Eredeti fejléccel'!$BR:$BR)</f>
        <v>0</v>
      </c>
      <c r="DN15" s="6">
        <f>SUMIF('Eredeti fejléccel'!$B:$B,'Felosztás eredménykim'!$B15,'Eredeti fejléccel'!$BS:$BS)</f>
        <v>0</v>
      </c>
      <c r="DO15" s="6">
        <f>SUMIF('Eredeti fejléccel'!$B:$B,'Felosztás eredménykim'!$B15,'Eredeti fejléccel'!$BO:$BO)</f>
        <v>0</v>
      </c>
      <c r="DP15" s="6">
        <f>SUMIF('Eredeti fejléccel'!$B:$B,'Felosztás eredménykim'!$B15,'Eredeti fejléccel'!$BP:$BP)</f>
        <v>0</v>
      </c>
      <c r="DQ15" s="6">
        <f>SUMIF('Eredeti fejléccel'!$B:$B,'Felosztás eredménykim'!$B15,'Eredeti fejléccel'!$BQ:$BQ)</f>
        <v>0</v>
      </c>
      <c r="DS15" s="8"/>
      <c r="DU15" s="6">
        <f>SUMIF('Eredeti fejléccel'!$B:$B,'Felosztás eredménykim'!$B15,'Eredeti fejléccel'!$BT:$BT)</f>
        <v>0</v>
      </c>
      <c r="DV15" s="6">
        <f>SUMIF('Eredeti fejléccel'!$B:$B,'Felosztás eredménykim'!$B15,'Eredeti fejléccel'!$BU:$BU)</f>
        <v>0</v>
      </c>
      <c r="DW15" s="6">
        <f>SUMIF('Eredeti fejléccel'!$B:$B,'Felosztás eredménykim'!$B15,'Eredeti fejléccel'!$BV:$BV)</f>
        <v>0</v>
      </c>
      <c r="DX15" s="6">
        <f>SUMIF('Eredeti fejléccel'!$B:$B,'Felosztás eredménykim'!$B15,'Eredeti fejléccel'!$BW:$BW)</f>
        <v>0</v>
      </c>
      <c r="DY15" s="6">
        <f>SUMIF('Eredeti fejléccel'!$B:$B,'Felosztás eredménykim'!$B15,'Eredeti fejléccel'!$BX:$BX)</f>
        <v>0</v>
      </c>
      <c r="EA15" s="6"/>
      <c r="EC15" s="6"/>
      <c r="EE15" s="6">
        <f>SUMIF('Eredeti fejléccel'!$B:$B,'Felosztás eredménykim'!$B15,'Eredeti fejléccel'!$CA:$CA)</f>
        <v>0</v>
      </c>
      <c r="EF15" s="6">
        <f>SUMIF('Eredeti fejléccel'!$B:$B,'Felosztás eredménykim'!$B15,'Eredeti fejléccel'!$CB:$CB)</f>
        <v>0</v>
      </c>
      <c r="EG15" s="6">
        <f>SUMIF('Eredeti fejléccel'!$B:$B,'Felosztás eredménykim'!$B15,'Eredeti fejléccel'!$CC:$CC)</f>
        <v>0</v>
      </c>
      <c r="EH15" s="6">
        <f>SUMIF('Eredeti fejléccel'!$B:$B,'Felosztás eredménykim'!$B15,'Eredeti fejléccel'!$CD:$CD)</f>
        <v>0</v>
      </c>
      <c r="EK15" s="6">
        <f>SUMIF('Eredeti fejléccel'!$B:$B,'Felosztás eredménykim'!$B15,'Eredeti fejléccel'!$CE:$CE)</f>
        <v>0</v>
      </c>
      <c r="EN15" s="6">
        <f>SUMIF('Eredeti fejléccel'!$B:$B,'Felosztás eredménykim'!$B15,'Eredeti fejléccel'!$CF:$CF)</f>
        <v>0</v>
      </c>
      <c r="EP15" s="6">
        <f>SUMIF('Eredeti fejléccel'!$B:$B,'Felosztás eredménykim'!$B15,'Eredeti fejléccel'!$CG:$CG)</f>
        <v>0</v>
      </c>
      <c r="ES15" s="6">
        <f>SUMIF('Eredeti fejléccel'!$B:$B,'Felosztás eredménykim'!$B15,'Eredeti fejléccel'!$CH:$CH)</f>
        <v>0</v>
      </c>
      <c r="ET15" s="6">
        <f>SUMIF('Eredeti fejléccel'!$B:$B,'Felosztás eredménykim'!$B15,'Eredeti fejléccel'!$CI:$CI)</f>
        <v>0</v>
      </c>
      <c r="EW15" s="8">
        <f t="shared" si="22"/>
        <v>0</v>
      </c>
      <c r="EX15" s="8">
        <f t="shared" si="51"/>
        <v>0</v>
      </c>
      <c r="EY15" s="8">
        <f t="shared" si="52"/>
        <v>971787</v>
      </c>
      <c r="EZ15" s="8">
        <f t="shared" si="23"/>
        <v>971787</v>
      </c>
      <c r="FA15" s="8">
        <f t="shared" si="24"/>
        <v>971787</v>
      </c>
      <c r="FC15" s="6">
        <f>SUMIF('Eredeti fejléccel'!$B:$B,'Felosztás eredménykim'!$B15,'Eredeti fejléccel'!$L:$L)</f>
        <v>0</v>
      </c>
      <c r="FD15" s="6">
        <f>SUMIF('Eredeti fejléccel'!$B:$B,'Felosztás eredménykim'!$B15,'Eredeti fejléccel'!$CJ:$CJ)</f>
        <v>0</v>
      </c>
      <c r="FE15" s="6">
        <f>SUMIF('Eredeti fejléccel'!$B:$B,'Felosztás eredménykim'!$B15,'Eredeti fejléccel'!$CL:$CL)</f>
        <v>0</v>
      </c>
      <c r="FG15" s="99">
        <f t="shared" si="53"/>
        <v>0</v>
      </c>
      <c r="FH15" s="6">
        <f>SUMIF('Eredeti fejléccel'!$B:$B,'Felosztás eredménykim'!$B15,'Eredeti fejléccel'!$CK:$CK)</f>
        <v>0</v>
      </c>
      <c r="FI15" s="36">
        <f t="shared" si="25"/>
        <v>0</v>
      </c>
      <c r="FJ15" s="101">
        <f t="shared" si="26"/>
        <v>0</v>
      </c>
      <c r="FK15" s="6">
        <f>SUMIF('Eredeti fejléccel'!$B:$B,'Felosztás eredménykim'!$B15,'Eredeti fejléccel'!$CM:$CM)</f>
        <v>0</v>
      </c>
      <c r="FL15" s="6">
        <f>SUMIF('Eredeti fejléccel'!$B:$B,'Felosztás eredménykim'!$B15,'Eredeti fejléccel'!$CN:$CN)</f>
        <v>0</v>
      </c>
      <c r="FM15" s="8">
        <f t="shared" si="54"/>
        <v>0</v>
      </c>
      <c r="FN15" s="36">
        <f t="shared" si="27"/>
        <v>0</v>
      </c>
      <c r="FO15" s="101">
        <f t="shared" si="28"/>
        <v>0</v>
      </c>
      <c r="FP15" s="6">
        <f>SUMIF('Eredeti fejléccel'!$B:$B,'Felosztás eredménykim'!$B15,'Eredeti fejléccel'!$CO:$CO)</f>
        <v>383236</v>
      </c>
      <c r="FQ15" s="6">
        <f>'Eredeti fejléccel'!CP15</f>
        <v>289251</v>
      </c>
      <c r="FR15" s="6">
        <f>'Eredeti fejléccel'!CQ15</f>
        <v>0</v>
      </c>
      <c r="FS15" s="103">
        <f t="shared" si="55"/>
        <v>672487</v>
      </c>
      <c r="FT15" s="36">
        <f t="shared" si="29"/>
        <v>0</v>
      </c>
      <c r="FU15" s="101">
        <f t="shared" si="30"/>
        <v>0</v>
      </c>
      <c r="FV15" s="101"/>
      <c r="FW15" s="6">
        <f>SUMIF('Eredeti fejléccel'!$B:$B,'Felosztás eredménykim'!$B15,'Eredeti fejléccel'!$CR:$CR)</f>
        <v>2880835</v>
      </c>
      <c r="FX15" s="6">
        <f>SUMIF('Eredeti fejléccel'!$B:$B,'Felosztás eredménykim'!$B15,'Eredeti fejléccel'!$CS:$CS)</f>
        <v>0</v>
      </c>
      <c r="FY15" s="6">
        <f>SUMIF('Eredeti fejléccel'!$B:$B,'Felosztás eredménykim'!$B15,'Eredeti fejléccel'!$CT:$CT)</f>
        <v>0</v>
      </c>
      <c r="FZ15" s="6">
        <f>SUMIF('Eredeti fejléccel'!$B:$B,'Felosztás eredménykim'!$B15,'Eredeti fejléccel'!$CU:$CU)</f>
        <v>0</v>
      </c>
      <c r="GA15" s="103">
        <f t="shared" si="56"/>
        <v>2880835</v>
      </c>
      <c r="GB15" s="36">
        <f t="shared" si="31"/>
        <v>0</v>
      </c>
      <c r="GC15" s="101">
        <f t="shared" si="32"/>
        <v>0</v>
      </c>
      <c r="GD15" s="6">
        <f>SUMIF('Eredeti fejléccel'!$B:$B,'Felosztás eredménykim'!$B15,'Eredeti fejléccel'!$CV:$CV)</f>
        <v>342418</v>
      </c>
      <c r="GE15" s="6">
        <f>SUMIF('Eredeti fejléccel'!$B:$B,'Felosztás eredménykim'!$B15,'Eredeti fejléccel'!$CW:$CW)</f>
        <v>0</v>
      </c>
      <c r="GF15" s="103">
        <f t="shared" si="57"/>
        <v>342418</v>
      </c>
      <c r="GG15" s="36">
        <f t="shared" si="33"/>
        <v>0</v>
      </c>
      <c r="GM15" s="6">
        <f>SUMIF('Eredeti fejléccel'!$B:$B,'Felosztás eredménykim'!$B15,'Eredeti fejléccel'!$CX:$CX)</f>
        <v>0</v>
      </c>
      <c r="GN15" s="6">
        <f>SUMIF('Eredeti fejléccel'!$B:$B,'Felosztás eredménykim'!$B15,'Eredeti fejléccel'!$CY:$CY)</f>
        <v>0</v>
      </c>
      <c r="GO15" s="6">
        <f>SUMIF('Eredeti fejléccel'!$B:$B,'Felosztás eredménykim'!$B15,'Eredeti fejléccel'!$CZ:$CZ)</f>
        <v>0</v>
      </c>
      <c r="GP15" s="6">
        <f>SUMIF('Eredeti fejléccel'!$B:$B,'Felosztás eredménykim'!$B15,'Eredeti fejléccel'!$DA:$DA)</f>
        <v>0</v>
      </c>
      <c r="GQ15" s="6">
        <f>SUMIF('Eredeti fejléccel'!$B:$B,'Felosztás eredménykim'!$B15,'Eredeti fejléccel'!$DB:$DB)</f>
        <v>0</v>
      </c>
      <c r="GR15" s="103">
        <f t="shared" si="58"/>
        <v>0</v>
      </c>
      <c r="GW15" s="36">
        <f t="shared" si="34"/>
        <v>0</v>
      </c>
      <c r="GX15" s="6">
        <f>SUMIF('Eredeti fejléccel'!$B:$B,'Felosztás eredménykim'!$B15,'Eredeti fejléccel'!$M:$M)</f>
        <v>0</v>
      </c>
      <c r="GY15" s="6">
        <f>SUMIF('Eredeti fejléccel'!$B:$B,'Felosztás eredménykim'!$B15,'Eredeti fejléccel'!$DC:$DC)</f>
        <v>0</v>
      </c>
      <c r="GZ15" s="6">
        <f>SUMIF('Eredeti fejléccel'!$B:$B,'Felosztás eredménykim'!$B15,'Eredeti fejléccel'!$DD:$DD)</f>
        <v>0</v>
      </c>
      <c r="HA15" s="6">
        <f>SUMIF('Eredeti fejléccel'!$B:$B,'Felosztás eredménykim'!$B15,'Eredeti fejléccel'!$DE:$DE)</f>
        <v>0</v>
      </c>
      <c r="HB15" s="103">
        <f t="shared" si="59"/>
        <v>0</v>
      </c>
      <c r="HD15" s="9">
        <f t="shared" si="35"/>
        <v>6396804.0000000019</v>
      </c>
      <c r="HE15" s="9">
        <v>6396804</v>
      </c>
      <c r="HF15" s="476"/>
      <c r="HH15" s="34">
        <f t="shared" si="60"/>
        <v>0</v>
      </c>
    </row>
    <row r="16" spans="1:232" x14ac:dyDescent="0.25">
      <c r="A16" s="4" t="s">
        <v>73</v>
      </c>
      <c r="B16" s="4" t="s">
        <v>73</v>
      </c>
      <c r="C16" s="1" t="s">
        <v>74</v>
      </c>
      <c r="D16" s="6">
        <f>SUMIF('Eredeti fejléccel'!$B:$B,'Felosztás eredménykim'!$B16,'Eredeti fejléccel'!$D:$D)</f>
        <v>0</v>
      </c>
      <c r="E16" s="6">
        <f>SUMIF('Eredeti fejléccel'!$B:$B,'Felosztás eredménykim'!$B16,'Eredeti fejléccel'!$E:$E)</f>
        <v>0</v>
      </c>
      <c r="F16" s="6">
        <f>SUMIF('Eredeti fejléccel'!$B:$B,'Felosztás eredménykim'!$B16,'Eredeti fejléccel'!$F:$F)</f>
        <v>0</v>
      </c>
      <c r="G16" s="6">
        <f>SUMIF('Eredeti fejléccel'!$B:$B,'Felosztás eredménykim'!$B16,'Eredeti fejléccel'!$G:$G)</f>
        <v>0</v>
      </c>
      <c r="H16" s="6"/>
      <c r="I16" s="6">
        <f>SUMIF('Eredeti fejléccel'!$B:$B,'Felosztás eredménykim'!$B16,'Eredeti fejléccel'!$O:$O)</f>
        <v>0</v>
      </c>
      <c r="J16" s="6">
        <f>SUMIF('Eredeti fejléccel'!$B:$B,'Felosztás eredménykim'!$B16,'Eredeti fejléccel'!$P:$P)</f>
        <v>0</v>
      </c>
      <c r="K16" s="6">
        <f>SUMIF('Eredeti fejléccel'!$B:$B,'Felosztás eredménykim'!$B16,'Eredeti fejléccel'!$Q:$Q)</f>
        <v>0</v>
      </c>
      <c r="L16" s="6">
        <f>SUMIF('Eredeti fejléccel'!$B:$B,'Felosztás eredménykim'!$B16,'Eredeti fejléccel'!$R:$R)</f>
        <v>0</v>
      </c>
      <c r="M16" s="6">
        <f>SUMIF('Eredeti fejléccel'!$B:$B,'Felosztás eredménykim'!$B16,'Eredeti fejléccel'!$T:$T)</f>
        <v>0</v>
      </c>
      <c r="N16" s="6">
        <f>SUMIF('Eredeti fejléccel'!$B:$B,'Felosztás eredménykim'!$B16,'Eredeti fejléccel'!$U:$U)</f>
        <v>0</v>
      </c>
      <c r="O16" s="6">
        <f>SUMIF('Eredeti fejléccel'!$B:$B,'Felosztás eredménykim'!$B16,'Eredeti fejléccel'!$V:$V)</f>
        <v>0</v>
      </c>
      <c r="P16" s="6">
        <f>SUMIF('Eredeti fejléccel'!$B:$B,'Felosztás eredménykim'!$B16,'Eredeti fejléccel'!$W:$W)</f>
        <v>0</v>
      </c>
      <c r="Q16" s="6">
        <f>SUMIF('Eredeti fejléccel'!$B:$B,'Felosztás eredménykim'!$B16,'Eredeti fejléccel'!$X:$X)</f>
        <v>0</v>
      </c>
      <c r="R16" s="6">
        <f>SUMIF('Eredeti fejléccel'!$B:$B,'Felosztás eredménykim'!$B16,'Eredeti fejléccel'!$Y:$Y)</f>
        <v>0</v>
      </c>
      <c r="S16" s="6">
        <f>SUMIF('Eredeti fejléccel'!$B:$B,'Felosztás eredménykim'!$B16,'Eredeti fejléccel'!$Z:$Z)</f>
        <v>0</v>
      </c>
      <c r="T16" s="6">
        <f>SUMIF('Eredeti fejléccel'!$B:$B,'Felosztás eredménykim'!$B16,'Eredeti fejléccel'!$AA:$AA)</f>
        <v>0</v>
      </c>
      <c r="U16" s="6">
        <f>SUMIF('Eredeti fejléccel'!$B:$B,'Felosztás eredménykim'!$B16,'Eredeti fejléccel'!$D:$D)</f>
        <v>0</v>
      </c>
      <c r="V16" s="6">
        <f>SUMIF('Eredeti fejléccel'!$B:$B,'Felosztás eredménykim'!$B16,'Eredeti fejléccel'!$AT:$AT)</f>
        <v>0</v>
      </c>
      <c r="X16" s="36">
        <f t="shared" si="0"/>
        <v>0</v>
      </c>
      <c r="Z16" s="6">
        <f>SUMIF('Eredeti fejléccel'!$B:$B,'Felosztás eredménykim'!$B16,'Eredeti fejléccel'!$K:$K)</f>
        <v>251440</v>
      </c>
      <c r="AB16" s="6">
        <f>SUMIF('Eredeti fejléccel'!$B:$B,'Felosztás eredménykim'!$B16,'Eredeti fejléccel'!$AB:$AB)</f>
        <v>0</v>
      </c>
      <c r="AC16" s="6">
        <f>SUMIF('Eredeti fejléccel'!$B:$B,'Felosztás eredménykim'!$B16,'Eredeti fejléccel'!$AQ:$AQ)</f>
        <v>0</v>
      </c>
      <c r="AE16" s="73">
        <f t="shared" si="1"/>
        <v>251440</v>
      </c>
      <c r="AF16" s="36">
        <f t="shared" si="2"/>
        <v>0</v>
      </c>
      <c r="AG16" s="8">
        <f t="shared" si="3"/>
        <v>80170.253107950964</v>
      </c>
      <c r="AI16" s="6">
        <f>SUMIF('Eredeti fejléccel'!$B:$B,'Felosztás eredménykim'!$B16,'Eredeti fejléccel'!$BB:$BB)</f>
        <v>0</v>
      </c>
      <c r="AJ16" s="6">
        <f>SUMIF('Eredeti fejléccel'!$B:$B,'Felosztás eredménykim'!$B16,'Eredeti fejléccel'!$AF:$AF)</f>
        <v>0</v>
      </c>
      <c r="AK16" s="8">
        <f t="shared" si="4"/>
        <v>80170.253107950964</v>
      </c>
      <c r="AL16" s="36">
        <f t="shared" si="5"/>
        <v>0</v>
      </c>
      <c r="AM16" s="8">
        <f t="shared" si="6"/>
        <v>31843.219747786417</v>
      </c>
      <c r="AN16" s="6">
        <f t="shared" si="36"/>
        <v>0</v>
      </c>
      <c r="AO16" s="6">
        <f>SUMIF('Eredeti fejléccel'!$B:$B,'Felosztás eredménykim'!$B16,'Eredeti fejléccel'!$AC:$AC)</f>
        <v>0</v>
      </c>
      <c r="AP16" s="6">
        <f>SUMIF('Eredeti fejléccel'!$B:$B,'Felosztás eredménykim'!$B16,'Eredeti fejléccel'!$AD:$AD)</f>
        <v>0</v>
      </c>
      <c r="AQ16" s="6">
        <f>SUMIF('Eredeti fejléccel'!$B:$B,'Felosztás eredménykim'!$B16,'Eredeti fejléccel'!$AE:$AE)</f>
        <v>0</v>
      </c>
      <c r="AR16" s="6">
        <f>SUMIF('Eredeti fejléccel'!$B:$B,'Felosztás eredménykim'!$B16,'Eredeti fejléccel'!$AG:$AG)</f>
        <v>0</v>
      </c>
      <c r="AS16" s="6">
        <f t="shared" si="37"/>
        <v>31843.219747786417</v>
      </c>
      <c r="AT16" s="36">
        <f t="shared" si="7"/>
        <v>0</v>
      </c>
      <c r="AU16" s="8">
        <f t="shared" si="8"/>
        <v>51722.743940613531</v>
      </c>
      <c r="AV16" s="6">
        <f>SUMIF('Eredeti fejléccel'!$B:$B,'Felosztás eredménykim'!$B16,'Eredeti fejléccel'!$AI:$AI)</f>
        <v>0</v>
      </c>
      <c r="AW16" s="6">
        <f>SUMIF('Eredeti fejléccel'!$B:$B,'Felosztás eredménykim'!$B16,'Eredeti fejléccel'!$AJ:$AJ)</f>
        <v>0</v>
      </c>
      <c r="AX16" s="6">
        <f>SUMIF('Eredeti fejléccel'!$B:$B,'Felosztás eredménykim'!$B16,'Eredeti fejléccel'!$AK:$AK)</f>
        <v>0</v>
      </c>
      <c r="AY16" s="6">
        <f>SUMIF('Eredeti fejléccel'!$B:$B,'Felosztás eredménykim'!$B16,'Eredeti fejléccel'!$AL:$AL)</f>
        <v>0</v>
      </c>
      <c r="AZ16" s="6">
        <f>SUMIF('Eredeti fejléccel'!$B:$B,'Felosztás eredménykim'!$B16,'Eredeti fejléccel'!$AM:$AM)</f>
        <v>0</v>
      </c>
      <c r="BA16" s="6">
        <f>SUMIF('Eredeti fejléccel'!$B:$B,'Felosztás eredménykim'!$B16,'Eredeti fejléccel'!$AN:$AN)</f>
        <v>0</v>
      </c>
      <c r="BB16" s="6">
        <f>SUMIF('Eredeti fejléccel'!$B:$B,'Felosztás eredménykim'!$B16,'Eredeti fejléccel'!$AP:$AP)</f>
        <v>0</v>
      </c>
      <c r="BD16" s="6">
        <f>SUMIF('Eredeti fejléccel'!$B:$B,'Felosztás eredménykim'!$B16,'Eredeti fejléccel'!$AS:$AS)</f>
        <v>0</v>
      </c>
      <c r="BE16" s="8">
        <f t="shared" si="38"/>
        <v>51722.743940613531</v>
      </c>
      <c r="BF16" s="36">
        <f t="shared" si="9"/>
        <v>0</v>
      </c>
      <c r="BG16" s="8">
        <f t="shared" si="10"/>
        <v>13492.889723638313</v>
      </c>
      <c r="BH16" s="6">
        <f t="shared" si="39"/>
        <v>0</v>
      </c>
      <c r="BI16" s="6">
        <f>SUMIF('Eredeti fejléccel'!$B:$B,'Felosztás eredménykim'!$B16,'Eredeti fejléccel'!$AH:$AH)</f>
        <v>0</v>
      </c>
      <c r="BJ16" s="6">
        <f>SUMIF('Eredeti fejléccel'!$B:$B,'Felosztás eredménykim'!$B16,'Eredeti fejléccel'!$AO:$AO)</f>
        <v>0</v>
      </c>
      <c r="BK16" s="6">
        <f>SUMIF('Eredeti fejléccel'!$B:$B,'Felosztás eredménykim'!$B16,'Eredeti fejléccel'!$BF:$BF)</f>
        <v>0</v>
      </c>
      <c r="BL16" s="8">
        <f t="shared" si="40"/>
        <v>13492.889723638313</v>
      </c>
      <c r="BM16" s="36">
        <f t="shared" si="11"/>
        <v>0</v>
      </c>
      <c r="BN16" s="8">
        <f t="shared" si="12"/>
        <v>50553.360164564874</v>
      </c>
      <c r="BP16" s="8">
        <f t="shared" si="41"/>
        <v>0</v>
      </c>
      <c r="BQ16" s="6">
        <f>SUMIF('Eredeti fejléccel'!$B:$B,'Felosztás eredménykim'!$B16,'Eredeti fejléccel'!$N:$N)</f>
        <v>0</v>
      </c>
      <c r="BR16" s="6">
        <f>SUMIF('Eredeti fejléccel'!$B:$B,'Felosztás eredménykim'!$B16,'Eredeti fejléccel'!$S:$S)</f>
        <v>0</v>
      </c>
      <c r="BT16" s="6">
        <f>SUMIF('Eredeti fejléccel'!$B:$B,'Felosztás eredménykim'!$B16,'Eredeti fejléccel'!$AR:$AR)</f>
        <v>0</v>
      </c>
      <c r="BU16" s="6">
        <f>SUMIF('Eredeti fejléccel'!$B:$B,'Felosztás eredménykim'!$B16,'Eredeti fejléccel'!$AU:$AU)</f>
        <v>0</v>
      </c>
      <c r="BV16" s="6">
        <f>SUMIF('Eredeti fejléccel'!$B:$B,'Felosztás eredménykim'!$B16,'Eredeti fejléccel'!$AV:$AV)</f>
        <v>0</v>
      </c>
      <c r="BW16" s="6">
        <f>SUMIF('Eredeti fejléccel'!$B:$B,'Felosztás eredménykim'!$B16,'Eredeti fejléccel'!$AW:$AW)</f>
        <v>0</v>
      </c>
      <c r="BX16" s="6">
        <f>SUMIF('Eredeti fejléccel'!$B:$B,'Felosztás eredménykim'!$B16,'Eredeti fejléccel'!$AX:$AX)</f>
        <v>0</v>
      </c>
      <c r="BY16" s="6">
        <f>SUMIF('Eredeti fejléccel'!$B:$B,'Felosztás eredménykim'!$B16,'Eredeti fejléccel'!$AY:$AY)</f>
        <v>0</v>
      </c>
      <c r="BZ16" s="6">
        <f>SUMIF('Eredeti fejléccel'!$B:$B,'Felosztás eredménykim'!$B16,'Eredeti fejléccel'!$AZ:$AZ)</f>
        <v>0</v>
      </c>
      <c r="CA16" s="6">
        <f>SUMIF('Eredeti fejléccel'!$B:$B,'Felosztás eredménykim'!$B16,'Eredeti fejléccel'!$BA:$BA)</f>
        <v>0</v>
      </c>
      <c r="CB16" s="6">
        <f t="shared" si="13"/>
        <v>50553.360164564874</v>
      </c>
      <c r="CC16" s="36">
        <f t="shared" si="14"/>
        <v>0</v>
      </c>
      <c r="CD16" s="8">
        <f t="shared" si="15"/>
        <v>13762.747518111079</v>
      </c>
      <c r="CE16" s="6">
        <f>SUMIF('Eredeti fejléccel'!$B:$B,'Felosztás eredménykim'!$B16,'Eredeti fejléccel'!$BC:$BC)</f>
        <v>0</v>
      </c>
      <c r="CF16" s="8">
        <f t="shared" si="42"/>
        <v>0</v>
      </c>
      <c r="CG16" s="6">
        <f>SUMIF('Eredeti fejléccel'!$B:$B,'Felosztás eredménykim'!$B16,'Eredeti fejléccel'!$H:$H)</f>
        <v>0</v>
      </c>
      <c r="CH16" s="6">
        <f>SUMIF('Eredeti fejléccel'!$B:$B,'Felosztás eredménykim'!$B16,'Eredeti fejléccel'!$BE:$BE)</f>
        <v>0</v>
      </c>
      <c r="CI16" s="6">
        <f t="shared" si="43"/>
        <v>13762.747518111079</v>
      </c>
      <c r="CJ16" s="36">
        <f t="shared" si="16"/>
        <v>0</v>
      </c>
      <c r="CK16" s="8">
        <f t="shared" si="17"/>
        <v>9894.7857973347636</v>
      </c>
      <c r="CL16" s="8">
        <f t="shared" si="44"/>
        <v>0</v>
      </c>
      <c r="CM16" s="6">
        <f>SUMIF('Eredeti fejléccel'!$B:$B,'Felosztás eredménykim'!$B16,'Eredeti fejléccel'!$BD:$BD)</f>
        <v>0</v>
      </c>
      <c r="CN16" s="8">
        <f t="shared" si="45"/>
        <v>9894.7857973347636</v>
      </c>
      <c r="CO16" s="8">
        <f t="shared" si="18"/>
        <v>251439.99999999991</v>
      </c>
      <c r="CR16" s="36">
        <f t="shared" si="19"/>
        <v>0</v>
      </c>
      <c r="CS16" s="6">
        <f>SUMIF('Eredeti fejléccel'!$B:$B,'Felosztás eredménykim'!$B16,'Eredeti fejléccel'!$I:$I)</f>
        <v>0</v>
      </c>
      <c r="CT16" s="6">
        <f>SUMIF('Eredeti fejléccel'!$B:$B,'Felosztás eredménykim'!$B16,'Eredeti fejléccel'!$BG:$BG)</f>
        <v>0</v>
      </c>
      <c r="CU16" s="6">
        <f>SUMIF('Eredeti fejléccel'!$B:$B,'Felosztás eredménykim'!$B16,'Eredeti fejléccel'!$BH:$BH)</f>
        <v>0</v>
      </c>
      <c r="CV16" s="6">
        <f>SUMIF('Eredeti fejléccel'!$B:$B,'Felosztás eredménykim'!$B16,'Eredeti fejléccel'!$BI:$BI)</f>
        <v>0</v>
      </c>
      <c r="CW16" s="6">
        <f>SUMIF('Eredeti fejléccel'!$B:$B,'Felosztás eredménykim'!$B16,'Eredeti fejléccel'!$BL:$BL)</f>
        <v>0</v>
      </c>
      <c r="CX16" s="6">
        <f t="shared" si="46"/>
        <v>0</v>
      </c>
      <c r="CY16" s="6">
        <f>SUMIF('Eredeti fejléccel'!$B:$B,'Felosztás eredménykim'!$B16,'Eredeti fejléccel'!$BJ:$BJ)</f>
        <v>0</v>
      </c>
      <c r="CZ16" s="6">
        <f>SUMIF('Eredeti fejléccel'!$B:$B,'Felosztás eredménykim'!$B16,'Eredeti fejléccel'!$BK:$BK)</f>
        <v>0</v>
      </c>
      <c r="DA16" s="99">
        <f t="shared" si="47"/>
        <v>0</v>
      </c>
      <c r="DC16" s="36">
        <f t="shared" si="20"/>
        <v>0</v>
      </c>
      <c r="DD16" s="6">
        <f>SUMIF('Eredeti fejléccel'!$B:$B,'Felosztás eredménykim'!$B16,'Eredeti fejléccel'!$J:$J)</f>
        <v>0</v>
      </c>
      <c r="DE16" s="6">
        <f>SUMIF('Eredeti fejléccel'!$B:$B,'Felosztás eredménykim'!$B16,'Eredeti fejléccel'!$BM:$BM)</f>
        <v>0</v>
      </c>
      <c r="DF16" s="6">
        <f t="shared" si="48"/>
        <v>0</v>
      </c>
      <c r="DG16" s="8">
        <f t="shared" si="21"/>
        <v>0</v>
      </c>
      <c r="DH16" s="8">
        <f t="shared" si="49"/>
        <v>0</v>
      </c>
      <c r="DJ16" s="6">
        <f>SUMIF('Eredeti fejléccel'!$B:$B,'Felosztás eredménykim'!$B16,'Eredeti fejléccel'!$BN:$BN)</f>
        <v>0</v>
      </c>
      <c r="DK16" s="6">
        <f>SUMIF('Eredeti fejléccel'!$B:$B,'Felosztás eredménykim'!$B16,'Eredeti fejléccel'!$BZ:$BZ)</f>
        <v>0</v>
      </c>
      <c r="DL16" s="8">
        <f t="shared" si="50"/>
        <v>0</v>
      </c>
      <c r="DM16" s="6">
        <f>SUMIF('Eredeti fejléccel'!$B:$B,'Felosztás eredménykim'!$B16,'Eredeti fejléccel'!$BR:$BR)</f>
        <v>0</v>
      </c>
      <c r="DN16" s="6">
        <f>SUMIF('Eredeti fejléccel'!$B:$B,'Felosztás eredménykim'!$B16,'Eredeti fejléccel'!$BS:$BS)</f>
        <v>0</v>
      </c>
      <c r="DO16" s="6">
        <f>SUMIF('Eredeti fejléccel'!$B:$B,'Felosztás eredménykim'!$B16,'Eredeti fejléccel'!$BO:$BO)</f>
        <v>0</v>
      </c>
      <c r="DP16" s="6">
        <f>SUMIF('Eredeti fejléccel'!$B:$B,'Felosztás eredménykim'!$B16,'Eredeti fejléccel'!$BP:$BP)</f>
        <v>0</v>
      </c>
      <c r="DQ16" s="6">
        <f>SUMIF('Eredeti fejléccel'!$B:$B,'Felosztás eredménykim'!$B16,'Eredeti fejléccel'!$BQ:$BQ)</f>
        <v>0</v>
      </c>
      <c r="DS16" s="8"/>
      <c r="DU16" s="6">
        <f>SUMIF('Eredeti fejléccel'!$B:$B,'Felosztás eredménykim'!$B16,'Eredeti fejléccel'!$BT:$BT)</f>
        <v>0</v>
      </c>
      <c r="DV16" s="6">
        <f>SUMIF('Eredeti fejléccel'!$B:$B,'Felosztás eredménykim'!$B16,'Eredeti fejléccel'!$BU:$BU)</f>
        <v>0</v>
      </c>
      <c r="DW16" s="6">
        <f>SUMIF('Eredeti fejléccel'!$B:$B,'Felosztás eredménykim'!$B16,'Eredeti fejléccel'!$BV:$BV)</f>
        <v>0</v>
      </c>
      <c r="DX16" s="6">
        <f>SUMIF('Eredeti fejléccel'!$B:$B,'Felosztás eredménykim'!$B16,'Eredeti fejléccel'!$BW:$BW)</f>
        <v>0</v>
      </c>
      <c r="DY16" s="6">
        <f>SUMIF('Eredeti fejléccel'!$B:$B,'Felosztás eredménykim'!$B16,'Eredeti fejléccel'!$BX:$BX)</f>
        <v>0</v>
      </c>
      <c r="EA16" s="6"/>
      <c r="EC16" s="6"/>
      <c r="EE16" s="6">
        <f>SUMIF('Eredeti fejléccel'!$B:$B,'Felosztás eredménykim'!$B16,'Eredeti fejléccel'!$CA:$CA)</f>
        <v>0</v>
      </c>
      <c r="EF16" s="6">
        <f>SUMIF('Eredeti fejléccel'!$B:$B,'Felosztás eredménykim'!$B16,'Eredeti fejléccel'!$CB:$CB)</f>
        <v>0</v>
      </c>
      <c r="EG16" s="6">
        <f>SUMIF('Eredeti fejléccel'!$B:$B,'Felosztás eredménykim'!$B16,'Eredeti fejléccel'!$CC:$CC)</f>
        <v>0</v>
      </c>
      <c r="EH16" s="6">
        <f>SUMIF('Eredeti fejléccel'!$B:$B,'Felosztás eredménykim'!$B16,'Eredeti fejléccel'!$CD:$CD)</f>
        <v>0</v>
      </c>
      <c r="EK16" s="6">
        <f>SUMIF('Eredeti fejléccel'!$B:$B,'Felosztás eredménykim'!$B16,'Eredeti fejléccel'!$CE:$CE)</f>
        <v>0</v>
      </c>
      <c r="EN16" s="6">
        <f>SUMIF('Eredeti fejléccel'!$B:$B,'Felosztás eredménykim'!$B16,'Eredeti fejléccel'!$CF:$CF)</f>
        <v>0</v>
      </c>
      <c r="EP16" s="6">
        <f>SUMIF('Eredeti fejléccel'!$B:$B,'Felosztás eredménykim'!$B16,'Eredeti fejléccel'!$CG:$CG)</f>
        <v>0</v>
      </c>
      <c r="ES16" s="6">
        <f>SUMIF('Eredeti fejléccel'!$B:$B,'Felosztás eredménykim'!$B16,'Eredeti fejléccel'!$CH:$CH)</f>
        <v>0</v>
      </c>
      <c r="ET16" s="6">
        <f>SUMIF('Eredeti fejléccel'!$B:$B,'Felosztás eredménykim'!$B16,'Eredeti fejléccel'!$CI:$CI)</f>
        <v>0</v>
      </c>
      <c r="EW16" s="8">
        <f t="shared" si="22"/>
        <v>0</v>
      </c>
      <c r="EX16" s="8">
        <f t="shared" si="51"/>
        <v>0</v>
      </c>
      <c r="EY16" s="8">
        <f t="shared" si="52"/>
        <v>0</v>
      </c>
      <c r="EZ16" s="8">
        <f t="shared" si="23"/>
        <v>0</v>
      </c>
      <c r="FA16" s="8">
        <f t="shared" si="24"/>
        <v>0</v>
      </c>
      <c r="FC16" s="6">
        <f>SUMIF('Eredeti fejléccel'!$B:$B,'Felosztás eredménykim'!$B16,'Eredeti fejléccel'!$L:$L)</f>
        <v>0</v>
      </c>
      <c r="FD16" s="6">
        <f>SUMIF('Eredeti fejléccel'!$B:$B,'Felosztás eredménykim'!$B16,'Eredeti fejléccel'!$CJ:$CJ)</f>
        <v>0</v>
      </c>
      <c r="FE16" s="6">
        <f>SUMIF('Eredeti fejléccel'!$B:$B,'Felosztás eredménykim'!$B16,'Eredeti fejléccel'!$CL:$CL)</f>
        <v>0</v>
      </c>
      <c r="FG16" s="99">
        <f t="shared" si="53"/>
        <v>0</v>
      </c>
      <c r="FH16" s="6">
        <f>SUMIF('Eredeti fejléccel'!$B:$B,'Felosztás eredménykim'!$B16,'Eredeti fejléccel'!$CK:$CK)</f>
        <v>0</v>
      </c>
      <c r="FI16" s="36">
        <f t="shared" si="25"/>
        <v>0</v>
      </c>
      <c r="FJ16" s="101">
        <f t="shared" si="26"/>
        <v>0</v>
      </c>
      <c r="FK16" s="6">
        <f>SUMIF('Eredeti fejléccel'!$B:$B,'Felosztás eredménykim'!$B16,'Eredeti fejléccel'!$CM:$CM)</f>
        <v>0</v>
      </c>
      <c r="FL16" s="6">
        <f>SUMIF('Eredeti fejléccel'!$B:$B,'Felosztás eredménykim'!$B16,'Eredeti fejléccel'!$CN:$CN)</f>
        <v>0</v>
      </c>
      <c r="FM16" s="8">
        <f t="shared" si="54"/>
        <v>0</v>
      </c>
      <c r="FN16" s="36">
        <f t="shared" si="27"/>
        <v>0</v>
      </c>
      <c r="FO16" s="101">
        <f t="shared" si="28"/>
        <v>0</v>
      </c>
      <c r="FP16" s="6">
        <f>SUMIF('Eredeti fejléccel'!$B:$B,'Felosztás eredménykim'!$B16,'Eredeti fejléccel'!$CO:$CO)</f>
        <v>0</v>
      </c>
      <c r="FQ16" s="6">
        <f>'Eredeti fejléccel'!CP16</f>
        <v>0</v>
      </c>
      <c r="FR16" s="6">
        <f>'Eredeti fejléccel'!CQ16</f>
        <v>0</v>
      </c>
      <c r="FS16" s="103">
        <f t="shared" si="55"/>
        <v>0</v>
      </c>
      <c r="FT16" s="36">
        <f t="shared" si="29"/>
        <v>0</v>
      </c>
      <c r="FU16" s="101">
        <f t="shared" si="30"/>
        <v>0</v>
      </c>
      <c r="FV16" s="101"/>
      <c r="FW16" s="6">
        <f>SUMIF('Eredeti fejléccel'!$B:$B,'Felosztás eredménykim'!$B16,'Eredeti fejléccel'!$CR:$CR)</f>
        <v>0</v>
      </c>
      <c r="FX16" s="6">
        <f>SUMIF('Eredeti fejléccel'!$B:$B,'Felosztás eredménykim'!$B16,'Eredeti fejléccel'!$CS:$CS)</f>
        <v>0</v>
      </c>
      <c r="FY16" s="6">
        <f>SUMIF('Eredeti fejléccel'!$B:$B,'Felosztás eredménykim'!$B16,'Eredeti fejléccel'!$CT:$CT)</f>
        <v>0</v>
      </c>
      <c r="FZ16" s="6">
        <f>SUMIF('Eredeti fejléccel'!$B:$B,'Felosztás eredménykim'!$B16,'Eredeti fejléccel'!$CU:$CU)</f>
        <v>0</v>
      </c>
      <c r="GA16" s="103">
        <f t="shared" si="56"/>
        <v>0</v>
      </c>
      <c r="GB16" s="36">
        <f t="shared" si="31"/>
        <v>0</v>
      </c>
      <c r="GC16" s="101">
        <f t="shared" si="32"/>
        <v>0</v>
      </c>
      <c r="GD16" s="6">
        <f>SUMIF('Eredeti fejléccel'!$B:$B,'Felosztás eredménykim'!$B16,'Eredeti fejléccel'!$CV:$CV)</f>
        <v>0</v>
      </c>
      <c r="GE16" s="6">
        <f>SUMIF('Eredeti fejléccel'!$B:$B,'Felosztás eredménykim'!$B16,'Eredeti fejléccel'!$CW:$CW)</f>
        <v>0</v>
      </c>
      <c r="GF16" s="103">
        <f t="shared" si="57"/>
        <v>0</v>
      </c>
      <c r="GG16" s="36">
        <f t="shared" si="33"/>
        <v>0</v>
      </c>
      <c r="GM16" s="6">
        <f>SUMIF('Eredeti fejléccel'!$B:$B,'Felosztás eredménykim'!$B16,'Eredeti fejléccel'!$CX:$CX)</f>
        <v>0</v>
      </c>
      <c r="GN16" s="6">
        <f>SUMIF('Eredeti fejléccel'!$B:$B,'Felosztás eredménykim'!$B16,'Eredeti fejléccel'!$CY:$CY)</f>
        <v>0</v>
      </c>
      <c r="GO16" s="6">
        <f>SUMIF('Eredeti fejléccel'!$B:$B,'Felosztás eredménykim'!$B16,'Eredeti fejléccel'!$CZ:$CZ)</f>
        <v>0</v>
      </c>
      <c r="GP16" s="6">
        <f>SUMIF('Eredeti fejléccel'!$B:$B,'Felosztás eredménykim'!$B16,'Eredeti fejléccel'!$DA:$DA)</f>
        <v>0</v>
      </c>
      <c r="GQ16" s="6">
        <f>SUMIF('Eredeti fejléccel'!$B:$B,'Felosztás eredménykim'!$B16,'Eredeti fejléccel'!$DB:$DB)</f>
        <v>0</v>
      </c>
      <c r="GR16" s="103">
        <f t="shared" si="58"/>
        <v>0</v>
      </c>
      <c r="GW16" s="36">
        <f t="shared" si="34"/>
        <v>0</v>
      </c>
      <c r="GX16" s="6">
        <f>SUMIF('Eredeti fejléccel'!$B:$B,'Felosztás eredménykim'!$B16,'Eredeti fejléccel'!$M:$M)</f>
        <v>0</v>
      </c>
      <c r="GY16" s="6">
        <f>SUMIF('Eredeti fejléccel'!$B:$B,'Felosztás eredménykim'!$B16,'Eredeti fejléccel'!$DC:$DC)</f>
        <v>0</v>
      </c>
      <c r="GZ16" s="6">
        <f>SUMIF('Eredeti fejléccel'!$B:$B,'Felosztás eredménykim'!$B16,'Eredeti fejléccel'!$DD:$DD)</f>
        <v>0</v>
      </c>
      <c r="HA16" s="6">
        <f>SUMIF('Eredeti fejléccel'!$B:$B,'Felosztás eredménykim'!$B16,'Eredeti fejléccel'!$DE:$DE)</f>
        <v>0</v>
      </c>
      <c r="HB16" s="103">
        <f t="shared" si="59"/>
        <v>0</v>
      </c>
      <c r="HD16" s="9">
        <f t="shared" si="35"/>
        <v>251440.00000000003</v>
      </c>
      <c r="HE16" s="9">
        <v>251440</v>
      </c>
      <c r="HF16" s="476"/>
      <c r="HH16" s="34">
        <f t="shared" si="60"/>
        <v>0</v>
      </c>
    </row>
    <row r="17" spans="1:218" x14ac:dyDescent="0.25">
      <c r="A17" s="4" t="s">
        <v>75</v>
      </c>
      <c r="B17" s="4" t="s">
        <v>75</v>
      </c>
      <c r="C17" s="1" t="s">
        <v>76</v>
      </c>
      <c r="D17" s="6">
        <f>SUMIF('Eredeti fejléccel'!$B:$B,'Felosztás eredménykim'!$B17,'Eredeti fejléccel'!$D:$D)</f>
        <v>0</v>
      </c>
      <c r="E17" s="6">
        <f>SUMIF('Eredeti fejléccel'!$B:$B,'Felosztás eredménykim'!$B17,'Eredeti fejléccel'!$E:$E)</f>
        <v>0</v>
      </c>
      <c r="F17" s="6">
        <f>SUMIF('Eredeti fejléccel'!$B:$B,'Felosztás eredménykim'!$B17,'Eredeti fejléccel'!$F:$F)</f>
        <v>0</v>
      </c>
      <c r="G17" s="6">
        <f>SUMIF('Eredeti fejléccel'!$B:$B,'Felosztás eredménykim'!$B17,'Eredeti fejléccel'!$G:$G)</f>
        <v>0</v>
      </c>
      <c r="H17" s="6"/>
      <c r="I17" s="6">
        <f>SUMIF('Eredeti fejléccel'!$B:$B,'Felosztás eredménykim'!$B17,'Eredeti fejléccel'!$O:$O)</f>
        <v>0</v>
      </c>
      <c r="J17" s="6">
        <f>SUMIF('Eredeti fejléccel'!$B:$B,'Felosztás eredménykim'!$B17,'Eredeti fejléccel'!$P:$P)</f>
        <v>0</v>
      </c>
      <c r="K17" s="6">
        <f>SUMIF('Eredeti fejléccel'!$B:$B,'Felosztás eredménykim'!$B17,'Eredeti fejléccel'!$Q:$Q)</f>
        <v>0</v>
      </c>
      <c r="L17" s="6">
        <f>SUMIF('Eredeti fejléccel'!$B:$B,'Felosztás eredménykim'!$B17,'Eredeti fejléccel'!$R:$R)</f>
        <v>0</v>
      </c>
      <c r="M17" s="6">
        <f>SUMIF('Eredeti fejléccel'!$B:$B,'Felosztás eredménykim'!$B17,'Eredeti fejléccel'!$T:$T)</f>
        <v>0</v>
      </c>
      <c r="N17" s="6">
        <f>SUMIF('Eredeti fejléccel'!$B:$B,'Felosztás eredménykim'!$B17,'Eredeti fejléccel'!$U:$U)</f>
        <v>0</v>
      </c>
      <c r="O17" s="6">
        <f>SUMIF('Eredeti fejléccel'!$B:$B,'Felosztás eredménykim'!$B17,'Eredeti fejléccel'!$V:$V)</f>
        <v>0</v>
      </c>
      <c r="P17" s="6">
        <f>SUMIF('Eredeti fejléccel'!$B:$B,'Felosztás eredménykim'!$B17,'Eredeti fejléccel'!$W:$W)</f>
        <v>0</v>
      </c>
      <c r="Q17" s="6">
        <f>SUMIF('Eredeti fejléccel'!$B:$B,'Felosztás eredménykim'!$B17,'Eredeti fejléccel'!$X:$X)</f>
        <v>0</v>
      </c>
      <c r="R17" s="6">
        <f>SUMIF('Eredeti fejléccel'!$B:$B,'Felosztás eredménykim'!$B17,'Eredeti fejléccel'!$Y:$Y)</f>
        <v>0</v>
      </c>
      <c r="S17" s="6">
        <f>SUMIF('Eredeti fejléccel'!$B:$B,'Felosztás eredménykim'!$B17,'Eredeti fejléccel'!$Z:$Z)</f>
        <v>0</v>
      </c>
      <c r="T17" s="6">
        <f>SUMIF('Eredeti fejléccel'!$B:$B,'Felosztás eredménykim'!$B17,'Eredeti fejléccel'!$AA:$AA)</f>
        <v>0</v>
      </c>
      <c r="U17" s="6">
        <f>SUMIF('Eredeti fejléccel'!$B:$B,'Felosztás eredménykim'!$B17,'Eredeti fejléccel'!$D:$D)</f>
        <v>0</v>
      </c>
      <c r="V17" s="6">
        <f>SUMIF('Eredeti fejléccel'!$B:$B,'Felosztás eredménykim'!$B17,'Eredeti fejléccel'!$AT:$AT)</f>
        <v>0</v>
      </c>
      <c r="X17" s="36">
        <f t="shared" si="0"/>
        <v>0</v>
      </c>
      <c r="Z17" s="6">
        <f>SUMIF('Eredeti fejléccel'!$B:$B,'Felosztás eredménykim'!$B17,'Eredeti fejléccel'!$K:$K)</f>
        <v>0</v>
      </c>
      <c r="AB17" s="6">
        <f>SUMIF('Eredeti fejléccel'!$B:$B,'Felosztás eredménykim'!$B17,'Eredeti fejléccel'!$AB:$AB)</f>
        <v>0</v>
      </c>
      <c r="AC17" s="6">
        <f>SUMIF('Eredeti fejléccel'!$B:$B,'Felosztás eredménykim'!$B17,'Eredeti fejléccel'!$AQ:$AQ)</f>
        <v>0</v>
      </c>
      <c r="AE17" s="73">
        <f t="shared" si="1"/>
        <v>0</v>
      </c>
      <c r="AF17" s="36">
        <f t="shared" si="2"/>
        <v>0</v>
      </c>
      <c r="AG17" s="8">
        <f t="shared" si="3"/>
        <v>0</v>
      </c>
      <c r="AI17" s="6">
        <f>SUMIF('Eredeti fejléccel'!$B:$B,'Felosztás eredménykim'!$B17,'Eredeti fejléccel'!$BB:$BB)</f>
        <v>0</v>
      </c>
      <c r="AJ17" s="6">
        <f>SUMIF('Eredeti fejléccel'!$B:$B,'Felosztás eredménykim'!$B17,'Eredeti fejléccel'!$AF:$AF)</f>
        <v>0</v>
      </c>
      <c r="AK17" s="8">
        <f t="shared" si="4"/>
        <v>0</v>
      </c>
      <c r="AL17" s="36">
        <f t="shared" si="5"/>
        <v>0</v>
      </c>
      <c r="AM17" s="8">
        <f t="shared" si="6"/>
        <v>0</v>
      </c>
      <c r="AN17" s="6">
        <f t="shared" si="36"/>
        <v>0</v>
      </c>
      <c r="AO17" s="6">
        <f>SUMIF('Eredeti fejléccel'!$B:$B,'Felosztás eredménykim'!$B17,'Eredeti fejléccel'!$AC:$AC)</f>
        <v>0</v>
      </c>
      <c r="AP17" s="6">
        <f>SUMIF('Eredeti fejléccel'!$B:$B,'Felosztás eredménykim'!$B17,'Eredeti fejléccel'!$AD:$AD)</f>
        <v>0</v>
      </c>
      <c r="AQ17" s="6">
        <f>SUMIF('Eredeti fejléccel'!$B:$B,'Felosztás eredménykim'!$B17,'Eredeti fejléccel'!$AE:$AE)</f>
        <v>0</v>
      </c>
      <c r="AR17" s="6">
        <f>SUMIF('Eredeti fejléccel'!$B:$B,'Felosztás eredménykim'!$B17,'Eredeti fejléccel'!$AG:$AG)</f>
        <v>0</v>
      </c>
      <c r="AS17" s="6">
        <f t="shared" si="37"/>
        <v>0</v>
      </c>
      <c r="AT17" s="36">
        <f t="shared" si="7"/>
        <v>0</v>
      </c>
      <c r="AU17" s="8">
        <f t="shared" si="8"/>
        <v>0</v>
      </c>
      <c r="AV17" s="6">
        <f>SUMIF('Eredeti fejléccel'!$B:$B,'Felosztás eredménykim'!$B17,'Eredeti fejléccel'!$AI:$AI)</f>
        <v>0</v>
      </c>
      <c r="AW17" s="6">
        <f>SUMIF('Eredeti fejléccel'!$B:$B,'Felosztás eredménykim'!$B17,'Eredeti fejléccel'!$AJ:$AJ)</f>
        <v>0</v>
      </c>
      <c r="AX17" s="6">
        <f>SUMIF('Eredeti fejléccel'!$B:$B,'Felosztás eredménykim'!$B17,'Eredeti fejléccel'!$AK:$AK)</f>
        <v>0</v>
      </c>
      <c r="AY17" s="6">
        <f>SUMIF('Eredeti fejléccel'!$B:$B,'Felosztás eredménykim'!$B17,'Eredeti fejléccel'!$AL:$AL)</f>
        <v>0</v>
      </c>
      <c r="AZ17" s="6">
        <f>SUMIF('Eredeti fejléccel'!$B:$B,'Felosztás eredménykim'!$B17,'Eredeti fejléccel'!$AM:$AM)</f>
        <v>0</v>
      </c>
      <c r="BA17" s="6">
        <f>SUMIF('Eredeti fejléccel'!$B:$B,'Felosztás eredménykim'!$B17,'Eredeti fejléccel'!$AN:$AN)</f>
        <v>0</v>
      </c>
      <c r="BB17" s="6">
        <f>SUMIF('Eredeti fejléccel'!$B:$B,'Felosztás eredménykim'!$B17,'Eredeti fejléccel'!$AP:$AP)</f>
        <v>0</v>
      </c>
      <c r="BD17" s="6">
        <f>SUMIF('Eredeti fejléccel'!$B:$B,'Felosztás eredménykim'!$B17,'Eredeti fejléccel'!$AS:$AS)</f>
        <v>0</v>
      </c>
      <c r="BE17" s="8">
        <f t="shared" si="38"/>
        <v>0</v>
      </c>
      <c r="BF17" s="36">
        <f t="shared" si="9"/>
        <v>0</v>
      </c>
      <c r="BG17" s="8">
        <f t="shared" si="10"/>
        <v>0</v>
      </c>
      <c r="BH17" s="6">
        <f t="shared" si="39"/>
        <v>0</v>
      </c>
      <c r="BI17" s="6">
        <f>SUMIF('Eredeti fejléccel'!$B:$B,'Felosztás eredménykim'!$B17,'Eredeti fejléccel'!$AH:$AH)</f>
        <v>0</v>
      </c>
      <c r="BJ17" s="6">
        <f>SUMIF('Eredeti fejléccel'!$B:$B,'Felosztás eredménykim'!$B17,'Eredeti fejléccel'!$AO:$AO)</f>
        <v>0</v>
      </c>
      <c r="BK17" s="6">
        <f>SUMIF('Eredeti fejléccel'!$B:$B,'Felosztás eredménykim'!$B17,'Eredeti fejléccel'!$BF:$BF)</f>
        <v>0</v>
      </c>
      <c r="BL17" s="8">
        <f t="shared" si="40"/>
        <v>0</v>
      </c>
      <c r="BM17" s="36">
        <f t="shared" si="11"/>
        <v>0</v>
      </c>
      <c r="BN17" s="8">
        <f t="shared" si="12"/>
        <v>0</v>
      </c>
      <c r="BP17" s="8">
        <f t="shared" si="41"/>
        <v>0</v>
      </c>
      <c r="BQ17" s="6">
        <f>SUMIF('Eredeti fejléccel'!$B:$B,'Felosztás eredménykim'!$B17,'Eredeti fejléccel'!$N:$N)</f>
        <v>0</v>
      </c>
      <c r="BR17" s="6">
        <f>SUMIF('Eredeti fejléccel'!$B:$B,'Felosztás eredménykim'!$B17,'Eredeti fejléccel'!$S:$S)</f>
        <v>0</v>
      </c>
      <c r="BT17" s="6">
        <f>SUMIF('Eredeti fejléccel'!$B:$B,'Felosztás eredménykim'!$B17,'Eredeti fejléccel'!$AR:$AR)</f>
        <v>0</v>
      </c>
      <c r="BU17" s="6">
        <f>SUMIF('Eredeti fejléccel'!$B:$B,'Felosztás eredménykim'!$B17,'Eredeti fejléccel'!$AU:$AU)</f>
        <v>0</v>
      </c>
      <c r="BV17" s="6">
        <f>SUMIF('Eredeti fejléccel'!$B:$B,'Felosztás eredménykim'!$B17,'Eredeti fejléccel'!$AV:$AV)</f>
        <v>0</v>
      </c>
      <c r="BW17" s="6">
        <f>SUMIF('Eredeti fejléccel'!$B:$B,'Felosztás eredménykim'!$B17,'Eredeti fejléccel'!$AW:$AW)</f>
        <v>0</v>
      </c>
      <c r="BX17" s="6">
        <f>SUMIF('Eredeti fejléccel'!$B:$B,'Felosztás eredménykim'!$B17,'Eredeti fejléccel'!$AX:$AX)</f>
        <v>0</v>
      </c>
      <c r="BY17" s="6">
        <f>SUMIF('Eredeti fejléccel'!$B:$B,'Felosztás eredménykim'!$B17,'Eredeti fejléccel'!$AY:$AY)</f>
        <v>0</v>
      </c>
      <c r="BZ17" s="6">
        <f>SUMIF('Eredeti fejléccel'!$B:$B,'Felosztás eredménykim'!$B17,'Eredeti fejléccel'!$AZ:$AZ)</f>
        <v>0</v>
      </c>
      <c r="CA17" s="6">
        <f>SUMIF('Eredeti fejléccel'!$B:$B,'Felosztás eredménykim'!$B17,'Eredeti fejléccel'!$BA:$BA)</f>
        <v>0</v>
      </c>
      <c r="CB17" s="6">
        <f t="shared" si="13"/>
        <v>0</v>
      </c>
      <c r="CC17" s="36">
        <f t="shared" si="14"/>
        <v>0</v>
      </c>
      <c r="CD17" s="8">
        <f t="shared" si="15"/>
        <v>0</v>
      </c>
      <c r="CE17" s="6">
        <f>SUMIF('Eredeti fejléccel'!$B:$B,'Felosztás eredménykim'!$B17,'Eredeti fejléccel'!$BC:$BC)</f>
        <v>0</v>
      </c>
      <c r="CF17" s="8">
        <f t="shared" si="42"/>
        <v>0</v>
      </c>
      <c r="CG17" s="6">
        <f>SUMIF('Eredeti fejléccel'!$B:$B,'Felosztás eredménykim'!$B17,'Eredeti fejléccel'!$H:$H)</f>
        <v>0</v>
      </c>
      <c r="CH17" s="6">
        <f>SUMIF('Eredeti fejléccel'!$B:$B,'Felosztás eredménykim'!$B17,'Eredeti fejléccel'!$BE:$BE)</f>
        <v>0</v>
      </c>
      <c r="CI17" s="6">
        <f t="shared" si="43"/>
        <v>0</v>
      </c>
      <c r="CJ17" s="36">
        <f t="shared" si="16"/>
        <v>0</v>
      </c>
      <c r="CK17" s="8">
        <f t="shared" si="17"/>
        <v>0</v>
      </c>
      <c r="CL17" s="8">
        <f t="shared" si="44"/>
        <v>0</v>
      </c>
      <c r="CM17" s="6">
        <f>SUMIF('Eredeti fejléccel'!$B:$B,'Felosztás eredménykim'!$B17,'Eredeti fejléccel'!$BD:$BD)</f>
        <v>0</v>
      </c>
      <c r="CN17" s="8">
        <f t="shared" si="45"/>
        <v>0</v>
      </c>
      <c r="CO17" s="8">
        <f t="shared" si="18"/>
        <v>0</v>
      </c>
      <c r="CR17" s="36">
        <f t="shared" si="19"/>
        <v>0</v>
      </c>
      <c r="CS17" s="6">
        <f>SUMIF('Eredeti fejléccel'!$B:$B,'Felosztás eredménykim'!$B17,'Eredeti fejléccel'!$I:$I)</f>
        <v>0</v>
      </c>
      <c r="CT17" s="6">
        <f>SUMIF('Eredeti fejléccel'!$B:$B,'Felosztás eredménykim'!$B17,'Eredeti fejléccel'!$BG:$BG)</f>
        <v>0</v>
      </c>
      <c r="CU17" s="6">
        <f>SUMIF('Eredeti fejléccel'!$B:$B,'Felosztás eredménykim'!$B17,'Eredeti fejléccel'!$BH:$BH)</f>
        <v>0</v>
      </c>
      <c r="CV17" s="6">
        <f>SUMIF('Eredeti fejléccel'!$B:$B,'Felosztás eredménykim'!$B17,'Eredeti fejléccel'!$BI:$BI)</f>
        <v>0</v>
      </c>
      <c r="CW17" s="6">
        <f>SUMIF('Eredeti fejléccel'!$B:$B,'Felosztás eredménykim'!$B17,'Eredeti fejléccel'!$BL:$BL)</f>
        <v>0</v>
      </c>
      <c r="CX17" s="6">
        <f t="shared" si="46"/>
        <v>0</v>
      </c>
      <c r="CY17" s="6">
        <f>SUMIF('Eredeti fejléccel'!$B:$B,'Felosztás eredménykim'!$B17,'Eredeti fejléccel'!$BJ:$BJ)</f>
        <v>0</v>
      </c>
      <c r="CZ17" s="6">
        <f>SUMIF('Eredeti fejléccel'!$B:$B,'Felosztás eredménykim'!$B17,'Eredeti fejléccel'!$BK:$BK)</f>
        <v>0</v>
      </c>
      <c r="DA17" s="99">
        <f t="shared" si="47"/>
        <v>0</v>
      </c>
      <c r="DC17" s="36">
        <f t="shared" si="20"/>
        <v>0</v>
      </c>
      <c r="DD17" s="6">
        <f>SUMIF('Eredeti fejléccel'!$B:$B,'Felosztás eredménykim'!$B17,'Eredeti fejléccel'!$J:$J)</f>
        <v>0</v>
      </c>
      <c r="DE17" s="6">
        <f>SUMIF('Eredeti fejléccel'!$B:$B,'Felosztás eredménykim'!$B17,'Eredeti fejléccel'!$BM:$BM)</f>
        <v>0</v>
      </c>
      <c r="DF17" s="6">
        <f t="shared" si="48"/>
        <v>0</v>
      </c>
      <c r="DG17" s="8">
        <f t="shared" si="21"/>
        <v>0</v>
      </c>
      <c r="DH17" s="8">
        <f t="shared" si="49"/>
        <v>0</v>
      </c>
      <c r="DJ17" s="6">
        <f>SUMIF('Eredeti fejléccel'!$B:$B,'Felosztás eredménykim'!$B17,'Eredeti fejléccel'!$BN:$BN)</f>
        <v>0</v>
      </c>
      <c r="DK17" s="6">
        <f>SUMIF('Eredeti fejléccel'!$B:$B,'Felosztás eredménykim'!$B17,'Eredeti fejléccel'!$BZ:$BZ)</f>
        <v>0</v>
      </c>
      <c r="DL17" s="8">
        <f t="shared" si="50"/>
        <v>0</v>
      </c>
      <c r="DM17" s="6">
        <f>SUMIF('Eredeti fejléccel'!$B:$B,'Felosztás eredménykim'!$B17,'Eredeti fejléccel'!$BR:$BR)</f>
        <v>0</v>
      </c>
      <c r="DN17" s="6">
        <f>SUMIF('Eredeti fejléccel'!$B:$B,'Felosztás eredménykim'!$B17,'Eredeti fejléccel'!$BS:$BS)</f>
        <v>0</v>
      </c>
      <c r="DO17" s="6">
        <f>SUMIF('Eredeti fejléccel'!$B:$B,'Felosztás eredménykim'!$B17,'Eredeti fejléccel'!$BO:$BO)</f>
        <v>0</v>
      </c>
      <c r="DP17" s="6">
        <f>SUMIF('Eredeti fejléccel'!$B:$B,'Felosztás eredménykim'!$B17,'Eredeti fejléccel'!$BP:$BP)</f>
        <v>0</v>
      </c>
      <c r="DQ17" s="6">
        <f>SUMIF('Eredeti fejléccel'!$B:$B,'Felosztás eredménykim'!$B17,'Eredeti fejléccel'!$BQ:$BQ)</f>
        <v>0</v>
      </c>
      <c r="DS17" s="8"/>
      <c r="DU17" s="6">
        <f>SUMIF('Eredeti fejléccel'!$B:$B,'Felosztás eredménykim'!$B17,'Eredeti fejléccel'!$BT:$BT)</f>
        <v>0</v>
      </c>
      <c r="DV17" s="6">
        <f>SUMIF('Eredeti fejléccel'!$B:$B,'Felosztás eredménykim'!$B17,'Eredeti fejléccel'!$BU:$BU)</f>
        <v>0</v>
      </c>
      <c r="DW17" s="6">
        <f>SUMIF('Eredeti fejléccel'!$B:$B,'Felosztás eredménykim'!$B17,'Eredeti fejléccel'!$BV:$BV)</f>
        <v>0</v>
      </c>
      <c r="DX17" s="6">
        <f>SUMIF('Eredeti fejléccel'!$B:$B,'Felosztás eredménykim'!$B17,'Eredeti fejléccel'!$BW:$BW)</f>
        <v>0</v>
      </c>
      <c r="DY17" s="6">
        <f>SUMIF('Eredeti fejléccel'!$B:$B,'Felosztás eredménykim'!$B17,'Eredeti fejléccel'!$BX:$BX)</f>
        <v>0</v>
      </c>
      <c r="EA17" s="6"/>
      <c r="EC17" s="6"/>
      <c r="EE17" s="6">
        <f>SUMIF('Eredeti fejléccel'!$B:$B,'Felosztás eredménykim'!$B17,'Eredeti fejléccel'!$CA:$CA)</f>
        <v>0</v>
      </c>
      <c r="EF17" s="6">
        <f>SUMIF('Eredeti fejléccel'!$B:$B,'Felosztás eredménykim'!$B17,'Eredeti fejléccel'!$CB:$CB)</f>
        <v>0</v>
      </c>
      <c r="EG17" s="6">
        <f>SUMIF('Eredeti fejléccel'!$B:$B,'Felosztás eredménykim'!$B17,'Eredeti fejléccel'!$CC:$CC)</f>
        <v>0</v>
      </c>
      <c r="EH17" s="6">
        <f>SUMIF('Eredeti fejléccel'!$B:$B,'Felosztás eredménykim'!$B17,'Eredeti fejléccel'!$CD:$CD)</f>
        <v>0</v>
      </c>
      <c r="EK17" s="6">
        <f>SUMIF('Eredeti fejléccel'!$B:$B,'Felosztás eredménykim'!$B17,'Eredeti fejléccel'!$CE:$CE)</f>
        <v>0</v>
      </c>
      <c r="EN17" s="6">
        <f>SUMIF('Eredeti fejléccel'!$B:$B,'Felosztás eredménykim'!$B17,'Eredeti fejléccel'!$CF:$CF)</f>
        <v>0</v>
      </c>
      <c r="EP17" s="6">
        <f>SUMIF('Eredeti fejléccel'!$B:$B,'Felosztás eredménykim'!$B17,'Eredeti fejléccel'!$CG:$CG)</f>
        <v>0</v>
      </c>
      <c r="ES17" s="6">
        <f>SUMIF('Eredeti fejléccel'!$B:$B,'Felosztás eredménykim'!$B17,'Eredeti fejléccel'!$CH:$CH)</f>
        <v>0</v>
      </c>
      <c r="ET17" s="6">
        <f>SUMIF('Eredeti fejléccel'!$B:$B,'Felosztás eredménykim'!$B17,'Eredeti fejléccel'!$CI:$CI)</f>
        <v>0</v>
      </c>
      <c r="EW17" s="8">
        <f t="shared" si="22"/>
        <v>0</v>
      </c>
      <c r="EX17" s="8">
        <f t="shared" si="51"/>
        <v>0</v>
      </c>
      <c r="EY17" s="8">
        <f t="shared" si="52"/>
        <v>0</v>
      </c>
      <c r="EZ17" s="8">
        <f t="shared" si="23"/>
        <v>0</v>
      </c>
      <c r="FA17" s="8">
        <f t="shared" si="24"/>
        <v>0</v>
      </c>
      <c r="FC17" s="6">
        <f>SUMIF('Eredeti fejléccel'!$B:$B,'Felosztás eredménykim'!$B17,'Eredeti fejléccel'!$L:$L)</f>
        <v>0</v>
      </c>
      <c r="FD17" s="6">
        <f>SUMIF('Eredeti fejléccel'!$B:$B,'Felosztás eredménykim'!$B17,'Eredeti fejléccel'!$CJ:$CJ)</f>
        <v>0</v>
      </c>
      <c r="FE17" s="6">
        <f>SUMIF('Eredeti fejléccel'!$B:$B,'Felosztás eredménykim'!$B17,'Eredeti fejléccel'!$CL:$CL)</f>
        <v>0</v>
      </c>
      <c r="FG17" s="99">
        <f t="shared" si="53"/>
        <v>0</v>
      </c>
      <c r="FH17" s="6">
        <f>SUMIF('Eredeti fejléccel'!$B:$B,'Felosztás eredménykim'!$B17,'Eredeti fejléccel'!$CK:$CK)</f>
        <v>0</v>
      </c>
      <c r="FI17" s="36">
        <f t="shared" si="25"/>
        <v>0</v>
      </c>
      <c r="FJ17" s="101">
        <f t="shared" si="26"/>
        <v>0</v>
      </c>
      <c r="FK17" s="6">
        <f>SUMIF('Eredeti fejléccel'!$B:$B,'Felosztás eredménykim'!$B17,'Eredeti fejléccel'!$CM:$CM)</f>
        <v>0</v>
      </c>
      <c r="FL17" s="6">
        <f>SUMIF('Eredeti fejléccel'!$B:$B,'Felosztás eredménykim'!$B17,'Eredeti fejléccel'!$CN:$CN)</f>
        <v>0</v>
      </c>
      <c r="FM17" s="8">
        <f t="shared" si="54"/>
        <v>0</v>
      </c>
      <c r="FN17" s="36">
        <f t="shared" si="27"/>
        <v>0</v>
      </c>
      <c r="FO17" s="101">
        <f t="shared" si="28"/>
        <v>0</v>
      </c>
      <c r="FP17" s="6">
        <f>SUMIF('Eredeti fejléccel'!$B:$B,'Felosztás eredménykim'!$B17,'Eredeti fejléccel'!$CO:$CO)</f>
        <v>0</v>
      </c>
      <c r="FQ17" s="6">
        <f>'Eredeti fejléccel'!CP17</f>
        <v>0</v>
      </c>
      <c r="FR17" s="6">
        <f>'Eredeti fejléccel'!CQ17</f>
        <v>0</v>
      </c>
      <c r="FS17" s="103">
        <f t="shared" si="55"/>
        <v>0</v>
      </c>
      <c r="FT17" s="36">
        <f t="shared" si="29"/>
        <v>0</v>
      </c>
      <c r="FU17" s="101">
        <f t="shared" si="30"/>
        <v>0</v>
      </c>
      <c r="FV17" s="101"/>
      <c r="FW17" s="6">
        <f>SUMIF('Eredeti fejléccel'!$B:$B,'Felosztás eredménykim'!$B17,'Eredeti fejléccel'!$CR:$CR)</f>
        <v>0</v>
      </c>
      <c r="FX17" s="6">
        <f>SUMIF('Eredeti fejléccel'!$B:$B,'Felosztás eredménykim'!$B17,'Eredeti fejléccel'!$CS:$CS)</f>
        <v>0</v>
      </c>
      <c r="FY17" s="6">
        <f>SUMIF('Eredeti fejléccel'!$B:$B,'Felosztás eredménykim'!$B17,'Eredeti fejléccel'!$CT:$CT)</f>
        <v>0</v>
      </c>
      <c r="FZ17" s="6">
        <f>SUMIF('Eredeti fejléccel'!$B:$B,'Felosztás eredménykim'!$B17,'Eredeti fejléccel'!$CU:$CU)</f>
        <v>0</v>
      </c>
      <c r="GA17" s="103">
        <f t="shared" si="56"/>
        <v>0</v>
      </c>
      <c r="GB17" s="36">
        <f t="shared" si="31"/>
        <v>0</v>
      </c>
      <c r="GC17" s="101">
        <f t="shared" si="32"/>
        <v>0</v>
      </c>
      <c r="GD17" s="6">
        <f>SUMIF('Eredeti fejléccel'!$B:$B,'Felosztás eredménykim'!$B17,'Eredeti fejléccel'!$CV:$CV)</f>
        <v>0</v>
      </c>
      <c r="GE17" s="6">
        <f>SUMIF('Eredeti fejléccel'!$B:$B,'Felosztás eredménykim'!$B17,'Eredeti fejléccel'!$CW:$CW)</f>
        <v>0</v>
      </c>
      <c r="GF17" s="103">
        <f t="shared" si="57"/>
        <v>0</v>
      </c>
      <c r="GG17" s="36">
        <f t="shared" si="33"/>
        <v>0</v>
      </c>
      <c r="GM17" s="6">
        <f>SUMIF('Eredeti fejléccel'!$B:$B,'Felosztás eredménykim'!$B17,'Eredeti fejléccel'!$CX:$CX)</f>
        <v>0</v>
      </c>
      <c r="GN17" s="6">
        <f>SUMIF('Eredeti fejléccel'!$B:$B,'Felosztás eredménykim'!$B17,'Eredeti fejléccel'!$CY:$CY)</f>
        <v>0</v>
      </c>
      <c r="GO17" s="6">
        <f>SUMIF('Eredeti fejléccel'!$B:$B,'Felosztás eredménykim'!$B17,'Eredeti fejléccel'!$CZ:$CZ)</f>
        <v>0</v>
      </c>
      <c r="GP17" s="6">
        <f>SUMIF('Eredeti fejléccel'!$B:$B,'Felosztás eredménykim'!$B17,'Eredeti fejléccel'!$DA:$DA)</f>
        <v>0</v>
      </c>
      <c r="GQ17" s="6">
        <f>SUMIF('Eredeti fejléccel'!$B:$B,'Felosztás eredménykim'!$B17,'Eredeti fejléccel'!$DB:$DB)</f>
        <v>0</v>
      </c>
      <c r="GR17" s="103">
        <f t="shared" si="58"/>
        <v>0</v>
      </c>
      <c r="GW17" s="36">
        <f t="shared" si="34"/>
        <v>0</v>
      </c>
      <c r="GX17" s="6">
        <f>SUMIF('Eredeti fejléccel'!$B:$B,'Felosztás eredménykim'!$B17,'Eredeti fejléccel'!$M:$M)</f>
        <v>0</v>
      </c>
      <c r="GY17" s="6">
        <f>SUMIF('Eredeti fejléccel'!$B:$B,'Felosztás eredménykim'!$B17,'Eredeti fejléccel'!$DC:$DC)</f>
        <v>0</v>
      </c>
      <c r="GZ17" s="6">
        <f>SUMIF('Eredeti fejléccel'!$B:$B,'Felosztás eredménykim'!$B17,'Eredeti fejléccel'!$DD:$DD)</f>
        <v>0</v>
      </c>
      <c r="HA17" s="6">
        <f>SUMIF('Eredeti fejléccel'!$B:$B,'Felosztás eredménykim'!$B17,'Eredeti fejléccel'!$DE:$DE)</f>
        <v>0</v>
      </c>
      <c r="HB17" s="103">
        <f t="shared" si="59"/>
        <v>0</v>
      </c>
      <c r="HD17" s="9">
        <f t="shared" si="35"/>
        <v>0</v>
      </c>
      <c r="HE17" s="9"/>
      <c r="HF17" s="476"/>
      <c r="HH17" s="34">
        <f t="shared" si="60"/>
        <v>0</v>
      </c>
    </row>
    <row r="18" spans="1:218" x14ac:dyDescent="0.25">
      <c r="A18" s="4" t="s">
        <v>77</v>
      </c>
      <c r="B18" s="4" t="s">
        <v>77</v>
      </c>
      <c r="C18" s="1" t="s">
        <v>78</v>
      </c>
      <c r="D18" s="6">
        <f>SUMIF('Eredeti fejléccel'!$B:$B,'Felosztás eredménykim'!$B18,'Eredeti fejléccel'!$D:$D)</f>
        <v>0</v>
      </c>
      <c r="E18" s="6">
        <f>SUMIF('Eredeti fejléccel'!$B:$B,'Felosztás eredménykim'!$B18,'Eredeti fejléccel'!$E:$E)</f>
        <v>0</v>
      </c>
      <c r="F18" s="6">
        <f>SUMIF('Eredeti fejléccel'!$B:$B,'Felosztás eredménykim'!$B18,'Eredeti fejléccel'!$F:$F)</f>
        <v>0</v>
      </c>
      <c r="G18" s="6">
        <f>SUMIF('Eredeti fejléccel'!$B:$B,'Felosztás eredménykim'!$B18,'Eredeti fejléccel'!$G:$G)</f>
        <v>56318</v>
      </c>
      <c r="H18" s="6"/>
      <c r="I18" s="6">
        <f>SUMIF('Eredeti fejléccel'!$B:$B,'Felosztás eredménykim'!$B18,'Eredeti fejléccel'!$O:$O)</f>
        <v>3633.99</v>
      </c>
      <c r="J18" s="6">
        <f>SUMIF('Eredeti fejléccel'!$B:$B,'Felosztás eredménykim'!$B18,'Eredeti fejléccel'!$P:$P)</f>
        <v>0</v>
      </c>
      <c r="K18" s="6">
        <f>SUMIF('Eredeti fejléccel'!$B:$B,'Felosztás eredménykim'!$B18,'Eredeti fejléccel'!$Q:$Q)</f>
        <v>0</v>
      </c>
      <c r="L18" s="6">
        <f>SUMIF('Eredeti fejléccel'!$B:$B,'Felosztás eredménykim'!$B18,'Eredeti fejléccel'!$R:$R)</f>
        <v>20719.5</v>
      </c>
      <c r="M18" s="6">
        <f>SUMIF('Eredeti fejléccel'!$B:$B,'Felosztás eredménykim'!$B18,'Eredeti fejléccel'!$T:$T)</f>
        <v>0</v>
      </c>
      <c r="N18" s="6">
        <f>SUMIF('Eredeti fejléccel'!$B:$B,'Felosztás eredménykim'!$B18,'Eredeti fejléccel'!$U:$U)</f>
        <v>0</v>
      </c>
      <c r="O18" s="6">
        <f>SUMIF('Eredeti fejléccel'!$B:$B,'Felosztás eredménykim'!$B18,'Eredeti fejléccel'!$V:$V)</f>
        <v>16958.620000000003</v>
      </c>
      <c r="P18" s="6">
        <f>SUMIF('Eredeti fejléccel'!$B:$B,'Felosztás eredménykim'!$B18,'Eredeti fejléccel'!$W:$W)</f>
        <v>0</v>
      </c>
      <c r="Q18" s="6">
        <f>SUMIF('Eredeti fejléccel'!$B:$B,'Felosztás eredménykim'!$B18,'Eredeti fejléccel'!$X:$X)</f>
        <v>0</v>
      </c>
      <c r="R18" s="6">
        <f>SUMIF('Eredeti fejléccel'!$B:$B,'Felosztás eredménykim'!$B18,'Eredeti fejléccel'!$Y:$Y)</f>
        <v>0</v>
      </c>
      <c r="S18" s="6">
        <f>SUMIF('Eredeti fejléccel'!$B:$B,'Felosztás eredménykim'!$B18,'Eredeti fejléccel'!$Z:$Z)</f>
        <v>0</v>
      </c>
      <c r="T18" s="6">
        <f>SUMIF('Eredeti fejléccel'!$B:$B,'Felosztás eredménykim'!$B18,'Eredeti fejléccel'!$AA:$AA)</f>
        <v>0</v>
      </c>
      <c r="U18" s="6">
        <f>SUMIF('Eredeti fejléccel'!$B:$B,'Felosztás eredménykim'!$B18,'Eredeti fejléccel'!$D:$D)</f>
        <v>0</v>
      </c>
      <c r="V18" s="6">
        <f>SUMIF('Eredeti fejléccel'!$B:$B,'Felosztás eredménykim'!$B18,'Eredeti fejléccel'!$AT:$AT)</f>
        <v>0</v>
      </c>
      <c r="X18" s="36">
        <f t="shared" si="0"/>
        <v>97630.109999999986</v>
      </c>
      <c r="Z18" s="6">
        <f>SUMIF('Eredeti fejléccel'!$B:$B,'Felosztás eredménykim'!$B18,'Eredeti fejléccel'!$K:$K)</f>
        <v>3633.9900000000002</v>
      </c>
      <c r="AB18" s="6">
        <f>SUMIF('Eredeti fejléccel'!$B:$B,'Felosztás eredménykim'!$B18,'Eredeti fejléccel'!$AB:$AB)</f>
        <v>0</v>
      </c>
      <c r="AC18" s="6">
        <f>SUMIF('Eredeti fejléccel'!$B:$B,'Felosztás eredménykim'!$B18,'Eredeti fejléccel'!$AQ:$AQ)</f>
        <v>0</v>
      </c>
      <c r="AE18" s="73">
        <f t="shared" si="1"/>
        <v>3633.9900000000002</v>
      </c>
      <c r="AF18" s="36">
        <f t="shared" si="2"/>
        <v>11646.748975386014</v>
      </c>
      <c r="AG18" s="8">
        <f t="shared" si="3"/>
        <v>1158.6776093372682</v>
      </c>
      <c r="AI18" s="6">
        <f>SUMIF('Eredeti fejléccel'!$B:$B,'Felosztás eredménykim'!$B18,'Eredeti fejléccel'!$BB:$BB)</f>
        <v>20709.780000000002</v>
      </c>
      <c r="AJ18" s="6">
        <f>SUMIF('Eredeti fejléccel'!$B:$B,'Felosztás eredménykim'!$B18,'Eredeti fejléccel'!$AF:$AF)</f>
        <v>0</v>
      </c>
      <c r="AK18" s="8">
        <f t="shared" si="4"/>
        <v>21868.457609337271</v>
      </c>
      <c r="AL18" s="36">
        <f t="shared" si="5"/>
        <v>4626.0298875586532</v>
      </c>
      <c r="AM18" s="8">
        <f t="shared" si="6"/>
        <v>460.22089616313383</v>
      </c>
      <c r="AN18" s="6">
        <f t="shared" si="36"/>
        <v>0</v>
      </c>
      <c r="AO18" s="6">
        <f>SUMIF('Eredeti fejléccel'!$B:$B,'Felosztás eredménykim'!$B18,'Eredeti fejléccel'!$AC:$AC)</f>
        <v>0</v>
      </c>
      <c r="AP18" s="6">
        <f>SUMIF('Eredeti fejléccel'!$B:$B,'Felosztás eredménykim'!$B18,'Eredeti fejléccel'!$AD:$AD)</f>
        <v>0</v>
      </c>
      <c r="AQ18" s="6">
        <f>SUMIF('Eredeti fejléccel'!$B:$B,'Felosztás eredménykim'!$B18,'Eredeti fejléccel'!$AE:$AE)</f>
        <v>0</v>
      </c>
      <c r="AR18" s="6">
        <f>SUMIF('Eredeti fejléccel'!$B:$B,'Felosztás eredménykim'!$B18,'Eredeti fejléccel'!$AG:$AG)</f>
        <v>29539.5</v>
      </c>
      <c r="AS18" s="6">
        <f t="shared" si="37"/>
        <v>29999.720896163133</v>
      </c>
      <c r="AT18" s="36">
        <f t="shared" si="7"/>
        <v>7514.0315970232359</v>
      </c>
      <c r="AU18" s="8">
        <f t="shared" si="8"/>
        <v>747.53394150791507</v>
      </c>
      <c r="AV18" s="6">
        <f>SUMIF('Eredeti fejléccel'!$B:$B,'Felosztás eredménykim'!$B18,'Eredeti fejléccel'!$AI:$AI)</f>
        <v>0</v>
      </c>
      <c r="AW18" s="6">
        <f>SUMIF('Eredeti fejléccel'!$B:$B,'Felosztás eredménykim'!$B18,'Eredeti fejléccel'!$AJ:$AJ)</f>
        <v>1211.33</v>
      </c>
      <c r="AX18" s="6">
        <f>SUMIF('Eredeti fejléccel'!$B:$B,'Felosztás eredménykim'!$B18,'Eredeti fejléccel'!$AK:$AK)</f>
        <v>13324.63</v>
      </c>
      <c r="AY18" s="6">
        <f>SUMIF('Eredeti fejléccel'!$B:$B,'Felosztás eredménykim'!$B18,'Eredeti fejléccel'!$AL:$AL)</f>
        <v>7267.98</v>
      </c>
      <c r="AZ18" s="6">
        <f>SUMIF('Eredeti fejléccel'!$B:$B,'Felosztás eredménykim'!$B18,'Eredeti fejléccel'!$AM:$AM)</f>
        <v>12113.3</v>
      </c>
      <c r="BA18" s="6">
        <f>SUMIF('Eredeti fejléccel'!$B:$B,'Felosztás eredménykim'!$B18,'Eredeti fejléccel'!$AN:$AN)</f>
        <v>0</v>
      </c>
      <c r="BB18" s="6">
        <f>SUMIF('Eredeti fejléccel'!$B:$B,'Felosztás eredménykim'!$B18,'Eredeti fejléccel'!$AP:$AP)</f>
        <v>0</v>
      </c>
      <c r="BD18" s="6">
        <f>SUMIF('Eredeti fejléccel'!$B:$B,'Felosztás eredménykim'!$B18,'Eredeti fejléccel'!$AS:$AS)</f>
        <v>0</v>
      </c>
      <c r="BE18" s="8">
        <f t="shared" si="38"/>
        <v>34664.773941507912</v>
      </c>
      <c r="BF18" s="36">
        <f t="shared" si="9"/>
        <v>1960.1821557451917</v>
      </c>
      <c r="BG18" s="8">
        <f t="shared" si="10"/>
        <v>195.00885430641262</v>
      </c>
      <c r="BH18" s="6">
        <f t="shared" si="39"/>
        <v>0</v>
      </c>
      <c r="BI18" s="6">
        <f>SUMIF('Eredeti fejléccel'!$B:$B,'Felosztás eredménykim'!$B18,'Eredeti fejléccel'!$AH:$AH)</f>
        <v>16958.62</v>
      </c>
      <c r="BJ18" s="6">
        <f>SUMIF('Eredeti fejléccel'!$B:$B,'Felosztás eredménykim'!$B18,'Eredeti fejléccel'!$AO:$AO)</f>
        <v>0</v>
      </c>
      <c r="BK18" s="6">
        <f>SUMIF('Eredeti fejléccel'!$B:$B,'Felosztás eredménykim'!$B18,'Eredeti fejléccel'!$BF:$BF)</f>
        <v>0</v>
      </c>
      <c r="BL18" s="8">
        <f t="shared" si="40"/>
        <v>17153.628854306411</v>
      </c>
      <c r="BM18" s="36">
        <f t="shared" si="11"/>
        <v>7344.1491435253192</v>
      </c>
      <c r="BN18" s="8">
        <f t="shared" si="12"/>
        <v>730.63317413469269</v>
      </c>
      <c r="BP18" s="8">
        <f t="shared" si="41"/>
        <v>0</v>
      </c>
      <c r="BQ18" s="6">
        <f>SUMIF('Eredeti fejléccel'!$B:$B,'Felosztás eredménykim'!$B18,'Eredeti fejléccel'!$N:$N)</f>
        <v>0</v>
      </c>
      <c r="BR18" s="6">
        <f>SUMIF('Eredeti fejléccel'!$B:$B,'Felosztás eredménykim'!$B18,'Eredeti fejléccel'!$S:$S)</f>
        <v>0</v>
      </c>
      <c r="BT18" s="6">
        <f>SUMIF('Eredeti fejléccel'!$B:$B,'Felosztás eredménykim'!$B18,'Eredeti fejléccel'!$AR:$AR)</f>
        <v>0</v>
      </c>
      <c r="BU18" s="6">
        <f>SUMIF('Eredeti fejléccel'!$B:$B,'Felosztás eredménykim'!$B18,'Eredeti fejléccel'!$AU:$AU)</f>
        <v>0</v>
      </c>
      <c r="BV18" s="6">
        <f>SUMIF('Eredeti fejléccel'!$B:$B,'Felosztás eredménykim'!$B18,'Eredeti fejléccel'!$AV:$AV)</f>
        <v>5155.5899999999983</v>
      </c>
      <c r="BW18" s="6">
        <f>SUMIF('Eredeti fejléccel'!$B:$B,'Felosztás eredménykim'!$B18,'Eredeti fejléccel'!$AW:$AW)</f>
        <v>0</v>
      </c>
      <c r="BX18" s="6">
        <f>SUMIF('Eredeti fejléccel'!$B:$B,'Felosztás eredménykim'!$B18,'Eredeti fejléccel'!$AX:$AX)</f>
        <v>21803.94</v>
      </c>
      <c r="BY18" s="6">
        <f>SUMIF('Eredeti fejléccel'!$B:$B,'Felosztás eredménykim'!$B18,'Eredeti fejléccel'!$AY:$AY)</f>
        <v>0</v>
      </c>
      <c r="BZ18" s="6">
        <f>SUMIF('Eredeti fejléccel'!$B:$B,'Felosztás eredménykim'!$B18,'Eredeti fejléccel'!$AZ:$AZ)</f>
        <v>0</v>
      </c>
      <c r="CA18" s="6">
        <f>SUMIF('Eredeti fejléccel'!$B:$B,'Felosztás eredménykim'!$B18,'Eredeti fejléccel'!$BA:$BA)</f>
        <v>5841.2200000000012</v>
      </c>
      <c r="CB18" s="6">
        <f t="shared" si="13"/>
        <v>33531.383174134695</v>
      </c>
      <c r="CC18" s="36">
        <f t="shared" si="14"/>
        <v>1999.3857988600957</v>
      </c>
      <c r="CD18" s="8">
        <f t="shared" si="15"/>
        <v>198.9090313925409</v>
      </c>
      <c r="CE18" s="6">
        <f>SUMIF('Eredeti fejléccel'!$B:$B,'Felosztás eredménykim'!$B18,'Eredeti fejléccel'!$BC:$BC)</f>
        <v>0</v>
      </c>
      <c r="CF18" s="8">
        <f t="shared" si="42"/>
        <v>0</v>
      </c>
      <c r="CG18" s="6">
        <f>SUMIF('Eredeti fejléccel'!$B:$B,'Felosztás eredménykim'!$B18,'Eredeti fejléccel'!$H:$H)</f>
        <v>0</v>
      </c>
      <c r="CH18" s="6">
        <f>SUMIF('Eredeti fejléccel'!$B:$B,'Felosztás eredménykim'!$B18,'Eredeti fejléccel'!$BE:$BE)</f>
        <v>13324.63</v>
      </c>
      <c r="CI18" s="6">
        <f t="shared" si="43"/>
        <v>13523.53903139254</v>
      </c>
      <c r="CJ18" s="36">
        <f t="shared" si="16"/>
        <v>1437.4669142131409</v>
      </c>
      <c r="CK18" s="8">
        <f t="shared" si="17"/>
        <v>143.00649315803594</v>
      </c>
      <c r="CL18" s="8">
        <f t="shared" si="44"/>
        <v>0</v>
      </c>
      <c r="CM18" s="6">
        <f>SUMIF('Eredeti fejléccel'!$B:$B,'Felosztás eredménykim'!$B18,'Eredeti fejléccel'!$BD:$BD)</f>
        <v>10901.97</v>
      </c>
      <c r="CN18" s="8">
        <f t="shared" si="45"/>
        <v>11044.976493158036</v>
      </c>
      <c r="CO18" s="8">
        <f t="shared" si="18"/>
        <v>198314.47447231167</v>
      </c>
      <c r="CR18" s="36">
        <f t="shared" si="19"/>
        <v>8634.5754079201524</v>
      </c>
      <c r="CS18" s="6">
        <f>SUMIF('Eredeti fejléccel'!$B:$B,'Felosztás eredménykim'!$B18,'Eredeti fejléccel'!$I:$I)</f>
        <v>0</v>
      </c>
      <c r="CT18" s="6">
        <f>SUMIF('Eredeti fejléccel'!$B:$B,'Felosztás eredménykim'!$B18,'Eredeti fejléccel'!$BG:$BG)</f>
        <v>0</v>
      </c>
      <c r="CU18" s="6">
        <f>SUMIF('Eredeti fejléccel'!$B:$B,'Felosztás eredménykim'!$B18,'Eredeti fejléccel'!$BH:$BH)</f>
        <v>0</v>
      </c>
      <c r="CV18" s="6">
        <f>SUMIF('Eredeti fejléccel'!$B:$B,'Felosztás eredménykim'!$B18,'Eredeti fejléccel'!$BI:$BI)</f>
        <v>0</v>
      </c>
      <c r="CW18" s="6">
        <f>SUMIF('Eredeti fejléccel'!$B:$B,'Felosztás eredménykim'!$B18,'Eredeti fejléccel'!$BL:$BL)</f>
        <v>50833.079999999994</v>
      </c>
      <c r="CX18" s="6">
        <f t="shared" si="46"/>
        <v>50833.079999999994</v>
      </c>
      <c r="CY18" s="6">
        <f>SUMIF('Eredeti fejléccel'!$B:$B,'Felosztás eredménykim'!$B18,'Eredeti fejléccel'!$BJ:$BJ)</f>
        <v>7595.739999999998</v>
      </c>
      <c r="CZ18" s="6">
        <f>SUMIF('Eredeti fejléccel'!$B:$B,'Felosztás eredménykim'!$B18,'Eredeti fejléccel'!$BK:$BK)</f>
        <v>0</v>
      </c>
      <c r="DA18" s="99">
        <f t="shared" si="47"/>
        <v>58428.819999999992</v>
      </c>
      <c r="DC18" s="36">
        <f t="shared" si="20"/>
        <v>7562.7187591757884</v>
      </c>
      <c r="DD18" s="6">
        <f>SUMIF('Eredeti fejléccel'!$B:$B,'Felosztás eredménykim'!$B18,'Eredeti fejléccel'!$J:$J)</f>
        <v>0</v>
      </c>
      <c r="DE18" s="6">
        <f>SUMIF('Eredeti fejléccel'!$B:$B,'Felosztás eredménykim'!$B18,'Eredeti fejléccel'!$BM:$BM)</f>
        <v>32224</v>
      </c>
      <c r="DF18" s="6">
        <f t="shared" si="48"/>
        <v>0</v>
      </c>
      <c r="DG18" s="8">
        <f t="shared" si="21"/>
        <v>0</v>
      </c>
      <c r="DH18" s="8">
        <f t="shared" si="49"/>
        <v>32224</v>
      </c>
      <c r="DJ18" s="6">
        <f>SUMIF('Eredeti fejléccel'!$B:$B,'Felosztás eredménykim'!$B18,'Eredeti fejléccel'!$BN:$BN)</f>
        <v>0</v>
      </c>
      <c r="DK18" s="6">
        <f>SUMIF('Eredeti fejléccel'!$B:$B,'Felosztás eredménykim'!$B18,'Eredeti fejléccel'!$BZ:$BZ)</f>
        <v>0</v>
      </c>
      <c r="DL18" s="8">
        <f t="shared" si="50"/>
        <v>0</v>
      </c>
      <c r="DM18" s="6">
        <f>SUMIF('Eredeti fejléccel'!$B:$B,'Felosztás eredménykim'!$B18,'Eredeti fejléccel'!$BR:$BR)</f>
        <v>0</v>
      </c>
      <c r="DN18" s="6">
        <f>SUMIF('Eredeti fejléccel'!$B:$B,'Felosztás eredménykim'!$B18,'Eredeti fejléccel'!$BS:$BS)</f>
        <v>0</v>
      </c>
      <c r="DO18" s="6">
        <f>SUMIF('Eredeti fejléccel'!$B:$B,'Felosztás eredménykim'!$B18,'Eredeti fejléccel'!$BO:$BO)</f>
        <v>0</v>
      </c>
      <c r="DP18" s="6">
        <f>SUMIF('Eredeti fejléccel'!$B:$B,'Felosztás eredménykim'!$B18,'Eredeti fejléccel'!$BP:$BP)</f>
        <v>0</v>
      </c>
      <c r="DQ18" s="6">
        <f>SUMIF('Eredeti fejléccel'!$B:$B,'Felosztás eredménykim'!$B18,'Eredeti fejléccel'!$BQ:$BQ)</f>
        <v>0</v>
      </c>
      <c r="DS18" s="8"/>
      <c r="DU18" s="6">
        <f>SUMIF('Eredeti fejléccel'!$B:$B,'Felosztás eredménykim'!$B18,'Eredeti fejléccel'!$BT:$BT)</f>
        <v>0</v>
      </c>
      <c r="DV18" s="6">
        <f>SUMIF('Eredeti fejléccel'!$B:$B,'Felosztás eredménykim'!$B18,'Eredeti fejléccel'!$BU:$BU)</f>
        <v>0</v>
      </c>
      <c r="DW18" s="6">
        <f>SUMIF('Eredeti fejléccel'!$B:$B,'Felosztás eredménykim'!$B18,'Eredeti fejléccel'!$BV:$BV)</f>
        <v>0</v>
      </c>
      <c r="DX18" s="6">
        <f>SUMIF('Eredeti fejléccel'!$B:$B,'Felosztás eredménykim'!$B18,'Eredeti fejléccel'!$BW:$BW)</f>
        <v>0</v>
      </c>
      <c r="DY18" s="6">
        <f>SUMIF('Eredeti fejléccel'!$B:$B,'Felosztás eredménykim'!$B18,'Eredeti fejléccel'!$BX:$BX)</f>
        <v>0</v>
      </c>
      <c r="EA18" s="6"/>
      <c r="EC18" s="6"/>
      <c r="EE18" s="6">
        <f>SUMIF('Eredeti fejléccel'!$B:$B,'Felosztás eredménykim'!$B18,'Eredeti fejléccel'!$CA:$CA)</f>
        <v>0</v>
      </c>
      <c r="EF18" s="6">
        <f>SUMIF('Eredeti fejléccel'!$B:$B,'Felosztás eredménykim'!$B18,'Eredeti fejléccel'!$CB:$CB)</f>
        <v>0</v>
      </c>
      <c r="EG18" s="6">
        <f>SUMIF('Eredeti fejléccel'!$B:$B,'Felosztás eredménykim'!$B18,'Eredeti fejléccel'!$CC:$CC)</f>
        <v>0</v>
      </c>
      <c r="EH18" s="6">
        <f>SUMIF('Eredeti fejléccel'!$B:$B,'Felosztás eredménykim'!$B18,'Eredeti fejléccel'!$CD:$CD)</f>
        <v>0</v>
      </c>
      <c r="EK18" s="6">
        <f>SUMIF('Eredeti fejléccel'!$B:$B,'Felosztás eredménykim'!$B18,'Eredeti fejléccel'!$CE:$CE)</f>
        <v>0</v>
      </c>
      <c r="EN18" s="6">
        <f>SUMIF('Eredeti fejléccel'!$B:$B,'Felosztás eredménykim'!$B18,'Eredeti fejléccel'!$CF:$CF)</f>
        <v>0</v>
      </c>
      <c r="EP18" s="6">
        <f>SUMIF('Eredeti fejléccel'!$B:$B,'Felosztás eredménykim'!$B18,'Eredeti fejléccel'!$CG:$CG)</f>
        <v>0</v>
      </c>
      <c r="ES18" s="6">
        <f>SUMIF('Eredeti fejléccel'!$B:$B,'Felosztás eredménykim'!$B18,'Eredeti fejléccel'!$CH:$CH)</f>
        <v>0</v>
      </c>
      <c r="ET18" s="6">
        <f>SUMIF('Eredeti fejléccel'!$B:$B,'Felosztás eredménykim'!$B18,'Eredeti fejléccel'!$CI:$CI)</f>
        <v>0</v>
      </c>
      <c r="EW18" s="8">
        <f t="shared" si="22"/>
        <v>0</v>
      </c>
      <c r="EX18" s="8">
        <f t="shared" si="51"/>
        <v>0</v>
      </c>
      <c r="EY18" s="8">
        <f t="shared" si="52"/>
        <v>32224</v>
      </c>
      <c r="EZ18" s="8">
        <f t="shared" si="23"/>
        <v>32224</v>
      </c>
      <c r="FA18" s="8">
        <f t="shared" si="24"/>
        <v>32224</v>
      </c>
      <c r="FC18" s="6">
        <f>SUMIF('Eredeti fejléccel'!$B:$B,'Felosztás eredménykim'!$B18,'Eredeti fejléccel'!$L:$L)</f>
        <v>0</v>
      </c>
      <c r="FD18" s="6">
        <f>SUMIF('Eredeti fejléccel'!$B:$B,'Felosztás eredménykim'!$B18,'Eredeti fejléccel'!$CJ:$CJ)</f>
        <v>6577.5899999999974</v>
      </c>
      <c r="FE18" s="6">
        <f>SUMIF('Eredeti fejléccel'!$B:$B,'Felosztás eredménykim'!$B18,'Eredeti fejléccel'!$CL:$CL)</f>
        <v>0</v>
      </c>
      <c r="FG18" s="99">
        <f t="shared" si="53"/>
        <v>6577.5899999999974</v>
      </c>
      <c r="FH18" s="6">
        <f>SUMIF('Eredeti fejléccel'!$B:$B,'Felosztás eredménykim'!$B18,'Eredeti fejléccel'!$CK:$CK)</f>
        <v>0</v>
      </c>
      <c r="FI18" s="36">
        <f t="shared" si="25"/>
        <v>8898.0179047546626</v>
      </c>
      <c r="FJ18" s="101">
        <f t="shared" si="26"/>
        <v>1458.555324979789</v>
      </c>
      <c r="FK18" s="6">
        <f>SUMIF('Eredeti fejléccel'!$B:$B,'Felosztás eredménykim'!$B18,'Eredeti fejléccel'!$CM:$CM)</f>
        <v>0</v>
      </c>
      <c r="FL18" s="6">
        <f>SUMIF('Eredeti fejléccel'!$B:$B,'Felosztás eredménykim'!$B18,'Eredeti fejléccel'!$CN:$CN)</f>
        <v>0</v>
      </c>
      <c r="FM18" s="8">
        <f t="shared" si="54"/>
        <v>1458.555324979789</v>
      </c>
      <c r="FN18" s="36">
        <f t="shared" si="27"/>
        <v>7564.7749740750551</v>
      </c>
      <c r="FO18" s="101">
        <f t="shared" si="28"/>
        <v>1240.0113080032331</v>
      </c>
      <c r="FP18" s="6">
        <f>SUMIF('Eredeti fejléccel'!$B:$B,'Felosztás eredménykim'!$B18,'Eredeti fejléccel'!$CO:$CO)</f>
        <v>0</v>
      </c>
      <c r="FQ18" s="6">
        <f>'Eredeti fejléccel'!CP18</f>
        <v>21483</v>
      </c>
      <c r="FR18" s="6">
        <f>'Eredeti fejléccel'!CQ18</f>
        <v>0</v>
      </c>
      <c r="FS18" s="103">
        <f t="shared" si="55"/>
        <v>22723.011308003232</v>
      </c>
      <c r="FT18" s="36">
        <f t="shared" si="29"/>
        <v>20880.984780497914</v>
      </c>
      <c r="FU18" s="101">
        <f t="shared" si="30"/>
        <v>3422.7927914308798</v>
      </c>
      <c r="FV18" s="101"/>
      <c r="FW18" s="6">
        <f>SUMIF('Eredeti fejléccel'!$B:$B,'Felosztás eredménykim'!$B18,'Eredeti fejléccel'!$CR:$CR)</f>
        <v>607558.5</v>
      </c>
      <c r="FX18" s="6">
        <f>SUMIF('Eredeti fejléccel'!$B:$B,'Felosztás eredménykim'!$B18,'Eredeti fejléccel'!$CS:$CS)</f>
        <v>0</v>
      </c>
      <c r="FY18" s="6">
        <f>SUMIF('Eredeti fejléccel'!$B:$B,'Felosztás eredménykim'!$B18,'Eredeti fejléccel'!$CT:$CT)</f>
        <v>8156.0000000000009</v>
      </c>
      <c r="FZ18" s="6">
        <f>SUMIF('Eredeti fejléccel'!$B:$B,'Felosztás eredménykim'!$B18,'Eredeti fejléccel'!$CU:$CU)</f>
        <v>0</v>
      </c>
      <c r="GA18" s="103">
        <f t="shared" si="56"/>
        <v>619137.29279143084</v>
      </c>
      <c r="GB18" s="36">
        <f t="shared" si="31"/>
        <v>2783.2662640464823</v>
      </c>
      <c r="GC18" s="101">
        <f t="shared" si="32"/>
        <v>456.2305755860952</v>
      </c>
      <c r="GD18" s="6">
        <f>SUMIF('Eredeti fejléccel'!$B:$B,'Felosztás eredménykim'!$B18,'Eredeti fejléccel'!$CV:$CV)</f>
        <v>7410806.6000000006</v>
      </c>
      <c r="GE18" s="6">
        <f>SUMIF('Eredeti fejléccel'!$B:$B,'Felosztás eredménykim'!$B18,'Eredeti fejléccel'!$CW:$CW)</f>
        <v>0</v>
      </c>
      <c r="GF18" s="103">
        <f t="shared" si="57"/>
        <v>7411262.8305755863</v>
      </c>
      <c r="GG18" s="36">
        <f t="shared" si="33"/>
        <v>0</v>
      </c>
      <c r="GM18" s="6">
        <f>SUMIF('Eredeti fejléccel'!$B:$B,'Felosztás eredménykim'!$B18,'Eredeti fejléccel'!$CX:$CX)</f>
        <v>0</v>
      </c>
      <c r="GN18" s="6">
        <f>SUMIF('Eredeti fejléccel'!$B:$B,'Felosztás eredménykim'!$B18,'Eredeti fejléccel'!$CY:$CY)</f>
        <v>0</v>
      </c>
      <c r="GO18" s="6">
        <f>SUMIF('Eredeti fejléccel'!$B:$B,'Felosztás eredménykim'!$B18,'Eredeti fejléccel'!$CZ:$CZ)</f>
        <v>0</v>
      </c>
      <c r="GP18" s="6">
        <f>SUMIF('Eredeti fejléccel'!$B:$B,'Felosztás eredménykim'!$B18,'Eredeti fejléccel'!$DA:$DA)</f>
        <v>0</v>
      </c>
      <c r="GQ18" s="6">
        <f>SUMIF('Eredeti fejléccel'!$B:$B,'Felosztás eredménykim'!$B18,'Eredeti fejléccel'!$DB:$DB)</f>
        <v>0</v>
      </c>
      <c r="GR18" s="103">
        <f t="shared" si="58"/>
        <v>0</v>
      </c>
      <c r="GW18" s="36">
        <f t="shared" si="34"/>
        <v>4777.7774372182867</v>
      </c>
      <c r="GX18" s="6">
        <f>SUMIF('Eredeti fejléccel'!$B:$B,'Felosztás eredménykim'!$B18,'Eredeti fejléccel'!$M:$M)</f>
        <v>0</v>
      </c>
      <c r="GY18" s="6">
        <f>SUMIF('Eredeti fejléccel'!$B:$B,'Felosztás eredménykim'!$B18,'Eredeti fejléccel'!$DC:$DC)</f>
        <v>426006.8</v>
      </c>
      <c r="GZ18" s="6">
        <f>SUMIF('Eredeti fejléccel'!$B:$B,'Felosztás eredménykim'!$B18,'Eredeti fejléccel'!$DD:$DD)</f>
        <v>0</v>
      </c>
      <c r="HA18" s="6">
        <f>SUMIF('Eredeti fejléccel'!$B:$B,'Felosztás eredménykim'!$B18,'Eredeti fejléccel'!$DE:$DE)</f>
        <v>0</v>
      </c>
      <c r="HB18" s="103">
        <f t="shared" si="59"/>
        <v>426006.8</v>
      </c>
      <c r="HD18" s="9">
        <f t="shared" si="35"/>
        <v>8830657.9000000171</v>
      </c>
      <c r="HE18" s="9">
        <v>8830657.9000000022</v>
      </c>
      <c r="HF18" s="476"/>
      <c r="HH18" s="34">
        <f t="shared" si="60"/>
        <v>1.4901161193847656E-8</v>
      </c>
    </row>
    <row r="19" spans="1:218" x14ac:dyDescent="0.25">
      <c r="A19" s="4" t="s">
        <v>79</v>
      </c>
      <c r="B19" s="4" t="s">
        <v>79</v>
      </c>
      <c r="C19" s="1" t="s">
        <v>80</v>
      </c>
      <c r="D19" s="6">
        <f>SUMIF('Eredeti fejléccel'!$B:$B,'Felosztás eredménykim'!$B19,'Eredeti fejléccel'!$D:$D)</f>
        <v>0</v>
      </c>
      <c r="E19" s="6">
        <f>SUMIF('Eredeti fejléccel'!$B:$B,'Felosztás eredménykim'!$B19,'Eredeti fejléccel'!$E:$E)</f>
        <v>410450.18770000001</v>
      </c>
      <c r="F19" s="6">
        <f>SUMIF('Eredeti fejléccel'!$B:$B,'Felosztás eredménykim'!$B19,'Eredeti fejléccel'!$F:$F)</f>
        <v>0</v>
      </c>
      <c r="G19" s="6">
        <f>SUMIF('Eredeti fejléccel'!$B:$B,'Felosztás eredménykim'!$B19,'Eredeti fejléccel'!$G:$G)</f>
        <v>1505767.44</v>
      </c>
      <c r="H19" s="6"/>
      <c r="I19" s="6">
        <f>SUMIF('Eredeti fejléccel'!$B:$B,'Felosztás eredménykim'!$B19,'Eredeti fejléccel'!$O:$O)</f>
        <v>175907.22329999998</v>
      </c>
      <c r="J19" s="6">
        <f>SUMIF('Eredeti fejléccel'!$B:$B,'Felosztás eredménykim'!$B19,'Eredeti fejléccel'!$P:$P)</f>
        <v>0</v>
      </c>
      <c r="K19" s="6">
        <f>SUMIF('Eredeti fejléccel'!$B:$B,'Felosztás eredménykim'!$B19,'Eredeti fejléccel'!$Q:$Q)</f>
        <v>0</v>
      </c>
      <c r="L19" s="6">
        <f>SUMIF('Eredeti fejléccel'!$B:$B,'Felosztás eredménykim'!$B19,'Eredeti fejléccel'!$R:$R)</f>
        <v>1162085.97</v>
      </c>
      <c r="M19" s="6">
        <f>SUMIF('Eredeti fejléccel'!$B:$B,'Felosztás eredménykim'!$B19,'Eredeti fejléccel'!$T:$T)</f>
        <v>0</v>
      </c>
      <c r="N19" s="6">
        <f>SUMIF('Eredeti fejléccel'!$B:$B,'Felosztás eredménykim'!$B19,'Eredeti fejléccel'!$U:$U)</f>
        <v>0</v>
      </c>
      <c r="O19" s="6">
        <f>SUMIF('Eredeti fejléccel'!$B:$B,'Felosztás eredménykim'!$B19,'Eredeti fejléccel'!$V:$V)</f>
        <v>762264.63430000003</v>
      </c>
      <c r="P19" s="6">
        <f>SUMIF('Eredeti fejléccel'!$B:$B,'Felosztás eredménykim'!$B19,'Eredeti fejléccel'!$W:$W)</f>
        <v>0</v>
      </c>
      <c r="Q19" s="6">
        <f>SUMIF('Eredeti fejléccel'!$B:$B,'Felosztás eredménykim'!$B19,'Eredeti fejléccel'!$X:$X)</f>
        <v>0</v>
      </c>
      <c r="R19" s="6">
        <f>SUMIF('Eredeti fejléccel'!$B:$B,'Felosztás eredménykim'!$B19,'Eredeti fejléccel'!$Y:$Y)</f>
        <v>0</v>
      </c>
      <c r="S19" s="6">
        <f>SUMIF('Eredeti fejléccel'!$B:$B,'Felosztás eredménykim'!$B19,'Eredeti fejléccel'!$Z:$Z)</f>
        <v>0</v>
      </c>
      <c r="T19" s="6">
        <f>SUMIF('Eredeti fejléccel'!$B:$B,'Felosztás eredménykim'!$B19,'Eredeti fejléccel'!$AA:$AA)</f>
        <v>0</v>
      </c>
      <c r="U19" s="6">
        <f>SUMIF('Eredeti fejléccel'!$B:$B,'Felosztás eredménykim'!$B19,'Eredeti fejléccel'!$D:$D)</f>
        <v>0</v>
      </c>
      <c r="V19" s="6">
        <f>SUMIF('Eredeti fejléccel'!$B:$B,'Felosztás eredménykim'!$B19,'Eredeti fejléccel'!$AT:$AT)</f>
        <v>0</v>
      </c>
      <c r="X19" s="36">
        <f t="shared" si="0"/>
        <v>4016475.4553</v>
      </c>
      <c r="Z19" s="6">
        <f>SUMIF('Eredeti fejléccel'!$B:$B,'Felosztás eredménykim'!$B19,'Eredeti fejléccel'!$K:$K)</f>
        <v>293178.70550000004</v>
      </c>
      <c r="AB19" s="6">
        <f>SUMIF('Eredeti fejléccel'!$B:$B,'Felosztás eredménykim'!$B19,'Eredeti fejléccel'!$AB:$AB)</f>
        <v>0</v>
      </c>
      <c r="AC19" s="6">
        <f>SUMIF('Eredeti fejléccel'!$B:$B,'Felosztás eredménykim'!$B19,'Eredeti fejléccel'!$AQ:$AQ)</f>
        <v>0</v>
      </c>
      <c r="AE19" s="73">
        <f t="shared" si="1"/>
        <v>293178.70550000004</v>
      </c>
      <c r="AF19" s="36">
        <f t="shared" si="2"/>
        <v>479143.9996705766</v>
      </c>
      <c r="AG19" s="8">
        <f t="shared" si="3"/>
        <v>93478.4084703962</v>
      </c>
      <c r="AI19" s="6">
        <f>SUMIF('Eredeti fejléccel'!$B:$B,'Felosztás eredménykim'!$B19,'Eredeti fejléccel'!$BB:$BB)</f>
        <v>706965.4878</v>
      </c>
      <c r="AJ19" s="6">
        <f>SUMIF('Eredeti fejléccel'!$B:$B,'Felosztás eredménykim'!$B19,'Eredeti fejléccel'!$AF:$AF)</f>
        <v>0</v>
      </c>
      <c r="AK19" s="8">
        <f t="shared" si="4"/>
        <v>800443.89627039619</v>
      </c>
      <c r="AL19" s="36">
        <f t="shared" si="5"/>
        <v>190313.57742876202</v>
      </c>
      <c r="AM19" s="8">
        <f t="shared" si="6"/>
        <v>37129.151863697341</v>
      </c>
      <c r="AN19" s="6">
        <f t="shared" si="36"/>
        <v>-58635.741099999999</v>
      </c>
      <c r="AO19" s="6">
        <f>SUMIF('Eredeti fejléccel'!$B:$B,'Felosztás eredménykim'!$B19,'Eredeti fejléccel'!$AC:$AC)</f>
        <v>117271.4822</v>
      </c>
      <c r="AP19" s="6">
        <f>SUMIF('Eredeti fejléccel'!$B:$B,'Felosztás eredménykim'!$B19,'Eredeti fejléccel'!$AD:$AD)</f>
        <v>0</v>
      </c>
      <c r="AQ19" s="6">
        <f>SUMIF('Eredeti fejléccel'!$B:$B,'Felosztás eredménykim'!$B19,'Eredeti fejléccel'!$AE:$AE)</f>
        <v>0</v>
      </c>
      <c r="AR19" s="6">
        <f>SUMIF('Eredeti fejléccel'!$B:$B,'Felosztás eredménykim'!$B19,'Eredeti fejléccel'!$AG:$AG)</f>
        <v>1526314.6</v>
      </c>
      <c r="AS19" s="6">
        <f t="shared" si="37"/>
        <v>1622079.4929636975</v>
      </c>
      <c r="AT19" s="36">
        <f t="shared" si="7"/>
        <v>309125.16107779142</v>
      </c>
      <c r="AU19" s="8">
        <f t="shared" si="8"/>
        <v>60308.650626062066</v>
      </c>
      <c r="AV19" s="6">
        <f>SUMIF('Eredeti fejléccel'!$B:$B,'Felosztás eredménykim'!$B19,'Eredeti fejléccel'!$AI:$AI)</f>
        <v>0</v>
      </c>
      <c r="AW19" s="6">
        <f>SUMIF('Eredeti fejléccel'!$B:$B,'Felosztás eredménykim'!$B19,'Eredeti fejléccel'!$AJ:$AJ)</f>
        <v>117271.48219999998</v>
      </c>
      <c r="AX19" s="6">
        <f>SUMIF('Eredeti fejléccel'!$B:$B,'Felosztás eredménykim'!$B19,'Eredeti fejléccel'!$AK:$AK)</f>
        <v>762264.63430000003</v>
      </c>
      <c r="AY19" s="6">
        <f>SUMIF('Eredeti fejléccel'!$B:$B,'Felosztás eredménykim'!$B19,'Eredeti fejléccel'!$AL:$AL)</f>
        <v>293178.70550000004</v>
      </c>
      <c r="AZ19" s="6">
        <f>SUMIF('Eredeti fejléccel'!$B:$B,'Felosztás eredménykim'!$B19,'Eredeti fejléccel'!$AM:$AM)</f>
        <v>527721.66989999998</v>
      </c>
      <c r="BA19" s="6">
        <f>SUMIF('Eredeti fejléccel'!$B:$B,'Felosztás eredménykim'!$B19,'Eredeti fejléccel'!$AN:$AN)</f>
        <v>0</v>
      </c>
      <c r="BB19" s="6">
        <f>SUMIF('Eredeti fejléccel'!$B:$B,'Felosztás eredménykim'!$B19,'Eredeti fejléccel'!$AP:$AP)</f>
        <v>0</v>
      </c>
      <c r="BD19" s="6">
        <f>SUMIF('Eredeti fejléccel'!$B:$B,'Felosztás eredménykim'!$B19,'Eredeti fejléccel'!$AS:$AS)</f>
        <v>0</v>
      </c>
      <c r="BE19" s="8">
        <f t="shared" si="38"/>
        <v>1760745.1425260622</v>
      </c>
      <c r="BF19" s="36">
        <f t="shared" si="9"/>
        <v>80641.346368119484</v>
      </c>
      <c r="BG19" s="8">
        <f t="shared" si="10"/>
        <v>15732.691467668366</v>
      </c>
      <c r="BH19" s="6">
        <f t="shared" si="39"/>
        <v>58635.741099999999</v>
      </c>
      <c r="BI19" s="6">
        <f>SUMIF('Eredeti fejléccel'!$B:$B,'Felosztás eredménykim'!$B19,'Eredeti fejléccel'!$AH:$AH)</f>
        <v>527721.66989999998</v>
      </c>
      <c r="BJ19" s="6">
        <f>SUMIF('Eredeti fejléccel'!$B:$B,'Felosztás eredménykim'!$B19,'Eredeti fejléccel'!$AO:$AO)</f>
        <v>0</v>
      </c>
      <c r="BK19" s="6">
        <f>SUMIF('Eredeti fejléccel'!$B:$B,'Felosztás eredménykim'!$B19,'Eredeti fejléccel'!$BF:$BF)</f>
        <v>0</v>
      </c>
      <c r="BL19" s="8">
        <f t="shared" si="40"/>
        <v>602090.10246766836</v>
      </c>
      <c r="BM19" s="36">
        <f t="shared" si="11"/>
        <v>302136.24439255439</v>
      </c>
      <c r="BN19" s="8">
        <f t="shared" si="12"/>
        <v>58945.150698864141</v>
      </c>
      <c r="BP19" s="8">
        <f t="shared" si="41"/>
        <v>0</v>
      </c>
      <c r="BQ19" s="6">
        <f>SUMIF('Eredeti fejléccel'!$B:$B,'Felosztás eredménykim'!$B19,'Eredeti fejléccel'!$N:$N)</f>
        <v>0</v>
      </c>
      <c r="BR19" s="6">
        <f>SUMIF('Eredeti fejléccel'!$B:$B,'Felosztás eredménykim'!$B19,'Eredeti fejléccel'!$S:$S)</f>
        <v>0</v>
      </c>
      <c r="BT19" s="6">
        <f>SUMIF('Eredeti fejléccel'!$B:$B,'Felosztás eredménykim'!$B19,'Eredeti fejléccel'!$AR:$AR)</f>
        <v>0</v>
      </c>
      <c r="BU19" s="6">
        <f>SUMIF('Eredeti fejléccel'!$B:$B,'Felosztás eredménykim'!$B19,'Eredeti fejléccel'!$AU:$AU)</f>
        <v>0</v>
      </c>
      <c r="BV19" s="6">
        <f>SUMIF('Eredeti fejléccel'!$B:$B,'Felosztás eredménykim'!$B19,'Eredeti fejléccel'!$AV:$AV)</f>
        <v>219810.56000000006</v>
      </c>
      <c r="BW19" s="6">
        <f>SUMIF('Eredeti fejléccel'!$B:$B,'Felosztás eredménykim'!$B19,'Eredeti fejléccel'!$AW:$AW)</f>
        <v>0</v>
      </c>
      <c r="BX19" s="6">
        <f>SUMIF('Eredeti fejléccel'!$B:$B,'Felosztás eredménykim'!$B19,'Eredeti fejléccel'!$AX:$AX)</f>
        <v>0</v>
      </c>
      <c r="BY19" s="6">
        <f>SUMIF('Eredeti fejléccel'!$B:$B,'Felosztás eredménykim'!$B19,'Eredeti fejléccel'!$AY:$AY)</f>
        <v>0</v>
      </c>
      <c r="BZ19" s="6">
        <f>SUMIF('Eredeti fejléccel'!$B:$B,'Felosztás eredménykim'!$B19,'Eredeti fejléccel'!$AZ:$AZ)</f>
        <v>0</v>
      </c>
      <c r="CA19" s="6">
        <f>SUMIF('Eredeti fejléccel'!$B:$B,'Felosztás eredménykim'!$B19,'Eredeti fejléccel'!$BA:$BA)</f>
        <v>668486.451</v>
      </c>
      <c r="CB19" s="6">
        <f t="shared" si="13"/>
        <v>947242.16169886419</v>
      </c>
      <c r="CC19" s="36">
        <f t="shared" si="14"/>
        <v>82254.173295481887</v>
      </c>
      <c r="CD19" s="8">
        <f t="shared" si="15"/>
        <v>16047.345297021733</v>
      </c>
      <c r="CE19" s="6">
        <f>SUMIF('Eredeti fejléccel'!$B:$B,'Felosztás eredménykim'!$B19,'Eredeti fejléccel'!$BC:$BC)</f>
        <v>117271.4822</v>
      </c>
      <c r="CF19" s="8">
        <f t="shared" si="42"/>
        <v>-58635.741099999999</v>
      </c>
      <c r="CG19" s="6">
        <f>SUMIF('Eredeti fejléccel'!$B:$B,'Felosztás eredménykim'!$B19,'Eredeti fejléccel'!$H:$H)</f>
        <v>0</v>
      </c>
      <c r="CH19" s="6">
        <f>SUMIF('Eredeti fejléccel'!$B:$B,'Felosztás eredménykim'!$B19,'Eredeti fejléccel'!$BE:$BE)</f>
        <v>820900.3753999999</v>
      </c>
      <c r="CI19" s="6">
        <f t="shared" si="43"/>
        <v>895583.46179702168</v>
      </c>
      <c r="CJ19" s="36">
        <f t="shared" si="16"/>
        <v>59136.987336620972</v>
      </c>
      <c r="CK19" s="8">
        <f t="shared" si="17"/>
        <v>11537.307076290135</v>
      </c>
      <c r="CL19" s="8">
        <f t="shared" si="44"/>
        <v>58635.741099999999</v>
      </c>
      <c r="CM19" s="6">
        <f>SUMIF('Eredeti fejléccel'!$B:$B,'Felosztás eredménykim'!$B19,'Eredeti fejléccel'!$BD:$BD)</f>
        <v>469085.92879999999</v>
      </c>
      <c r="CN19" s="8">
        <f t="shared" si="45"/>
        <v>539258.97697629011</v>
      </c>
      <c r="CO19" s="8">
        <f t="shared" si="18"/>
        <v>8670194.7242699061</v>
      </c>
      <c r="CR19" s="36">
        <f t="shared" si="19"/>
        <v>355224.0204671314</v>
      </c>
      <c r="CS19" s="6">
        <f>SUMIF('Eredeti fejléccel'!$B:$B,'Felosztás eredménykim'!$B19,'Eredeti fejléccel'!$I:$I)</f>
        <v>0</v>
      </c>
      <c r="CT19" s="6">
        <f>SUMIF('Eredeti fejléccel'!$B:$B,'Felosztás eredménykim'!$B19,'Eredeti fejléccel'!$BG:$BG)</f>
        <v>0</v>
      </c>
      <c r="CU19" s="6">
        <f>SUMIF('Eredeti fejléccel'!$B:$B,'Felosztás eredménykim'!$B19,'Eredeti fejléccel'!$BH:$BH)</f>
        <v>0</v>
      </c>
      <c r="CV19" s="6">
        <f>SUMIF('Eredeti fejléccel'!$B:$B,'Felosztás eredménykim'!$B19,'Eredeti fejléccel'!$BI:$BI)</f>
        <v>0</v>
      </c>
      <c r="CW19" s="6">
        <f>SUMIF('Eredeti fejléccel'!$B:$B,'Felosztás eredménykim'!$B19,'Eredeti fejléccel'!$BL:$BL)</f>
        <v>2841727.419999999</v>
      </c>
      <c r="CX19" s="6">
        <f t="shared" si="46"/>
        <v>2841727.419999999</v>
      </c>
      <c r="CY19" s="6">
        <f>SUMIF('Eredeti fejléccel'!$B:$B,'Felosztás eredménykim'!$B19,'Eredeti fejléccel'!$BJ:$BJ)</f>
        <v>978127.05999999936</v>
      </c>
      <c r="CZ19" s="6">
        <f>SUMIF('Eredeti fejléccel'!$B:$B,'Felosztás eredménykim'!$B19,'Eredeti fejléccel'!$BK:$BK)</f>
        <v>107848.63</v>
      </c>
      <c r="DA19" s="99">
        <f t="shared" si="47"/>
        <v>3927703.1099999985</v>
      </c>
      <c r="DC19" s="36">
        <f t="shared" si="20"/>
        <v>311128.13732942054</v>
      </c>
      <c r="DD19" s="6">
        <f>SUMIF('Eredeti fejléccel'!$B:$B,'Felosztás eredménykim'!$B19,'Eredeti fejléccel'!$J:$J)</f>
        <v>0</v>
      </c>
      <c r="DE19" s="6">
        <f>SUMIF('Eredeti fejléccel'!$B:$B,'Felosztás eredménykim'!$B19,'Eredeti fejléccel'!$BM:$BM)</f>
        <v>332213.29999999993</v>
      </c>
      <c r="DF19" s="6">
        <f t="shared" si="48"/>
        <v>0</v>
      </c>
      <c r="DG19" s="8">
        <f t="shared" si="21"/>
        <v>0</v>
      </c>
      <c r="DH19" s="8">
        <f t="shared" si="49"/>
        <v>332213.29999999993</v>
      </c>
      <c r="DJ19" s="6">
        <f>SUMIF('Eredeti fejléccel'!$B:$B,'Felosztás eredménykim'!$B19,'Eredeti fejléccel'!$BN:$BN)</f>
        <v>0</v>
      </c>
      <c r="DK19" s="6">
        <f>SUMIF('Eredeti fejléccel'!$B:$B,'Felosztás eredménykim'!$B19,'Eredeti fejléccel'!$BZ:$BZ)</f>
        <v>0</v>
      </c>
      <c r="DL19" s="8">
        <f t="shared" si="50"/>
        <v>0</v>
      </c>
      <c r="DM19" s="6">
        <f>SUMIF('Eredeti fejléccel'!$B:$B,'Felosztás eredménykim'!$B19,'Eredeti fejléccel'!$BR:$BR)</f>
        <v>0</v>
      </c>
      <c r="DN19" s="6">
        <f>SUMIF('Eredeti fejléccel'!$B:$B,'Felosztás eredménykim'!$B19,'Eredeti fejléccel'!$BS:$BS)</f>
        <v>0</v>
      </c>
      <c r="DO19" s="6">
        <f>SUMIF('Eredeti fejléccel'!$B:$B,'Felosztás eredménykim'!$B19,'Eredeti fejléccel'!$BO:$BO)</f>
        <v>0</v>
      </c>
      <c r="DP19" s="6">
        <f>SUMIF('Eredeti fejléccel'!$B:$B,'Felosztás eredménykim'!$B19,'Eredeti fejléccel'!$BP:$BP)</f>
        <v>0</v>
      </c>
      <c r="DQ19" s="6">
        <f>SUMIF('Eredeti fejléccel'!$B:$B,'Felosztás eredménykim'!$B19,'Eredeti fejléccel'!$BQ:$BQ)</f>
        <v>0</v>
      </c>
      <c r="DS19" s="8"/>
      <c r="DU19" s="6">
        <f>SUMIF('Eredeti fejléccel'!$B:$B,'Felosztás eredménykim'!$B19,'Eredeti fejléccel'!$BT:$BT)</f>
        <v>0</v>
      </c>
      <c r="DV19" s="6">
        <f>SUMIF('Eredeti fejléccel'!$B:$B,'Felosztás eredménykim'!$B19,'Eredeti fejléccel'!$BU:$BU)</f>
        <v>0</v>
      </c>
      <c r="DW19" s="6">
        <f>SUMIF('Eredeti fejléccel'!$B:$B,'Felosztás eredménykim'!$B19,'Eredeti fejléccel'!$BV:$BV)</f>
        <v>0</v>
      </c>
      <c r="DX19" s="6">
        <f>SUMIF('Eredeti fejléccel'!$B:$B,'Felosztás eredménykim'!$B19,'Eredeti fejléccel'!$BW:$BW)</f>
        <v>0</v>
      </c>
      <c r="DY19" s="6">
        <f>SUMIF('Eredeti fejléccel'!$B:$B,'Felosztás eredménykim'!$B19,'Eredeti fejléccel'!$BX:$BX)</f>
        <v>0</v>
      </c>
      <c r="EA19" s="6"/>
      <c r="EC19" s="6"/>
      <c r="EE19" s="6">
        <f>SUMIF('Eredeti fejléccel'!$B:$B,'Felosztás eredménykim'!$B19,'Eredeti fejléccel'!$CA:$CA)</f>
        <v>0</v>
      </c>
      <c r="EF19" s="6">
        <f>SUMIF('Eredeti fejléccel'!$B:$B,'Felosztás eredménykim'!$B19,'Eredeti fejléccel'!$CB:$CB)</f>
        <v>0</v>
      </c>
      <c r="EG19" s="6">
        <f>SUMIF('Eredeti fejléccel'!$B:$B,'Felosztás eredménykim'!$B19,'Eredeti fejléccel'!$CC:$CC)</f>
        <v>0</v>
      </c>
      <c r="EH19" s="6">
        <f>SUMIF('Eredeti fejléccel'!$B:$B,'Felosztás eredménykim'!$B19,'Eredeti fejléccel'!$CD:$CD)</f>
        <v>0</v>
      </c>
      <c r="EK19" s="6">
        <f>SUMIF('Eredeti fejléccel'!$B:$B,'Felosztás eredménykim'!$B19,'Eredeti fejléccel'!$CE:$CE)</f>
        <v>0</v>
      </c>
      <c r="EN19" s="6">
        <f>SUMIF('Eredeti fejléccel'!$B:$B,'Felosztás eredménykim'!$B19,'Eredeti fejléccel'!$CF:$CF)</f>
        <v>0</v>
      </c>
      <c r="EP19" s="6">
        <f>SUMIF('Eredeti fejléccel'!$B:$B,'Felosztás eredménykim'!$B19,'Eredeti fejléccel'!$CG:$CG)</f>
        <v>0</v>
      </c>
      <c r="ES19" s="6">
        <f>SUMIF('Eredeti fejléccel'!$B:$B,'Felosztás eredménykim'!$B19,'Eredeti fejléccel'!$CH:$CH)</f>
        <v>0</v>
      </c>
      <c r="ET19" s="6">
        <f>SUMIF('Eredeti fejléccel'!$B:$B,'Felosztás eredménykim'!$B19,'Eredeti fejléccel'!$CI:$CI)</f>
        <v>0</v>
      </c>
      <c r="EW19" s="8">
        <f t="shared" si="22"/>
        <v>0</v>
      </c>
      <c r="EX19" s="8">
        <f t="shared" si="51"/>
        <v>0</v>
      </c>
      <c r="EY19" s="8">
        <f t="shared" si="52"/>
        <v>332213.29999999993</v>
      </c>
      <c r="EZ19" s="8">
        <f t="shared" si="23"/>
        <v>332213.29999999993</v>
      </c>
      <c r="FA19" s="8">
        <f t="shared" si="24"/>
        <v>332213.29999999993</v>
      </c>
      <c r="FC19" s="6">
        <f>SUMIF('Eredeti fejléccel'!$B:$B,'Felosztás eredménykim'!$B19,'Eredeti fejléccel'!$L:$L)</f>
        <v>0</v>
      </c>
      <c r="FD19" s="6">
        <f>SUMIF('Eredeti fejléccel'!$B:$B,'Felosztás eredménykim'!$B19,'Eredeti fejléccel'!$CJ:$CJ)</f>
        <v>224129.56000000011</v>
      </c>
      <c r="FE19" s="6">
        <f>SUMIF('Eredeti fejléccel'!$B:$B,'Felosztás eredménykim'!$B19,'Eredeti fejléccel'!$CL:$CL)</f>
        <v>0</v>
      </c>
      <c r="FG19" s="99">
        <f t="shared" si="53"/>
        <v>224129.56000000011</v>
      </c>
      <c r="FH19" s="6">
        <f>SUMIF('Eredeti fejléccel'!$B:$B,'Felosztás eredménykim'!$B19,'Eredeti fejléccel'!$CK:$CK)</f>
        <v>0</v>
      </c>
      <c r="FI19" s="36">
        <f t="shared" si="25"/>
        <v>366061.97120198928</v>
      </c>
      <c r="FJ19" s="101">
        <f t="shared" si="26"/>
        <v>49699.869286984664</v>
      </c>
      <c r="FK19" s="6">
        <f>SUMIF('Eredeti fejléccel'!$B:$B,'Felosztás eredménykim'!$B19,'Eredeti fejléccel'!$CM:$CM)</f>
        <v>239703.00000000003</v>
      </c>
      <c r="FL19" s="6">
        <f>SUMIF('Eredeti fejléccel'!$B:$B,'Felosztás eredménykim'!$B19,'Eredeti fejléccel'!$CN:$CN)</f>
        <v>0</v>
      </c>
      <c r="FM19" s="8">
        <f t="shared" si="54"/>
        <v>289402.86928698467</v>
      </c>
      <c r="FN19" s="36">
        <f t="shared" si="27"/>
        <v>311212.72943603317</v>
      </c>
      <c r="FO19" s="101">
        <f t="shared" si="28"/>
        <v>42253.042354082478</v>
      </c>
      <c r="FP19" s="6">
        <f>SUMIF('Eredeti fejléccel'!$B:$B,'Felosztás eredménykim'!$B19,'Eredeti fejléccel'!$CO:$CO)</f>
        <v>69690</v>
      </c>
      <c r="FQ19" s="6">
        <f>'Eredeti fejléccel'!CP19</f>
        <v>1220092.7799999998</v>
      </c>
      <c r="FR19" s="6">
        <f>'Eredeti fejléccel'!CQ19</f>
        <v>0</v>
      </c>
      <c r="FS19" s="103">
        <f t="shared" si="55"/>
        <v>1332035.8223540823</v>
      </c>
      <c r="FT19" s="36">
        <f t="shared" si="29"/>
        <v>859037.88138068002</v>
      </c>
      <c r="FU19" s="101">
        <f t="shared" si="30"/>
        <v>116630.71768148754</v>
      </c>
      <c r="FV19" s="101"/>
      <c r="FW19" s="6">
        <f>SUMIF('Eredeti fejléccel'!$B:$B,'Felosztás eredménykim'!$B19,'Eredeti fejléccel'!$CR:$CR)</f>
        <v>2482251</v>
      </c>
      <c r="FX19" s="6">
        <f>SUMIF('Eredeti fejléccel'!$B:$B,'Felosztás eredménykim'!$B19,'Eredeti fejléccel'!$CS:$CS)</f>
        <v>0</v>
      </c>
      <c r="FY19" s="6">
        <f>SUMIF('Eredeti fejléccel'!$B:$B,'Felosztás eredménykim'!$B19,'Eredeti fejléccel'!$CT:$CT)</f>
        <v>204604</v>
      </c>
      <c r="FZ19" s="6">
        <f>SUMIF('Eredeti fejléccel'!$B:$B,'Felosztás eredménykim'!$B19,'Eredeti fejléccel'!$CU:$CU)</f>
        <v>0</v>
      </c>
      <c r="GA19" s="103">
        <f t="shared" si="56"/>
        <v>2803485.7176814876</v>
      </c>
      <c r="GB19" s="36">
        <f t="shared" si="31"/>
        <v>114502.79667929522</v>
      </c>
      <c r="GC19" s="101">
        <f t="shared" si="32"/>
        <v>15545.93067744544</v>
      </c>
      <c r="GD19" s="6">
        <f>SUMIF('Eredeti fejléccel'!$B:$B,'Felosztás eredménykim'!$B19,'Eredeti fejléccel'!$CV:$CV)</f>
        <v>6482121.0799999982</v>
      </c>
      <c r="GE19" s="6">
        <f>SUMIF('Eredeti fejléccel'!$B:$B,'Felosztás eredménykim'!$B19,'Eredeti fejléccel'!$CW:$CW)</f>
        <v>4723</v>
      </c>
      <c r="GF19" s="103">
        <f t="shared" si="57"/>
        <v>6502390.0106774438</v>
      </c>
      <c r="GG19" s="36">
        <f t="shared" si="33"/>
        <v>0</v>
      </c>
      <c r="GM19" s="6">
        <f>SUMIF('Eredeti fejléccel'!$B:$B,'Felosztás eredménykim'!$B19,'Eredeti fejléccel'!$CX:$CX)</f>
        <v>0</v>
      </c>
      <c r="GN19" s="6">
        <f>SUMIF('Eredeti fejléccel'!$B:$B,'Felosztás eredménykim'!$B19,'Eredeti fejléccel'!$CY:$CY)</f>
        <v>0</v>
      </c>
      <c r="GO19" s="6">
        <f>SUMIF('Eredeti fejléccel'!$B:$B,'Felosztás eredménykim'!$B19,'Eredeti fejléccel'!$CZ:$CZ)</f>
        <v>0</v>
      </c>
      <c r="GP19" s="6">
        <f>SUMIF('Eredeti fejléccel'!$B:$B,'Felosztás eredménykim'!$B19,'Eredeti fejléccel'!$DA:$DA)</f>
        <v>0</v>
      </c>
      <c r="GQ19" s="6">
        <f>SUMIF('Eredeti fejléccel'!$B:$B,'Felosztás eredménykim'!$B19,'Eredeti fejléccel'!$DB:$DB)</f>
        <v>0</v>
      </c>
      <c r="GR19" s="103">
        <f t="shared" si="58"/>
        <v>0</v>
      </c>
      <c r="GW19" s="36">
        <f t="shared" si="34"/>
        <v>196556.42923554411</v>
      </c>
      <c r="GX19" s="6">
        <f>SUMIF('Eredeti fejléccel'!$B:$B,'Felosztás eredménykim'!$B19,'Eredeti fejléccel'!$M:$M)</f>
        <v>0</v>
      </c>
      <c r="GY19" s="6">
        <f>SUMIF('Eredeti fejléccel'!$B:$B,'Felosztás eredménykim'!$B19,'Eredeti fejléccel'!$DC:$DC)</f>
        <v>24190721</v>
      </c>
      <c r="GZ19" s="6">
        <f>SUMIF('Eredeti fejléccel'!$B:$B,'Felosztás eredménykim'!$B19,'Eredeti fejléccel'!$DD:$DD)</f>
        <v>0</v>
      </c>
      <c r="HA19" s="6">
        <f>SUMIF('Eredeti fejléccel'!$B:$B,'Felosztás eredménykim'!$B19,'Eredeti fejléccel'!$DE:$DE)</f>
        <v>0</v>
      </c>
      <c r="HB19" s="103">
        <f t="shared" si="59"/>
        <v>24190721</v>
      </c>
      <c r="HD19" s="9">
        <f t="shared" si="35"/>
        <v>50561870.519999959</v>
      </c>
      <c r="HE19" s="9">
        <v>50561870.519999996</v>
      </c>
      <c r="HF19" s="476"/>
      <c r="HH19" s="34">
        <f t="shared" si="60"/>
        <v>0</v>
      </c>
    </row>
    <row r="20" spans="1:218" x14ac:dyDescent="0.25">
      <c r="A20" s="4" t="s">
        <v>81</v>
      </c>
      <c r="B20" s="4" t="s">
        <v>81</v>
      </c>
      <c r="C20" s="1" t="s">
        <v>82</v>
      </c>
      <c r="D20" s="6">
        <f>SUMIF('Eredeti fejléccel'!$B:$B,'Felosztás eredménykim'!$B20,'Eredeti fejléccel'!$D:$D)</f>
        <v>0</v>
      </c>
      <c r="E20" s="6">
        <f>SUMIF('Eredeti fejléccel'!$B:$B,'Felosztás eredménykim'!$B20,'Eredeti fejléccel'!$E:$E)</f>
        <v>170585.52140000003</v>
      </c>
      <c r="F20" s="6">
        <f>SUMIF('Eredeti fejléccel'!$B:$B,'Felosztás eredménykim'!$B20,'Eredeti fejléccel'!$F:$F)</f>
        <v>0</v>
      </c>
      <c r="G20" s="6">
        <f>SUMIF('Eredeti fejléccel'!$B:$B,'Felosztás eredménykim'!$B20,'Eredeti fejléccel'!$G:$G)</f>
        <v>1393486.47</v>
      </c>
      <c r="H20" s="6"/>
      <c r="I20" s="6">
        <f>SUMIF('Eredeti fejléccel'!$B:$B,'Felosztás eredménykim'!$B20,'Eredeti fejléccel'!$O:$O)</f>
        <v>73108.080599999987</v>
      </c>
      <c r="J20" s="6">
        <f>SUMIF('Eredeti fejléccel'!$B:$B,'Felosztás eredménykim'!$B20,'Eredeti fejléccel'!$P:$P)</f>
        <v>0</v>
      </c>
      <c r="K20" s="6">
        <f>SUMIF('Eredeti fejléccel'!$B:$B,'Felosztás eredménykim'!$B20,'Eredeti fejléccel'!$Q:$Q)</f>
        <v>0</v>
      </c>
      <c r="L20" s="6">
        <f>SUMIF('Eredeti fejléccel'!$B:$B,'Felosztás eredménykim'!$B20,'Eredeti fejléccel'!$R:$R)</f>
        <v>194299.67000000004</v>
      </c>
      <c r="M20" s="6">
        <f>SUMIF('Eredeti fejléccel'!$B:$B,'Felosztás eredménykim'!$B20,'Eredeti fejléccel'!$T:$T)</f>
        <v>0</v>
      </c>
      <c r="N20" s="6">
        <f>SUMIF('Eredeti fejléccel'!$B:$B,'Felosztás eredménykim'!$B20,'Eredeti fejléccel'!$U:$U)</f>
        <v>0</v>
      </c>
      <c r="O20" s="6">
        <f>SUMIF('Eredeti fejléccel'!$B:$B,'Felosztás eredménykim'!$B20,'Eredeti fejléccel'!$V:$V)</f>
        <v>316801.68260000006</v>
      </c>
      <c r="P20" s="6">
        <f>SUMIF('Eredeti fejléccel'!$B:$B,'Felosztás eredménykim'!$B20,'Eredeti fejléccel'!$W:$W)</f>
        <v>0</v>
      </c>
      <c r="Q20" s="6">
        <f>SUMIF('Eredeti fejléccel'!$B:$B,'Felosztás eredménykim'!$B20,'Eredeti fejléccel'!$X:$X)</f>
        <v>0</v>
      </c>
      <c r="R20" s="6">
        <f>SUMIF('Eredeti fejléccel'!$B:$B,'Felosztás eredménykim'!$B20,'Eredeti fejléccel'!$Y:$Y)</f>
        <v>0</v>
      </c>
      <c r="S20" s="6">
        <f>SUMIF('Eredeti fejléccel'!$B:$B,'Felosztás eredménykim'!$B20,'Eredeti fejléccel'!$Z:$Z)</f>
        <v>0</v>
      </c>
      <c r="T20" s="6">
        <f>SUMIF('Eredeti fejléccel'!$B:$B,'Felosztás eredménykim'!$B20,'Eredeti fejléccel'!$AA:$AA)</f>
        <v>0</v>
      </c>
      <c r="U20" s="6">
        <f>SUMIF('Eredeti fejléccel'!$B:$B,'Felosztás eredménykim'!$B20,'Eredeti fejléccel'!$D:$D)</f>
        <v>0</v>
      </c>
      <c r="V20" s="6">
        <f>SUMIF('Eredeti fejléccel'!$B:$B,'Felosztás eredménykim'!$B20,'Eredeti fejléccel'!$AT:$AT)</f>
        <v>0</v>
      </c>
      <c r="X20" s="36">
        <f t="shared" si="0"/>
        <v>2148281.4246</v>
      </c>
      <c r="Z20" s="6">
        <f>SUMIF('Eredeti fejléccel'!$B:$B,'Felosztás eredménykim'!$B20,'Eredeti fejléccel'!$K:$K)</f>
        <v>121846.80100000001</v>
      </c>
      <c r="AB20" s="6">
        <f>SUMIF('Eredeti fejléccel'!$B:$B,'Felosztás eredménykim'!$B20,'Eredeti fejléccel'!$AB:$AB)</f>
        <v>0</v>
      </c>
      <c r="AC20" s="6">
        <f>SUMIF('Eredeti fejléccel'!$B:$B,'Felosztás eredménykim'!$B20,'Eredeti fejléccel'!$AQ:$AQ)</f>
        <v>0</v>
      </c>
      <c r="AE20" s="73">
        <f t="shared" si="1"/>
        <v>121846.80100000001</v>
      </c>
      <c r="AF20" s="36">
        <f t="shared" si="2"/>
        <v>256278.46246205052</v>
      </c>
      <c r="AG20" s="8">
        <f t="shared" si="3"/>
        <v>38850.178478221977</v>
      </c>
      <c r="AI20" s="6">
        <f>SUMIF('Eredeti fejléccel'!$B:$B,'Felosztás eredménykim'!$B20,'Eredeti fejléccel'!$BB:$BB)</f>
        <v>283543.36139999999</v>
      </c>
      <c r="AJ20" s="6">
        <f>SUMIF('Eredeti fejléccel'!$B:$B,'Felosztás eredménykim'!$B20,'Eredeti fejléccel'!$AF:$AF)</f>
        <v>0</v>
      </c>
      <c r="AK20" s="8">
        <f t="shared" si="4"/>
        <v>322393.53987822199</v>
      </c>
      <c r="AL20" s="36">
        <f t="shared" si="5"/>
        <v>101792.511317325</v>
      </c>
      <c r="AM20" s="8">
        <f t="shared" si="6"/>
        <v>15431.094733565869</v>
      </c>
      <c r="AN20" s="6">
        <f t="shared" si="36"/>
        <v>-24369.360199999999</v>
      </c>
      <c r="AO20" s="6">
        <f>SUMIF('Eredeti fejléccel'!$B:$B,'Felosztás eredménykim'!$B20,'Eredeti fejléccel'!$AC:$AC)</f>
        <v>48738.720399999998</v>
      </c>
      <c r="AP20" s="6">
        <f>SUMIF('Eredeti fejléccel'!$B:$B,'Felosztás eredménykim'!$B20,'Eredeti fejléccel'!$AD:$AD)</f>
        <v>0</v>
      </c>
      <c r="AQ20" s="6">
        <f>SUMIF('Eredeti fejléccel'!$B:$B,'Felosztás eredménykim'!$B20,'Eredeti fejléccel'!$AE:$AE)</f>
        <v>0</v>
      </c>
      <c r="AR20" s="6">
        <f>SUMIF('Eredeti fejléccel'!$B:$B,'Felosztás eredménykim'!$B20,'Eredeti fejléccel'!$AG:$AG)</f>
        <v>194299.66999999993</v>
      </c>
      <c r="AS20" s="6">
        <f t="shared" si="37"/>
        <v>234100.12493356579</v>
      </c>
      <c r="AT20" s="36">
        <f t="shared" si="7"/>
        <v>165340.94352390358</v>
      </c>
      <c r="AU20" s="8">
        <f t="shared" si="8"/>
        <v>25064.631276272245</v>
      </c>
      <c r="AV20" s="6">
        <f>SUMIF('Eredeti fejléccel'!$B:$B,'Felosztás eredménykim'!$B20,'Eredeti fejléccel'!$AI:$AI)</f>
        <v>0</v>
      </c>
      <c r="AW20" s="6">
        <f>SUMIF('Eredeti fejléccel'!$B:$B,'Felosztás eredménykim'!$B20,'Eredeti fejléccel'!$AJ:$AJ)</f>
        <v>48738.720399999991</v>
      </c>
      <c r="AX20" s="6">
        <f>SUMIF('Eredeti fejléccel'!$B:$B,'Felosztás eredménykim'!$B20,'Eredeti fejléccel'!$AK:$AK)</f>
        <v>316801.68260000006</v>
      </c>
      <c r="AY20" s="6">
        <f>SUMIF('Eredeti fejléccel'!$B:$B,'Felosztás eredménykim'!$B20,'Eredeti fejléccel'!$AL:$AL)</f>
        <v>121846.80100000001</v>
      </c>
      <c r="AZ20" s="6">
        <f>SUMIF('Eredeti fejléccel'!$B:$B,'Felosztás eredménykim'!$B20,'Eredeti fejléccel'!$AM:$AM)</f>
        <v>219324.24179999999</v>
      </c>
      <c r="BA20" s="6">
        <f>SUMIF('Eredeti fejléccel'!$B:$B,'Felosztás eredménykim'!$B20,'Eredeti fejléccel'!$AN:$AN)</f>
        <v>0</v>
      </c>
      <c r="BB20" s="6">
        <f>SUMIF('Eredeti fejléccel'!$B:$B,'Felosztás eredménykim'!$B20,'Eredeti fejléccel'!$AP:$AP)</f>
        <v>0</v>
      </c>
      <c r="BD20" s="6">
        <f>SUMIF('Eredeti fejléccel'!$B:$B,'Felosztás eredménykim'!$B20,'Eredeti fejléccel'!$AS:$AS)</f>
        <v>0</v>
      </c>
      <c r="BE20" s="8">
        <f t="shared" si="38"/>
        <v>731776.07707627222</v>
      </c>
      <c r="BF20" s="36">
        <f t="shared" si="9"/>
        <v>43132.420049713975</v>
      </c>
      <c r="BG20" s="8">
        <f t="shared" si="10"/>
        <v>6538.599463375368</v>
      </c>
      <c r="BH20" s="6">
        <f t="shared" si="39"/>
        <v>24369.360199999999</v>
      </c>
      <c r="BI20" s="6">
        <f>SUMIF('Eredeti fejléccel'!$B:$B,'Felosztás eredménykim'!$B20,'Eredeti fejléccel'!$AH:$AH)</f>
        <v>219324.24179999999</v>
      </c>
      <c r="BJ20" s="6">
        <f>SUMIF('Eredeti fejléccel'!$B:$B,'Felosztás eredménykim'!$B20,'Eredeti fejléccel'!$AO:$AO)</f>
        <v>0</v>
      </c>
      <c r="BK20" s="6">
        <f>SUMIF('Eredeti fejléccel'!$B:$B,'Felosztás eredménykim'!$B20,'Eredeti fejléccel'!$BF:$BF)</f>
        <v>0</v>
      </c>
      <c r="BL20" s="8">
        <f t="shared" si="40"/>
        <v>250232.20146337536</v>
      </c>
      <c r="BM20" s="36">
        <f t="shared" si="11"/>
        <v>161602.80045292838</v>
      </c>
      <c r="BN20" s="8">
        <f t="shared" si="12"/>
        <v>24497.952656113044</v>
      </c>
      <c r="BP20" s="8">
        <f t="shared" si="41"/>
        <v>0</v>
      </c>
      <c r="BQ20" s="6">
        <f>SUMIF('Eredeti fejléccel'!$B:$B,'Felosztás eredménykim'!$B20,'Eredeti fejléccel'!$N:$N)</f>
        <v>0</v>
      </c>
      <c r="BR20" s="6">
        <f>SUMIF('Eredeti fejléccel'!$B:$B,'Felosztás eredménykim'!$B20,'Eredeti fejléccel'!$S:$S)</f>
        <v>0</v>
      </c>
      <c r="BT20" s="6">
        <f>SUMIF('Eredeti fejléccel'!$B:$B,'Felosztás eredménykim'!$B20,'Eredeti fejléccel'!$AR:$AR)</f>
        <v>0</v>
      </c>
      <c r="BU20" s="6">
        <f>SUMIF('Eredeti fejléccel'!$B:$B,'Felosztás eredménykim'!$B20,'Eredeti fejléccel'!$AU:$AU)</f>
        <v>0</v>
      </c>
      <c r="BV20" s="6">
        <f>SUMIF('Eredeti fejléccel'!$B:$B,'Felosztás eredménykim'!$B20,'Eredeti fejléccel'!$AV:$AV)</f>
        <v>200855.44999999998</v>
      </c>
      <c r="BW20" s="6">
        <f>SUMIF('Eredeti fejléccel'!$B:$B,'Felosztás eredménykim'!$B20,'Eredeti fejléccel'!$AW:$AW)</f>
        <v>0</v>
      </c>
      <c r="BX20" s="6">
        <f>SUMIF('Eredeti fejléccel'!$B:$B,'Felosztás eredménykim'!$B20,'Eredeti fejléccel'!$AX:$AX)</f>
        <v>0</v>
      </c>
      <c r="BY20" s="6">
        <f>SUMIF('Eredeti fejléccel'!$B:$B,'Felosztás eredménykim'!$B20,'Eredeti fejléccel'!$AY:$AY)</f>
        <v>0</v>
      </c>
      <c r="BZ20" s="6">
        <f>SUMIF('Eredeti fejléccel'!$B:$B,'Felosztás eredménykim'!$B20,'Eredeti fejléccel'!$AZ:$AZ)</f>
        <v>0</v>
      </c>
      <c r="CA20" s="6">
        <f>SUMIF('Eredeti fejléccel'!$B:$B,'Felosztás eredménykim'!$B20,'Eredeti fejléccel'!$BA:$BA)</f>
        <v>274928.65019999997</v>
      </c>
      <c r="CB20" s="6">
        <f t="shared" si="13"/>
        <v>500282.052856113</v>
      </c>
      <c r="CC20" s="36">
        <f t="shared" si="14"/>
        <v>43995.068450708255</v>
      </c>
      <c r="CD20" s="8">
        <f t="shared" si="15"/>
        <v>6669.3714526428757</v>
      </c>
      <c r="CE20" s="6">
        <f>SUMIF('Eredeti fejléccel'!$B:$B,'Felosztás eredménykim'!$B20,'Eredeti fejléccel'!$BC:$BC)</f>
        <v>48738.720399999991</v>
      </c>
      <c r="CF20" s="8">
        <f t="shared" si="42"/>
        <v>-24369.360199999996</v>
      </c>
      <c r="CG20" s="6">
        <f>SUMIF('Eredeti fejléccel'!$B:$B,'Felosztás eredménykim'!$B20,'Eredeti fejléccel'!$H:$H)</f>
        <v>0</v>
      </c>
      <c r="CH20" s="6">
        <f>SUMIF('Eredeti fejléccel'!$B:$B,'Felosztás eredménykim'!$B20,'Eredeti fejléccel'!$BE:$BE)</f>
        <v>341171.04280000005</v>
      </c>
      <c r="CI20" s="6">
        <f t="shared" si="43"/>
        <v>372209.77445264295</v>
      </c>
      <c r="CJ20" s="36">
        <f t="shared" si="16"/>
        <v>31630.441369790256</v>
      </c>
      <c r="CK20" s="8">
        <f t="shared" si="17"/>
        <v>4794.9729398086038</v>
      </c>
      <c r="CL20" s="8">
        <f t="shared" si="44"/>
        <v>24369.360199999996</v>
      </c>
      <c r="CM20" s="6">
        <f>SUMIF('Eredeti fejléccel'!$B:$B,'Felosztás eredménykim'!$B20,'Eredeti fejléccel'!$BD:$BD)</f>
        <v>194954.88159999999</v>
      </c>
      <c r="CN20" s="8">
        <f t="shared" si="45"/>
        <v>224119.21473980858</v>
      </c>
      <c r="CO20" s="8">
        <f t="shared" si="18"/>
        <v>3438885.6330264201</v>
      </c>
      <c r="CR20" s="36">
        <f t="shared" si="19"/>
        <v>189997.71646414039</v>
      </c>
      <c r="CS20" s="6">
        <f>SUMIF('Eredeti fejléccel'!$B:$B,'Felosztás eredménykim'!$B20,'Eredeti fejléccel'!$I:$I)</f>
        <v>0</v>
      </c>
      <c r="CT20" s="6">
        <f>SUMIF('Eredeti fejléccel'!$B:$B,'Felosztás eredménykim'!$B20,'Eredeti fejléccel'!$BG:$BG)</f>
        <v>0</v>
      </c>
      <c r="CU20" s="6">
        <f>SUMIF('Eredeti fejléccel'!$B:$B,'Felosztás eredménykim'!$B20,'Eredeti fejléccel'!$BH:$BH)</f>
        <v>0</v>
      </c>
      <c r="CV20" s="6">
        <f>SUMIF('Eredeti fejléccel'!$B:$B,'Felosztás eredménykim'!$B20,'Eredeti fejléccel'!$BI:$BI)</f>
        <v>0</v>
      </c>
      <c r="CW20" s="6">
        <f>SUMIF('Eredeti fejléccel'!$B:$B,'Felosztás eredménykim'!$B20,'Eredeti fejléccel'!$BL:$BL)</f>
        <v>1980660.7499999993</v>
      </c>
      <c r="CX20" s="6">
        <f t="shared" si="46"/>
        <v>1980660.7499999993</v>
      </c>
      <c r="CY20" s="6">
        <f>SUMIF('Eredeti fejléccel'!$B:$B,'Felosztás eredménykim'!$B20,'Eredeti fejléccel'!$BJ:$BJ)</f>
        <v>302807.56</v>
      </c>
      <c r="CZ20" s="6">
        <f>SUMIF('Eredeti fejléccel'!$B:$B,'Felosztás eredménykim'!$B20,'Eredeti fejléccel'!$BK:$BK)</f>
        <v>10801.630000000005</v>
      </c>
      <c r="DA20" s="99">
        <f t="shared" si="47"/>
        <v>2294269.939999999</v>
      </c>
      <c r="DC20" s="36">
        <f t="shared" si="20"/>
        <v>166412.27004467486</v>
      </c>
      <c r="DD20" s="6">
        <f>SUMIF('Eredeti fejléccel'!$B:$B,'Felosztás eredménykim'!$B20,'Eredeti fejléccel'!$J:$J)</f>
        <v>0</v>
      </c>
      <c r="DE20" s="6">
        <f>SUMIF('Eredeti fejléccel'!$B:$B,'Felosztás eredménykim'!$B20,'Eredeti fejléccel'!$BM:$BM)</f>
        <v>727980.46</v>
      </c>
      <c r="DF20" s="6">
        <f t="shared" si="48"/>
        <v>0</v>
      </c>
      <c r="DG20" s="8">
        <f t="shared" si="21"/>
        <v>0</v>
      </c>
      <c r="DH20" s="8">
        <f t="shared" si="49"/>
        <v>727980.46</v>
      </c>
      <c r="DJ20" s="6">
        <f>SUMIF('Eredeti fejléccel'!$B:$B,'Felosztás eredménykim'!$B20,'Eredeti fejléccel'!$BN:$BN)</f>
        <v>0</v>
      </c>
      <c r="DK20" s="6">
        <f>SUMIF('Eredeti fejléccel'!$B:$B,'Felosztás eredménykim'!$B20,'Eredeti fejléccel'!$BZ:$BZ)</f>
        <v>0</v>
      </c>
      <c r="DL20" s="8">
        <f t="shared" si="50"/>
        <v>0</v>
      </c>
      <c r="DM20" s="6">
        <f>SUMIF('Eredeti fejléccel'!$B:$B,'Felosztás eredménykim'!$B20,'Eredeti fejléccel'!$BR:$BR)</f>
        <v>0</v>
      </c>
      <c r="DN20" s="6">
        <f>SUMIF('Eredeti fejléccel'!$B:$B,'Felosztás eredménykim'!$B20,'Eredeti fejléccel'!$BS:$BS)</f>
        <v>0</v>
      </c>
      <c r="DO20" s="6">
        <f>SUMIF('Eredeti fejléccel'!$B:$B,'Felosztás eredménykim'!$B20,'Eredeti fejléccel'!$BO:$BO)</f>
        <v>0</v>
      </c>
      <c r="DP20" s="6">
        <f>SUMIF('Eredeti fejléccel'!$B:$B,'Felosztás eredménykim'!$B20,'Eredeti fejléccel'!$BP:$BP)</f>
        <v>0</v>
      </c>
      <c r="DQ20" s="6">
        <f>SUMIF('Eredeti fejléccel'!$B:$B,'Felosztás eredménykim'!$B20,'Eredeti fejléccel'!$BQ:$BQ)</f>
        <v>0</v>
      </c>
      <c r="DS20" s="8"/>
      <c r="DU20" s="6">
        <f>SUMIF('Eredeti fejléccel'!$B:$B,'Felosztás eredménykim'!$B20,'Eredeti fejléccel'!$BT:$BT)</f>
        <v>0</v>
      </c>
      <c r="DV20" s="6">
        <f>SUMIF('Eredeti fejléccel'!$B:$B,'Felosztás eredménykim'!$B20,'Eredeti fejléccel'!$BU:$BU)</f>
        <v>0</v>
      </c>
      <c r="DW20" s="6">
        <f>SUMIF('Eredeti fejléccel'!$B:$B,'Felosztás eredménykim'!$B20,'Eredeti fejléccel'!$BV:$BV)</f>
        <v>0</v>
      </c>
      <c r="DX20" s="6">
        <f>SUMIF('Eredeti fejléccel'!$B:$B,'Felosztás eredménykim'!$B20,'Eredeti fejléccel'!$BW:$BW)</f>
        <v>0</v>
      </c>
      <c r="DY20" s="6">
        <f>SUMIF('Eredeti fejléccel'!$B:$B,'Felosztás eredménykim'!$B20,'Eredeti fejléccel'!$BX:$BX)</f>
        <v>0</v>
      </c>
      <c r="EA20" s="6"/>
      <c r="EC20" s="6"/>
      <c r="EE20" s="6">
        <f>SUMIF('Eredeti fejléccel'!$B:$B,'Felosztás eredménykim'!$B20,'Eredeti fejléccel'!$CA:$CA)</f>
        <v>0</v>
      </c>
      <c r="EF20" s="6">
        <f>SUMIF('Eredeti fejléccel'!$B:$B,'Felosztás eredménykim'!$B20,'Eredeti fejléccel'!$CB:$CB)</f>
        <v>0</v>
      </c>
      <c r="EG20" s="6">
        <f>SUMIF('Eredeti fejléccel'!$B:$B,'Felosztás eredménykim'!$B20,'Eredeti fejléccel'!$CC:$CC)</f>
        <v>0</v>
      </c>
      <c r="EH20" s="6">
        <f>SUMIF('Eredeti fejléccel'!$B:$B,'Felosztás eredménykim'!$B20,'Eredeti fejléccel'!$CD:$CD)</f>
        <v>0</v>
      </c>
      <c r="EK20" s="6">
        <f>SUMIF('Eredeti fejléccel'!$B:$B,'Felosztás eredménykim'!$B20,'Eredeti fejléccel'!$CE:$CE)</f>
        <v>0</v>
      </c>
      <c r="EN20" s="6">
        <f>SUMIF('Eredeti fejléccel'!$B:$B,'Felosztás eredménykim'!$B20,'Eredeti fejléccel'!$CF:$CF)</f>
        <v>0</v>
      </c>
      <c r="EP20" s="6">
        <f>SUMIF('Eredeti fejléccel'!$B:$B,'Felosztás eredménykim'!$B20,'Eredeti fejléccel'!$CG:$CG)</f>
        <v>0</v>
      </c>
      <c r="ES20" s="6">
        <f>SUMIF('Eredeti fejléccel'!$B:$B,'Felosztás eredménykim'!$B20,'Eredeti fejléccel'!$CH:$CH)</f>
        <v>0</v>
      </c>
      <c r="ET20" s="6">
        <f>SUMIF('Eredeti fejléccel'!$B:$B,'Felosztás eredménykim'!$B20,'Eredeti fejléccel'!$CI:$CI)</f>
        <v>0</v>
      </c>
      <c r="EW20" s="8">
        <f t="shared" si="22"/>
        <v>0</v>
      </c>
      <c r="EX20" s="8">
        <f t="shared" si="51"/>
        <v>0</v>
      </c>
      <c r="EY20" s="8">
        <f t="shared" si="52"/>
        <v>727980.46</v>
      </c>
      <c r="EZ20" s="8">
        <f t="shared" si="23"/>
        <v>727980.46</v>
      </c>
      <c r="FA20" s="8">
        <f t="shared" si="24"/>
        <v>727980.46</v>
      </c>
      <c r="FC20" s="6">
        <f>SUMIF('Eredeti fejléccel'!$B:$B,'Felosztás eredménykim'!$B20,'Eredeti fejléccel'!$L:$L)</f>
        <v>0</v>
      </c>
      <c r="FD20" s="6">
        <f>SUMIF('Eredeti fejléccel'!$B:$B,'Felosztás eredménykim'!$B20,'Eredeti fejléccel'!$CJ:$CJ)</f>
        <v>200855.44999999998</v>
      </c>
      <c r="FE20" s="6">
        <f>SUMIF('Eredeti fejléccel'!$B:$B,'Felosztás eredménykim'!$B20,'Eredeti fejléccel'!$CL:$CL)</f>
        <v>0</v>
      </c>
      <c r="FG20" s="99">
        <f t="shared" si="53"/>
        <v>200855.44999999998</v>
      </c>
      <c r="FH20" s="6">
        <f>SUMIF('Eredeti fejléccel'!$B:$B,'Felosztás eredménykim'!$B20,'Eredeti fejléccel'!$CK:$CK)</f>
        <v>0</v>
      </c>
      <c r="FI20" s="36">
        <f t="shared" si="25"/>
        <v>195794.58202538808</v>
      </c>
      <c r="FJ20" s="101">
        <f t="shared" si="26"/>
        <v>44538.924765561838</v>
      </c>
      <c r="FK20" s="6">
        <f>SUMIF('Eredeti fejléccel'!$B:$B,'Felosztás eredménykim'!$B20,'Eredeti fejléccel'!$CM:$CM)</f>
        <v>0</v>
      </c>
      <c r="FL20" s="6">
        <f>SUMIF('Eredeti fejléccel'!$B:$B,'Felosztás eredménykim'!$B20,'Eredeti fejléccel'!$CN:$CN)</f>
        <v>0</v>
      </c>
      <c r="FM20" s="8">
        <f t="shared" si="54"/>
        <v>44538.924765561838</v>
      </c>
      <c r="FN20" s="36">
        <f t="shared" si="27"/>
        <v>166457.51559723113</v>
      </c>
      <c r="FO20" s="101">
        <f t="shared" si="28"/>
        <v>37865.392837510102</v>
      </c>
      <c r="FP20" s="6">
        <f>SUMIF('Eredeti fejléccel'!$B:$B,'Felosztás eredménykim'!$B20,'Eredeti fejléccel'!$CO:$CO)</f>
        <v>105953.99999999999</v>
      </c>
      <c r="FQ20" s="6">
        <f>'Eredeti fejléccel'!CP20</f>
        <v>0</v>
      </c>
      <c r="FR20" s="6">
        <f>'Eredeti fejléccel'!CQ20</f>
        <v>0</v>
      </c>
      <c r="FS20" s="103">
        <f t="shared" si="55"/>
        <v>143819.39283751009</v>
      </c>
      <c r="FT20" s="36">
        <f t="shared" si="29"/>
        <v>459471.28126045322</v>
      </c>
      <c r="FU20" s="101">
        <f t="shared" si="30"/>
        <v>104519.5255982215</v>
      </c>
      <c r="FV20" s="101"/>
      <c r="FW20" s="6">
        <f>SUMIF('Eredeti fejléccel'!$B:$B,'Felosztás eredménykim'!$B20,'Eredeti fejléccel'!$CR:$CR)</f>
        <v>484353.88</v>
      </c>
      <c r="FX20" s="6">
        <f>SUMIF('Eredeti fejléccel'!$B:$B,'Felosztás eredménykim'!$B20,'Eredeti fejléccel'!$CS:$CS)</f>
        <v>0</v>
      </c>
      <c r="FY20" s="6">
        <f>SUMIF('Eredeti fejléccel'!$B:$B,'Felosztás eredménykim'!$B20,'Eredeti fejléccel'!$CT:$CT)</f>
        <v>0</v>
      </c>
      <c r="FZ20" s="6">
        <f>SUMIF('Eredeti fejléccel'!$B:$B,'Felosztás eredménykim'!$B20,'Eredeti fejléccel'!$CU:$CU)</f>
        <v>0</v>
      </c>
      <c r="GA20" s="103">
        <f t="shared" si="56"/>
        <v>588873.40559822146</v>
      </c>
      <c r="GB20" s="36">
        <f t="shared" si="31"/>
        <v>61243.802908415229</v>
      </c>
      <c r="GC20" s="101">
        <f t="shared" si="32"/>
        <v>13931.606798706547</v>
      </c>
      <c r="GD20" s="6">
        <f>SUMIF('Eredeti fejléccel'!$B:$B,'Felosztás eredménykim'!$B20,'Eredeti fejléccel'!$CV:$CV)</f>
        <v>515390.84</v>
      </c>
      <c r="GE20" s="6">
        <f>SUMIF('Eredeti fejléccel'!$B:$B,'Felosztás eredménykim'!$B20,'Eredeti fejléccel'!$CW:$CW)</f>
        <v>0</v>
      </c>
      <c r="GF20" s="103">
        <f t="shared" si="57"/>
        <v>529322.44679870654</v>
      </c>
      <c r="GG20" s="36">
        <f t="shared" si="33"/>
        <v>0</v>
      </c>
      <c r="GM20" s="6">
        <f>SUMIF('Eredeti fejléccel'!$B:$B,'Felosztás eredménykim'!$B20,'Eredeti fejléccel'!$CX:$CX)</f>
        <v>0</v>
      </c>
      <c r="GN20" s="6">
        <f>SUMIF('Eredeti fejléccel'!$B:$B,'Felosztás eredménykim'!$B20,'Eredeti fejléccel'!$CY:$CY)</f>
        <v>0</v>
      </c>
      <c r="GO20" s="6">
        <f>SUMIF('Eredeti fejléccel'!$B:$B,'Felosztás eredménykim'!$B20,'Eredeti fejléccel'!$CZ:$CZ)</f>
        <v>0</v>
      </c>
      <c r="GP20" s="6">
        <f>SUMIF('Eredeti fejléccel'!$B:$B,'Felosztás eredménykim'!$B20,'Eredeti fejléccel'!$DA:$DA)</f>
        <v>0</v>
      </c>
      <c r="GQ20" s="6">
        <f>SUMIF('Eredeti fejléccel'!$B:$B,'Felosztás eredménykim'!$B20,'Eredeti fejléccel'!$DB:$DB)</f>
        <v>0</v>
      </c>
      <c r="GR20" s="103">
        <f t="shared" si="58"/>
        <v>0</v>
      </c>
      <c r="GW20" s="36">
        <f t="shared" si="34"/>
        <v>105131.60867327754</v>
      </c>
      <c r="GX20" s="6">
        <f>SUMIF('Eredeti fejléccel'!$B:$B,'Felosztás eredménykim'!$B20,'Eredeti fejléccel'!$M:$M)</f>
        <v>0</v>
      </c>
      <c r="GY20" s="6">
        <f>SUMIF('Eredeti fejléccel'!$B:$B,'Felosztás eredménykim'!$B20,'Eredeti fejléccel'!$DC:$DC)</f>
        <v>5670619</v>
      </c>
      <c r="GZ20" s="6">
        <f>SUMIF('Eredeti fejléccel'!$B:$B,'Felosztás eredménykim'!$B20,'Eredeti fejléccel'!$DD:$DD)</f>
        <v>0</v>
      </c>
      <c r="HA20" s="6">
        <f>SUMIF('Eredeti fejléccel'!$B:$B,'Felosztás eredménykim'!$B20,'Eredeti fejléccel'!$DE:$DE)</f>
        <v>0</v>
      </c>
      <c r="HB20" s="103">
        <f t="shared" si="59"/>
        <v>5670619</v>
      </c>
      <c r="HD20" s="9">
        <f t="shared" si="35"/>
        <v>14782817.979999995</v>
      </c>
      <c r="HE20" s="9">
        <v>14782817.980000006</v>
      </c>
      <c r="HF20" s="476"/>
      <c r="HH20" s="34">
        <f t="shared" si="60"/>
        <v>0</v>
      </c>
      <c r="HI20" s="31">
        <f>SUM(HD6:HD21)</f>
        <v>178989604.55999988</v>
      </c>
      <c r="HJ20" s="31">
        <f>SUM(HE6:HE21)</f>
        <v>178989604.56</v>
      </c>
    </row>
    <row r="21" spans="1:218" x14ac:dyDescent="0.25">
      <c r="A21" s="208" t="s">
        <v>1756</v>
      </c>
      <c r="B21" s="208" t="s">
        <v>1756</v>
      </c>
      <c r="C21" s="209" t="s">
        <v>1757</v>
      </c>
      <c r="D21" s="6">
        <f>SUMIF('Eredeti fejléccel'!$B:$B,'Felosztás eredménykim'!$B21,'Eredeti fejléccel'!$D:$D)</f>
        <v>0</v>
      </c>
      <c r="E21" s="6">
        <f>SUMIF('Eredeti fejléccel'!$B:$B,'Felosztás eredménykim'!$B21,'Eredeti fejléccel'!$E:$E)</f>
        <v>281687.96999999997</v>
      </c>
      <c r="F21" s="6">
        <f>SUMIF('Eredeti fejléccel'!$B:$B,'Felosztás eredménykim'!$B21,'Eredeti fejléccel'!$F:$F)</f>
        <v>0</v>
      </c>
      <c r="G21" s="6">
        <f>SUMIF('Eredeti fejléccel'!$B:$B,'Felosztás eredménykim'!$B21,'Eredeti fejléccel'!$G:$G)</f>
        <v>1590</v>
      </c>
      <c r="H21" s="6"/>
      <c r="I21" s="6">
        <f>SUMIF('Eredeti fejléccel'!$B:$B,'Felosztás eredménykim'!$B21,'Eredeti fejléccel'!$O:$O)</f>
        <v>0</v>
      </c>
      <c r="J21" s="6">
        <f>SUMIF('Eredeti fejléccel'!$B:$B,'Felosztás eredménykim'!$B21,'Eredeti fejléccel'!$P:$P)</f>
        <v>0</v>
      </c>
      <c r="K21" s="6">
        <f>SUMIF('Eredeti fejléccel'!$B:$B,'Felosztás eredménykim'!$B21,'Eredeti fejléccel'!$Q:$Q)</f>
        <v>0</v>
      </c>
      <c r="L21" s="6">
        <f>SUMIF('Eredeti fejléccel'!$B:$B,'Felosztás eredménykim'!$B21,'Eredeti fejléccel'!$R:$R)</f>
        <v>0</v>
      </c>
      <c r="M21" s="6">
        <f>SUMIF('Eredeti fejléccel'!$B:$B,'Felosztás eredménykim'!$B21,'Eredeti fejléccel'!$T:$T)</f>
        <v>0</v>
      </c>
      <c r="N21" s="6">
        <f>SUMIF('Eredeti fejléccel'!$B:$B,'Felosztás eredménykim'!$B21,'Eredeti fejléccel'!$U:$U)</f>
        <v>0</v>
      </c>
      <c r="O21" s="6">
        <f>SUMIF('Eredeti fejléccel'!$B:$B,'Felosztás eredménykim'!$B21,'Eredeti fejléccel'!$V:$V)</f>
        <v>0</v>
      </c>
      <c r="P21" s="6">
        <f>SUMIF('Eredeti fejléccel'!$B:$B,'Felosztás eredménykim'!$B21,'Eredeti fejléccel'!$W:$W)</f>
        <v>115338.37000000001</v>
      </c>
      <c r="Q21" s="6">
        <f>SUMIF('Eredeti fejléccel'!$B:$B,'Felosztás eredménykim'!$B21,'Eredeti fejléccel'!$X:$X)</f>
        <v>0</v>
      </c>
      <c r="R21" s="6">
        <f>SUMIF('Eredeti fejléccel'!$B:$B,'Felosztás eredménykim'!$B21,'Eredeti fejléccel'!$Y:$Y)</f>
        <v>0</v>
      </c>
      <c r="S21" s="6">
        <f>SUMIF('Eredeti fejléccel'!$B:$B,'Felosztás eredménykim'!$B21,'Eredeti fejléccel'!$Z:$Z)</f>
        <v>0</v>
      </c>
      <c r="T21" s="6">
        <f>SUMIF('Eredeti fejléccel'!$B:$B,'Felosztás eredménykim'!$B21,'Eredeti fejléccel'!$AA:$AA)</f>
        <v>0</v>
      </c>
      <c r="U21" s="6">
        <f>SUMIF('Eredeti fejléccel'!$B:$B,'Felosztás eredménykim'!$B21,'Eredeti fejléccel'!$D:$D)</f>
        <v>0</v>
      </c>
      <c r="V21" s="6">
        <f>SUMIF('Eredeti fejléccel'!$B:$B,'Felosztás eredménykim'!$B21,'Eredeti fejléccel'!$AT:$AT)</f>
        <v>0</v>
      </c>
      <c r="X21" s="212">
        <f t="shared" si="0"/>
        <v>398616.33999999997</v>
      </c>
      <c r="Z21" s="6">
        <f>SUMIF('Eredeti fejléccel'!$B:$B,'Felosztás eredménykim'!$B21,'Eredeti fejléccel'!$K:$K)</f>
        <v>76558.529999999984</v>
      </c>
      <c r="AB21" s="6">
        <f>SUMIF('Eredeti fejléccel'!$B:$B,'Felosztás eredménykim'!$B21,'Eredeti fejléccel'!$AB:$AB)</f>
        <v>0</v>
      </c>
      <c r="AC21" s="6">
        <f>SUMIF('Eredeti fejléccel'!$B:$B,'Felosztás eredménykim'!$B21,'Eredeti fejléccel'!$AQ:$AQ)</f>
        <v>0</v>
      </c>
      <c r="AE21" s="73">
        <f>SUM(Z21:AD21)</f>
        <v>76558.529999999984</v>
      </c>
      <c r="AF21" s="36">
        <f t="shared" si="2"/>
        <v>47552.793389940081</v>
      </c>
      <c r="AG21" s="8">
        <f t="shared" si="3"/>
        <v>24410.263791253012</v>
      </c>
      <c r="AI21" s="6">
        <f>SUMIF('Eredeti fejléccel'!$B:$B,'Felosztás eredménykim'!$B21,'Eredeti fejléccel'!$BB:$BB)</f>
        <v>0</v>
      </c>
      <c r="AJ21" s="6">
        <f>SUMIF('Eredeti fejléccel'!$B:$B,'Felosztás eredménykim'!$B21,'Eredeti fejléccel'!$AF:$AF)</f>
        <v>0</v>
      </c>
      <c r="AK21" s="8">
        <f>SUM(AG21:AJ21)</f>
        <v>24410.263791253012</v>
      </c>
      <c r="AL21" s="36">
        <f t="shared" si="5"/>
        <v>18887.729436228659</v>
      </c>
      <c r="AM21" s="8">
        <f t="shared" si="6"/>
        <v>9695.6335283069475</v>
      </c>
      <c r="AN21" s="6">
        <f>-AO21/2</f>
        <v>0</v>
      </c>
      <c r="AO21" s="6">
        <f>SUMIF('Eredeti fejléccel'!$B:$B,'Felosztás eredménykim'!$B21,'Eredeti fejléccel'!$AC:$AC)</f>
        <v>0</v>
      </c>
      <c r="AP21" s="6">
        <f>SUMIF('Eredeti fejléccel'!$B:$B,'Felosztás eredménykim'!$B21,'Eredeti fejléccel'!$AD:$AD)</f>
        <v>0</v>
      </c>
      <c r="AQ21" s="6">
        <f>SUMIF('Eredeti fejléccel'!$B:$B,'Felosztás eredménykim'!$B21,'Eredeti fejléccel'!$AE:$AE)</f>
        <v>0</v>
      </c>
      <c r="AR21" s="6">
        <f>SUMIF('Eredeti fejléccel'!$B:$B,'Felosztás eredménykim'!$B21,'Eredeti fejléccel'!$AG:$AG)</f>
        <v>0</v>
      </c>
      <c r="AS21" s="6">
        <f>SUM(AM21:AR21)</f>
        <v>9695.6335283069475</v>
      </c>
      <c r="AT21" s="36">
        <f t="shared" si="7"/>
        <v>30679.221541896834</v>
      </c>
      <c r="AU21" s="8">
        <f t="shared" si="8"/>
        <v>15748.557284679362</v>
      </c>
      <c r="AV21" s="6">
        <f>SUMIF('Eredeti fejléccel'!$B:$B,'Felosztás eredménykim'!$B21,'Eredeti fejléccel'!$AI:$AI)</f>
        <v>0</v>
      </c>
      <c r="AW21" s="6">
        <f>SUMIF('Eredeti fejléccel'!$B:$B,'Felosztás eredménykim'!$B21,'Eredeti fejléccel'!$AJ:$AJ)</f>
        <v>0</v>
      </c>
      <c r="AX21" s="6">
        <f>SUMIF('Eredeti fejléccel'!$B:$B,'Felosztás eredménykim'!$B21,'Eredeti fejléccel'!$AK:$AK)</f>
        <v>0</v>
      </c>
      <c r="AY21" s="6">
        <f>SUMIF('Eredeti fejléccel'!$B:$B,'Felosztás eredménykim'!$B21,'Eredeti fejléccel'!$AL:$AL)</f>
        <v>0</v>
      </c>
      <c r="AZ21" s="6">
        <f>SUMIF('Eredeti fejléccel'!$B:$B,'Felosztás eredménykim'!$B21,'Eredeti fejléccel'!$AM:$AM)</f>
        <v>0</v>
      </c>
      <c r="BA21" s="6">
        <f>SUMIF('Eredeti fejléccel'!$B:$B,'Felosztás eredménykim'!$B21,'Eredeti fejléccel'!$AN:$AN)</f>
        <v>0</v>
      </c>
      <c r="BB21" s="6">
        <f>SUMIF('Eredeti fejléccel'!$B:$B,'Felosztás eredménykim'!$B21,'Eredeti fejléccel'!$AP:$AP)</f>
        <v>0</v>
      </c>
      <c r="BD21" s="6">
        <f>SUMIF('Eredeti fejléccel'!$B:$B,'Felosztás eredménykim'!$B21,'Eredeti fejléccel'!$AS:$AS)</f>
        <v>0</v>
      </c>
      <c r="BE21" s="8">
        <f>SUM(AU21:BD21)</f>
        <v>15748.557284679362</v>
      </c>
      <c r="BF21" s="36">
        <f t="shared" si="9"/>
        <v>8003.2751848426506</v>
      </c>
      <c r="BG21" s="8">
        <f t="shared" si="10"/>
        <v>4108.3192916554854</v>
      </c>
      <c r="BH21" s="6">
        <f>AO21/2</f>
        <v>0</v>
      </c>
      <c r="BI21" s="6">
        <f>SUMIF('Eredeti fejléccel'!$B:$B,'Felosztás eredménykim'!$B21,'Eredeti fejléccel'!$AH:$AH)</f>
        <v>0</v>
      </c>
      <c r="BJ21" s="6">
        <f>SUMIF('Eredeti fejléccel'!$B:$B,'Felosztás eredménykim'!$B21,'Eredeti fejléccel'!$AO:$AO)</f>
        <v>0</v>
      </c>
      <c r="BK21" s="6">
        <f>SUMIF('Eredeti fejléccel'!$B:$B,'Felosztás eredménykim'!$B21,'Eredeti fejléccel'!$BF:$BF)</f>
        <v>0</v>
      </c>
      <c r="BL21" s="8">
        <f>SUM(BG21:BK21)</f>
        <v>4108.3192916554854</v>
      </c>
      <c r="BM21" s="36">
        <f t="shared" si="11"/>
        <v>29985.604359210469</v>
      </c>
      <c r="BN21" s="8">
        <f t="shared" si="12"/>
        <v>15392.50294606922</v>
      </c>
      <c r="BP21" s="8">
        <f>-FV21</f>
        <v>0</v>
      </c>
      <c r="BQ21" s="6">
        <f>SUMIF('Eredeti fejléccel'!$B:$B,'Felosztás eredménykim'!$B21,'Eredeti fejléccel'!$N:$N)</f>
        <v>0</v>
      </c>
      <c r="BR21" s="6">
        <f>SUMIF('Eredeti fejléccel'!$B:$B,'Felosztás eredménykim'!$B21,'Eredeti fejléccel'!$S:$S)</f>
        <v>0</v>
      </c>
      <c r="BT21" s="6">
        <f>SUMIF('Eredeti fejléccel'!$B:$B,'Felosztás eredménykim'!$B21,'Eredeti fejléccel'!$AR:$AR)</f>
        <v>0</v>
      </c>
      <c r="BU21" s="6">
        <f>SUMIF('Eredeti fejléccel'!$B:$B,'Felosztás eredménykim'!$B21,'Eredeti fejléccel'!$AU:$AU)</f>
        <v>0</v>
      </c>
      <c r="BV21" s="6">
        <f>SUMIF('Eredeti fejléccel'!$B:$B,'Felosztás eredménykim'!$B21,'Eredeti fejléccel'!$AV:$AV)</f>
        <v>0</v>
      </c>
      <c r="BW21" s="6">
        <f>SUMIF('Eredeti fejléccel'!$B:$B,'Felosztás eredménykim'!$B21,'Eredeti fejléccel'!$AW:$AW)</f>
        <v>0</v>
      </c>
      <c r="BX21" s="6">
        <f>SUMIF('Eredeti fejléccel'!$B:$B,'Felosztás eredménykim'!$B21,'Eredeti fejléccel'!$AX:$AX)</f>
        <v>0</v>
      </c>
      <c r="BY21" s="6">
        <f>SUMIF('Eredeti fejléccel'!$B:$B,'Felosztás eredménykim'!$B21,'Eredeti fejléccel'!$AY:$AY)</f>
        <v>0</v>
      </c>
      <c r="BZ21" s="6">
        <f>SUMIF('Eredeti fejléccel'!$B:$B,'Felosztás eredménykim'!$B21,'Eredeti fejléccel'!$AZ:$AZ)</f>
        <v>0</v>
      </c>
      <c r="CA21" s="6">
        <f>SUMIF('Eredeti fejléccel'!$B:$B,'Felosztás eredménykim'!$B21,'Eredeti fejléccel'!$BA:$BA)</f>
        <v>0</v>
      </c>
      <c r="CB21" s="6">
        <f t="shared" si="13"/>
        <v>15392.50294606922</v>
      </c>
      <c r="CC21" s="36">
        <f t="shared" si="14"/>
        <v>8163.3406885395043</v>
      </c>
      <c r="CD21" s="8">
        <f t="shared" si="15"/>
        <v>4190.4856774885957</v>
      </c>
      <c r="CE21" s="6">
        <f>SUMIF('Eredeti fejléccel'!$B:$B,'Felosztás eredménykim'!$B21,'Eredeti fejléccel'!$BC:$BC)</f>
        <v>0</v>
      </c>
      <c r="CF21" s="8">
        <f>-CE21/2</f>
        <v>0</v>
      </c>
      <c r="CG21" s="6">
        <f>SUMIF('Eredeti fejléccel'!$B:$B,'Felosztás eredménykim'!$B21,'Eredeti fejléccel'!$H:$H)</f>
        <v>0</v>
      </c>
      <c r="CH21" s="6">
        <f>SUMIF('Eredeti fejléccel'!$B:$B,'Felosztás eredménykim'!$B21,'Eredeti fejléccel'!$BE:$BE)</f>
        <v>0</v>
      </c>
      <c r="CI21" s="6">
        <f>SUM(CD21:CH21)</f>
        <v>4190.4856774885957</v>
      </c>
      <c r="CJ21" s="36">
        <f t="shared" si="16"/>
        <v>5869.0684688846122</v>
      </c>
      <c r="CK21" s="8">
        <f t="shared" si="17"/>
        <v>3012.7674805473566</v>
      </c>
      <c r="CL21" s="8">
        <f>CE21/2</f>
        <v>0</v>
      </c>
      <c r="CM21" s="6">
        <f>SUMIF('Eredeti fejléccel'!$B:$B,'Felosztás eredménykim'!$B21,'Eredeti fejléccel'!$BD:$BD)</f>
        <v>0</v>
      </c>
      <c r="CN21" s="8">
        <f>SUM(CK21:CM21)</f>
        <v>3012.7674805473566</v>
      </c>
      <c r="CO21" s="8">
        <f t="shared" si="18"/>
        <v>225699.56306954278</v>
      </c>
      <c r="CR21" s="36">
        <f t="shared" si="19"/>
        <v>35254.316998712166</v>
      </c>
      <c r="CS21" s="6">
        <f>SUMIF('Eredeti fejléccel'!$B:$B,'Felosztás eredménykim'!$B21,'Eredeti fejléccel'!$I:$I)</f>
        <v>0</v>
      </c>
      <c r="CT21" s="6">
        <f>SUMIF('Eredeti fejléccel'!$B:$B,'Felosztás eredménykim'!$B21,'Eredeti fejléccel'!$BG:$BG)</f>
        <v>0</v>
      </c>
      <c r="CU21" s="6">
        <f>SUMIF('Eredeti fejléccel'!$B:$B,'Felosztás eredménykim'!$B21,'Eredeti fejléccel'!$BH:$BH)</f>
        <v>0</v>
      </c>
      <c r="CV21" s="6">
        <f>SUMIF('Eredeti fejléccel'!$B:$B,'Felosztás eredménykim'!$B21,'Eredeti fejléccel'!$BI:$BI)</f>
        <v>0</v>
      </c>
      <c r="CW21" s="6">
        <f>SUMIF('Eredeti fejléccel'!$B:$B,'Felosztás eredménykim'!$B21,'Eredeti fejléccel'!$BL:$BL)</f>
        <v>66725.48</v>
      </c>
      <c r="CX21" s="6">
        <f>SUM(CS21:CW21)</f>
        <v>66725.48</v>
      </c>
      <c r="CY21" s="6">
        <f>SUMIF('Eredeti fejléccel'!$B:$B,'Felosztás eredménykim'!$B21,'Eredeti fejléccel'!$BJ:$BJ)</f>
        <v>0</v>
      </c>
      <c r="CZ21" s="6">
        <f>SUMIF('Eredeti fejléccel'!$B:$B,'Felosztás eredménykim'!$B21,'Eredeti fejléccel'!$BK:$BK)</f>
        <v>0</v>
      </c>
      <c r="DA21" s="99">
        <f t="shared" si="47"/>
        <v>66725.48</v>
      </c>
      <c r="DC21" s="36">
        <f t="shared" si="20"/>
        <v>30878.007535093369</v>
      </c>
      <c r="DD21" s="6">
        <f>SUMIF('Eredeti fejléccel'!$B:$B,'Felosztás eredménykim'!$B21,'Eredeti fejléccel'!$J:$J)</f>
        <v>0</v>
      </c>
      <c r="DE21" s="6">
        <f>SUMIF('Eredeti fejléccel'!$B:$B,'Felosztás eredménykim'!$B21,'Eredeti fejléccel'!$BM:$BM)</f>
        <v>740857.63000000012</v>
      </c>
      <c r="DF21" s="6">
        <f>-DI21</f>
        <v>0</v>
      </c>
      <c r="DG21" s="8">
        <f t="shared" si="21"/>
        <v>0</v>
      </c>
      <c r="DH21" s="8">
        <f>SUM(DD21:DG21)</f>
        <v>740857.63000000012</v>
      </c>
      <c r="DJ21" s="6">
        <f>SUMIF('Eredeti fejléccel'!$B:$B,'Felosztás eredménykim'!$B21,'Eredeti fejléccel'!$BN:$BN)</f>
        <v>0</v>
      </c>
      <c r="DK21" s="6">
        <f>SUMIF('Eredeti fejléccel'!$B:$B,'Felosztás eredménykim'!$B21,'Eredeti fejléccel'!$BZ:$BZ)</f>
        <v>0</v>
      </c>
      <c r="DL21" s="8">
        <f>SUM(DI21:DK21)</f>
        <v>0</v>
      </c>
      <c r="DM21" s="6">
        <f>SUMIF('Eredeti fejléccel'!$B:$B,'Felosztás eredménykim'!$B21,'Eredeti fejléccel'!$BR:$BR)</f>
        <v>0</v>
      </c>
      <c r="DN21" s="6">
        <f>SUMIF('Eredeti fejléccel'!$B:$B,'Felosztás eredménykim'!$B21,'Eredeti fejléccel'!$BS:$BS)</f>
        <v>0</v>
      </c>
      <c r="DO21" s="6">
        <f>SUMIF('Eredeti fejléccel'!$B:$B,'Felosztás eredménykim'!$B21,'Eredeti fejléccel'!$BO:$BO)</f>
        <v>0</v>
      </c>
      <c r="DP21" s="6">
        <f>SUMIF('Eredeti fejléccel'!$B:$B,'Felosztás eredménykim'!$B21,'Eredeti fejléccel'!$BP:$BP)</f>
        <v>0</v>
      </c>
      <c r="DQ21" s="6">
        <f>SUMIF('Eredeti fejléccel'!$B:$B,'Felosztás eredménykim'!$B21,'Eredeti fejléccel'!$BQ:$BQ)</f>
        <v>0</v>
      </c>
      <c r="DS21" s="8"/>
      <c r="DU21" s="6">
        <f>SUMIF('Eredeti fejléccel'!$B:$B,'Felosztás eredménykim'!$B21,'Eredeti fejléccel'!$BT:$BT)</f>
        <v>0</v>
      </c>
      <c r="DV21" s="6">
        <f>SUMIF('Eredeti fejléccel'!$B:$B,'Felosztás eredménykim'!$B21,'Eredeti fejléccel'!$BU:$BU)</f>
        <v>0</v>
      </c>
      <c r="DW21" s="6">
        <f>SUMIF('Eredeti fejléccel'!$B:$B,'Felosztás eredménykim'!$B21,'Eredeti fejléccel'!$BV:$BV)</f>
        <v>0</v>
      </c>
      <c r="DX21" s="6">
        <f>SUMIF('Eredeti fejléccel'!$B:$B,'Felosztás eredménykim'!$B21,'Eredeti fejléccel'!$BW:$BW)</f>
        <v>0</v>
      </c>
      <c r="DY21" s="6">
        <f>SUMIF('Eredeti fejléccel'!$B:$B,'Felosztás eredménykim'!$B21,'Eredeti fejléccel'!$BX:$BX)</f>
        <v>0</v>
      </c>
      <c r="EA21" s="6"/>
      <c r="EC21" s="6"/>
      <c r="EE21" s="6">
        <f>SUMIF('Eredeti fejléccel'!$B:$B,'Felosztás eredménykim'!$B21,'Eredeti fejléccel'!$CA:$CA)</f>
        <v>0</v>
      </c>
      <c r="EF21" s="6">
        <f>SUMIF('Eredeti fejléccel'!$B:$B,'Felosztás eredménykim'!$B21,'Eredeti fejléccel'!$CB:$CB)</f>
        <v>0</v>
      </c>
      <c r="EG21" s="6">
        <f>SUMIF('Eredeti fejléccel'!$B:$B,'Felosztás eredménykim'!$B21,'Eredeti fejléccel'!$CC:$CC)</f>
        <v>0</v>
      </c>
      <c r="EH21" s="6">
        <f>SUMIF('Eredeti fejléccel'!$B:$B,'Felosztás eredménykim'!$B21,'Eredeti fejléccel'!$CD:$CD)</f>
        <v>0</v>
      </c>
      <c r="EK21" s="6">
        <f>SUMIF('Eredeti fejléccel'!$B:$B,'Felosztás eredménykim'!$B21,'Eredeti fejléccel'!$CE:$CE)</f>
        <v>0</v>
      </c>
      <c r="EN21" s="6">
        <f>SUMIF('Eredeti fejléccel'!$B:$B,'Felosztás eredménykim'!$B21,'Eredeti fejléccel'!$CF:$CF)</f>
        <v>0</v>
      </c>
      <c r="EP21" s="6">
        <f>SUMIF('Eredeti fejléccel'!$B:$B,'Felosztás eredménykim'!$B21,'Eredeti fejléccel'!$CG:$CG)</f>
        <v>0</v>
      </c>
      <c r="ES21" s="6">
        <f>SUMIF('Eredeti fejléccel'!$B:$B,'Felosztás eredménykim'!$B21,'Eredeti fejléccel'!$CH:$CH)</f>
        <v>0</v>
      </c>
      <c r="ET21" s="6">
        <f>SUMIF('Eredeti fejléccel'!$B:$B,'Felosztás eredménykim'!$B21,'Eredeti fejléccel'!$CI:$CI)</f>
        <v>0</v>
      </c>
      <c r="EW21" s="8">
        <f>SUM(DR21:ED21)</f>
        <v>0</v>
      </c>
      <c r="EX21" s="8">
        <f>SUM(EE21:EV21)</f>
        <v>0</v>
      </c>
      <c r="EY21" s="8">
        <f t="shared" si="52"/>
        <v>740857.63000000012</v>
      </c>
      <c r="EZ21" s="8">
        <f>EY21+DL21+DM21+DN21+DO21+DP21+DQ21</f>
        <v>740857.63000000012</v>
      </c>
      <c r="FA21" s="8">
        <f>EZ21-DL21-DM21</f>
        <v>740857.63000000012</v>
      </c>
      <c r="FC21" s="6">
        <f>SUMIF('Eredeti fejléccel'!$B:$B,'Felosztás eredménykim'!$B21,'Eredeti fejléccel'!$L:$L)</f>
        <v>0</v>
      </c>
      <c r="FD21" s="6">
        <f>SUMIF('Eredeti fejléccel'!$B:$B,'Felosztás eredménykim'!$B21,'Eredeti fejléccel'!$CJ:$CJ)</f>
        <v>574885.59000000008</v>
      </c>
      <c r="FE21" s="6">
        <f>SUMIF('Eredeti fejléccel'!$B:$B,'Felosztás eredménykim'!$B21,'Eredeti fejléccel'!$CL:$CL)</f>
        <v>0</v>
      </c>
      <c r="FG21" s="99">
        <f>SUM(FC21:FF21)</f>
        <v>574885.59000000008</v>
      </c>
      <c r="FH21" s="6">
        <f>SUMIF('Eredeti fejléccel'!$B:$B,'Felosztás eredménykim'!$B21,'Eredeti fejléccel'!$CK:$CK)</f>
        <v>0</v>
      </c>
      <c r="FI21" s="36">
        <f t="shared" si="25"/>
        <v>36329.932747671519</v>
      </c>
      <c r="FJ21" s="101">
        <f t="shared" si="26"/>
        <v>127478.67205901376</v>
      </c>
      <c r="FK21" s="6">
        <f>SUMIF('Eredeti fejléccel'!$B:$B,'Felosztás eredménykim'!$B21,'Eredeti fejléccel'!$CM:$CM)</f>
        <v>47897.999999999985</v>
      </c>
      <c r="FL21" s="6">
        <f>SUMIF('Eredeti fejléccel'!$B:$B,'Felosztás eredménykim'!$B21,'Eredeti fejléccel'!$CN:$CN)</f>
        <v>0</v>
      </c>
      <c r="FM21" s="8">
        <f>SUM(FJ21:FL21)</f>
        <v>175376.67205901374</v>
      </c>
      <c r="FN21" s="36">
        <f t="shared" si="27"/>
        <v>30886.402904691939</v>
      </c>
      <c r="FO21" s="101">
        <f t="shared" si="28"/>
        <v>108377.78463055781</v>
      </c>
      <c r="FP21" s="6">
        <f>SUMIF('Eredeti fejléccel'!$B:$B,'Felosztás eredménykim'!$B21,'Eredeti fejléccel'!$CO:$CO)</f>
        <v>2393153.9</v>
      </c>
      <c r="FQ21" s="6">
        <f>'Eredeti fejléccel'!CP21</f>
        <v>590542.77</v>
      </c>
      <c r="FR21" s="6">
        <f>'Eredeti fejléccel'!CQ21</f>
        <v>1086830.5</v>
      </c>
      <c r="FS21" s="103">
        <f t="shared" si="55"/>
        <v>4178904.9546305579</v>
      </c>
      <c r="FT21" s="36">
        <f t="shared" si="29"/>
        <v>85255.478343697265</v>
      </c>
      <c r="FU21" s="101">
        <f t="shared" si="30"/>
        <v>299154.28802182706</v>
      </c>
      <c r="FV21" s="101"/>
      <c r="FW21" s="6">
        <f>SUMIF('Eredeti fejléccel'!$B:$B,'Felosztás eredménykim'!$B21,'Eredeti fejléccel'!$CR:$CR)</f>
        <v>7711838.7699999968</v>
      </c>
      <c r="FX21" s="6">
        <f>SUMIF('Eredeti fejléccel'!$B:$B,'Felosztás eredménykim'!$B21,'Eredeti fejléccel'!$CS:$CS)</f>
        <v>0</v>
      </c>
      <c r="FY21" s="6">
        <f>SUMIF('Eredeti fejléccel'!$B:$B,'Felosztás eredménykim'!$B21,'Eredeti fejléccel'!$CT:$CT)</f>
        <v>60493.590000000004</v>
      </c>
      <c r="FZ21" s="6">
        <f>SUMIF('Eredeti fejléccel'!$B:$B,'Felosztás eredménykim'!$B21,'Eredeti fejléccel'!$CU:$CU)</f>
        <v>0</v>
      </c>
      <c r="GA21" s="103">
        <f>SUM(FU21:FZ21)</f>
        <v>8071486.6480218237</v>
      </c>
      <c r="GB21" s="36">
        <f t="shared" si="31"/>
        <v>11363.865219650806</v>
      </c>
      <c r="GC21" s="101">
        <f t="shared" si="32"/>
        <v>39874.845288601457</v>
      </c>
      <c r="GD21" s="6">
        <f>SUMIF('Eredeti fejléccel'!$B:$B,'Felosztás eredménykim'!$B21,'Eredeti fejléccel'!$CV:$CV)</f>
        <v>4728033.5899999971</v>
      </c>
      <c r="GE21" s="6">
        <f>SUMIF('Eredeti fejléccel'!$B:$B,'Felosztás eredménykim'!$B21,'Eredeti fejléccel'!$CW:$CW)</f>
        <v>11472</v>
      </c>
      <c r="GF21" s="103">
        <f>SUM(GC21:GE21)</f>
        <v>4779380.4352885988</v>
      </c>
      <c r="GG21" s="36">
        <f t="shared" si="33"/>
        <v>0</v>
      </c>
      <c r="GM21" s="6">
        <f>SUMIF('Eredeti fejléccel'!$B:$B,'Felosztás eredménykim'!$B21,'Eredeti fejléccel'!$CX:$CX)</f>
        <v>0</v>
      </c>
      <c r="GN21" s="6">
        <f>SUMIF('Eredeti fejléccel'!$B:$B,'Felosztás eredménykim'!$B21,'Eredeti fejléccel'!$CY:$CY)</f>
        <v>0</v>
      </c>
      <c r="GO21" s="6">
        <f>SUMIF('Eredeti fejléccel'!$B:$B,'Felosztás eredménykim'!$B21,'Eredeti fejléccel'!$CZ:$CZ)</f>
        <v>0</v>
      </c>
      <c r="GP21" s="6">
        <f>SUMIF('Eredeti fejléccel'!$B:$B,'Felosztás eredménykim'!$B21,'Eredeti fejléccel'!$DA:$DA)</f>
        <v>0</v>
      </c>
      <c r="GQ21" s="6">
        <f>SUMIF('Eredeti fejléccel'!$B:$B,'Felosztás eredménykim'!$B21,'Eredeti fejléccel'!$DB:$DB)</f>
        <v>0</v>
      </c>
      <c r="GR21" s="103">
        <f>SUM(GH21:GQ21)</f>
        <v>0</v>
      </c>
      <c r="GW21" s="36">
        <f t="shared" si="34"/>
        <v>19507.303180940115</v>
      </c>
      <c r="GX21" s="6">
        <f>SUMIF('Eredeti fejléccel'!$B:$B,'Felosztás eredménykim'!$B21,'Eredeti fejléccel'!$M:$M)</f>
        <v>0</v>
      </c>
      <c r="GY21" s="6">
        <f>SUMIF('Eredeti fejléccel'!$B:$B,'Felosztás eredménykim'!$B21,'Eredeti fejléccel'!$DC:$DC)</f>
        <v>0</v>
      </c>
      <c r="GZ21" s="6">
        <f>SUMIF('Eredeti fejléccel'!$B:$B,'Felosztás eredménykim'!$B21,'Eredeti fejléccel'!$DD:$DD)</f>
        <v>0</v>
      </c>
      <c r="HA21" s="6">
        <f>SUMIF('Eredeti fejléccel'!$B:$B,'Felosztás eredménykim'!$B21,'Eredeti fejléccel'!$DE:$DE)</f>
        <v>0</v>
      </c>
      <c r="HB21" s="103">
        <f>SUM(GX21:HA21)</f>
        <v>0</v>
      </c>
      <c r="HD21" s="9">
        <f t="shared" si="35"/>
        <v>18487906.689999975</v>
      </c>
      <c r="HE21" s="9">
        <v>18487906.689999994</v>
      </c>
      <c r="HF21" s="476"/>
      <c r="HH21" s="34">
        <f>+HD21-HE21</f>
        <v>0</v>
      </c>
    </row>
    <row r="22" spans="1:218" x14ac:dyDescent="0.25">
      <c r="A22" s="4" t="s">
        <v>83</v>
      </c>
      <c r="B22" s="4" t="s">
        <v>83</v>
      </c>
      <c r="C22" s="1" t="s">
        <v>84</v>
      </c>
      <c r="D22" s="6">
        <f>SUMIF('Eredeti fejléccel'!$B:$B,'Felosztás eredménykim'!$B22,'Eredeti fejléccel'!$D:$D)</f>
        <v>0</v>
      </c>
      <c r="E22" s="6">
        <f>SUMIF('Eredeti fejléccel'!$B:$B,'Felosztás eredménykim'!$B22,'Eredeti fejléccel'!$E:$E)</f>
        <v>50419</v>
      </c>
      <c r="F22" s="6">
        <f>SUMIF('Eredeti fejléccel'!$B:$B,'Felosztás eredménykim'!$B22,'Eredeti fejléccel'!$F:$F)</f>
        <v>0</v>
      </c>
      <c r="G22" s="6">
        <f>SUMIF('Eredeti fejléccel'!$B:$B,'Felosztás eredménykim'!$B22,'Eredeti fejléccel'!$G:$G)</f>
        <v>0</v>
      </c>
      <c r="H22" s="6"/>
      <c r="I22" s="6">
        <f>SUMIF('Eredeti fejléccel'!$B:$B,'Felosztás eredménykim'!$B22,'Eredeti fejléccel'!$O:$O)</f>
        <v>0</v>
      </c>
      <c r="J22" s="6">
        <f>SUMIF('Eredeti fejléccel'!$B:$B,'Felosztás eredménykim'!$B22,'Eredeti fejléccel'!$P:$P)</f>
        <v>0</v>
      </c>
      <c r="K22" s="6">
        <f>SUMIF('Eredeti fejléccel'!$B:$B,'Felosztás eredménykim'!$B22,'Eredeti fejléccel'!$Q:$Q)</f>
        <v>0</v>
      </c>
      <c r="L22" s="6">
        <f>SUMIF('Eredeti fejléccel'!$B:$B,'Felosztás eredménykim'!$B22,'Eredeti fejléccel'!$R:$R)</f>
        <v>0</v>
      </c>
      <c r="M22" s="6">
        <f>SUMIF('Eredeti fejléccel'!$B:$B,'Felosztás eredménykim'!$B22,'Eredeti fejléccel'!$T:$T)</f>
        <v>0</v>
      </c>
      <c r="N22" s="6">
        <f>SUMIF('Eredeti fejléccel'!$B:$B,'Felosztás eredménykim'!$B22,'Eredeti fejléccel'!$U:$U)</f>
        <v>0</v>
      </c>
      <c r="O22" s="6">
        <f>SUMIF('Eredeti fejléccel'!$B:$B,'Felosztás eredménykim'!$B22,'Eredeti fejléccel'!$V:$V)</f>
        <v>0</v>
      </c>
      <c r="P22" s="6">
        <f>SUMIF('Eredeti fejléccel'!$B:$B,'Felosztás eredménykim'!$B22,'Eredeti fejléccel'!$W:$W)</f>
        <v>1961</v>
      </c>
      <c r="Q22" s="6">
        <f>SUMIF('Eredeti fejléccel'!$B:$B,'Felosztás eredménykim'!$B22,'Eredeti fejléccel'!$X:$X)</f>
        <v>0</v>
      </c>
      <c r="R22" s="6">
        <f>SUMIF('Eredeti fejléccel'!$B:$B,'Felosztás eredménykim'!$B22,'Eredeti fejléccel'!$Y:$Y)</f>
        <v>0</v>
      </c>
      <c r="S22" s="6">
        <f>SUMIF('Eredeti fejléccel'!$B:$B,'Felosztás eredménykim'!$B22,'Eredeti fejléccel'!$Z:$Z)</f>
        <v>0</v>
      </c>
      <c r="T22" s="6">
        <f>SUMIF('Eredeti fejléccel'!$B:$B,'Felosztás eredménykim'!$B22,'Eredeti fejléccel'!$AA:$AA)</f>
        <v>0</v>
      </c>
      <c r="U22" s="6">
        <f>SUMIF('Eredeti fejléccel'!$B:$B,'Felosztás eredménykim'!$B22,'Eredeti fejléccel'!$D:$D)</f>
        <v>0</v>
      </c>
      <c r="V22" s="6">
        <f>SUMIF('Eredeti fejléccel'!$B:$B,'Felosztás eredménykim'!$B22,'Eredeti fejléccel'!$AT:$AT)</f>
        <v>0</v>
      </c>
      <c r="X22" s="36">
        <f t="shared" si="0"/>
        <v>52380</v>
      </c>
      <c r="Z22" s="6">
        <f>SUMIF('Eredeti fejléccel'!$B:$B,'Felosztás eredménykim'!$B22,'Eredeti fejléccel'!$K:$K)</f>
        <v>1331</v>
      </c>
      <c r="AB22" s="6">
        <f>SUMIF('Eredeti fejléccel'!$B:$B,'Felosztás eredménykim'!$B22,'Eredeti fejléccel'!$AB:$AB)</f>
        <v>0</v>
      </c>
      <c r="AC22" s="6">
        <f>SUMIF('Eredeti fejléccel'!$B:$B,'Felosztás eredménykim'!$B22,'Eredeti fejléccel'!$AQ:$AQ)</f>
        <v>0</v>
      </c>
      <c r="AE22" s="73">
        <f t="shared" si="1"/>
        <v>1331</v>
      </c>
      <c r="AF22" s="36">
        <f t="shared" si="2"/>
        <v>6248.6533235568359</v>
      </c>
      <c r="AG22" s="8">
        <f t="shared" si="3"/>
        <v>424.38198729988369</v>
      </c>
      <c r="AI22" s="6">
        <f>SUMIF('Eredeti fejléccel'!$B:$B,'Felosztás eredménykim'!$B22,'Eredeti fejléccel'!$BB:$BB)</f>
        <v>0</v>
      </c>
      <c r="AJ22" s="6">
        <f>SUMIF('Eredeti fejléccel'!$B:$B,'Felosztás eredménykim'!$B22,'Eredeti fejléccel'!$AF:$AF)</f>
        <v>0</v>
      </c>
      <c r="AK22" s="8">
        <f t="shared" si="4"/>
        <v>424.38198729988369</v>
      </c>
      <c r="AL22" s="36">
        <f t="shared" si="5"/>
        <v>2481.9335501140199</v>
      </c>
      <c r="AM22" s="8">
        <f t="shared" si="6"/>
        <v>168.56238261336193</v>
      </c>
      <c r="AN22" s="6">
        <f t="shared" si="36"/>
        <v>0</v>
      </c>
      <c r="AO22" s="6">
        <f>SUMIF('Eredeti fejléccel'!$B:$B,'Felosztás eredménykim'!$B22,'Eredeti fejléccel'!$AC:$AC)</f>
        <v>0</v>
      </c>
      <c r="AP22" s="6">
        <f>SUMIF('Eredeti fejléccel'!$B:$B,'Felosztás eredménykim'!$B22,'Eredeti fejléccel'!$AD:$AD)</f>
        <v>0</v>
      </c>
      <c r="AQ22" s="6">
        <f>SUMIF('Eredeti fejléccel'!$B:$B,'Felosztás eredménykim'!$B22,'Eredeti fejléccel'!$AE:$AE)</f>
        <v>0</v>
      </c>
      <c r="AR22" s="6">
        <f>SUMIF('Eredeti fejléccel'!$B:$B,'Felosztás eredménykim'!$B22,'Eredeti fejléccel'!$AG:$AG)</f>
        <v>56560</v>
      </c>
      <c r="AS22" s="6">
        <f t="shared" si="37"/>
        <v>56728.56238261336</v>
      </c>
      <c r="AT22" s="36">
        <f t="shared" si="7"/>
        <v>4031.3892410044114</v>
      </c>
      <c r="AU22" s="8">
        <f t="shared" si="8"/>
        <v>273.79483051605399</v>
      </c>
      <c r="AV22" s="6">
        <f>SUMIF('Eredeti fejléccel'!$B:$B,'Felosztás eredménykim'!$B22,'Eredeti fejléccel'!$AI:$AI)</f>
        <v>0</v>
      </c>
      <c r="AW22" s="6">
        <f>SUMIF('Eredeti fejléccel'!$B:$B,'Felosztás eredménykim'!$B22,'Eredeti fejléccel'!$AJ:$AJ)</f>
        <v>0</v>
      </c>
      <c r="AX22" s="6">
        <f>SUMIF('Eredeti fejléccel'!$B:$B,'Felosztás eredménykim'!$B22,'Eredeti fejléccel'!$AK:$AK)</f>
        <v>0</v>
      </c>
      <c r="AY22" s="6">
        <f>SUMIF('Eredeti fejléccel'!$B:$B,'Felosztás eredménykim'!$B22,'Eredeti fejléccel'!$AL:$AL)</f>
        <v>0</v>
      </c>
      <c r="AZ22" s="6">
        <f>SUMIF('Eredeti fejléccel'!$B:$B,'Felosztás eredménykim'!$B22,'Eredeti fejléccel'!$AM:$AM)</f>
        <v>0</v>
      </c>
      <c r="BA22" s="6">
        <f>SUMIF('Eredeti fejléccel'!$B:$B,'Felosztás eredménykim'!$B22,'Eredeti fejléccel'!$AN:$AN)</f>
        <v>0</v>
      </c>
      <c r="BB22" s="6">
        <f>SUMIF('Eredeti fejléccel'!$B:$B,'Felosztás eredménykim'!$B22,'Eredeti fejléccel'!$AP:$AP)</f>
        <v>0</v>
      </c>
      <c r="BD22" s="6">
        <f>SUMIF('Eredeti fejléccel'!$B:$B,'Felosztás eredménykim'!$B22,'Eredeti fejléccel'!$AS:$AS)</f>
        <v>0</v>
      </c>
      <c r="BE22" s="8">
        <f t="shared" si="38"/>
        <v>273.79483051605399</v>
      </c>
      <c r="BF22" s="36">
        <f t="shared" si="9"/>
        <v>1051.6667585228897</v>
      </c>
      <c r="BG22" s="8">
        <f t="shared" si="10"/>
        <v>71.424738395492341</v>
      </c>
      <c r="BH22" s="6">
        <f t="shared" si="39"/>
        <v>0</v>
      </c>
      <c r="BI22" s="6">
        <f>SUMIF('Eredeti fejléccel'!$B:$B,'Felosztás eredménykim'!$B22,'Eredeti fejléccel'!$AH:$AH)</f>
        <v>0</v>
      </c>
      <c r="BJ22" s="6">
        <f>SUMIF('Eredeti fejléccel'!$B:$B,'Felosztás eredménykim'!$B22,'Eredeti fejléccel'!$AO:$AO)</f>
        <v>0</v>
      </c>
      <c r="BK22" s="6">
        <f>SUMIF('Eredeti fejléccel'!$B:$B,'Felosztás eredménykim'!$B22,'Eredeti fejléccel'!$BF:$BF)</f>
        <v>0</v>
      </c>
      <c r="BL22" s="8">
        <f t="shared" si="40"/>
        <v>71.424738395492341</v>
      </c>
      <c r="BM22" s="36">
        <f t="shared" si="11"/>
        <v>3940.2447885990941</v>
      </c>
      <c r="BN22" s="8">
        <f t="shared" si="12"/>
        <v>267.60468652177798</v>
      </c>
      <c r="BP22" s="8">
        <f t="shared" si="41"/>
        <v>0</v>
      </c>
      <c r="BQ22" s="6">
        <f>SUMIF('Eredeti fejléccel'!$B:$B,'Felosztás eredménykim'!$B22,'Eredeti fejléccel'!$N:$N)</f>
        <v>0</v>
      </c>
      <c r="BR22" s="6">
        <f>SUMIF('Eredeti fejléccel'!$B:$B,'Felosztás eredménykim'!$B22,'Eredeti fejléccel'!$S:$S)</f>
        <v>0</v>
      </c>
      <c r="BT22" s="6">
        <f>SUMIF('Eredeti fejléccel'!$B:$B,'Felosztás eredménykim'!$B22,'Eredeti fejléccel'!$AR:$AR)</f>
        <v>0</v>
      </c>
      <c r="BU22" s="6">
        <f>SUMIF('Eredeti fejléccel'!$B:$B,'Felosztás eredménykim'!$B22,'Eredeti fejléccel'!$AU:$AU)</f>
        <v>0</v>
      </c>
      <c r="BV22" s="6">
        <f>SUMIF('Eredeti fejléccel'!$B:$B,'Felosztás eredménykim'!$B22,'Eredeti fejléccel'!$AV:$AV)</f>
        <v>0</v>
      </c>
      <c r="BW22" s="6">
        <f>SUMIF('Eredeti fejléccel'!$B:$B,'Felosztás eredménykim'!$B22,'Eredeti fejléccel'!$AW:$AW)</f>
        <v>0</v>
      </c>
      <c r="BX22" s="6">
        <f>SUMIF('Eredeti fejléccel'!$B:$B,'Felosztás eredménykim'!$B22,'Eredeti fejléccel'!$AX:$AX)</f>
        <v>0</v>
      </c>
      <c r="BY22" s="6">
        <f>SUMIF('Eredeti fejléccel'!$B:$B,'Felosztás eredménykim'!$B22,'Eredeti fejléccel'!$AY:$AY)</f>
        <v>0</v>
      </c>
      <c r="BZ22" s="6">
        <f>SUMIF('Eredeti fejléccel'!$B:$B,'Felosztás eredménykim'!$B22,'Eredeti fejléccel'!$AZ:$AZ)</f>
        <v>0</v>
      </c>
      <c r="CA22" s="6">
        <f>SUMIF('Eredeti fejléccel'!$B:$B,'Felosztás eredménykim'!$B22,'Eredeti fejléccel'!$BA:$BA)</f>
        <v>14874280</v>
      </c>
      <c r="CB22" s="6">
        <f t="shared" si="13"/>
        <v>14874547.604686521</v>
      </c>
      <c r="CC22" s="36">
        <f t="shared" si="14"/>
        <v>1072.7000936933475</v>
      </c>
      <c r="CD22" s="8">
        <f t="shared" si="15"/>
        <v>72.853233163402194</v>
      </c>
      <c r="CE22" s="6">
        <f>SUMIF('Eredeti fejléccel'!$B:$B,'Felosztás eredménykim'!$B22,'Eredeti fejléccel'!$BC:$BC)</f>
        <v>0</v>
      </c>
      <c r="CF22" s="8">
        <f t="shared" si="42"/>
        <v>0</v>
      </c>
      <c r="CG22" s="6">
        <f>SUMIF('Eredeti fejléccel'!$B:$B,'Felosztás eredménykim'!$B22,'Eredeti fejléccel'!$H:$H)</f>
        <v>0</v>
      </c>
      <c r="CH22" s="6">
        <f>SUMIF('Eredeti fejléccel'!$B:$B,'Felosztás eredménykim'!$B22,'Eredeti fejléccel'!$BE:$BE)</f>
        <v>0</v>
      </c>
      <c r="CI22" s="6">
        <f t="shared" si="43"/>
        <v>72.853233163402194</v>
      </c>
      <c r="CJ22" s="36">
        <f t="shared" si="16"/>
        <v>771.22228958345261</v>
      </c>
      <c r="CK22" s="8">
        <f t="shared" si="17"/>
        <v>52.378141490027723</v>
      </c>
      <c r="CL22" s="8">
        <f t="shared" si="44"/>
        <v>0</v>
      </c>
      <c r="CM22" s="6">
        <f>SUMIF('Eredeti fejléccel'!$B:$B,'Felosztás eredménykim'!$B22,'Eredeti fejléccel'!$BD:$BD)</f>
        <v>0</v>
      </c>
      <c r="CN22" s="8">
        <f t="shared" si="45"/>
        <v>52.378141490027723</v>
      </c>
      <c r="CO22" s="8">
        <f t="shared" si="18"/>
        <v>14951768.810045075</v>
      </c>
      <c r="CR22" s="36">
        <f t="shared" si="19"/>
        <v>4632.5775917578885</v>
      </c>
      <c r="CS22" s="6">
        <f>SUMIF('Eredeti fejléccel'!$B:$B,'Felosztás eredménykim'!$B22,'Eredeti fejléccel'!$I:$I)</f>
        <v>0</v>
      </c>
      <c r="CT22" s="6">
        <f>SUMIF('Eredeti fejléccel'!$B:$B,'Felosztás eredménykim'!$B22,'Eredeti fejléccel'!$BG:$BG)</f>
        <v>0</v>
      </c>
      <c r="CU22" s="6">
        <f>SUMIF('Eredeti fejléccel'!$B:$B,'Felosztás eredménykim'!$B22,'Eredeti fejléccel'!$BH:$BH)</f>
        <v>0</v>
      </c>
      <c r="CV22" s="6">
        <f>SUMIF('Eredeti fejléccel'!$B:$B,'Felosztás eredménykim'!$B22,'Eredeti fejléccel'!$BI:$BI)</f>
        <v>0</v>
      </c>
      <c r="CW22" s="6">
        <f>SUMIF('Eredeti fejléccel'!$B:$B,'Felosztás eredménykim'!$B22,'Eredeti fejléccel'!$BL:$BL)</f>
        <v>0</v>
      </c>
      <c r="CX22" s="6">
        <f t="shared" si="46"/>
        <v>0</v>
      </c>
      <c r="CY22" s="6">
        <f>SUMIF('Eredeti fejléccel'!$B:$B,'Felosztás eredménykim'!$B22,'Eredeti fejléccel'!$BJ:$BJ)</f>
        <v>0</v>
      </c>
      <c r="CZ22" s="6">
        <f>SUMIF('Eredeti fejléccel'!$B:$B,'Felosztás eredménykim'!$B22,'Eredeti fejléccel'!$BK:$BK)</f>
        <v>0</v>
      </c>
      <c r="DA22" s="99">
        <f t="shared" si="47"/>
        <v>0</v>
      </c>
      <c r="DC22" s="36">
        <f t="shared" si="20"/>
        <v>4057.5106245975539</v>
      </c>
      <c r="DD22" s="6">
        <f>SUMIF('Eredeti fejléccel'!$B:$B,'Felosztás eredménykim'!$B22,'Eredeti fejléccel'!$J:$J)</f>
        <v>0</v>
      </c>
      <c r="DE22" s="6">
        <f>SUMIF('Eredeti fejléccel'!$B:$B,'Felosztás eredménykim'!$B22,'Eredeti fejléccel'!$BM:$BM)</f>
        <v>2190</v>
      </c>
      <c r="DF22" s="6">
        <f t="shared" si="48"/>
        <v>0</v>
      </c>
      <c r="DG22" s="8">
        <f t="shared" si="21"/>
        <v>0</v>
      </c>
      <c r="DH22" s="8">
        <f t="shared" si="49"/>
        <v>2190</v>
      </c>
      <c r="DJ22" s="6">
        <f>SUMIF('Eredeti fejléccel'!$B:$B,'Felosztás eredménykim'!$B22,'Eredeti fejléccel'!$BN:$BN)</f>
        <v>0</v>
      </c>
      <c r="DK22" s="6">
        <f>SUMIF('Eredeti fejléccel'!$B:$B,'Felosztás eredménykim'!$B22,'Eredeti fejléccel'!$BZ:$BZ)</f>
        <v>0</v>
      </c>
      <c r="DL22" s="8">
        <f t="shared" si="50"/>
        <v>0</v>
      </c>
      <c r="DM22" s="6">
        <f>SUMIF('Eredeti fejléccel'!$B:$B,'Felosztás eredménykim'!$B22,'Eredeti fejléccel'!$BR:$BR)</f>
        <v>0</v>
      </c>
      <c r="DN22" s="6">
        <f>SUMIF('Eredeti fejléccel'!$B:$B,'Felosztás eredménykim'!$B22,'Eredeti fejléccel'!$BS:$BS)</f>
        <v>0</v>
      </c>
      <c r="DO22" s="6">
        <f>SUMIF('Eredeti fejléccel'!$B:$B,'Felosztás eredménykim'!$B22,'Eredeti fejléccel'!$BO:$BO)</f>
        <v>0</v>
      </c>
      <c r="DP22" s="6">
        <f>SUMIF('Eredeti fejléccel'!$B:$B,'Felosztás eredménykim'!$B22,'Eredeti fejléccel'!$BP:$BP)</f>
        <v>0</v>
      </c>
      <c r="DQ22" s="6">
        <f>SUMIF('Eredeti fejléccel'!$B:$B,'Felosztás eredménykim'!$B22,'Eredeti fejléccel'!$BQ:$BQ)</f>
        <v>0</v>
      </c>
      <c r="DS22" s="8"/>
      <c r="DU22" s="6">
        <f>SUMIF('Eredeti fejléccel'!$B:$B,'Felosztás eredménykim'!$B22,'Eredeti fejléccel'!$BT:$BT)</f>
        <v>0</v>
      </c>
      <c r="DV22" s="6">
        <f>SUMIF('Eredeti fejléccel'!$B:$B,'Felosztás eredménykim'!$B22,'Eredeti fejléccel'!$BU:$BU)</f>
        <v>0</v>
      </c>
      <c r="DW22" s="6">
        <f>SUMIF('Eredeti fejléccel'!$B:$B,'Felosztás eredménykim'!$B22,'Eredeti fejléccel'!$BV:$BV)</f>
        <v>0</v>
      </c>
      <c r="DX22" s="6">
        <f>SUMIF('Eredeti fejléccel'!$B:$B,'Felosztás eredménykim'!$B22,'Eredeti fejléccel'!$BW:$BW)</f>
        <v>0</v>
      </c>
      <c r="DY22" s="6">
        <f>SUMIF('Eredeti fejléccel'!$B:$B,'Felosztás eredménykim'!$B22,'Eredeti fejléccel'!$BX:$BX)</f>
        <v>0</v>
      </c>
      <c r="EA22" s="6"/>
      <c r="EC22" s="6"/>
      <c r="EE22" s="6">
        <f>SUMIF('Eredeti fejléccel'!$B:$B,'Felosztás eredménykim'!$B22,'Eredeti fejléccel'!$CA:$CA)</f>
        <v>0</v>
      </c>
      <c r="EF22" s="6">
        <f>SUMIF('Eredeti fejléccel'!$B:$B,'Felosztás eredménykim'!$B22,'Eredeti fejléccel'!$CB:$CB)</f>
        <v>0</v>
      </c>
      <c r="EG22" s="6">
        <f>SUMIF('Eredeti fejléccel'!$B:$B,'Felosztás eredménykim'!$B22,'Eredeti fejléccel'!$CC:$CC)</f>
        <v>0</v>
      </c>
      <c r="EH22" s="6">
        <f>SUMIF('Eredeti fejléccel'!$B:$B,'Felosztás eredménykim'!$B22,'Eredeti fejléccel'!$CD:$CD)</f>
        <v>0</v>
      </c>
      <c r="EK22" s="6">
        <f>SUMIF('Eredeti fejléccel'!$B:$B,'Felosztás eredménykim'!$B22,'Eredeti fejléccel'!$CE:$CE)</f>
        <v>0</v>
      </c>
      <c r="EN22" s="6">
        <f>SUMIF('Eredeti fejléccel'!$B:$B,'Felosztás eredménykim'!$B22,'Eredeti fejléccel'!$CF:$CF)</f>
        <v>0</v>
      </c>
      <c r="EP22" s="6">
        <f>SUMIF('Eredeti fejléccel'!$B:$B,'Felosztás eredménykim'!$B22,'Eredeti fejléccel'!$CG:$CG)</f>
        <v>0</v>
      </c>
      <c r="ES22" s="6">
        <f>SUMIF('Eredeti fejléccel'!$B:$B,'Felosztás eredménykim'!$B22,'Eredeti fejléccel'!$CH:$CH)</f>
        <v>0</v>
      </c>
      <c r="ET22" s="6">
        <f>SUMIF('Eredeti fejléccel'!$B:$B,'Felosztás eredménykim'!$B22,'Eredeti fejléccel'!$CI:$CI)</f>
        <v>0</v>
      </c>
      <c r="EW22" s="8">
        <f t="shared" si="22"/>
        <v>0</v>
      </c>
      <c r="EX22" s="8">
        <f t="shared" si="51"/>
        <v>0</v>
      </c>
      <c r="EY22" s="8">
        <f t="shared" si="52"/>
        <v>2190</v>
      </c>
      <c r="EZ22" s="8">
        <f t="shared" si="23"/>
        <v>2190</v>
      </c>
      <c r="FA22" s="8">
        <f t="shared" si="24"/>
        <v>2190</v>
      </c>
      <c r="FC22" s="6">
        <f>SUMIF('Eredeti fejléccel'!$B:$B,'Felosztás eredménykim'!$B22,'Eredeti fejléccel'!$L:$L)</f>
        <v>0</v>
      </c>
      <c r="FD22" s="6">
        <f>SUMIF('Eredeti fejléccel'!$B:$B,'Felosztás eredménykim'!$B22,'Eredeti fejléccel'!$CJ:$CJ)</f>
        <v>0</v>
      </c>
      <c r="FE22" s="6">
        <f>SUMIF('Eredeti fejléccel'!$B:$B,'Felosztás eredménykim'!$B22,'Eredeti fejléccel'!$CL:$CL)</f>
        <v>0</v>
      </c>
      <c r="FG22" s="99">
        <f t="shared" si="53"/>
        <v>0</v>
      </c>
      <c r="FH22" s="6">
        <f>SUMIF('Eredeti fejléccel'!$B:$B,'Felosztás eredménykim'!$B22,'Eredeti fejléccel'!$CK:$CK)</f>
        <v>0</v>
      </c>
      <c r="FI22" s="36">
        <f t="shared" si="25"/>
        <v>4773.9183931171374</v>
      </c>
      <c r="FJ22" s="101">
        <f t="shared" si="26"/>
        <v>0</v>
      </c>
      <c r="FK22" s="6">
        <f>SUMIF('Eredeti fejléccel'!$B:$B,'Felosztás eredménykim'!$B22,'Eredeti fejléccel'!$CM:$CM)</f>
        <v>0</v>
      </c>
      <c r="FL22" s="6">
        <f>SUMIF('Eredeti fejléccel'!$B:$B,'Felosztás eredménykim'!$B22,'Eredeti fejléccel'!$CN:$CN)</f>
        <v>0</v>
      </c>
      <c r="FM22" s="8">
        <f t="shared" si="54"/>
        <v>0</v>
      </c>
      <c r="FN22" s="36">
        <f t="shared" si="27"/>
        <v>4058.6138143453027</v>
      </c>
      <c r="FO22" s="101">
        <f t="shared" si="28"/>
        <v>0</v>
      </c>
      <c r="FP22" s="6">
        <f>SUMIF('Eredeti fejléccel'!$B:$B,'Felosztás eredménykim'!$B22,'Eredeti fejléccel'!$CO:$CO)</f>
        <v>19633.650000000001</v>
      </c>
      <c r="FQ22" s="6">
        <f>'Eredeti fejléccel'!CP22</f>
        <v>0</v>
      </c>
      <c r="FR22" s="6">
        <f>'Eredeti fejléccel'!CQ22</f>
        <v>0</v>
      </c>
      <c r="FS22" s="103">
        <f t="shared" si="55"/>
        <v>19633.650000000001</v>
      </c>
      <c r="FT22" s="36">
        <f t="shared" si="29"/>
        <v>11202.957599888814</v>
      </c>
      <c r="FU22" s="101">
        <f t="shared" si="30"/>
        <v>0</v>
      </c>
      <c r="FV22" s="101"/>
      <c r="FW22" s="6">
        <f>SUMIF('Eredeti fejléccel'!$B:$B,'Felosztás eredménykim'!$B22,'Eredeti fejléccel'!$CR:$CR)</f>
        <v>110810</v>
      </c>
      <c r="FX22" s="6">
        <f>SUMIF('Eredeti fejléccel'!$B:$B,'Felosztás eredménykim'!$B22,'Eredeti fejléccel'!$CS:$CS)</f>
        <v>0</v>
      </c>
      <c r="FY22" s="6">
        <f>SUMIF('Eredeti fejléccel'!$B:$B,'Felosztás eredménykim'!$B22,'Eredeti fejléccel'!$CT:$CT)</f>
        <v>0</v>
      </c>
      <c r="FZ22" s="6">
        <f>SUMIF('Eredeti fejléccel'!$B:$B,'Felosztás eredménykim'!$B22,'Eredeti fejléccel'!$CU:$CU)</f>
        <v>0</v>
      </c>
      <c r="GA22" s="103">
        <f t="shared" si="56"/>
        <v>110810</v>
      </c>
      <c r="GB22" s="36">
        <f t="shared" si="31"/>
        <v>1493.2635732025169</v>
      </c>
      <c r="GC22" s="101">
        <f t="shared" si="32"/>
        <v>0</v>
      </c>
      <c r="GD22" s="6">
        <f>SUMIF('Eredeti fejléccel'!$B:$B,'Felosztás eredménykim'!$B22,'Eredeti fejléccel'!$CV:$CV)</f>
        <v>3889640</v>
      </c>
      <c r="GE22" s="6">
        <f>SUMIF('Eredeti fejléccel'!$B:$B,'Felosztás eredménykim'!$B22,'Eredeti fejléccel'!$CW:$CW)</f>
        <v>0</v>
      </c>
      <c r="GF22" s="103">
        <f t="shared" si="57"/>
        <v>3889640</v>
      </c>
      <c r="GG22" s="36">
        <f t="shared" si="33"/>
        <v>0</v>
      </c>
      <c r="GM22" s="6">
        <f>SUMIF('Eredeti fejléccel'!$B:$B,'Felosztás eredménykim'!$B22,'Eredeti fejléccel'!$CX:$CX)</f>
        <v>0</v>
      </c>
      <c r="GN22" s="6">
        <f>SUMIF('Eredeti fejléccel'!$B:$B,'Felosztás eredménykim'!$B22,'Eredeti fejléccel'!$CY:$CY)</f>
        <v>0</v>
      </c>
      <c r="GO22" s="6">
        <f>SUMIF('Eredeti fejléccel'!$B:$B,'Felosztás eredménykim'!$B22,'Eredeti fejléccel'!$CZ:$CZ)</f>
        <v>0</v>
      </c>
      <c r="GP22" s="6">
        <f>SUMIF('Eredeti fejléccel'!$B:$B,'Felosztás eredménykim'!$B22,'Eredeti fejléccel'!$DA:$DA)</f>
        <v>0</v>
      </c>
      <c r="GQ22" s="6">
        <f>SUMIF('Eredeti fejléccel'!$B:$B,'Felosztás eredménykim'!$B22,'Eredeti fejléccel'!$DB:$DB)</f>
        <v>0</v>
      </c>
      <c r="GR22" s="103">
        <f t="shared" si="58"/>
        <v>0</v>
      </c>
      <c r="GW22" s="36">
        <f t="shared" si="34"/>
        <v>2563.3483580167417</v>
      </c>
      <c r="GX22" s="6">
        <f>SUMIF('Eredeti fejléccel'!$B:$B,'Felosztás eredménykim'!$B22,'Eredeti fejléccel'!$M:$M)</f>
        <v>0</v>
      </c>
      <c r="GY22" s="6">
        <f>SUMIF('Eredeti fejléccel'!$B:$B,'Felosztás eredménykim'!$B22,'Eredeti fejléccel'!$DC:$DC)</f>
        <v>14000</v>
      </c>
      <c r="GZ22" s="6">
        <f>SUMIF('Eredeti fejléccel'!$B:$B,'Felosztás eredménykim'!$B22,'Eredeti fejléccel'!$DD:$DD)</f>
        <v>0</v>
      </c>
      <c r="HA22" s="6">
        <f>SUMIF('Eredeti fejléccel'!$B:$B,'Felosztás eredménykim'!$B22,'Eredeti fejléccel'!$DE:$DE)</f>
        <v>0</v>
      </c>
      <c r="HB22" s="103">
        <f t="shared" si="59"/>
        <v>14000</v>
      </c>
      <c r="HD22" s="9">
        <f t="shared" si="35"/>
        <v>19020824.649999972</v>
      </c>
      <c r="HE22" s="9">
        <v>19020824.649999999</v>
      </c>
      <c r="HF22" s="476"/>
      <c r="HH22" s="34">
        <f t="shared" si="60"/>
        <v>0</v>
      </c>
    </row>
    <row r="23" spans="1:218" x14ac:dyDescent="0.25">
      <c r="A23" s="4" t="s">
        <v>85</v>
      </c>
      <c r="B23" s="4" t="s">
        <v>85</v>
      </c>
      <c r="C23" s="1" t="s">
        <v>86</v>
      </c>
      <c r="D23" s="6">
        <f>SUMIF('Eredeti fejléccel'!$B:$B,'Felosztás eredménykim'!$B23,'Eredeti fejléccel'!$D:$D)</f>
        <v>0</v>
      </c>
      <c r="E23" s="6">
        <f>SUMIF('Eredeti fejléccel'!$B:$B,'Felosztás eredménykim'!$B23,'Eredeti fejléccel'!$E:$E)</f>
        <v>0</v>
      </c>
      <c r="F23" s="6">
        <f>SUMIF('Eredeti fejléccel'!$B:$B,'Felosztás eredménykim'!$B23,'Eredeti fejléccel'!$F:$F)</f>
        <v>0</v>
      </c>
      <c r="G23" s="6">
        <f>SUMIF('Eredeti fejléccel'!$B:$B,'Felosztás eredménykim'!$B23,'Eredeti fejléccel'!$G:$G)</f>
        <v>0</v>
      </c>
      <c r="H23" s="6"/>
      <c r="I23" s="6">
        <f>SUMIF('Eredeti fejléccel'!$B:$B,'Felosztás eredménykim'!$B23,'Eredeti fejléccel'!$O:$O)</f>
        <v>0</v>
      </c>
      <c r="J23" s="6">
        <f>SUMIF('Eredeti fejléccel'!$B:$B,'Felosztás eredménykim'!$B23,'Eredeti fejléccel'!$P:$P)</f>
        <v>0</v>
      </c>
      <c r="K23" s="6">
        <f>SUMIF('Eredeti fejléccel'!$B:$B,'Felosztás eredménykim'!$B23,'Eredeti fejléccel'!$Q:$Q)</f>
        <v>0</v>
      </c>
      <c r="L23" s="6">
        <f>SUMIF('Eredeti fejléccel'!$B:$B,'Felosztás eredménykim'!$B23,'Eredeti fejléccel'!$R:$R)</f>
        <v>0</v>
      </c>
      <c r="M23" s="6">
        <f>SUMIF('Eredeti fejléccel'!$B:$B,'Felosztás eredménykim'!$B23,'Eredeti fejléccel'!$T:$T)</f>
        <v>0</v>
      </c>
      <c r="N23" s="6">
        <f>SUMIF('Eredeti fejléccel'!$B:$B,'Felosztás eredménykim'!$B23,'Eredeti fejléccel'!$U:$U)</f>
        <v>0</v>
      </c>
      <c r="O23" s="6">
        <f>SUMIF('Eredeti fejléccel'!$B:$B,'Felosztás eredménykim'!$B23,'Eredeti fejléccel'!$V:$V)</f>
        <v>0</v>
      </c>
      <c r="P23" s="6">
        <f>SUMIF('Eredeti fejléccel'!$B:$B,'Felosztás eredménykim'!$B23,'Eredeti fejléccel'!$W:$W)</f>
        <v>0</v>
      </c>
      <c r="Q23" s="6">
        <f>SUMIF('Eredeti fejléccel'!$B:$B,'Felosztás eredménykim'!$B23,'Eredeti fejléccel'!$X:$X)</f>
        <v>0</v>
      </c>
      <c r="R23" s="6">
        <f>SUMIF('Eredeti fejléccel'!$B:$B,'Felosztás eredménykim'!$B23,'Eredeti fejléccel'!$Y:$Y)</f>
        <v>0</v>
      </c>
      <c r="S23" s="6">
        <f>SUMIF('Eredeti fejléccel'!$B:$B,'Felosztás eredménykim'!$B23,'Eredeti fejléccel'!$Z:$Z)</f>
        <v>0</v>
      </c>
      <c r="T23" s="6">
        <f>SUMIF('Eredeti fejléccel'!$B:$B,'Felosztás eredménykim'!$B23,'Eredeti fejléccel'!$AA:$AA)</f>
        <v>0</v>
      </c>
      <c r="U23" s="6">
        <f>SUMIF('Eredeti fejléccel'!$B:$B,'Felosztás eredménykim'!$B23,'Eredeti fejléccel'!$D:$D)</f>
        <v>0</v>
      </c>
      <c r="V23" s="6">
        <f>SUMIF('Eredeti fejléccel'!$B:$B,'Felosztás eredménykim'!$B23,'Eredeti fejléccel'!$AT:$AT)</f>
        <v>0</v>
      </c>
      <c r="X23" s="36">
        <f t="shared" si="0"/>
        <v>0</v>
      </c>
      <c r="Z23" s="6">
        <f>SUMIF('Eredeti fejléccel'!$B:$B,'Felosztás eredménykim'!$B23,'Eredeti fejléccel'!$K:$K)</f>
        <v>0</v>
      </c>
      <c r="AB23" s="6">
        <f>SUMIF('Eredeti fejléccel'!$B:$B,'Felosztás eredménykim'!$B23,'Eredeti fejléccel'!$AB:$AB)</f>
        <v>0</v>
      </c>
      <c r="AC23" s="6">
        <f>SUMIF('Eredeti fejléccel'!$B:$B,'Felosztás eredménykim'!$B23,'Eredeti fejléccel'!$AQ:$AQ)</f>
        <v>0</v>
      </c>
      <c r="AE23" s="73">
        <f t="shared" si="1"/>
        <v>0</v>
      </c>
      <c r="AF23" s="36">
        <f t="shared" si="2"/>
        <v>0</v>
      </c>
      <c r="AG23" s="8">
        <f t="shared" si="3"/>
        <v>0</v>
      </c>
      <c r="AI23" s="6">
        <f>SUMIF('Eredeti fejléccel'!$B:$B,'Felosztás eredménykim'!$B23,'Eredeti fejléccel'!$BB:$BB)</f>
        <v>0</v>
      </c>
      <c r="AJ23" s="6">
        <f>SUMIF('Eredeti fejléccel'!$B:$B,'Felosztás eredménykim'!$B23,'Eredeti fejléccel'!$AF:$AF)</f>
        <v>0</v>
      </c>
      <c r="AK23" s="8">
        <f t="shared" si="4"/>
        <v>0</v>
      </c>
      <c r="AL23" s="36">
        <f t="shared" si="5"/>
        <v>0</v>
      </c>
      <c r="AM23" s="8">
        <f t="shared" si="6"/>
        <v>0</v>
      </c>
      <c r="AN23" s="6">
        <f t="shared" si="36"/>
        <v>0</v>
      </c>
      <c r="AO23" s="6">
        <f>SUMIF('Eredeti fejléccel'!$B:$B,'Felosztás eredménykim'!$B23,'Eredeti fejléccel'!$AC:$AC)</f>
        <v>0</v>
      </c>
      <c r="AP23" s="6">
        <f>SUMIF('Eredeti fejléccel'!$B:$B,'Felosztás eredménykim'!$B23,'Eredeti fejléccel'!$AD:$AD)</f>
        <v>0</v>
      </c>
      <c r="AQ23" s="6">
        <f>SUMIF('Eredeti fejléccel'!$B:$B,'Felosztás eredménykim'!$B23,'Eredeti fejléccel'!$AE:$AE)</f>
        <v>0</v>
      </c>
      <c r="AR23" s="6">
        <f>SUMIF('Eredeti fejléccel'!$B:$B,'Felosztás eredménykim'!$B23,'Eredeti fejléccel'!$AG:$AG)</f>
        <v>0</v>
      </c>
      <c r="AS23" s="6">
        <f t="shared" si="37"/>
        <v>0</v>
      </c>
      <c r="AT23" s="36">
        <f t="shared" si="7"/>
        <v>0</v>
      </c>
      <c r="AU23" s="8">
        <f t="shared" si="8"/>
        <v>0</v>
      </c>
      <c r="AV23" s="6">
        <f>SUMIF('Eredeti fejléccel'!$B:$B,'Felosztás eredménykim'!$B23,'Eredeti fejléccel'!$AI:$AI)</f>
        <v>0</v>
      </c>
      <c r="AW23" s="6">
        <f>SUMIF('Eredeti fejléccel'!$B:$B,'Felosztás eredménykim'!$B23,'Eredeti fejléccel'!$AJ:$AJ)</f>
        <v>0</v>
      </c>
      <c r="AX23" s="6">
        <f>SUMIF('Eredeti fejléccel'!$B:$B,'Felosztás eredménykim'!$B23,'Eredeti fejléccel'!$AK:$AK)</f>
        <v>0</v>
      </c>
      <c r="AY23" s="6">
        <f>SUMIF('Eredeti fejléccel'!$B:$B,'Felosztás eredménykim'!$B23,'Eredeti fejléccel'!$AL:$AL)</f>
        <v>0</v>
      </c>
      <c r="AZ23" s="6">
        <f>SUMIF('Eredeti fejléccel'!$B:$B,'Felosztás eredménykim'!$B23,'Eredeti fejléccel'!$AM:$AM)</f>
        <v>0</v>
      </c>
      <c r="BA23" s="6">
        <f>SUMIF('Eredeti fejléccel'!$B:$B,'Felosztás eredménykim'!$B23,'Eredeti fejléccel'!$AN:$AN)</f>
        <v>0</v>
      </c>
      <c r="BB23" s="6">
        <f>SUMIF('Eredeti fejléccel'!$B:$B,'Felosztás eredménykim'!$B23,'Eredeti fejléccel'!$AP:$AP)</f>
        <v>0</v>
      </c>
      <c r="BD23" s="6">
        <f>SUMIF('Eredeti fejléccel'!$B:$B,'Felosztás eredménykim'!$B23,'Eredeti fejléccel'!$AS:$AS)</f>
        <v>0</v>
      </c>
      <c r="BE23" s="8">
        <f t="shared" si="38"/>
        <v>0</v>
      </c>
      <c r="BF23" s="36">
        <f t="shared" si="9"/>
        <v>0</v>
      </c>
      <c r="BG23" s="8">
        <f t="shared" si="10"/>
        <v>0</v>
      </c>
      <c r="BH23" s="6">
        <f t="shared" si="39"/>
        <v>0</v>
      </c>
      <c r="BI23" s="6">
        <f>SUMIF('Eredeti fejléccel'!$B:$B,'Felosztás eredménykim'!$B23,'Eredeti fejléccel'!$AH:$AH)</f>
        <v>0</v>
      </c>
      <c r="BJ23" s="6">
        <f>SUMIF('Eredeti fejléccel'!$B:$B,'Felosztás eredménykim'!$B23,'Eredeti fejléccel'!$AO:$AO)</f>
        <v>0</v>
      </c>
      <c r="BK23" s="6">
        <f>SUMIF('Eredeti fejléccel'!$B:$B,'Felosztás eredménykim'!$B23,'Eredeti fejléccel'!$BF:$BF)</f>
        <v>0</v>
      </c>
      <c r="BL23" s="8">
        <f t="shared" si="40"/>
        <v>0</v>
      </c>
      <c r="BM23" s="36">
        <f t="shared" si="11"/>
        <v>0</v>
      </c>
      <c r="BN23" s="8">
        <f t="shared" si="12"/>
        <v>0</v>
      </c>
      <c r="BP23" s="8">
        <f t="shared" si="41"/>
        <v>0</v>
      </c>
      <c r="BQ23" s="6">
        <f>SUMIF('Eredeti fejléccel'!$B:$B,'Felosztás eredménykim'!$B23,'Eredeti fejléccel'!$N:$N)</f>
        <v>0</v>
      </c>
      <c r="BR23" s="6">
        <f>SUMIF('Eredeti fejléccel'!$B:$B,'Felosztás eredménykim'!$B23,'Eredeti fejléccel'!$S:$S)</f>
        <v>0</v>
      </c>
      <c r="BT23" s="6">
        <f>SUMIF('Eredeti fejléccel'!$B:$B,'Felosztás eredménykim'!$B23,'Eredeti fejléccel'!$AR:$AR)</f>
        <v>0</v>
      </c>
      <c r="BU23" s="6">
        <f>SUMIF('Eredeti fejléccel'!$B:$B,'Felosztás eredménykim'!$B23,'Eredeti fejléccel'!$AU:$AU)</f>
        <v>0</v>
      </c>
      <c r="BV23" s="6">
        <f>SUMIF('Eredeti fejléccel'!$B:$B,'Felosztás eredménykim'!$B23,'Eredeti fejléccel'!$AV:$AV)</f>
        <v>0</v>
      </c>
      <c r="BW23" s="6">
        <f>SUMIF('Eredeti fejléccel'!$B:$B,'Felosztás eredménykim'!$B23,'Eredeti fejléccel'!$AW:$AW)</f>
        <v>0</v>
      </c>
      <c r="BX23" s="6">
        <f>SUMIF('Eredeti fejléccel'!$B:$B,'Felosztás eredménykim'!$B23,'Eredeti fejléccel'!$AX:$AX)</f>
        <v>0</v>
      </c>
      <c r="BY23" s="6">
        <f>SUMIF('Eredeti fejléccel'!$B:$B,'Felosztás eredménykim'!$B23,'Eredeti fejléccel'!$AY:$AY)</f>
        <v>0</v>
      </c>
      <c r="BZ23" s="6">
        <f>SUMIF('Eredeti fejléccel'!$B:$B,'Felosztás eredménykim'!$B23,'Eredeti fejléccel'!$AZ:$AZ)</f>
        <v>0</v>
      </c>
      <c r="CA23" s="6">
        <f>SUMIF('Eredeti fejléccel'!$B:$B,'Felosztás eredménykim'!$B23,'Eredeti fejléccel'!$BA:$BA)</f>
        <v>0</v>
      </c>
      <c r="CB23" s="6">
        <f t="shared" si="13"/>
        <v>0</v>
      </c>
      <c r="CC23" s="36">
        <f t="shared" si="14"/>
        <v>0</v>
      </c>
      <c r="CD23" s="8">
        <f t="shared" si="15"/>
        <v>0</v>
      </c>
      <c r="CE23" s="6">
        <f>SUMIF('Eredeti fejléccel'!$B:$B,'Felosztás eredménykim'!$B23,'Eredeti fejléccel'!$BC:$BC)</f>
        <v>0</v>
      </c>
      <c r="CF23" s="8">
        <f t="shared" si="42"/>
        <v>0</v>
      </c>
      <c r="CG23" s="6">
        <f>SUMIF('Eredeti fejléccel'!$B:$B,'Felosztás eredménykim'!$B23,'Eredeti fejléccel'!$H:$H)</f>
        <v>0</v>
      </c>
      <c r="CH23" s="6">
        <f>SUMIF('Eredeti fejléccel'!$B:$B,'Felosztás eredménykim'!$B23,'Eredeti fejléccel'!$BE:$BE)</f>
        <v>0</v>
      </c>
      <c r="CI23" s="6">
        <f t="shared" si="43"/>
        <v>0</v>
      </c>
      <c r="CJ23" s="36">
        <f t="shared" si="16"/>
        <v>0</v>
      </c>
      <c r="CK23" s="8">
        <f t="shared" si="17"/>
        <v>0</v>
      </c>
      <c r="CL23" s="8">
        <f t="shared" si="44"/>
        <v>0</v>
      </c>
      <c r="CM23" s="6">
        <f>SUMIF('Eredeti fejléccel'!$B:$B,'Felosztás eredménykim'!$B23,'Eredeti fejléccel'!$BD:$BD)</f>
        <v>0</v>
      </c>
      <c r="CN23" s="8">
        <f t="shared" si="45"/>
        <v>0</v>
      </c>
      <c r="CO23" s="8">
        <f t="shared" si="18"/>
        <v>0</v>
      </c>
      <c r="CR23" s="36">
        <f t="shared" si="19"/>
        <v>0</v>
      </c>
      <c r="CS23" s="6">
        <f>SUMIF('Eredeti fejléccel'!$B:$B,'Felosztás eredménykim'!$B23,'Eredeti fejléccel'!$I:$I)</f>
        <v>0</v>
      </c>
      <c r="CT23" s="6">
        <f>SUMIF('Eredeti fejléccel'!$B:$B,'Felosztás eredménykim'!$B23,'Eredeti fejléccel'!$BG:$BG)</f>
        <v>0</v>
      </c>
      <c r="CU23" s="6">
        <f>SUMIF('Eredeti fejléccel'!$B:$B,'Felosztás eredménykim'!$B23,'Eredeti fejléccel'!$BH:$BH)</f>
        <v>0</v>
      </c>
      <c r="CV23" s="6">
        <f>SUMIF('Eredeti fejléccel'!$B:$B,'Felosztás eredménykim'!$B23,'Eredeti fejléccel'!$BI:$BI)</f>
        <v>0</v>
      </c>
      <c r="CW23" s="6">
        <f>SUMIF('Eredeti fejléccel'!$B:$B,'Felosztás eredménykim'!$B23,'Eredeti fejléccel'!$BL:$BL)</f>
        <v>0</v>
      </c>
      <c r="CX23" s="6">
        <f t="shared" si="46"/>
        <v>0</v>
      </c>
      <c r="CY23" s="6">
        <f>SUMIF('Eredeti fejléccel'!$B:$B,'Felosztás eredménykim'!$B23,'Eredeti fejléccel'!$BJ:$BJ)</f>
        <v>0</v>
      </c>
      <c r="CZ23" s="6">
        <f>SUMIF('Eredeti fejléccel'!$B:$B,'Felosztás eredménykim'!$B23,'Eredeti fejléccel'!$BK:$BK)</f>
        <v>0</v>
      </c>
      <c r="DA23" s="99">
        <f t="shared" si="47"/>
        <v>0</v>
      </c>
      <c r="DC23" s="36">
        <f t="shared" si="20"/>
        <v>0</v>
      </c>
      <c r="DD23" s="6">
        <f>SUMIF('Eredeti fejléccel'!$B:$B,'Felosztás eredménykim'!$B23,'Eredeti fejléccel'!$J:$J)</f>
        <v>0</v>
      </c>
      <c r="DE23" s="6">
        <f>SUMIF('Eredeti fejléccel'!$B:$B,'Felosztás eredménykim'!$B23,'Eredeti fejléccel'!$BM:$BM)</f>
        <v>0</v>
      </c>
      <c r="DF23" s="6">
        <f t="shared" si="48"/>
        <v>0</v>
      </c>
      <c r="DG23" s="8">
        <f t="shared" si="21"/>
        <v>0</v>
      </c>
      <c r="DH23" s="8">
        <f t="shared" si="49"/>
        <v>0</v>
      </c>
      <c r="DJ23" s="6">
        <f>SUMIF('Eredeti fejléccel'!$B:$B,'Felosztás eredménykim'!$B23,'Eredeti fejléccel'!$BN:$BN)</f>
        <v>0</v>
      </c>
      <c r="DK23" s="6">
        <f>SUMIF('Eredeti fejléccel'!$B:$B,'Felosztás eredménykim'!$B23,'Eredeti fejléccel'!$BZ:$BZ)</f>
        <v>0</v>
      </c>
      <c r="DL23" s="8">
        <f t="shared" si="50"/>
        <v>0</v>
      </c>
      <c r="DM23" s="6">
        <f>SUMIF('Eredeti fejléccel'!$B:$B,'Felosztás eredménykim'!$B23,'Eredeti fejléccel'!$BR:$BR)</f>
        <v>0</v>
      </c>
      <c r="DN23" s="6">
        <f>SUMIF('Eredeti fejléccel'!$B:$B,'Felosztás eredménykim'!$B23,'Eredeti fejléccel'!$BS:$BS)</f>
        <v>0</v>
      </c>
      <c r="DO23" s="6">
        <f>SUMIF('Eredeti fejléccel'!$B:$B,'Felosztás eredménykim'!$B23,'Eredeti fejléccel'!$BO:$BO)</f>
        <v>0</v>
      </c>
      <c r="DP23" s="6">
        <f>SUMIF('Eredeti fejléccel'!$B:$B,'Felosztás eredménykim'!$B23,'Eredeti fejléccel'!$BP:$BP)</f>
        <v>0</v>
      </c>
      <c r="DQ23" s="6">
        <f>SUMIF('Eredeti fejléccel'!$B:$B,'Felosztás eredménykim'!$B23,'Eredeti fejléccel'!$BQ:$BQ)</f>
        <v>0</v>
      </c>
      <c r="DS23" s="8"/>
      <c r="DU23" s="6">
        <f>SUMIF('Eredeti fejléccel'!$B:$B,'Felosztás eredménykim'!$B23,'Eredeti fejléccel'!$BT:$BT)</f>
        <v>0</v>
      </c>
      <c r="DV23" s="6">
        <f>SUMIF('Eredeti fejléccel'!$B:$B,'Felosztás eredménykim'!$B23,'Eredeti fejléccel'!$BU:$BU)</f>
        <v>0</v>
      </c>
      <c r="DW23" s="6">
        <f>SUMIF('Eredeti fejléccel'!$B:$B,'Felosztás eredménykim'!$B23,'Eredeti fejléccel'!$BV:$BV)</f>
        <v>0</v>
      </c>
      <c r="DX23" s="6">
        <f>SUMIF('Eredeti fejléccel'!$B:$B,'Felosztás eredménykim'!$B23,'Eredeti fejléccel'!$BW:$BW)</f>
        <v>0</v>
      </c>
      <c r="DY23" s="6">
        <f>SUMIF('Eredeti fejléccel'!$B:$B,'Felosztás eredménykim'!$B23,'Eredeti fejléccel'!$BX:$BX)</f>
        <v>0</v>
      </c>
      <c r="EA23" s="6"/>
      <c r="EC23" s="6"/>
      <c r="EE23" s="6">
        <f>SUMIF('Eredeti fejléccel'!$B:$B,'Felosztás eredménykim'!$B23,'Eredeti fejléccel'!$CA:$CA)</f>
        <v>0</v>
      </c>
      <c r="EF23" s="6">
        <f>SUMIF('Eredeti fejléccel'!$B:$B,'Felosztás eredménykim'!$B23,'Eredeti fejléccel'!$CB:$CB)</f>
        <v>0</v>
      </c>
      <c r="EG23" s="6">
        <f>SUMIF('Eredeti fejléccel'!$B:$B,'Felosztás eredménykim'!$B23,'Eredeti fejléccel'!$CC:$CC)</f>
        <v>0</v>
      </c>
      <c r="EH23" s="6">
        <f>SUMIF('Eredeti fejléccel'!$B:$B,'Felosztás eredménykim'!$B23,'Eredeti fejléccel'!$CD:$CD)</f>
        <v>0</v>
      </c>
      <c r="EK23" s="6">
        <f>SUMIF('Eredeti fejléccel'!$B:$B,'Felosztás eredménykim'!$B23,'Eredeti fejléccel'!$CE:$CE)</f>
        <v>0</v>
      </c>
      <c r="EN23" s="6">
        <f>SUMIF('Eredeti fejléccel'!$B:$B,'Felosztás eredménykim'!$B23,'Eredeti fejléccel'!$CF:$CF)</f>
        <v>0</v>
      </c>
      <c r="EP23" s="6">
        <f>SUMIF('Eredeti fejléccel'!$B:$B,'Felosztás eredménykim'!$B23,'Eredeti fejléccel'!$CG:$CG)</f>
        <v>0</v>
      </c>
      <c r="ES23" s="6">
        <f>SUMIF('Eredeti fejléccel'!$B:$B,'Felosztás eredménykim'!$B23,'Eredeti fejléccel'!$CH:$CH)</f>
        <v>0</v>
      </c>
      <c r="ET23" s="6">
        <f>SUMIF('Eredeti fejléccel'!$B:$B,'Felosztás eredménykim'!$B23,'Eredeti fejléccel'!$CI:$CI)</f>
        <v>0</v>
      </c>
      <c r="EW23" s="8">
        <f t="shared" si="22"/>
        <v>0</v>
      </c>
      <c r="EX23" s="8">
        <f t="shared" si="51"/>
        <v>0</v>
      </c>
      <c r="EY23" s="8">
        <f t="shared" si="52"/>
        <v>0</v>
      </c>
      <c r="EZ23" s="8">
        <f t="shared" si="23"/>
        <v>0</v>
      </c>
      <c r="FA23" s="8">
        <f t="shared" si="24"/>
        <v>0</v>
      </c>
      <c r="FC23" s="6">
        <f>SUMIF('Eredeti fejléccel'!$B:$B,'Felosztás eredménykim'!$B23,'Eredeti fejléccel'!$L:$L)</f>
        <v>0</v>
      </c>
      <c r="FD23" s="6">
        <f>SUMIF('Eredeti fejléccel'!$B:$B,'Felosztás eredménykim'!$B23,'Eredeti fejléccel'!$CJ:$CJ)</f>
        <v>0</v>
      </c>
      <c r="FE23" s="6">
        <f>SUMIF('Eredeti fejléccel'!$B:$B,'Felosztás eredménykim'!$B23,'Eredeti fejléccel'!$CL:$CL)</f>
        <v>0</v>
      </c>
      <c r="FG23" s="99">
        <f t="shared" si="53"/>
        <v>0</v>
      </c>
      <c r="FH23" s="6">
        <f>SUMIF('Eredeti fejléccel'!$B:$B,'Felosztás eredménykim'!$B23,'Eredeti fejléccel'!$CK:$CK)</f>
        <v>0</v>
      </c>
      <c r="FI23" s="36">
        <f t="shared" si="25"/>
        <v>0</v>
      </c>
      <c r="FJ23" s="101">
        <f t="shared" si="26"/>
        <v>0</v>
      </c>
      <c r="FK23" s="6">
        <f>SUMIF('Eredeti fejléccel'!$B:$B,'Felosztás eredménykim'!$B23,'Eredeti fejléccel'!$CM:$CM)</f>
        <v>0</v>
      </c>
      <c r="FL23" s="6">
        <f>SUMIF('Eredeti fejléccel'!$B:$B,'Felosztás eredménykim'!$B23,'Eredeti fejléccel'!$CN:$CN)</f>
        <v>0</v>
      </c>
      <c r="FM23" s="8">
        <f t="shared" si="54"/>
        <v>0</v>
      </c>
      <c r="FN23" s="36">
        <f t="shared" si="27"/>
        <v>0</v>
      </c>
      <c r="FO23" s="101">
        <f t="shared" si="28"/>
        <v>0</v>
      </c>
      <c r="FP23" s="6">
        <f>SUMIF('Eredeti fejléccel'!$B:$B,'Felosztás eredménykim'!$B23,'Eredeti fejléccel'!$CO:$CO)</f>
        <v>0</v>
      </c>
      <c r="FQ23" s="6">
        <f>'Eredeti fejléccel'!CP23</f>
        <v>0</v>
      </c>
      <c r="FR23" s="6">
        <f>'Eredeti fejléccel'!CQ23</f>
        <v>0</v>
      </c>
      <c r="FS23" s="103">
        <f t="shared" si="55"/>
        <v>0</v>
      </c>
      <c r="FT23" s="36">
        <f t="shared" si="29"/>
        <v>0</v>
      </c>
      <c r="FU23" s="101">
        <f t="shared" si="30"/>
        <v>0</v>
      </c>
      <c r="FV23" s="101"/>
      <c r="FW23" s="6">
        <f>SUMIF('Eredeti fejléccel'!$B:$B,'Felosztás eredménykim'!$B23,'Eredeti fejléccel'!$CR:$CR)</f>
        <v>0</v>
      </c>
      <c r="FX23" s="6">
        <f>SUMIF('Eredeti fejléccel'!$B:$B,'Felosztás eredménykim'!$B23,'Eredeti fejléccel'!$CS:$CS)</f>
        <v>0</v>
      </c>
      <c r="FY23" s="6">
        <f>SUMIF('Eredeti fejléccel'!$B:$B,'Felosztás eredménykim'!$B23,'Eredeti fejléccel'!$CT:$CT)</f>
        <v>0</v>
      </c>
      <c r="FZ23" s="6">
        <f>SUMIF('Eredeti fejléccel'!$B:$B,'Felosztás eredménykim'!$B23,'Eredeti fejléccel'!$CU:$CU)</f>
        <v>0</v>
      </c>
      <c r="GA23" s="103">
        <f t="shared" si="56"/>
        <v>0</v>
      </c>
      <c r="GB23" s="36">
        <f t="shared" si="31"/>
        <v>0</v>
      </c>
      <c r="GC23" s="101">
        <f t="shared" si="32"/>
        <v>0</v>
      </c>
      <c r="GD23" s="6">
        <f>SUMIF('Eredeti fejléccel'!$B:$B,'Felosztás eredménykim'!$B23,'Eredeti fejléccel'!$CV:$CV)</f>
        <v>0</v>
      </c>
      <c r="GE23" s="6">
        <f>SUMIF('Eredeti fejléccel'!$B:$B,'Felosztás eredménykim'!$B23,'Eredeti fejléccel'!$CW:$CW)</f>
        <v>0</v>
      </c>
      <c r="GF23" s="103">
        <f t="shared" si="57"/>
        <v>0</v>
      </c>
      <c r="GG23" s="36">
        <f t="shared" si="33"/>
        <v>0</v>
      </c>
      <c r="GM23" s="6">
        <f>SUMIF('Eredeti fejléccel'!$B:$B,'Felosztás eredménykim'!$B23,'Eredeti fejléccel'!$CX:$CX)</f>
        <v>0</v>
      </c>
      <c r="GN23" s="6">
        <f>SUMIF('Eredeti fejléccel'!$B:$B,'Felosztás eredménykim'!$B23,'Eredeti fejléccel'!$CY:$CY)</f>
        <v>0</v>
      </c>
      <c r="GO23" s="6">
        <f>SUMIF('Eredeti fejléccel'!$B:$B,'Felosztás eredménykim'!$B23,'Eredeti fejléccel'!$CZ:$CZ)</f>
        <v>0</v>
      </c>
      <c r="GP23" s="6">
        <f>SUMIF('Eredeti fejléccel'!$B:$B,'Felosztás eredménykim'!$B23,'Eredeti fejléccel'!$DA:$DA)</f>
        <v>0</v>
      </c>
      <c r="GQ23" s="6">
        <f>SUMIF('Eredeti fejléccel'!$B:$B,'Felosztás eredménykim'!$B23,'Eredeti fejléccel'!$DB:$DB)</f>
        <v>0</v>
      </c>
      <c r="GR23" s="103">
        <f t="shared" si="58"/>
        <v>0</v>
      </c>
      <c r="GW23" s="36">
        <f t="shared" si="34"/>
        <v>0</v>
      </c>
      <c r="GX23" s="6">
        <f>SUMIF('Eredeti fejléccel'!$B:$B,'Felosztás eredménykim'!$B23,'Eredeti fejléccel'!$M:$M)</f>
        <v>0</v>
      </c>
      <c r="GY23" s="6">
        <f>SUMIF('Eredeti fejléccel'!$B:$B,'Felosztás eredménykim'!$B23,'Eredeti fejléccel'!$DC:$DC)</f>
        <v>0</v>
      </c>
      <c r="GZ23" s="6">
        <f>SUMIF('Eredeti fejléccel'!$B:$B,'Felosztás eredménykim'!$B23,'Eredeti fejléccel'!$DD:$DD)</f>
        <v>0</v>
      </c>
      <c r="HA23" s="6">
        <f>SUMIF('Eredeti fejléccel'!$B:$B,'Felosztás eredménykim'!$B23,'Eredeti fejléccel'!$DE:$DE)</f>
        <v>0</v>
      </c>
      <c r="HB23" s="103">
        <f t="shared" si="59"/>
        <v>0</v>
      </c>
      <c r="HD23" s="9">
        <f t="shared" si="35"/>
        <v>0</v>
      </c>
      <c r="HE23" s="9"/>
      <c r="HF23" s="476"/>
      <c r="HH23" s="34">
        <f t="shared" si="60"/>
        <v>0</v>
      </c>
    </row>
    <row r="24" spans="1:218" x14ac:dyDescent="0.25">
      <c r="A24" s="4" t="s">
        <v>87</v>
      </c>
      <c r="B24" s="4" t="s">
        <v>87</v>
      </c>
      <c r="C24" s="1" t="s">
        <v>88</v>
      </c>
      <c r="D24" s="6">
        <f>SUMIF('Eredeti fejléccel'!$B:$B,'Felosztás eredménykim'!$B24,'Eredeti fejléccel'!$D:$D)</f>
        <v>0</v>
      </c>
      <c r="E24" s="6">
        <f>SUMIF('Eredeti fejléccel'!$B:$B,'Felosztás eredménykim'!$B24,'Eredeti fejléccel'!$E:$E)</f>
        <v>14221.130000000001</v>
      </c>
      <c r="F24" s="6">
        <f>SUMIF('Eredeti fejléccel'!$B:$B,'Felosztás eredménykim'!$B24,'Eredeti fejléccel'!$F:$F)</f>
        <v>-2.9103830456733704E-11</v>
      </c>
      <c r="G24" s="6">
        <f>SUMIF('Eredeti fejléccel'!$B:$B,'Felosztás eredménykim'!$B24,'Eredeti fejléccel'!$G:$G)</f>
        <v>29675.989999999991</v>
      </c>
      <c r="H24" s="6"/>
      <c r="I24" s="6">
        <f>SUMIF('Eredeti fejléccel'!$B:$B,'Felosztás eredménykim'!$B24,'Eredeti fejléccel'!$O:$O)</f>
        <v>6094.7699999999995</v>
      </c>
      <c r="J24" s="6">
        <f>SUMIF('Eredeti fejléccel'!$B:$B,'Felosztás eredménykim'!$B24,'Eredeti fejléccel'!$P:$P)</f>
        <v>0</v>
      </c>
      <c r="K24" s="6">
        <f>SUMIF('Eredeti fejléccel'!$B:$B,'Felosztás eredménykim'!$B24,'Eredeti fejléccel'!$Q:$Q)</f>
        <v>0</v>
      </c>
      <c r="L24" s="6">
        <f>SUMIF('Eredeti fejléccel'!$B:$B,'Felosztás eredménykim'!$B24,'Eredeti fejléccel'!$R:$R)</f>
        <v>33627</v>
      </c>
      <c r="M24" s="6">
        <f>SUMIF('Eredeti fejléccel'!$B:$B,'Felosztás eredménykim'!$B24,'Eredeti fejléccel'!$T:$T)</f>
        <v>0</v>
      </c>
      <c r="N24" s="6">
        <f>SUMIF('Eredeti fejléccel'!$B:$B,'Felosztás eredménykim'!$B24,'Eredeti fejléccel'!$U:$U)</f>
        <v>0</v>
      </c>
      <c r="O24" s="6">
        <f>SUMIF('Eredeti fejléccel'!$B:$B,'Felosztás eredménykim'!$B24,'Eredeti fejléccel'!$V:$V)</f>
        <v>26410.67</v>
      </c>
      <c r="P24" s="6">
        <f>SUMIF('Eredeti fejléccel'!$B:$B,'Felosztás eredménykim'!$B24,'Eredeti fejléccel'!$W:$W)</f>
        <v>0</v>
      </c>
      <c r="Q24" s="6">
        <f>SUMIF('Eredeti fejléccel'!$B:$B,'Felosztás eredménykim'!$B24,'Eredeti fejléccel'!$X:$X)</f>
        <v>0</v>
      </c>
      <c r="R24" s="6">
        <f>SUMIF('Eredeti fejléccel'!$B:$B,'Felosztás eredménykim'!$B24,'Eredeti fejléccel'!$Y:$Y)</f>
        <v>0</v>
      </c>
      <c r="S24" s="6">
        <f>SUMIF('Eredeti fejléccel'!$B:$B,'Felosztás eredménykim'!$B24,'Eredeti fejléccel'!$Z:$Z)</f>
        <v>0</v>
      </c>
      <c r="T24" s="6">
        <f>SUMIF('Eredeti fejléccel'!$B:$B,'Felosztás eredménykim'!$B24,'Eredeti fejléccel'!$AA:$AA)</f>
        <v>0</v>
      </c>
      <c r="U24" s="6">
        <f>SUMIF('Eredeti fejléccel'!$B:$B,'Felosztás eredménykim'!$B24,'Eredeti fejléccel'!$D:$D)</f>
        <v>0</v>
      </c>
      <c r="V24" s="6">
        <f>SUMIF('Eredeti fejléccel'!$B:$B,'Felosztás eredménykim'!$B24,'Eredeti fejléccel'!$AT:$AT)</f>
        <v>0</v>
      </c>
      <c r="X24" s="36">
        <f t="shared" si="0"/>
        <v>110029.55999999995</v>
      </c>
      <c r="Z24" s="6">
        <f>SUMIF('Eredeti fejléccel'!$B:$B,'Felosztás eredménykim'!$B24,'Eredeti fejléccel'!$K:$K)</f>
        <v>10157.950000000001</v>
      </c>
      <c r="AB24" s="6">
        <f>SUMIF('Eredeti fejléccel'!$B:$B,'Felosztás eredménykim'!$B24,'Eredeti fejléccel'!$AB:$AB)</f>
        <v>0</v>
      </c>
      <c r="AC24" s="6">
        <f>SUMIF('Eredeti fejléccel'!$B:$B,'Felosztás eredménykim'!$B24,'Eredeti fejléccel'!$AQ:$AQ)</f>
        <v>0</v>
      </c>
      <c r="AE24" s="73">
        <f t="shared" si="1"/>
        <v>10157.950000000001</v>
      </c>
      <c r="AF24" s="36">
        <f t="shared" si="2"/>
        <v>13125.936918356167</v>
      </c>
      <c r="AG24" s="8">
        <f t="shared" si="3"/>
        <v>3238.8061667113848</v>
      </c>
      <c r="AI24" s="6">
        <f>SUMIF('Eredeti fejléccel'!$B:$B,'Felosztás eredménykim'!$B24,'Eredeti fejléccel'!$BB:$BB)</f>
        <v>30703.14</v>
      </c>
      <c r="AJ24" s="6">
        <f>SUMIF('Eredeti fejléccel'!$B:$B,'Felosztás eredménykim'!$B24,'Eredeti fejléccel'!$AF:$AF)</f>
        <v>0</v>
      </c>
      <c r="AK24" s="8">
        <f t="shared" si="4"/>
        <v>33941.946166711386</v>
      </c>
      <c r="AL24" s="36">
        <f t="shared" si="5"/>
        <v>5213.5558699557741</v>
      </c>
      <c r="AM24" s="8">
        <f t="shared" si="6"/>
        <v>1286.4374563992487</v>
      </c>
      <c r="AN24" s="6">
        <f t="shared" si="36"/>
        <v>-2031.5900000000001</v>
      </c>
      <c r="AO24" s="6">
        <f>SUMIF('Eredeti fejléccel'!$B:$B,'Felosztás eredménykim'!$B24,'Eredeti fejléccel'!$AC:$AC)</f>
        <v>4063.1800000000003</v>
      </c>
      <c r="AP24" s="6">
        <f>SUMIF('Eredeti fejléccel'!$B:$B,'Felosztás eredménykim'!$B24,'Eredeti fejléccel'!$AD:$AD)</f>
        <v>0</v>
      </c>
      <c r="AQ24" s="6">
        <f>SUMIF('Eredeti fejléccel'!$B:$B,'Felosztás eredménykim'!$B24,'Eredeti fejléccel'!$AE:$AE)</f>
        <v>0</v>
      </c>
      <c r="AR24" s="6">
        <f>SUMIF('Eredeti fejléccel'!$B:$B,'Felosztás eredménykim'!$B24,'Eredeti fejléccel'!$AG:$AG)</f>
        <v>46170</v>
      </c>
      <c r="AS24" s="6">
        <f t="shared" si="37"/>
        <v>49488.02745639925</v>
      </c>
      <c r="AT24" s="36">
        <f t="shared" si="7"/>
        <v>8468.3463989394641</v>
      </c>
      <c r="AU24" s="8">
        <f t="shared" si="8"/>
        <v>2089.5523656202486</v>
      </c>
      <c r="AV24" s="6">
        <f>SUMIF('Eredeti fejléccel'!$B:$B,'Felosztás eredménykim'!$B24,'Eredeti fejléccel'!$AI:$AI)</f>
        <v>0</v>
      </c>
      <c r="AW24" s="6">
        <f>SUMIF('Eredeti fejléccel'!$B:$B,'Felosztás eredménykim'!$B24,'Eredeti fejléccel'!$AJ:$AJ)</f>
        <v>4063.1800000000003</v>
      </c>
      <c r="AX24" s="6">
        <f>SUMIF('Eredeti fejléccel'!$B:$B,'Felosztás eredménykim'!$B24,'Eredeti fejléccel'!$AK:$AK)</f>
        <v>26410.67</v>
      </c>
      <c r="AY24" s="6">
        <f>SUMIF('Eredeti fejléccel'!$B:$B,'Felosztás eredménykim'!$B24,'Eredeti fejléccel'!$AL:$AL)</f>
        <v>10157.950000000001</v>
      </c>
      <c r="AZ24" s="6">
        <f>SUMIF('Eredeti fejléccel'!$B:$B,'Felosztás eredménykim'!$B24,'Eredeti fejléccel'!$AM:$AM)</f>
        <v>18284.309999999998</v>
      </c>
      <c r="BA24" s="6">
        <f>SUMIF('Eredeti fejléccel'!$B:$B,'Felosztás eredménykim'!$B24,'Eredeti fejléccel'!$AN:$AN)</f>
        <v>0</v>
      </c>
      <c r="BB24" s="6">
        <f>SUMIF('Eredeti fejléccel'!$B:$B,'Felosztás eredménykim'!$B24,'Eredeti fejléccel'!$AP:$AP)</f>
        <v>0</v>
      </c>
      <c r="BD24" s="6">
        <f>SUMIF('Eredeti fejléccel'!$B:$B,'Felosztás eredménykim'!$B24,'Eredeti fejléccel'!$AS:$AS)</f>
        <v>0</v>
      </c>
      <c r="BE24" s="8">
        <f t="shared" si="38"/>
        <v>61005.662365620243</v>
      </c>
      <c r="BF24" s="36">
        <f t="shared" si="9"/>
        <v>2209.1338432015991</v>
      </c>
      <c r="BG24" s="8">
        <f t="shared" si="10"/>
        <v>545.10061711832566</v>
      </c>
      <c r="BH24" s="6">
        <f t="shared" si="39"/>
        <v>2031.5900000000001</v>
      </c>
      <c r="BI24" s="6">
        <f>SUMIF('Eredeti fejléccel'!$B:$B,'Felosztás eredménykim'!$B24,'Eredeti fejléccel'!$AH:$AH)</f>
        <v>18284.309999999998</v>
      </c>
      <c r="BJ24" s="6">
        <f>SUMIF('Eredeti fejléccel'!$B:$B,'Felosztás eredménykim'!$B24,'Eredeti fejléccel'!$AO:$AO)</f>
        <v>0</v>
      </c>
      <c r="BK24" s="6">
        <f>SUMIF('Eredeti fejléccel'!$B:$B,'Felosztás eredménykim'!$B24,'Eredeti fejléccel'!$BF:$BF)</f>
        <v>0</v>
      </c>
      <c r="BL24" s="8">
        <f t="shared" si="40"/>
        <v>20861.000617118323</v>
      </c>
      <c r="BM24" s="36">
        <f t="shared" si="11"/>
        <v>8276.8881325286584</v>
      </c>
      <c r="BN24" s="8">
        <f t="shared" si="12"/>
        <v>2042.3103121366603</v>
      </c>
      <c r="BP24" s="8">
        <f t="shared" si="41"/>
        <v>0</v>
      </c>
      <c r="BQ24" s="6">
        <f>SUMIF('Eredeti fejléccel'!$B:$B,'Felosztás eredménykim'!$B24,'Eredeti fejléccel'!$N:$N)</f>
        <v>0</v>
      </c>
      <c r="BR24" s="6">
        <f>SUMIF('Eredeti fejléccel'!$B:$B,'Felosztás eredménykim'!$B24,'Eredeti fejléccel'!$S:$S)</f>
        <v>0</v>
      </c>
      <c r="BT24" s="6">
        <f>SUMIF('Eredeti fejléccel'!$B:$B,'Felosztás eredménykim'!$B24,'Eredeti fejléccel'!$AR:$AR)</f>
        <v>0</v>
      </c>
      <c r="BU24" s="6">
        <f>SUMIF('Eredeti fejléccel'!$B:$B,'Felosztás eredménykim'!$B24,'Eredeti fejléccel'!$AU:$AU)</f>
        <v>0</v>
      </c>
      <c r="BV24" s="6">
        <f>SUMIF('Eredeti fejléccel'!$B:$B,'Felosztás eredménykim'!$B24,'Eredeti fejléccel'!$AV:$AV)</f>
        <v>8068.3599999999988</v>
      </c>
      <c r="BW24" s="6">
        <f>SUMIF('Eredeti fejléccel'!$B:$B,'Felosztás eredménykim'!$B24,'Eredeti fejléccel'!$AW:$AW)</f>
        <v>0</v>
      </c>
      <c r="BX24" s="6">
        <f>SUMIF('Eredeti fejléccel'!$B:$B,'Felosztás eredménykim'!$B24,'Eredeti fejléccel'!$AX:$AX)</f>
        <v>0</v>
      </c>
      <c r="BY24" s="6">
        <f>SUMIF('Eredeti fejléccel'!$B:$B,'Felosztás eredménykim'!$B24,'Eredeti fejléccel'!$AY:$AY)</f>
        <v>0</v>
      </c>
      <c r="BZ24" s="6">
        <f>SUMIF('Eredeti fejléccel'!$B:$B,'Felosztás eredménykim'!$B24,'Eredeti fejléccel'!$AZ:$AZ)</f>
        <v>0</v>
      </c>
      <c r="CA24" s="6">
        <f>SUMIF('Eredeti fejléccel'!$B:$B,'Felosztás eredménykim'!$B24,'Eredeti fejléccel'!$BA:$BA)</f>
        <v>24912.58</v>
      </c>
      <c r="CB24" s="6">
        <f t="shared" si="13"/>
        <v>35023.250312136661</v>
      </c>
      <c r="CC24" s="36">
        <f t="shared" si="14"/>
        <v>2253.3165200656313</v>
      </c>
      <c r="CD24" s="8">
        <f t="shared" si="15"/>
        <v>556.00262946069222</v>
      </c>
      <c r="CE24" s="6">
        <f>SUMIF('Eredeti fejléccel'!$B:$B,'Felosztás eredménykim'!$B24,'Eredeti fejléccel'!$BC:$BC)</f>
        <v>4063.1800000000003</v>
      </c>
      <c r="CF24" s="8">
        <f t="shared" si="42"/>
        <v>-2031.5900000000001</v>
      </c>
      <c r="CG24" s="6">
        <f>SUMIF('Eredeti fejléccel'!$B:$B,'Felosztás eredménykim'!$B24,'Eredeti fejléccel'!$H:$H)</f>
        <v>0</v>
      </c>
      <c r="CH24" s="6">
        <f>SUMIF('Eredeti fejléccel'!$B:$B,'Felosztás eredménykim'!$B24,'Eredeti fejléccel'!$BE:$BE)</f>
        <v>28442.260000000002</v>
      </c>
      <c r="CI24" s="6">
        <f t="shared" si="43"/>
        <v>31029.852629460693</v>
      </c>
      <c r="CJ24" s="36">
        <f t="shared" si="16"/>
        <v>1620.0314850145064</v>
      </c>
      <c r="CK24" s="8">
        <f t="shared" si="17"/>
        <v>399.74045255343884</v>
      </c>
      <c r="CL24" s="8">
        <f t="shared" si="44"/>
        <v>2031.5900000000001</v>
      </c>
      <c r="CM24" s="6">
        <f>SUMIF('Eredeti fejléccel'!$B:$B,'Felosztás eredménykim'!$B24,'Eredeti fejléccel'!$BD:$BD)</f>
        <v>16252.720000000001</v>
      </c>
      <c r="CN24" s="8">
        <f t="shared" si="45"/>
        <v>18684.050452553442</v>
      </c>
      <c r="CO24" s="8">
        <f t="shared" si="18"/>
        <v>291200.99916806177</v>
      </c>
      <c r="CR24" s="36">
        <f t="shared" si="19"/>
        <v>9731.2041635544065</v>
      </c>
      <c r="CS24" s="6">
        <f>SUMIF('Eredeti fejléccel'!$B:$B,'Felosztás eredménykim'!$B24,'Eredeti fejléccel'!$I:$I)</f>
        <v>0</v>
      </c>
      <c r="CT24" s="6">
        <f>SUMIF('Eredeti fejléccel'!$B:$B,'Felosztás eredménykim'!$B24,'Eredeti fejléccel'!$BG:$BG)</f>
        <v>0</v>
      </c>
      <c r="CU24" s="6">
        <f>SUMIF('Eredeti fejléccel'!$B:$B,'Felosztás eredménykim'!$B24,'Eredeti fejléccel'!$BH:$BH)</f>
        <v>0</v>
      </c>
      <c r="CV24" s="6">
        <f>SUMIF('Eredeti fejléccel'!$B:$B,'Felosztás eredménykim'!$B24,'Eredeti fejléccel'!$BI:$BI)</f>
        <v>0</v>
      </c>
      <c r="CW24" s="6">
        <f>SUMIF('Eredeti fejléccel'!$B:$B,'Felosztás eredménykim'!$B24,'Eredeti fejléccel'!$BL:$BL)</f>
        <v>79552.939999999959</v>
      </c>
      <c r="CX24" s="6">
        <f t="shared" si="46"/>
        <v>79552.939999999959</v>
      </c>
      <c r="CY24" s="6">
        <f>SUMIF('Eredeti fejléccel'!$B:$B,'Felosztás eredménykim'!$B24,'Eredeti fejléccel'!$BJ:$BJ)</f>
        <v>11887.339999999997</v>
      </c>
      <c r="CZ24" s="6">
        <f>SUMIF('Eredeti fejléccel'!$B:$B,'Felosztás eredménykim'!$B24,'Eredeti fejléccel'!$BK:$BK)</f>
        <v>0</v>
      </c>
      <c r="DA24" s="99">
        <f t="shared" si="47"/>
        <v>91440.279999999955</v>
      </c>
      <c r="DC24" s="36">
        <f t="shared" si="20"/>
        <v>8523.2170431423037</v>
      </c>
      <c r="DD24" s="6">
        <f>SUMIF('Eredeti fejléccel'!$B:$B,'Felosztás eredménykim'!$B24,'Eredeti fejléccel'!$J:$J)</f>
        <v>0</v>
      </c>
      <c r="DE24" s="6">
        <f>SUMIF('Eredeti fejléccel'!$B:$B,'Felosztás eredménykim'!$B24,'Eredeti fejléccel'!$BM:$BM)</f>
        <v>47610.48</v>
      </c>
      <c r="DF24" s="6">
        <f t="shared" si="48"/>
        <v>0</v>
      </c>
      <c r="DG24" s="8">
        <f t="shared" si="21"/>
        <v>0</v>
      </c>
      <c r="DH24" s="8">
        <f t="shared" si="49"/>
        <v>47610.48</v>
      </c>
      <c r="DJ24" s="6">
        <f>SUMIF('Eredeti fejléccel'!$B:$B,'Felosztás eredménykim'!$B24,'Eredeti fejléccel'!$BN:$BN)</f>
        <v>0</v>
      </c>
      <c r="DK24" s="6">
        <f>SUMIF('Eredeti fejléccel'!$B:$B,'Felosztás eredménykim'!$B24,'Eredeti fejléccel'!$BZ:$BZ)</f>
        <v>0</v>
      </c>
      <c r="DL24" s="8">
        <f t="shared" si="50"/>
        <v>0</v>
      </c>
      <c r="DM24" s="6">
        <f>SUMIF('Eredeti fejléccel'!$B:$B,'Felosztás eredménykim'!$B24,'Eredeti fejléccel'!$BR:$BR)</f>
        <v>0</v>
      </c>
      <c r="DN24" s="6">
        <f>SUMIF('Eredeti fejléccel'!$B:$B,'Felosztás eredménykim'!$B24,'Eredeti fejléccel'!$BS:$BS)</f>
        <v>0</v>
      </c>
      <c r="DO24" s="6">
        <f>SUMIF('Eredeti fejléccel'!$B:$B,'Felosztás eredménykim'!$B24,'Eredeti fejléccel'!$BO:$BO)</f>
        <v>0</v>
      </c>
      <c r="DP24" s="6">
        <f>SUMIF('Eredeti fejléccel'!$B:$B,'Felosztás eredménykim'!$B24,'Eredeti fejléccel'!$BP:$BP)</f>
        <v>0</v>
      </c>
      <c r="DQ24" s="6">
        <f>SUMIF('Eredeti fejléccel'!$B:$B,'Felosztás eredménykim'!$B24,'Eredeti fejléccel'!$BQ:$BQ)</f>
        <v>0</v>
      </c>
      <c r="DS24" s="8"/>
      <c r="DU24" s="6">
        <f>SUMIF('Eredeti fejléccel'!$B:$B,'Felosztás eredménykim'!$B24,'Eredeti fejléccel'!$BT:$BT)</f>
        <v>0</v>
      </c>
      <c r="DV24" s="6">
        <f>SUMIF('Eredeti fejléccel'!$B:$B,'Felosztás eredménykim'!$B24,'Eredeti fejléccel'!$BU:$BU)</f>
        <v>0</v>
      </c>
      <c r="DW24" s="6">
        <f>SUMIF('Eredeti fejléccel'!$B:$B,'Felosztás eredménykim'!$B24,'Eredeti fejléccel'!$BV:$BV)</f>
        <v>0</v>
      </c>
      <c r="DX24" s="6">
        <f>SUMIF('Eredeti fejléccel'!$B:$B,'Felosztás eredménykim'!$B24,'Eredeti fejléccel'!$BW:$BW)</f>
        <v>0</v>
      </c>
      <c r="DY24" s="6">
        <f>SUMIF('Eredeti fejléccel'!$B:$B,'Felosztás eredménykim'!$B24,'Eredeti fejléccel'!$BX:$BX)</f>
        <v>0</v>
      </c>
      <c r="EA24" s="6"/>
      <c r="EC24" s="6"/>
      <c r="EE24" s="6">
        <f>SUMIF('Eredeti fejléccel'!$B:$B,'Felosztás eredménykim'!$B24,'Eredeti fejléccel'!$CA:$CA)</f>
        <v>0</v>
      </c>
      <c r="EF24" s="6">
        <f>SUMIF('Eredeti fejléccel'!$B:$B,'Felosztás eredménykim'!$B24,'Eredeti fejléccel'!$CB:$CB)</f>
        <v>0</v>
      </c>
      <c r="EG24" s="6">
        <f>SUMIF('Eredeti fejléccel'!$B:$B,'Felosztás eredménykim'!$B24,'Eredeti fejléccel'!$CC:$CC)</f>
        <v>0</v>
      </c>
      <c r="EH24" s="6">
        <f>SUMIF('Eredeti fejléccel'!$B:$B,'Felosztás eredménykim'!$B24,'Eredeti fejléccel'!$CD:$CD)</f>
        <v>0</v>
      </c>
      <c r="EK24" s="6">
        <f>SUMIF('Eredeti fejléccel'!$B:$B,'Felosztás eredménykim'!$B24,'Eredeti fejléccel'!$CE:$CE)</f>
        <v>0</v>
      </c>
      <c r="EN24" s="6">
        <f>SUMIF('Eredeti fejléccel'!$B:$B,'Felosztás eredménykim'!$B24,'Eredeti fejléccel'!$CF:$CF)</f>
        <v>0</v>
      </c>
      <c r="EP24" s="6">
        <f>SUMIF('Eredeti fejléccel'!$B:$B,'Felosztás eredménykim'!$B24,'Eredeti fejléccel'!$CG:$CG)</f>
        <v>0</v>
      </c>
      <c r="ES24" s="6">
        <f>SUMIF('Eredeti fejléccel'!$B:$B,'Felosztás eredménykim'!$B24,'Eredeti fejléccel'!$CH:$CH)</f>
        <v>0</v>
      </c>
      <c r="ET24" s="6">
        <f>SUMIF('Eredeti fejléccel'!$B:$B,'Felosztás eredménykim'!$B24,'Eredeti fejléccel'!$CI:$CI)</f>
        <v>0</v>
      </c>
      <c r="EW24" s="8">
        <f t="shared" si="22"/>
        <v>0</v>
      </c>
      <c r="EX24" s="8">
        <f t="shared" si="51"/>
        <v>0</v>
      </c>
      <c r="EY24" s="8">
        <f t="shared" si="52"/>
        <v>47610.48</v>
      </c>
      <c r="EZ24" s="8">
        <f t="shared" si="23"/>
        <v>47610.48</v>
      </c>
      <c r="FA24" s="8">
        <f t="shared" si="24"/>
        <v>47610.48</v>
      </c>
      <c r="FC24" s="6">
        <f>SUMIF('Eredeti fejléccel'!$B:$B,'Felosztás eredménykim'!$B24,'Eredeti fejléccel'!$L:$L)</f>
        <v>0</v>
      </c>
      <c r="FD24" s="6">
        <f>SUMIF('Eredeti fejléccel'!$B:$B,'Felosztás eredménykim'!$B24,'Eredeti fejléccel'!$CJ:$CJ)</f>
        <v>8524.3599999999969</v>
      </c>
      <c r="FE24" s="6">
        <f>SUMIF('Eredeti fejléccel'!$B:$B,'Felosztás eredménykim'!$B24,'Eredeti fejléccel'!$CL:$CL)</f>
        <v>0</v>
      </c>
      <c r="FG24" s="99">
        <f t="shared" si="53"/>
        <v>8524.3599999999969</v>
      </c>
      <c r="FH24" s="6">
        <f>SUMIF('Eredeti fejléccel'!$B:$B,'Felosztás eredménykim'!$B24,'Eredeti fejléccel'!$CK:$CK)</f>
        <v>0</v>
      </c>
      <c r="FI24" s="36">
        <f t="shared" si="25"/>
        <v>10028.105007074941</v>
      </c>
      <c r="FJ24" s="101">
        <f t="shared" si="26"/>
        <v>1890.2440970088917</v>
      </c>
      <c r="FK24" s="6">
        <f>SUMIF('Eredeti fejléccel'!$B:$B,'Felosztás eredménykim'!$B24,'Eredeti fejléccel'!$CM:$CM)</f>
        <v>0</v>
      </c>
      <c r="FL24" s="6">
        <f>SUMIF('Eredeti fejléccel'!$B:$B,'Felosztás eredménykim'!$B24,'Eredeti fejléccel'!$CN:$CN)</f>
        <v>0</v>
      </c>
      <c r="FM24" s="8">
        <f t="shared" si="54"/>
        <v>1890.2440970088917</v>
      </c>
      <c r="FN24" s="36">
        <f t="shared" si="27"/>
        <v>8525.5344063065131</v>
      </c>
      <c r="FO24" s="101">
        <f t="shared" si="28"/>
        <v>1607.0175844785765</v>
      </c>
      <c r="FP24" s="6">
        <f>SUMIF('Eredeti fejléccel'!$B:$B,'Felosztás eredménykim'!$B24,'Eredeti fejléccel'!$CO:$CO)</f>
        <v>0</v>
      </c>
      <c r="FQ24" s="6">
        <f>'Eredeti fejléccel'!CP24</f>
        <v>51041</v>
      </c>
      <c r="FR24" s="6">
        <f>'Eredeti fejléccel'!CQ24</f>
        <v>0</v>
      </c>
      <c r="FS24" s="103">
        <f t="shared" si="55"/>
        <v>52648.017584478577</v>
      </c>
      <c r="FT24" s="36">
        <f t="shared" si="29"/>
        <v>23532.960966292892</v>
      </c>
      <c r="FU24" s="101">
        <f t="shared" si="30"/>
        <v>4435.8371317704105</v>
      </c>
      <c r="FV24" s="101"/>
      <c r="FW24" s="6">
        <f>SUMIF('Eredeti fejléccel'!$B:$B,'Felosztás eredménykim'!$B24,'Eredeti fejléccel'!$CR:$CR)</f>
        <v>301767</v>
      </c>
      <c r="FX24" s="6">
        <f>SUMIF('Eredeti fejléccel'!$B:$B,'Felosztás eredménykim'!$B24,'Eredeti fejléccel'!$CS:$CS)</f>
        <v>0</v>
      </c>
      <c r="FY24" s="6">
        <f>SUMIF('Eredeti fejléccel'!$B:$B,'Felosztás eredménykim'!$B24,'Eredeti fejléccel'!$CT:$CT)</f>
        <v>0</v>
      </c>
      <c r="FZ24" s="6">
        <f>SUMIF('Eredeti fejléccel'!$B:$B,'Felosztás eredménykim'!$B24,'Eredeti fejléccel'!$CU:$CU)</f>
        <v>0</v>
      </c>
      <c r="GA24" s="103">
        <f t="shared" si="56"/>
        <v>306202.83713177039</v>
      </c>
      <c r="GB24" s="36">
        <f t="shared" si="31"/>
        <v>3136.7532249618298</v>
      </c>
      <c r="GC24" s="101">
        <f t="shared" si="32"/>
        <v>591.26118674211784</v>
      </c>
      <c r="GD24" s="6">
        <f>SUMIF('Eredeti fejléccel'!$B:$B,'Felosztás eredménykim'!$B24,'Eredeti fejléccel'!$CV:$CV)</f>
        <v>44702.599999999627</v>
      </c>
      <c r="GE24" s="6">
        <f>SUMIF('Eredeti fejléccel'!$B:$B,'Felosztás eredménykim'!$B24,'Eredeti fejléccel'!$CW:$CW)</f>
        <v>0</v>
      </c>
      <c r="GF24" s="103">
        <f t="shared" si="57"/>
        <v>45293.861186741742</v>
      </c>
      <c r="GG24" s="36">
        <f t="shared" si="33"/>
        <v>0</v>
      </c>
      <c r="GM24" s="6">
        <f>SUMIF('Eredeti fejléccel'!$B:$B,'Felosztás eredménykim'!$B24,'Eredeti fejléccel'!$CX:$CX)</f>
        <v>0</v>
      </c>
      <c r="GN24" s="6">
        <f>SUMIF('Eredeti fejléccel'!$B:$B,'Felosztás eredménykim'!$B24,'Eredeti fejléccel'!$CY:$CY)</f>
        <v>0</v>
      </c>
      <c r="GO24" s="6">
        <f>SUMIF('Eredeti fejléccel'!$B:$B,'Felosztás eredménykim'!$B24,'Eredeti fejléccel'!$CZ:$CZ)</f>
        <v>0</v>
      </c>
      <c r="GP24" s="6">
        <f>SUMIF('Eredeti fejléccel'!$B:$B,'Felosztás eredménykim'!$B24,'Eredeti fejléccel'!$DA:$DA)</f>
        <v>0</v>
      </c>
      <c r="GQ24" s="6">
        <f>SUMIF('Eredeti fejléccel'!$B:$B,'Felosztás eredménykim'!$B24,'Eredeti fejléccel'!$DB:$DB)</f>
        <v>0</v>
      </c>
      <c r="GR24" s="103">
        <f t="shared" si="58"/>
        <v>0</v>
      </c>
      <c r="GW24" s="36">
        <f t="shared" si="34"/>
        <v>5384.5760206052782</v>
      </c>
      <c r="GX24" s="6">
        <f>SUMIF('Eredeti fejléccel'!$B:$B,'Felosztás eredménykim'!$B24,'Eredeti fejléccel'!$M:$M)</f>
        <v>0</v>
      </c>
      <c r="GY24" s="6">
        <f>SUMIF('Eredeti fejléccel'!$B:$B,'Felosztás eredménykim'!$B24,'Eredeti fejléccel'!$DC:$DC)</f>
        <v>933078.00000000012</v>
      </c>
      <c r="GZ24" s="6">
        <f>SUMIF('Eredeti fejléccel'!$B:$B,'Felosztás eredménykim'!$B24,'Eredeti fejléccel'!$DD:$DD)</f>
        <v>0</v>
      </c>
      <c r="HA24" s="6">
        <f>SUMIF('Eredeti fejléccel'!$B:$B,'Felosztás eredménykim'!$B24,'Eredeti fejléccel'!$DE:$DE)</f>
        <v>0</v>
      </c>
      <c r="HB24" s="103">
        <f t="shared" si="59"/>
        <v>933078.00000000012</v>
      </c>
      <c r="HD24" s="9">
        <f t="shared" si="35"/>
        <v>1838227.0700000005</v>
      </c>
      <c r="HE24" s="9">
        <v>1838227.07</v>
      </c>
      <c r="HF24" s="476"/>
      <c r="HH24" s="34">
        <f t="shared" si="60"/>
        <v>0</v>
      </c>
    </row>
    <row r="25" spans="1:218" x14ac:dyDescent="0.25">
      <c r="A25" s="4" t="s">
        <v>89</v>
      </c>
      <c r="B25" s="4" t="s">
        <v>89</v>
      </c>
      <c r="C25" s="1" t="s">
        <v>90</v>
      </c>
      <c r="D25" s="6">
        <f>SUMIF('Eredeti fejléccel'!$B:$B,'Felosztás eredménykim'!$B25,'Eredeti fejléccel'!$D:$D)</f>
        <v>0</v>
      </c>
      <c r="E25" s="6">
        <f>SUMIF('Eredeti fejléccel'!$B:$B,'Felosztás eredménykim'!$B25,'Eredeti fejléccel'!$E:$E)</f>
        <v>85280</v>
      </c>
      <c r="F25" s="6">
        <f>SUMIF('Eredeti fejléccel'!$B:$B,'Felosztás eredménykim'!$B25,'Eredeti fejléccel'!$F:$F)</f>
        <v>0</v>
      </c>
      <c r="G25" s="6">
        <f>SUMIF('Eredeti fejléccel'!$B:$B,'Felosztás eredménykim'!$B25,'Eredeti fejléccel'!$G:$G)</f>
        <v>0</v>
      </c>
      <c r="H25" s="6"/>
      <c r="I25" s="6">
        <f>SUMIF('Eredeti fejléccel'!$B:$B,'Felosztás eredménykim'!$B25,'Eredeti fejléccel'!$O:$O)</f>
        <v>0</v>
      </c>
      <c r="J25" s="6">
        <f>SUMIF('Eredeti fejléccel'!$B:$B,'Felosztás eredménykim'!$B25,'Eredeti fejléccel'!$P:$P)</f>
        <v>0</v>
      </c>
      <c r="K25" s="6">
        <f>SUMIF('Eredeti fejléccel'!$B:$B,'Felosztás eredménykim'!$B25,'Eredeti fejléccel'!$Q:$Q)</f>
        <v>0</v>
      </c>
      <c r="L25" s="6">
        <f>SUMIF('Eredeti fejléccel'!$B:$B,'Felosztás eredménykim'!$B25,'Eredeti fejléccel'!$R:$R)</f>
        <v>70800</v>
      </c>
      <c r="M25" s="6">
        <f>SUMIF('Eredeti fejléccel'!$B:$B,'Felosztás eredménykim'!$B25,'Eredeti fejléccel'!$T:$T)</f>
        <v>0</v>
      </c>
      <c r="N25" s="6">
        <f>SUMIF('Eredeti fejléccel'!$B:$B,'Felosztás eredménykim'!$B25,'Eredeti fejléccel'!$U:$U)</f>
        <v>0</v>
      </c>
      <c r="O25" s="6">
        <f>SUMIF('Eredeti fejléccel'!$B:$B,'Felosztás eredménykim'!$B25,'Eredeti fejléccel'!$V:$V)</f>
        <v>141600</v>
      </c>
      <c r="P25" s="6">
        <f>SUMIF('Eredeti fejléccel'!$B:$B,'Felosztás eredménykim'!$B25,'Eredeti fejléccel'!$W:$W)</f>
        <v>0</v>
      </c>
      <c r="Q25" s="6">
        <f>SUMIF('Eredeti fejléccel'!$B:$B,'Felosztás eredménykim'!$B25,'Eredeti fejléccel'!$X:$X)</f>
        <v>236000</v>
      </c>
      <c r="R25" s="6">
        <f>SUMIF('Eredeti fejléccel'!$B:$B,'Felosztás eredménykim'!$B25,'Eredeti fejléccel'!$Y:$Y)</f>
        <v>70800</v>
      </c>
      <c r="S25" s="6">
        <f>SUMIF('Eredeti fejléccel'!$B:$B,'Felosztás eredménykim'!$B25,'Eredeti fejléccel'!$Z:$Z)</f>
        <v>64900</v>
      </c>
      <c r="T25" s="6">
        <f>SUMIF('Eredeti fejléccel'!$B:$B,'Felosztás eredménykim'!$B25,'Eredeti fejléccel'!$AA:$AA)</f>
        <v>0</v>
      </c>
      <c r="U25" s="6">
        <f>SUMIF('Eredeti fejléccel'!$B:$B,'Felosztás eredménykim'!$B25,'Eredeti fejléccel'!$D:$D)</f>
        <v>0</v>
      </c>
      <c r="V25" s="6">
        <f>SUMIF('Eredeti fejléccel'!$B:$B,'Felosztás eredménykim'!$B25,'Eredeti fejléccel'!$AT:$AT)</f>
        <v>188800</v>
      </c>
      <c r="X25" s="36">
        <f t="shared" si="0"/>
        <v>858180</v>
      </c>
      <c r="Z25" s="6">
        <f>SUMIF('Eredeti fejléccel'!$B:$B,'Felosztás eredménykim'!$B25,'Eredeti fejléccel'!$K:$K)</f>
        <v>70800</v>
      </c>
      <c r="AB25" s="6">
        <f>SUMIF('Eredeti fejléccel'!$B:$B,'Felosztás eredménykim'!$B25,'Eredeti fejléccel'!$AB:$AB)</f>
        <v>0</v>
      </c>
      <c r="AC25" s="6">
        <f>SUMIF('Eredeti fejléccel'!$B:$B,'Felosztás eredménykim'!$B25,'Eredeti fejléccel'!$AQ:$AQ)</f>
        <v>0</v>
      </c>
      <c r="AE25" s="73">
        <f t="shared" si="1"/>
        <v>70800</v>
      </c>
      <c r="AF25" s="36">
        <f t="shared" si="2"/>
        <v>102376.27547174504</v>
      </c>
      <c r="AG25" s="8">
        <f t="shared" si="3"/>
        <v>22574.1883552455</v>
      </c>
      <c r="AI25" s="6">
        <f>SUMIF('Eredeti fejléccel'!$B:$B,'Felosztás eredménykim'!$B25,'Eredeti fejléccel'!$BB:$BB)</f>
        <v>105846</v>
      </c>
      <c r="AJ25" s="6">
        <f>SUMIF('Eredeti fejléccel'!$B:$B,'Felosztás eredménykim'!$B25,'Eredeti fejléccel'!$AF:$AF)</f>
        <v>0</v>
      </c>
      <c r="AK25" s="8">
        <f t="shared" si="4"/>
        <v>128420.1883552455</v>
      </c>
      <c r="AL25" s="36">
        <f t="shared" si="5"/>
        <v>40663.339710516411</v>
      </c>
      <c r="AM25" s="8">
        <f t="shared" si="6"/>
        <v>8966.3536356318746</v>
      </c>
      <c r="AN25" s="6">
        <f t="shared" si="36"/>
        <v>0</v>
      </c>
      <c r="AO25" s="6">
        <f>SUMIF('Eredeti fejléccel'!$B:$B,'Felosztás eredménykim'!$B25,'Eredeti fejléccel'!$AC:$AC)</f>
        <v>0</v>
      </c>
      <c r="AP25" s="6">
        <f>SUMIF('Eredeti fejléccel'!$B:$B,'Felosztás eredménykim'!$B25,'Eredeti fejléccel'!$AD:$AD)</f>
        <v>0</v>
      </c>
      <c r="AQ25" s="6">
        <f>SUMIF('Eredeti fejléccel'!$B:$B,'Felosztás eredménykim'!$B25,'Eredeti fejléccel'!$AE:$AE)</f>
        <v>0</v>
      </c>
      <c r="AR25" s="6">
        <f>SUMIF('Eredeti fejléccel'!$B:$B,'Felosztás eredménykim'!$B25,'Eredeti fejléccel'!$AG:$AG)</f>
        <v>277300</v>
      </c>
      <c r="AS25" s="6">
        <f t="shared" si="37"/>
        <v>286266.35363563185</v>
      </c>
      <c r="AT25" s="36">
        <f t="shared" si="7"/>
        <v>66049.209981771011</v>
      </c>
      <c r="AU25" s="8">
        <f t="shared" si="8"/>
        <v>14563.992487255162</v>
      </c>
      <c r="AV25" s="6">
        <f>SUMIF('Eredeti fejléccel'!$B:$B,'Felosztás eredménykim'!$B25,'Eredeti fejléccel'!$AI:$AI)</f>
        <v>0</v>
      </c>
      <c r="AW25" s="6">
        <f>SUMIF('Eredeti fejléccel'!$B:$B,'Felosztás eredménykim'!$B25,'Eredeti fejléccel'!$AJ:$AJ)</f>
        <v>301400</v>
      </c>
      <c r="AX25" s="6">
        <f>SUMIF('Eredeti fejléccel'!$B:$B,'Felosztás eredménykim'!$B25,'Eredeti fejléccel'!$AK:$AK)</f>
        <v>0</v>
      </c>
      <c r="AY25" s="6">
        <f>SUMIF('Eredeti fejléccel'!$B:$B,'Felosztás eredménykim'!$B25,'Eredeti fejléccel'!$AL:$AL)</f>
        <v>70800</v>
      </c>
      <c r="AZ25" s="6">
        <f>SUMIF('Eredeti fejléccel'!$B:$B,'Felosztás eredménykim'!$B25,'Eredeti fejléccel'!$AM:$AM)</f>
        <v>70800</v>
      </c>
      <c r="BA25" s="6">
        <f>SUMIF('Eredeti fejléccel'!$B:$B,'Felosztás eredménykim'!$B25,'Eredeti fejléccel'!$AN:$AN)</f>
        <v>0</v>
      </c>
      <c r="BB25" s="6">
        <f>SUMIF('Eredeti fejléccel'!$B:$B,'Felosztás eredménykim'!$B25,'Eredeti fejléccel'!$AP:$AP)</f>
        <v>0</v>
      </c>
      <c r="BD25" s="6">
        <f>SUMIF('Eredeti fejléccel'!$B:$B,'Felosztás eredménykim'!$B25,'Eredeti fejléccel'!$AS:$AS)</f>
        <v>0</v>
      </c>
      <c r="BE25" s="8">
        <f t="shared" si="38"/>
        <v>457563.99248725513</v>
      </c>
      <c r="BF25" s="36">
        <f t="shared" si="9"/>
        <v>17230.228690896784</v>
      </c>
      <c r="BG25" s="8">
        <f t="shared" si="10"/>
        <v>3799.3023879796074</v>
      </c>
      <c r="BH25" s="6">
        <f t="shared" si="39"/>
        <v>0</v>
      </c>
      <c r="BI25" s="6">
        <f>SUMIF('Eredeti fejléccel'!$B:$B,'Felosztás eredménykim'!$B25,'Eredeti fejléccel'!$AH:$AH)</f>
        <v>70800</v>
      </c>
      <c r="BJ25" s="6">
        <f>SUMIF('Eredeti fejléccel'!$B:$B,'Felosztás eredménykim'!$B25,'Eredeti fejléccel'!$AO:$AO)</f>
        <v>0</v>
      </c>
      <c r="BK25" s="6">
        <f>SUMIF('Eredeti fejléccel'!$B:$B,'Felosztás eredménykim'!$B25,'Eredeti fejléccel'!$BF:$BF)</f>
        <v>0</v>
      </c>
      <c r="BL25" s="8">
        <f t="shared" si="40"/>
        <v>74599.302387979609</v>
      </c>
      <c r="BM25" s="36">
        <f t="shared" si="11"/>
        <v>64555.923495226627</v>
      </c>
      <c r="BN25" s="8">
        <f t="shared" si="12"/>
        <v>14234.719613630263</v>
      </c>
      <c r="BP25" s="8">
        <f t="shared" si="41"/>
        <v>0</v>
      </c>
      <c r="BQ25" s="6">
        <f>SUMIF('Eredeti fejléccel'!$B:$B,'Felosztás eredménykim'!$B25,'Eredeti fejléccel'!$N:$N)</f>
        <v>0</v>
      </c>
      <c r="BR25" s="6">
        <f>SUMIF('Eredeti fejléccel'!$B:$B,'Felosztás eredménykim'!$B25,'Eredeti fejléccel'!$S:$S)</f>
        <v>0</v>
      </c>
      <c r="BT25" s="6">
        <f>SUMIF('Eredeti fejléccel'!$B:$B,'Felosztás eredménykim'!$B25,'Eredeti fejléccel'!$AR:$AR)</f>
        <v>0</v>
      </c>
      <c r="BU25" s="6">
        <f>SUMIF('Eredeti fejléccel'!$B:$B,'Felosztás eredménykim'!$B25,'Eredeti fejléccel'!$AU:$AU)</f>
        <v>0</v>
      </c>
      <c r="BV25" s="6">
        <f>SUMIF('Eredeti fejléccel'!$B:$B,'Felosztás eredménykim'!$B25,'Eredeti fejléccel'!$AV:$AV)</f>
        <v>64900</v>
      </c>
      <c r="BW25" s="6">
        <f>SUMIF('Eredeti fejléccel'!$B:$B,'Felosztás eredménykim'!$B25,'Eredeti fejléccel'!$AW:$AW)</f>
        <v>0</v>
      </c>
      <c r="BX25" s="6">
        <f>SUMIF('Eredeti fejléccel'!$B:$B,'Felosztás eredménykim'!$B25,'Eredeti fejléccel'!$AX:$AX)</f>
        <v>0</v>
      </c>
      <c r="BY25" s="6">
        <f>SUMIF('Eredeti fejléccel'!$B:$B,'Felosztás eredménykim'!$B25,'Eredeti fejléccel'!$AY:$AY)</f>
        <v>0</v>
      </c>
      <c r="BZ25" s="6">
        <f>SUMIF('Eredeti fejléccel'!$B:$B,'Felosztás eredménykim'!$B25,'Eredeti fejléccel'!$AZ:$AZ)</f>
        <v>0</v>
      </c>
      <c r="CA25" s="6">
        <f>SUMIF('Eredeti fejléccel'!$B:$B,'Felosztás eredménykim'!$B25,'Eredeti fejléccel'!$BA:$BA)</f>
        <v>100654</v>
      </c>
      <c r="CB25" s="6">
        <f t="shared" si="13"/>
        <v>179788.71961363027</v>
      </c>
      <c r="CC25" s="36">
        <f t="shared" si="14"/>
        <v>17574.833264714718</v>
      </c>
      <c r="CD25" s="8">
        <f t="shared" si="15"/>
        <v>3875.2884357391999</v>
      </c>
      <c r="CE25" s="6">
        <f>SUMIF('Eredeti fejléccel'!$B:$B,'Felosztás eredménykim'!$B25,'Eredeti fejléccel'!$BC:$BC)</f>
        <v>0</v>
      </c>
      <c r="CF25" s="8">
        <f t="shared" si="42"/>
        <v>0</v>
      </c>
      <c r="CG25" s="6">
        <f>SUMIF('Eredeti fejléccel'!$B:$B,'Felosztás eredménykim'!$B25,'Eredeti fejléccel'!$H:$H)</f>
        <v>0</v>
      </c>
      <c r="CH25" s="6">
        <f>SUMIF('Eredeti fejléccel'!$B:$B,'Felosztás eredménykim'!$B25,'Eredeti fejléccel'!$BE:$BE)</f>
        <v>141600</v>
      </c>
      <c r="CI25" s="6">
        <f t="shared" si="43"/>
        <v>145475.2884357392</v>
      </c>
      <c r="CJ25" s="36">
        <f t="shared" si="16"/>
        <v>12635.501039990977</v>
      </c>
      <c r="CK25" s="8">
        <f t="shared" si="17"/>
        <v>2786.1550845183792</v>
      </c>
      <c r="CL25" s="8">
        <f t="shared" si="44"/>
        <v>0</v>
      </c>
      <c r="CM25" s="6">
        <f>SUMIF('Eredeti fejléccel'!$B:$B,'Felosztás eredménykim'!$B25,'Eredeti fejléccel'!$BD:$BD)</f>
        <v>70800</v>
      </c>
      <c r="CN25" s="8">
        <f t="shared" si="45"/>
        <v>73586.155084518381</v>
      </c>
      <c r="CO25" s="8">
        <f t="shared" si="18"/>
        <v>1666785.3116548616</v>
      </c>
      <c r="CR25" s="36">
        <f t="shared" si="19"/>
        <v>75898.920154539606</v>
      </c>
      <c r="CS25" s="6">
        <f>SUMIF('Eredeti fejléccel'!$B:$B,'Felosztás eredménykim'!$B25,'Eredeti fejléccel'!$I:$I)</f>
        <v>0</v>
      </c>
      <c r="CT25" s="6">
        <f>SUMIF('Eredeti fejléccel'!$B:$B,'Felosztás eredménykim'!$B25,'Eredeti fejléccel'!$BG:$BG)</f>
        <v>0</v>
      </c>
      <c r="CU25" s="6">
        <f>SUMIF('Eredeti fejléccel'!$B:$B,'Felosztás eredménykim'!$B25,'Eredeti fejléccel'!$BH:$BH)</f>
        <v>0</v>
      </c>
      <c r="CV25" s="6">
        <f>SUMIF('Eredeti fejléccel'!$B:$B,'Felosztás eredménykim'!$B25,'Eredeti fejléccel'!$BI:$BI)</f>
        <v>0</v>
      </c>
      <c r="CW25" s="6">
        <f>SUMIF('Eredeti fejléccel'!$B:$B,'Felosztás eredménykim'!$B25,'Eredeti fejléccel'!$BL:$BL)</f>
        <v>267165.69</v>
      </c>
      <c r="CX25" s="6">
        <f t="shared" si="46"/>
        <v>267165.69</v>
      </c>
      <c r="CY25" s="6">
        <f>SUMIF('Eredeti fejléccel'!$B:$B,'Felosztás eredménykim'!$B25,'Eredeti fejléccel'!$BJ:$BJ)</f>
        <v>40028.82</v>
      </c>
      <c r="CZ25" s="6">
        <f>SUMIF('Eredeti fejléccel'!$B:$B,'Felosztás eredménykim'!$B25,'Eredeti fejléccel'!$BK:$BK)</f>
        <v>3068</v>
      </c>
      <c r="DA25" s="99">
        <f t="shared" si="47"/>
        <v>310262.51</v>
      </c>
      <c r="DC25" s="36">
        <f t="shared" si="20"/>
        <v>66477.175788795896</v>
      </c>
      <c r="DD25" s="6">
        <f>SUMIF('Eredeti fejléccel'!$B:$B,'Felosztás eredménykim'!$B25,'Eredeti fejléccel'!$J:$J)</f>
        <v>0</v>
      </c>
      <c r="DE25" s="6">
        <f>SUMIF('Eredeti fejléccel'!$B:$B,'Felosztás eredménykim'!$B25,'Eredeti fejléccel'!$BM:$BM)</f>
        <v>70453</v>
      </c>
      <c r="DF25" s="6">
        <f t="shared" si="48"/>
        <v>0</v>
      </c>
      <c r="DG25" s="8">
        <f t="shared" si="21"/>
        <v>0</v>
      </c>
      <c r="DH25" s="8">
        <f t="shared" si="49"/>
        <v>70453</v>
      </c>
      <c r="DJ25" s="6">
        <f>SUMIF('Eredeti fejléccel'!$B:$B,'Felosztás eredménykim'!$B25,'Eredeti fejléccel'!$BN:$BN)</f>
        <v>0</v>
      </c>
      <c r="DK25" s="6">
        <f>SUMIF('Eredeti fejléccel'!$B:$B,'Felosztás eredménykim'!$B25,'Eredeti fejléccel'!$BZ:$BZ)</f>
        <v>0</v>
      </c>
      <c r="DL25" s="8">
        <f t="shared" si="50"/>
        <v>0</v>
      </c>
      <c r="DM25" s="6">
        <f>SUMIF('Eredeti fejléccel'!$B:$B,'Felosztás eredménykim'!$B25,'Eredeti fejléccel'!$BR:$BR)</f>
        <v>0</v>
      </c>
      <c r="DN25" s="6">
        <f>SUMIF('Eredeti fejléccel'!$B:$B,'Felosztás eredménykim'!$B25,'Eredeti fejléccel'!$BS:$BS)</f>
        <v>0</v>
      </c>
      <c r="DO25" s="6">
        <f>SUMIF('Eredeti fejléccel'!$B:$B,'Felosztás eredménykim'!$B25,'Eredeti fejléccel'!$BO:$BO)</f>
        <v>0</v>
      </c>
      <c r="DP25" s="6">
        <f>SUMIF('Eredeti fejléccel'!$B:$B,'Felosztás eredménykim'!$B25,'Eredeti fejléccel'!$BP:$BP)</f>
        <v>0</v>
      </c>
      <c r="DQ25" s="6">
        <f>SUMIF('Eredeti fejléccel'!$B:$B,'Felosztás eredménykim'!$B25,'Eredeti fejléccel'!$BQ:$BQ)</f>
        <v>0</v>
      </c>
      <c r="DS25" s="8"/>
      <c r="DU25" s="6">
        <f>SUMIF('Eredeti fejléccel'!$B:$B,'Felosztás eredménykim'!$B25,'Eredeti fejléccel'!$BT:$BT)</f>
        <v>0</v>
      </c>
      <c r="DV25" s="6">
        <f>SUMIF('Eredeti fejléccel'!$B:$B,'Felosztás eredménykim'!$B25,'Eredeti fejléccel'!$BU:$BU)</f>
        <v>0</v>
      </c>
      <c r="DW25" s="6">
        <f>SUMIF('Eredeti fejléccel'!$B:$B,'Felosztás eredménykim'!$B25,'Eredeti fejléccel'!$BV:$BV)</f>
        <v>0</v>
      </c>
      <c r="DX25" s="6">
        <f>SUMIF('Eredeti fejléccel'!$B:$B,'Felosztás eredménykim'!$B25,'Eredeti fejléccel'!$BW:$BW)</f>
        <v>0</v>
      </c>
      <c r="DY25" s="6">
        <f>SUMIF('Eredeti fejléccel'!$B:$B,'Felosztás eredménykim'!$B25,'Eredeti fejléccel'!$BX:$BX)</f>
        <v>0</v>
      </c>
      <c r="EA25" s="6"/>
      <c r="EC25" s="6"/>
      <c r="EE25" s="6">
        <f>SUMIF('Eredeti fejléccel'!$B:$B,'Felosztás eredménykim'!$B25,'Eredeti fejléccel'!$CA:$CA)</f>
        <v>0</v>
      </c>
      <c r="EF25" s="6">
        <f>SUMIF('Eredeti fejléccel'!$B:$B,'Felosztás eredménykim'!$B25,'Eredeti fejléccel'!$CB:$CB)</f>
        <v>0</v>
      </c>
      <c r="EG25" s="6">
        <f>SUMIF('Eredeti fejléccel'!$B:$B,'Felosztás eredménykim'!$B25,'Eredeti fejléccel'!$CC:$CC)</f>
        <v>0</v>
      </c>
      <c r="EH25" s="6">
        <f>SUMIF('Eredeti fejléccel'!$B:$B,'Felosztás eredménykim'!$B25,'Eredeti fejléccel'!$CD:$CD)</f>
        <v>0</v>
      </c>
      <c r="EK25" s="6">
        <f>SUMIF('Eredeti fejléccel'!$B:$B,'Felosztás eredménykim'!$B25,'Eredeti fejléccel'!$CE:$CE)</f>
        <v>0</v>
      </c>
      <c r="EN25" s="6">
        <f>SUMIF('Eredeti fejléccel'!$B:$B,'Felosztás eredménykim'!$B25,'Eredeti fejléccel'!$CF:$CF)</f>
        <v>0</v>
      </c>
      <c r="EP25" s="6">
        <f>SUMIF('Eredeti fejléccel'!$B:$B,'Felosztás eredménykim'!$B25,'Eredeti fejléccel'!$CG:$CG)</f>
        <v>0</v>
      </c>
      <c r="ES25" s="6">
        <f>SUMIF('Eredeti fejléccel'!$B:$B,'Felosztás eredménykim'!$B25,'Eredeti fejléccel'!$CH:$CH)</f>
        <v>0</v>
      </c>
      <c r="ET25" s="6">
        <f>SUMIF('Eredeti fejléccel'!$B:$B,'Felosztás eredménykim'!$B25,'Eredeti fejléccel'!$CI:$CI)</f>
        <v>0</v>
      </c>
      <c r="EW25" s="8">
        <f t="shared" si="22"/>
        <v>0</v>
      </c>
      <c r="EX25" s="8">
        <f t="shared" si="51"/>
        <v>0</v>
      </c>
      <c r="EY25" s="8">
        <f t="shared" si="52"/>
        <v>70453</v>
      </c>
      <c r="EZ25" s="8">
        <f t="shared" si="23"/>
        <v>70453</v>
      </c>
      <c r="FA25" s="8">
        <f t="shared" si="24"/>
        <v>70453</v>
      </c>
      <c r="FC25" s="6">
        <f>SUMIF('Eredeti fejléccel'!$B:$B,'Felosztás eredménykim'!$B25,'Eredeti fejléccel'!$L:$L)</f>
        <v>0</v>
      </c>
      <c r="FD25" s="6">
        <f>SUMIF('Eredeti fejléccel'!$B:$B,'Felosztás eredménykim'!$B25,'Eredeti fejléccel'!$CJ:$CJ)</f>
        <v>64900</v>
      </c>
      <c r="FE25" s="6">
        <f>SUMIF('Eredeti fejléccel'!$B:$B,'Felosztás eredménykim'!$B25,'Eredeti fejléccel'!$CL:$CL)</f>
        <v>0</v>
      </c>
      <c r="FG25" s="99">
        <f t="shared" si="53"/>
        <v>64900</v>
      </c>
      <c r="FH25" s="6">
        <f>SUMIF('Eredeti fejléccel'!$B:$B,'Felosztás eredménykim'!$B25,'Eredeti fejléccel'!$CK:$CK)</f>
        <v>0</v>
      </c>
      <c r="FI25" s="36">
        <f t="shared" si="25"/>
        <v>78214.610282651105</v>
      </c>
      <c r="FJ25" s="101">
        <f t="shared" si="26"/>
        <v>14391.325788197249</v>
      </c>
      <c r="FK25" s="6">
        <f>SUMIF('Eredeti fejléccel'!$B:$B,'Felosztás eredménykim'!$B25,'Eredeti fejléccel'!$CM:$CM)</f>
        <v>0</v>
      </c>
      <c r="FL25" s="6">
        <f>SUMIF('Eredeti fejléccel'!$B:$B,'Felosztás eredménykim'!$B25,'Eredeti fejléccel'!$CN:$CN)</f>
        <v>0</v>
      </c>
      <c r="FM25" s="8">
        <f t="shared" si="54"/>
        <v>14391.325788197249</v>
      </c>
      <c r="FN25" s="36">
        <f t="shared" si="27"/>
        <v>66495.250156450013</v>
      </c>
      <c r="FO25" s="101">
        <f t="shared" si="28"/>
        <v>12234.987873888438</v>
      </c>
      <c r="FP25" s="6">
        <f>SUMIF('Eredeti fejléccel'!$B:$B,'Felosztás eredménykim'!$B25,'Eredeti fejléccel'!$CO:$CO)</f>
        <v>0</v>
      </c>
      <c r="FQ25" s="6">
        <f>'Eredeti fejléccel'!CP25</f>
        <v>0</v>
      </c>
      <c r="FR25" s="6">
        <f>'Eredeti fejléccel'!CQ25</f>
        <v>0</v>
      </c>
      <c r="FS25" s="103">
        <f t="shared" si="55"/>
        <v>12234.987873888438</v>
      </c>
      <c r="FT25" s="36">
        <f t="shared" si="29"/>
        <v>183546.28012738799</v>
      </c>
      <c r="FU25" s="101">
        <f t="shared" si="30"/>
        <v>33772.1341956346</v>
      </c>
      <c r="FV25" s="101"/>
      <c r="FW25" s="6">
        <f>SUMIF('Eredeti fejléccel'!$B:$B,'Felosztás eredménykim'!$B25,'Eredeti fejléccel'!$CR:$CR)</f>
        <v>18000</v>
      </c>
      <c r="FX25" s="6">
        <f>SUMIF('Eredeti fejléccel'!$B:$B,'Felosztás eredménykim'!$B25,'Eredeti fejléccel'!$CS:$CS)</f>
        <v>0</v>
      </c>
      <c r="FY25" s="6">
        <f>SUMIF('Eredeti fejléccel'!$B:$B,'Felosztás eredménykim'!$B25,'Eredeti fejléccel'!$CT:$CT)</f>
        <v>0</v>
      </c>
      <c r="FZ25" s="6">
        <f>SUMIF('Eredeti fejléccel'!$B:$B,'Felosztás eredménykim'!$B25,'Eredeti fejléccel'!$CU:$CU)</f>
        <v>0</v>
      </c>
      <c r="GA25" s="103">
        <f t="shared" si="56"/>
        <v>51772.1341956346</v>
      </c>
      <c r="GB25" s="36">
        <f t="shared" si="31"/>
        <v>24465.233548127831</v>
      </c>
      <c r="GC25" s="101">
        <f t="shared" si="32"/>
        <v>4501.5521422797083</v>
      </c>
      <c r="GD25" s="6">
        <f>SUMIF('Eredeti fejléccel'!$B:$B,'Felosztás eredménykim'!$B25,'Eredeti fejléccel'!$CV:$CV)</f>
        <v>0</v>
      </c>
      <c r="GE25" s="6">
        <f>SUMIF('Eredeti fejléccel'!$B:$B,'Felosztás eredménykim'!$B25,'Eredeti fejléccel'!$CW:$CW)</f>
        <v>0</v>
      </c>
      <c r="GF25" s="103">
        <f t="shared" si="57"/>
        <v>4501.5521422797083</v>
      </c>
      <c r="GG25" s="36">
        <f t="shared" si="33"/>
        <v>0</v>
      </c>
      <c r="GM25" s="6">
        <f>SUMIF('Eredeti fejléccel'!$B:$B,'Felosztás eredménykim'!$B25,'Eredeti fejléccel'!$CX:$CX)</f>
        <v>0</v>
      </c>
      <c r="GN25" s="6">
        <f>SUMIF('Eredeti fejléccel'!$B:$B,'Felosztás eredménykim'!$B25,'Eredeti fejléccel'!$CY:$CY)</f>
        <v>0</v>
      </c>
      <c r="GO25" s="6">
        <f>SUMIF('Eredeti fejléccel'!$B:$B,'Felosztás eredménykim'!$B25,'Eredeti fejléccel'!$CZ:$CZ)</f>
        <v>0</v>
      </c>
      <c r="GP25" s="6">
        <f>SUMIF('Eredeti fejléccel'!$B:$B,'Felosztás eredménykim'!$B25,'Eredeti fejléccel'!$DA:$DA)</f>
        <v>0</v>
      </c>
      <c r="GQ25" s="6">
        <f>SUMIF('Eredeti fejléccel'!$B:$B,'Felosztás eredménykim'!$B25,'Eredeti fejléccel'!$DB:$DB)</f>
        <v>0</v>
      </c>
      <c r="GR25" s="103">
        <f t="shared" si="58"/>
        <v>0</v>
      </c>
      <c r="GW25" s="36">
        <f t="shared" si="34"/>
        <v>41997.218287186093</v>
      </c>
      <c r="GX25" s="6">
        <f>SUMIF('Eredeti fejléccel'!$B:$B,'Felosztás eredménykim'!$B25,'Eredeti fejléccel'!$M:$M)</f>
        <v>0</v>
      </c>
      <c r="GY25" s="6">
        <f>SUMIF('Eredeti fejléccel'!$B:$B,'Felosztás eredménykim'!$B25,'Eredeti fejléccel'!$DC:$DC)</f>
        <v>0</v>
      </c>
      <c r="GZ25" s="6">
        <f>SUMIF('Eredeti fejléccel'!$B:$B,'Felosztás eredménykim'!$B25,'Eredeti fejléccel'!$DD:$DD)</f>
        <v>0</v>
      </c>
      <c r="HA25" s="6">
        <f>SUMIF('Eredeti fejléccel'!$B:$B,'Felosztás eredménykim'!$B25,'Eredeti fejléccel'!$DE:$DE)</f>
        <v>0</v>
      </c>
      <c r="HB25" s="103">
        <f t="shared" si="59"/>
        <v>0</v>
      </c>
      <c r="HD25" s="9">
        <f t="shared" si="35"/>
        <v>2667495.5099999974</v>
      </c>
      <c r="HE25" s="9">
        <v>2667495.5099999998</v>
      </c>
      <c r="HF25" s="476"/>
      <c r="HH25" s="34">
        <f t="shared" si="60"/>
        <v>0</v>
      </c>
    </row>
    <row r="26" spans="1:218" x14ac:dyDescent="0.25">
      <c r="A26" s="4" t="s">
        <v>91</v>
      </c>
      <c r="B26" s="4" t="s">
        <v>91</v>
      </c>
      <c r="C26" s="1" t="s">
        <v>92</v>
      </c>
      <c r="D26" s="6">
        <f>SUMIF('Eredeti fejléccel'!$B:$B,'Felosztás eredménykim'!$B26,'Eredeti fejléccel'!$D:$D)</f>
        <v>0</v>
      </c>
      <c r="E26" s="6">
        <f>SUMIF('Eredeti fejléccel'!$B:$B,'Felosztás eredménykim'!$B26,'Eredeti fejléccel'!$E:$E)</f>
        <v>1410154</v>
      </c>
      <c r="F26" s="6">
        <f>SUMIF('Eredeti fejléccel'!$B:$B,'Felosztás eredménykim'!$B26,'Eredeti fejléccel'!$F:$F)</f>
        <v>0</v>
      </c>
      <c r="G26" s="6">
        <f>SUMIF('Eredeti fejléccel'!$B:$B,'Felosztás eredménykim'!$B26,'Eredeti fejléccel'!$G:$G)</f>
        <v>194645</v>
      </c>
      <c r="H26" s="6"/>
      <c r="I26" s="6">
        <f>SUMIF('Eredeti fejléccel'!$B:$B,'Felosztás eredménykim'!$B26,'Eredeti fejléccel'!$O:$O)</f>
        <v>0</v>
      </c>
      <c r="J26" s="6">
        <f>SUMIF('Eredeti fejléccel'!$B:$B,'Felosztás eredménykim'!$B26,'Eredeti fejléccel'!$P:$P)</f>
        <v>0</v>
      </c>
      <c r="K26" s="6">
        <f>SUMIF('Eredeti fejléccel'!$B:$B,'Felosztás eredménykim'!$B26,'Eredeti fejléccel'!$Q:$Q)</f>
        <v>0</v>
      </c>
      <c r="L26" s="6">
        <f>SUMIF('Eredeti fejléccel'!$B:$B,'Felosztás eredménykim'!$B26,'Eredeti fejléccel'!$R:$R)</f>
        <v>0</v>
      </c>
      <c r="M26" s="6">
        <f>SUMIF('Eredeti fejléccel'!$B:$B,'Felosztás eredménykim'!$B26,'Eredeti fejléccel'!$T:$T)</f>
        <v>0</v>
      </c>
      <c r="N26" s="6">
        <f>SUMIF('Eredeti fejléccel'!$B:$B,'Felosztás eredménykim'!$B26,'Eredeti fejléccel'!$U:$U)</f>
        <v>0</v>
      </c>
      <c r="O26" s="6">
        <f>SUMIF('Eredeti fejléccel'!$B:$B,'Felosztás eredménykim'!$B26,'Eredeti fejléccel'!$V:$V)</f>
        <v>0</v>
      </c>
      <c r="P26" s="6">
        <f>SUMIF('Eredeti fejléccel'!$B:$B,'Felosztás eredménykim'!$B26,'Eredeti fejléccel'!$W:$W)</f>
        <v>70865</v>
      </c>
      <c r="Q26" s="6">
        <f>SUMIF('Eredeti fejléccel'!$B:$B,'Felosztás eredménykim'!$B26,'Eredeti fejléccel'!$X:$X)</f>
        <v>0</v>
      </c>
      <c r="R26" s="6">
        <f>SUMIF('Eredeti fejléccel'!$B:$B,'Felosztás eredménykim'!$B26,'Eredeti fejléccel'!$Y:$Y)</f>
        <v>0</v>
      </c>
      <c r="S26" s="6">
        <f>SUMIF('Eredeti fejléccel'!$B:$B,'Felosztás eredménykim'!$B26,'Eredeti fejléccel'!$Z:$Z)</f>
        <v>0</v>
      </c>
      <c r="T26" s="6">
        <f>SUMIF('Eredeti fejléccel'!$B:$B,'Felosztás eredménykim'!$B26,'Eredeti fejléccel'!$AA:$AA)</f>
        <v>0</v>
      </c>
      <c r="U26" s="6">
        <f>SUMIF('Eredeti fejléccel'!$B:$B,'Felosztás eredménykim'!$B26,'Eredeti fejléccel'!$D:$D)</f>
        <v>0</v>
      </c>
      <c r="V26" s="6">
        <f>SUMIF('Eredeti fejléccel'!$B:$B,'Felosztás eredménykim'!$B26,'Eredeti fejléccel'!$AT:$AT)</f>
        <v>0</v>
      </c>
      <c r="X26" s="36">
        <f t="shared" si="0"/>
        <v>1675664</v>
      </c>
      <c r="Z26" s="6">
        <f>SUMIF('Eredeti fejléccel'!$B:$B,'Felosztás eredménykim'!$B26,'Eredeti fejléccel'!$K:$K)</f>
        <v>573429</v>
      </c>
      <c r="AB26" s="6">
        <f>SUMIF('Eredeti fejléccel'!$B:$B,'Felosztás eredménykim'!$B26,'Eredeti fejléccel'!$AB:$AB)</f>
        <v>0</v>
      </c>
      <c r="AC26" s="6">
        <f>SUMIF('Eredeti fejléccel'!$B:$B,'Felosztás eredménykim'!$B26,'Eredeti fejléccel'!$AQ:$AQ)</f>
        <v>0</v>
      </c>
      <c r="AE26" s="73">
        <f t="shared" si="1"/>
        <v>573429</v>
      </c>
      <c r="AF26" s="36">
        <f t="shared" si="2"/>
        <v>199897.73621161786</v>
      </c>
      <c r="AG26" s="8">
        <f t="shared" si="3"/>
        <v>182834.66460960553</v>
      </c>
      <c r="AI26" s="6">
        <f>SUMIF('Eredeti fejléccel'!$B:$B,'Felosztás eredménykim'!$B26,'Eredeti fejléccel'!$BB:$BB)</f>
        <v>0</v>
      </c>
      <c r="AJ26" s="6">
        <f>SUMIF('Eredeti fejléccel'!$B:$B,'Felosztás eredménykim'!$B26,'Eredeti fejléccel'!$AF:$AF)</f>
        <v>0</v>
      </c>
      <c r="AK26" s="8">
        <f t="shared" si="4"/>
        <v>182834.66460960553</v>
      </c>
      <c r="AL26" s="36">
        <f t="shared" si="5"/>
        <v>79398.371521921727</v>
      </c>
      <c r="AM26" s="8">
        <f t="shared" si="6"/>
        <v>72621.00563455862</v>
      </c>
      <c r="AN26" s="6">
        <f t="shared" si="36"/>
        <v>0</v>
      </c>
      <c r="AO26" s="6">
        <f>SUMIF('Eredeti fejléccel'!$B:$B,'Felosztás eredménykim'!$B26,'Eredeti fejléccel'!$AC:$AC)</f>
        <v>0</v>
      </c>
      <c r="AP26" s="6">
        <f>SUMIF('Eredeti fejléccel'!$B:$B,'Felosztás eredménykim'!$B26,'Eredeti fejléccel'!$AD:$AD)</f>
        <v>0</v>
      </c>
      <c r="AQ26" s="6">
        <f>SUMIF('Eredeti fejléccel'!$B:$B,'Felosztás eredménykim'!$B26,'Eredeti fejléccel'!$AE:$AE)</f>
        <v>0</v>
      </c>
      <c r="AR26" s="6">
        <f>SUMIF('Eredeti fejléccel'!$B:$B,'Felosztás eredménykim'!$B26,'Eredeti fejléccel'!$AG:$AG)</f>
        <v>0</v>
      </c>
      <c r="AS26" s="6">
        <f t="shared" si="37"/>
        <v>72621.00563455862</v>
      </c>
      <c r="AT26" s="36">
        <f t="shared" si="7"/>
        <v>128966.28142685026</v>
      </c>
      <c r="AU26" s="8">
        <f t="shared" si="8"/>
        <v>117957.84813522939</v>
      </c>
      <c r="AV26" s="6">
        <f>SUMIF('Eredeti fejléccel'!$B:$B,'Felosztás eredménykim'!$B26,'Eredeti fejléccel'!$AI:$AI)</f>
        <v>0</v>
      </c>
      <c r="AW26" s="6">
        <f>SUMIF('Eredeti fejléccel'!$B:$B,'Felosztás eredménykim'!$B26,'Eredeti fejléccel'!$AJ:$AJ)</f>
        <v>0</v>
      </c>
      <c r="AX26" s="6">
        <f>SUMIF('Eredeti fejléccel'!$B:$B,'Felosztás eredménykim'!$B26,'Eredeti fejléccel'!$AK:$AK)</f>
        <v>0</v>
      </c>
      <c r="AY26" s="6">
        <f>SUMIF('Eredeti fejléccel'!$B:$B,'Felosztás eredménykim'!$B26,'Eredeti fejléccel'!$AL:$AL)</f>
        <v>0</v>
      </c>
      <c r="AZ26" s="6">
        <f>SUMIF('Eredeti fejléccel'!$B:$B,'Felosztás eredménykim'!$B26,'Eredeti fejléccel'!$AM:$AM)</f>
        <v>0</v>
      </c>
      <c r="BA26" s="6">
        <f>SUMIF('Eredeti fejléccel'!$B:$B,'Felosztás eredménykim'!$B26,'Eredeti fejléccel'!$AN:$AN)</f>
        <v>0</v>
      </c>
      <c r="BB26" s="6">
        <f>SUMIF('Eredeti fejléccel'!$B:$B,'Felosztás eredménykim'!$B26,'Eredeti fejléccel'!$AP:$AP)</f>
        <v>0</v>
      </c>
      <c r="BD26" s="6">
        <f>SUMIF('Eredeti fejléccel'!$B:$B,'Felosztás eredménykim'!$B26,'Eredeti fejléccel'!$AS:$AS)</f>
        <v>0</v>
      </c>
      <c r="BE26" s="8">
        <f t="shared" si="38"/>
        <v>117957.84813522939</v>
      </c>
      <c r="BF26" s="36">
        <f t="shared" si="9"/>
        <v>33643.37776352615</v>
      </c>
      <c r="BG26" s="8">
        <f t="shared" si="10"/>
        <v>30771.612557016364</v>
      </c>
      <c r="BH26" s="6">
        <f t="shared" si="39"/>
        <v>0</v>
      </c>
      <c r="BI26" s="6">
        <f>SUMIF('Eredeti fejléccel'!$B:$B,'Felosztás eredménykim'!$B26,'Eredeti fejléccel'!$AH:$AH)</f>
        <v>0</v>
      </c>
      <c r="BJ26" s="6">
        <f>SUMIF('Eredeti fejléccel'!$B:$B,'Felosztás eredménykim'!$B26,'Eredeti fejléccel'!$AO:$AO)</f>
        <v>0</v>
      </c>
      <c r="BK26" s="6">
        <f>SUMIF('Eredeti fejléccel'!$B:$B,'Felosztás eredménykim'!$B26,'Eredeti fejléccel'!$BF:$BF)</f>
        <v>0</v>
      </c>
      <c r="BL26" s="8">
        <f t="shared" si="40"/>
        <v>30771.612557016364</v>
      </c>
      <c r="BM26" s="36">
        <f t="shared" si="11"/>
        <v>126050.52202067799</v>
      </c>
      <c r="BN26" s="8">
        <f t="shared" si="12"/>
        <v>115290.97504695464</v>
      </c>
      <c r="BP26" s="8">
        <f t="shared" si="41"/>
        <v>0</v>
      </c>
      <c r="BQ26" s="6">
        <f>SUMIF('Eredeti fejléccel'!$B:$B,'Felosztás eredménykim'!$B26,'Eredeti fejléccel'!$N:$N)</f>
        <v>0</v>
      </c>
      <c r="BR26" s="6">
        <f>SUMIF('Eredeti fejléccel'!$B:$B,'Felosztás eredménykim'!$B26,'Eredeti fejléccel'!$S:$S)</f>
        <v>0</v>
      </c>
      <c r="BT26" s="6">
        <f>SUMIF('Eredeti fejléccel'!$B:$B,'Felosztás eredménykim'!$B26,'Eredeti fejléccel'!$AR:$AR)</f>
        <v>0</v>
      </c>
      <c r="BU26" s="6">
        <f>SUMIF('Eredeti fejléccel'!$B:$B,'Felosztás eredménykim'!$B26,'Eredeti fejléccel'!$AU:$AU)</f>
        <v>0</v>
      </c>
      <c r="BV26" s="6">
        <f>SUMIF('Eredeti fejléccel'!$B:$B,'Felosztás eredménykim'!$B26,'Eredeti fejléccel'!$AV:$AV)</f>
        <v>0</v>
      </c>
      <c r="BW26" s="6">
        <f>SUMIF('Eredeti fejléccel'!$B:$B,'Felosztás eredménykim'!$B26,'Eredeti fejléccel'!$AW:$AW)</f>
        <v>0</v>
      </c>
      <c r="BX26" s="6">
        <f>SUMIF('Eredeti fejléccel'!$B:$B,'Felosztás eredménykim'!$B26,'Eredeti fejléccel'!$AX:$AX)</f>
        <v>0</v>
      </c>
      <c r="BY26" s="6">
        <f>SUMIF('Eredeti fejléccel'!$B:$B,'Felosztás eredménykim'!$B26,'Eredeti fejléccel'!$AY:$AY)</f>
        <v>0</v>
      </c>
      <c r="BZ26" s="6">
        <f>SUMIF('Eredeti fejléccel'!$B:$B,'Felosztás eredménykim'!$B26,'Eredeti fejléccel'!$AZ:$AZ)</f>
        <v>0</v>
      </c>
      <c r="CA26" s="6">
        <f>SUMIF('Eredeti fejléccel'!$B:$B,'Felosztás eredménykim'!$B26,'Eredeti fejléccel'!$BA:$BA)</f>
        <v>0</v>
      </c>
      <c r="CB26" s="6">
        <f t="shared" si="13"/>
        <v>115290.97504695464</v>
      </c>
      <c r="CC26" s="36">
        <f t="shared" si="14"/>
        <v>34316.245318796675</v>
      </c>
      <c r="CD26" s="8">
        <f t="shared" si="15"/>
        <v>31387.04480815669</v>
      </c>
      <c r="CE26" s="6">
        <f>SUMIF('Eredeti fejléccel'!$B:$B,'Felosztás eredménykim'!$B26,'Eredeti fejléccel'!$BC:$BC)</f>
        <v>0</v>
      </c>
      <c r="CF26" s="8">
        <f t="shared" si="42"/>
        <v>0</v>
      </c>
      <c r="CG26" s="6">
        <f>SUMIF('Eredeti fejléccel'!$B:$B,'Felosztás eredménykim'!$B26,'Eredeti fejléccel'!$H:$H)</f>
        <v>0</v>
      </c>
      <c r="CH26" s="6">
        <f>SUMIF('Eredeti fejléccel'!$B:$B,'Felosztás eredménykim'!$B26,'Eredeti fejléccel'!$BE:$BE)</f>
        <v>0</v>
      </c>
      <c r="CI26" s="6">
        <f t="shared" si="43"/>
        <v>31387.04480815669</v>
      </c>
      <c r="CJ26" s="36">
        <f t="shared" si="16"/>
        <v>24671.810359919182</v>
      </c>
      <c r="CK26" s="8">
        <f t="shared" si="17"/>
        <v>22565.849208478667</v>
      </c>
      <c r="CL26" s="8">
        <f t="shared" si="44"/>
        <v>0</v>
      </c>
      <c r="CM26" s="6">
        <f>SUMIF('Eredeti fejléccel'!$B:$B,'Felosztás eredménykim'!$B26,'Eredeti fejléccel'!$BD:$BD)</f>
        <v>0</v>
      </c>
      <c r="CN26" s="8">
        <f t="shared" si="45"/>
        <v>22565.849208478667</v>
      </c>
      <c r="CO26" s="8">
        <f t="shared" si="18"/>
        <v>1200373.3446233098</v>
      </c>
      <c r="CR26" s="36">
        <f t="shared" si="19"/>
        <v>148198.6158403091</v>
      </c>
      <c r="CS26" s="6">
        <f>SUMIF('Eredeti fejléccel'!$B:$B,'Felosztás eredménykim'!$B26,'Eredeti fejléccel'!$I:$I)</f>
        <v>0</v>
      </c>
      <c r="CT26" s="6">
        <f>SUMIF('Eredeti fejléccel'!$B:$B,'Felosztás eredménykim'!$B26,'Eredeti fejléccel'!$BG:$BG)</f>
        <v>0</v>
      </c>
      <c r="CU26" s="6">
        <f>SUMIF('Eredeti fejléccel'!$B:$B,'Felosztás eredménykim'!$B26,'Eredeti fejléccel'!$BH:$BH)</f>
        <v>0</v>
      </c>
      <c r="CV26" s="6">
        <f>SUMIF('Eredeti fejléccel'!$B:$B,'Felosztás eredménykim'!$B26,'Eredeti fejléccel'!$BI:$BI)</f>
        <v>0</v>
      </c>
      <c r="CW26" s="6">
        <f>SUMIF('Eredeti fejléccel'!$B:$B,'Felosztás eredménykim'!$B26,'Eredeti fejléccel'!$BL:$BL)</f>
        <v>1023931.77</v>
      </c>
      <c r="CX26" s="6">
        <f t="shared" si="46"/>
        <v>1023931.77</v>
      </c>
      <c r="CY26" s="6">
        <f>SUMIF('Eredeti fejléccel'!$B:$B,'Felosztás eredménykim'!$B26,'Eredeti fejléccel'!$BJ:$BJ)</f>
        <v>157111.23000000001</v>
      </c>
      <c r="CZ26" s="6">
        <f>SUMIF('Eredeti fejléccel'!$B:$B,'Felosztás eredménykim'!$B26,'Eredeti fejléccel'!$BK:$BK)</f>
        <v>0</v>
      </c>
      <c r="DA26" s="99">
        <f t="shared" si="47"/>
        <v>1181043</v>
      </c>
      <c r="DC26" s="36">
        <f t="shared" si="20"/>
        <v>129801.91835157762</v>
      </c>
      <c r="DD26" s="6">
        <f>SUMIF('Eredeti fejléccel'!$B:$B,'Felosztás eredménykim'!$B26,'Eredeti fejléccel'!$J:$J)</f>
        <v>0</v>
      </c>
      <c r="DE26" s="6">
        <f>SUMIF('Eredeti fejléccel'!$B:$B,'Felosztás eredménykim'!$B26,'Eredeti fejléccel'!$BM:$BM)</f>
        <v>150802</v>
      </c>
      <c r="DF26" s="6">
        <f t="shared" si="48"/>
        <v>0</v>
      </c>
      <c r="DG26" s="8">
        <f t="shared" si="21"/>
        <v>0</v>
      </c>
      <c r="DH26" s="8">
        <f t="shared" si="49"/>
        <v>150802</v>
      </c>
      <c r="DJ26" s="6">
        <f>SUMIF('Eredeti fejléccel'!$B:$B,'Felosztás eredménykim'!$B26,'Eredeti fejléccel'!$BN:$BN)</f>
        <v>0</v>
      </c>
      <c r="DK26" s="6">
        <f>SUMIF('Eredeti fejléccel'!$B:$B,'Felosztás eredménykim'!$B26,'Eredeti fejléccel'!$BZ:$BZ)</f>
        <v>0</v>
      </c>
      <c r="DL26" s="8">
        <f t="shared" si="50"/>
        <v>0</v>
      </c>
      <c r="DM26" s="6">
        <f>SUMIF('Eredeti fejléccel'!$B:$B,'Felosztás eredménykim'!$B26,'Eredeti fejléccel'!$BR:$BR)</f>
        <v>0</v>
      </c>
      <c r="DN26" s="6">
        <f>SUMIF('Eredeti fejléccel'!$B:$B,'Felosztás eredménykim'!$B26,'Eredeti fejléccel'!$BS:$BS)</f>
        <v>0</v>
      </c>
      <c r="DO26" s="6">
        <f>SUMIF('Eredeti fejléccel'!$B:$B,'Felosztás eredménykim'!$B26,'Eredeti fejléccel'!$BO:$BO)</f>
        <v>0</v>
      </c>
      <c r="DP26" s="6">
        <f>SUMIF('Eredeti fejléccel'!$B:$B,'Felosztás eredménykim'!$B26,'Eredeti fejléccel'!$BP:$BP)</f>
        <v>0</v>
      </c>
      <c r="DQ26" s="6">
        <f>SUMIF('Eredeti fejléccel'!$B:$B,'Felosztás eredménykim'!$B26,'Eredeti fejléccel'!$BQ:$BQ)</f>
        <v>0</v>
      </c>
      <c r="DS26" s="8"/>
      <c r="DU26" s="6">
        <f>SUMIF('Eredeti fejléccel'!$B:$B,'Felosztás eredménykim'!$B26,'Eredeti fejléccel'!$BT:$BT)</f>
        <v>0</v>
      </c>
      <c r="DV26" s="6">
        <f>SUMIF('Eredeti fejléccel'!$B:$B,'Felosztás eredménykim'!$B26,'Eredeti fejléccel'!$BU:$BU)</f>
        <v>0</v>
      </c>
      <c r="DW26" s="6">
        <f>SUMIF('Eredeti fejléccel'!$B:$B,'Felosztás eredménykim'!$B26,'Eredeti fejléccel'!$BV:$BV)</f>
        <v>0</v>
      </c>
      <c r="DX26" s="6">
        <f>SUMIF('Eredeti fejléccel'!$B:$B,'Felosztás eredménykim'!$B26,'Eredeti fejléccel'!$BW:$BW)</f>
        <v>0</v>
      </c>
      <c r="DY26" s="6">
        <f>SUMIF('Eredeti fejléccel'!$B:$B,'Felosztás eredménykim'!$B26,'Eredeti fejléccel'!$BX:$BX)</f>
        <v>0</v>
      </c>
      <c r="EA26" s="6"/>
      <c r="EC26" s="6"/>
      <c r="EE26" s="6">
        <f>SUMIF('Eredeti fejléccel'!$B:$B,'Felosztás eredménykim'!$B26,'Eredeti fejléccel'!$CA:$CA)</f>
        <v>0</v>
      </c>
      <c r="EF26" s="6">
        <f>SUMIF('Eredeti fejléccel'!$B:$B,'Felosztás eredménykim'!$B26,'Eredeti fejléccel'!$CB:$CB)</f>
        <v>0</v>
      </c>
      <c r="EG26" s="6">
        <f>SUMIF('Eredeti fejléccel'!$B:$B,'Felosztás eredménykim'!$B26,'Eredeti fejléccel'!$CC:$CC)</f>
        <v>0</v>
      </c>
      <c r="EH26" s="6">
        <f>SUMIF('Eredeti fejléccel'!$B:$B,'Felosztás eredménykim'!$B26,'Eredeti fejléccel'!$CD:$CD)</f>
        <v>0</v>
      </c>
      <c r="EK26" s="6">
        <f>SUMIF('Eredeti fejléccel'!$B:$B,'Felosztás eredménykim'!$B26,'Eredeti fejléccel'!$CE:$CE)</f>
        <v>0</v>
      </c>
      <c r="EN26" s="6">
        <f>SUMIF('Eredeti fejléccel'!$B:$B,'Felosztás eredménykim'!$B26,'Eredeti fejléccel'!$CF:$CF)</f>
        <v>0</v>
      </c>
      <c r="EP26" s="6">
        <f>SUMIF('Eredeti fejléccel'!$B:$B,'Felosztás eredménykim'!$B26,'Eredeti fejléccel'!$CG:$CG)</f>
        <v>0</v>
      </c>
      <c r="ES26" s="6">
        <f>SUMIF('Eredeti fejléccel'!$B:$B,'Felosztás eredménykim'!$B26,'Eredeti fejléccel'!$CH:$CH)</f>
        <v>0</v>
      </c>
      <c r="ET26" s="6">
        <f>SUMIF('Eredeti fejléccel'!$B:$B,'Felosztás eredménykim'!$B26,'Eredeti fejléccel'!$CI:$CI)</f>
        <v>0</v>
      </c>
      <c r="EW26" s="8">
        <f t="shared" si="22"/>
        <v>0</v>
      </c>
      <c r="EX26" s="8">
        <f t="shared" si="51"/>
        <v>0</v>
      </c>
      <c r="EY26" s="8">
        <f t="shared" si="52"/>
        <v>150802</v>
      </c>
      <c r="EZ26" s="8">
        <f t="shared" si="23"/>
        <v>150802</v>
      </c>
      <c r="FA26" s="8">
        <f t="shared" si="24"/>
        <v>150802</v>
      </c>
      <c r="FC26" s="6">
        <f>SUMIF('Eredeti fejléccel'!$B:$B,'Felosztás eredménykim'!$B26,'Eredeti fejléccel'!$L:$L)</f>
        <v>0</v>
      </c>
      <c r="FD26" s="6">
        <f>SUMIF('Eredeti fejléccel'!$B:$B,'Felosztás eredménykim'!$B26,'Eredeti fejléccel'!$CJ:$CJ)</f>
        <v>356712.72</v>
      </c>
      <c r="FE26" s="6">
        <f>SUMIF('Eredeti fejléccel'!$B:$B,'Felosztás eredménykim'!$B26,'Eredeti fejléccel'!$CL:$CL)</f>
        <v>0</v>
      </c>
      <c r="FG26" s="99">
        <f t="shared" si="53"/>
        <v>356712.72</v>
      </c>
      <c r="FH26" s="6">
        <f>SUMIF('Eredeti fejléccel'!$B:$B,'Felosztás eredménykim'!$B26,'Eredeti fejléccel'!$CK:$CK)</f>
        <v>0</v>
      </c>
      <c r="FI26" s="36">
        <f t="shared" si="25"/>
        <v>152720.18309057341</v>
      </c>
      <c r="FJ26" s="101">
        <f t="shared" si="26"/>
        <v>79099.675906224729</v>
      </c>
      <c r="FK26" s="6">
        <f>SUMIF('Eredeti fejléccel'!$B:$B,'Felosztás eredménykim'!$B26,'Eredeti fejléccel'!$CM:$CM)</f>
        <v>0</v>
      </c>
      <c r="FL26" s="6">
        <f>SUMIF('Eredeti fejléccel'!$B:$B,'Felosztás eredménykim'!$B26,'Eredeti fejléccel'!$CN:$CN)</f>
        <v>0</v>
      </c>
      <c r="FM26" s="8">
        <f t="shared" si="54"/>
        <v>79099.675906224729</v>
      </c>
      <c r="FN26" s="36">
        <f t="shared" si="27"/>
        <v>129837.20997711163</v>
      </c>
      <c r="FO26" s="101">
        <f t="shared" si="28"/>
        <v>67247.701135004027</v>
      </c>
      <c r="FP26" s="6">
        <f>SUMIF('Eredeti fejléccel'!$B:$B,'Felosztás eredménykim'!$B26,'Eredeti fejléccel'!$CO:$CO)</f>
        <v>59110.96</v>
      </c>
      <c r="FQ26" s="6">
        <f>'Eredeti fejléccel'!CP26</f>
        <v>0</v>
      </c>
      <c r="FR26" s="6">
        <f>'Eredeti fejléccel'!CQ26</f>
        <v>0</v>
      </c>
      <c r="FS26" s="103">
        <f t="shared" si="55"/>
        <v>126358.66113500402</v>
      </c>
      <c r="FT26" s="36">
        <f t="shared" si="29"/>
        <v>358388.55944368255</v>
      </c>
      <c r="FU26" s="101">
        <f t="shared" si="30"/>
        <v>185623.26423928858</v>
      </c>
      <c r="FV26" s="101"/>
      <c r="FW26" s="6">
        <f>SUMIF('Eredeti fejléccel'!$B:$B,'Felosztás eredménykim'!$B26,'Eredeti fejléccel'!$CR:$CR)</f>
        <v>586114.88</v>
      </c>
      <c r="FX26" s="6">
        <f>SUMIF('Eredeti fejléccel'!$B:$B,'Felosztás eredménykim'!$B26,'Eredeti fejléccel'!$CS:$CS)</f>
        <v>0</v>
      </c>
      <c r="FY26" s="6">
        <f>SUMIF('Eredeti fejléccel'!$B:$B,'Felosztás eredménykim'!$B26,'Eredeti fejléccel'!$CT:$CT)</f>
        <v>0</v>
      </c>
      <c r="FZ26" s="6">
        <f>SUMIF('Eredeti fejléccel'!$B:$B,'Felosztás eredménykim'!$B26,'Eredeti fejléccel'!$CU:$CU)</f>
        <v>0</v>
      </c>
      <c r="GA26" s="103">
        <f t="shared" si="56"/>
        <v>771738.14423928852</v>
      </c>
      <c r="GB26" s="36">
        <f t="shared" si="31"/>
        <v>47770.294236861824</v>
      </c>
      <c r="GC26" s="101">
        <f t="shared" si="32"/>
        <v>24742.078719482615</v>
      </c>
      <c r="GD26" s="6">
        <f>SUMIF('Eredeti fejléccel'!$B:$B,'Felosztás eredménykim'!$B26,'Eredeti fejléccel'!$CV:$CV)</f>
        <v>0</v>
      </c>
      <c r="GE26" s="6">
        <f>SUMIF('Eredeti fejléccel'!$B:$B,'Felosztás eredménykim'!$B26,'Eredeti fejléccel'!$CW:$CW)</f>
        <v>0</v>
      </c>
      <c r="GF26" s="103">
        <f t="shared" si="57"/>
        <v>24742.078719482615</v>
      </c>
      <c r="GG26" s="36">
        <f t="shared" si="33"/>
        <v>0</v>
      </c>
      <c r="GM26" s="6">
        <f>SUMIF('Eredeti fejléccel'!$B:$B,'Felosztás eredménykim'!$B26,'Eredeti fejléccel'!$CX:$CX)</f>
        <v>0</v>
      </c>
      <c r="GN26" s="6">
        <f>SUMIF('Eredeti fejléccel'!$B:$B,'Felosztás eredménykim'!$B26,'Eredeti fejléccel'!$CY:$CY)</f>
        <v>0</v>
      </c>
      <c r="GO26" s="6">
        <f>SUMIF('Eredeti fejléccel'!$B:$B,'Felosztás eredménykim'!$B26,'Eredeti fejléccel'!$CZ:$CZ)</f>
        <v>0</v>
      </c>
      <c r="GP26" s="6">
        <f>SUMIF('Eredeti fejléccel'!$B:$B,'Felosztás eredménykim'!$B26,'Eredeti fejléccel'!$DA:$DA)</f>
        <v>0</v>
      </c>
      <c r="GQ26" s="6">
        <f>SUMIF('Eredeti fejléccel'!$B:$B,'Felosztás eredménykim'!$B26,'Eredeti fejléccel'!$DB:$DB)</f>
        <v>0</v>
      </c>
      <c r="GR26" s="103">
        <f t="shared" si="58"/>
        <v>0</v>
      </c>
      <c r="GW26" s="36">
        <f t="shared" si="34"/>
        <v>82002.874436574377</v>
      </c>
      <c r="GX26" s="6">
        <f>SUMIF('Eredeti fejléccel'!$B:$B,'Felosztás eredménykim'!$B26,'Eredeti fejléccel'!$M:$M)</f>
        <v>0</v>
      </c>
      <c r="GY26" s="6">
        <f>SUMIF('Eredeti fejléccel'!$B:$B,'Felosztás eredménykim'!$B26,'Eredeti fejléccel'!$DC:$DC)</f>
        <v>0</v>
      </c>
      <c r="GZ26" s="6">
        <f>SUMIF('Eredeti fejléccel'!$B:$B,'Felosztás eredménykim'!$B26,'Eredeti fejléccel'!$DD:$DD)</f>
        <v>0</v>
      </c>
      <c r="HA26" s="6">
        <f>SUMIF('Eredeti fejléccel'!$B:$B,'Felosztás eredménykim'!$B26,'Eredeti fejléccel'!$DE:$DE)</f>
        <v>0</v>
      </c>
      <c r="HB26" s="103">
        <f t="shared" si="59"/>
        <v>0</v>
      </c>
      <c r="HD26" s="9">
        <f t="shared" si="35"/>
        <v>4582876.5599999977</v>
      </c>
      <c r="HE26" s="9">
        <v>4582876.5599999996</v>
      </c>
      <c r="HF26" s="476"/>
      <c r="HH26" s="34">
        <f t="shared" si="60"/>
        <v>0</v>
      </c>
    </row>
    <row r="27" spans="1:218" x14ac:dyDescent="0.25">
      <c r="A27" s="4" t="s">
        <v>93</v>
      </c>
      <c r="B27" s="4" t="s">
        <v>93</v>
      </c>
      <c r="C27" s="1" t="s">
        <v>94</v>
      </c>
      <c r="D27" s="6">
        <f>SUMIF('Eredeti fejléccel'!$B:$B,'Felosztás eredménykim'!$B27,'Eredeti fejléccel'!$D:$D)</f>
        <v>0</v>
      </c>
      <c r="E27" s="6">
        <f>SUMIF('Eredeti fejléccel'!$B:$B,'Felosztás eredménykim'!$B27,'Eredeti fejléccel'!$E:$E)</f>
        <v>0</v>
      </c>
      <c r="F27" s="6">
        <f>SUMIF('Eredeti fejléccel'!$B:$B,'Felosztás eredménykim'!$B27,'Eredeti fejléccel'!$F:$F)</f>
        <v>0</v>
      </c>
      <c r="G27" s="6">
        <f>SUMIF('Eredeti fejléccel'!$B:$B,'Felosztás eredménykim'!$B27,'Eredeti fejléccel'!$G:$G)</f>
        <v>0</v>
      </c>
      <c r="H27" s="6"/>
      <c r="I27" s="6">
        <f>SUMIF('Eredeti fejléccel'!$B:$B,'Felosztás eredménykim'!$B27,'Eredeti fejléccel'!$O:$O)</f>
        <v>0</v>
      </c>
      <c r="J27" s="6">
        <f>SUMIF('Eredeti fejléccel'!$B:$B,'Felosztás eredménykim'!$B27,'Eredeti fejléccel'!$P:$P)</f>
        <v>0</v>
      </c>
      <c r="K27" s="6">
        <f>SUMIF('Eredeti fejléccel'!$B:$B,'Felosztás eredménykim'!$B27,'Eredeti fejléccel'!$Q:$Q)</f>
        <v>0</v>
      </c>
      <c r="L27" s="6">
        <f>SUMIF('Eredeti fejléccel'!$B:$B,'Felosztás eredménykim'!$B27,'Eredeti fejléccel'!$R:$R)</f>
        <v>0</v>
      </c>
      <c r="M27" s="6">
        <f>SUMIF('Eredeti fejléccel'!$B:$B,'Felosztás eredménykim'!$B27,'Eredeti fejléccel'!$T:$T)</f>
        <v>0</v>
      </c>
      <c r="N27" s="6">
        <f>SUMIF('Eredeti fejléccel'!$B:$B,'Felosztás eredménykim'!$B27,'Eredeti fejléccel'!$U:$U)</f>
        <v>0</v>
      </c>
      <c r="O27" s="6">
        <f>SUMIF('Eredeti fejléccel'!$B:$B,'Felosztás eredménykim'!$B27,'Eredeti fejléccel'!$V:$V)</f>
        <v>0</v>
      </c>
      <c r="P27" s="6">
        <f>SUMIF('Eredeti fejléccel'!$B:$B,'Felosztás eredménykim'!$B27,'Eredeti fejléccel'!$W:$W)</f>
        <v>0</v>
      </c>
      <c r="Q27" s="6">
        <f>SUMIF('Eredeti fejléccel'!$B:$B,'Felosztás eredménykim'!$B27,'Eredeti fejléccel'!$X:$X)</f>
        <v>0</v>
      </c>
      <c r="R27" s="6">
        <f>SUMIF('Eredeti fejléccel'!$B:$B,'Felosztás eredménykim'!$B27,'Eredeti fejléccel'!$Y:$Y)</f>
        <v>0</v>
      </c>
      <c r="S27" s="6">
        <f>SUMIF('Eredeti fejléccel'!$B:$B,'Felosztás eredménykim'!$B27,'Eredeti fejléccel'!$Z:$Z)</f>
        <v>0</v>
      </c>
      <c r="T27" s="6">
        <f>SUMIF('Eredeti fejléccel'!$B:$B,'Felosztás eredménykim'!$B27,'Eredeti fejléccel'!$AA:$AA)</f>
        <v>0</v>
      </c>
      <c r="U27" s="6">
        <f>SUMIF('Eredeti fejléccel'!$B:$B,'Felosztás eredménykim'!$B27,'Eredeti fejléccel'!$D:$D)</f>
        <v>0</v>
      </c>
      <c r="V27" s="6">
        <f>SUMIF('Eredeti fejléccel'!$B:$B,'Felosztás eredménykim'!$B27,'Eredeti fejléccel'!$AT:$AT)</f>
        <v>0</v>
      </c>
      <c r="X27" s="36">
        <f t="shared" si="0"/>
        <v>0</v>
      </c>
      <c r="Z27" s="6">
        <f>SUMIF('Eredeti fejléccel'!$B:$B,'Felosztás eredménykim'!$B27,'Eredeti fejléccel'!$K:$K)</f>
        <v>0</v>
      </c>
      <c r="AB27" s="6">
        <f>SUMIF('Eredeti fejléccel'!$B:$B,'Felosztás eredménykim'!$B27,'Eredeti fejléccel'!$AB:$AB)</f>
        <v>0</v>
      </c>
      <c r="AC27" s="6">
        <f>SUMIF('Eredeti fejléccel'!$B:$B,'Felosztás eredménykim'!$B27,'Eredeti fejléccel'!$AQ:$AQ)</f>
        <v>0</v>
      </c>
      <c r="AE27" s="73">
        <f t="shared" si="1"/>
        <v>0</v>
      </c>
      <c r="AF27" s="36">
        <f t="shared" si="2"/>
        <v>0</v>
      </c>
      <c r="AG27" s="8">
        <f t="shared" si="3"/>
        <v>0</v>
      </c>
      <c r="AI27" s="6">
        <f>SUMIF('Eredeti fejléccel'!$B:$B,'Felosztás eredménykim'!$B27,'Eredeti fejléccel'!$BB:$BB)</f>
        <v>0</v>
      </c>
      <c r="AJ27" s="6">
        <f>SUMIF('Eredeti fejléccel'!$B:$B,'Felosztás eredménykim'!$B27,'Eredeti fejléccel'!$AF:$AF)</f>
        <v>0</v>
      </c>
      <c r="AK27" s="8">
        <f t="shared" si="4"/>
        <v>0</v>
      </c>
      <c r="AL27" s="36">
        <f t="shared" si="5"/>
        <v>0</v>
      </c>
      <c r="AM27" s="8">
        <f t="shared" si="6"/>
        <v>0</v>
      </c>
      <c r="AN27" s="6">
        <f t="shared" si="36"/>
        <v>0</v>
      </c>
      <c r="AO27" s="6">
        <f>SUMIF('Eredeti fejléccel'!$B:$B,'Felosztás eredménykim'!$B27,'Eredeti fejléccel'!$AC:$AC)</f>
        <v>0</v>
      </c>
      <c r="AP27" s="6">
        <f>SUMIF('Eredeti fejléccel'!$B:$B,'Felosztás eredménykim'!$B27,'Eredeti fejléccel'!$AD:$AD)</f>
        <v>0</v>
      </c>
      <c r="AQ27" s="6">
        <f>SUMIF('Eredeti fejléccel'!$B:$B,'Felosztás eredménykim'!$B27,'Eredeti fejléccel'!$AE:$AE)</f>
        <v>0</v>
      </c>
      <c r="AR27" s="6">
        <f>SUMIF('Eredeti fejléccel'!$B:$B,'Felosztás eredménykim'!$B27,'Eredeti fejléccel'!$AG:$AG)</f>
        <v>0</v>
      </c>
      <c r="AS27" s="6">
        <f t="shared" si="37"/>
        <v>0</v>
      </c>
      <c r="AT27" s="36">
        <f t="shared" si="7"/>
        <v>0</v>
      </c>
      <c r="AU27" s="8">
        <f t="shared" si="8"/>
        <v>0</v>
      </c>
      <c r="AV27" s="6">
        <f>SUMIF('Eredeti fejléccel'!$B:$B,'Felosztás eredménykim'!$B27,'Eredeti fejléccel'!$AI:$AI)</f>
        <v>0</v>
      </c>
      <c r="AW27" s="6">
        <f>SUMIF('Eredeti fejléccel'!$B:$B,'Felosztás eredménykim'!$B27,'Eredeti fejléccel'!$AJ:$AJ)</f>
        <v>0</v>
      </c>
      <c r="AX27" s="6">
        <f>SUMIF('Eredeti fejléccel'!$B:$B,'Felosztás eredménykim'!$B27,'Eredeti fejléccel'!$AK:$AK)</f>
        <v>0</v>
      </c>
      <c r="AY27" s="6">
        <f>SUMIF('Eredeti fejléccel'!$B:$B,'Felosztás eredménykim'!$B27,'Eredeti fejléccel'!$AL:$AL)</f>
        <v>0</v>
      </c>
      <c r="AZ27" s="6">
        <f>SUMIF('Eredeti fejléccel'!$B:$B,'Felosztás eredménykim'!$B27,'Eredeti fejléccel'!$AM:$AM)</f>
        <v>0</v>
      </c>
      <c r="BA27" s="6">
        <f>SUMIF('Eredeti fejléccel'!$B:$B,'Felosztás eredménykim'!$B27,'Eredeti fejléccel'!$AN:$AN)</f>
        <v>0</v>
      </c>
      <c r="BB27" s="6">
        <f>SUMIF('Eredeti fejléccel'!$B:$B,'Felosztás eredménykim'!$B27,'Eredeti fejléccel'!$AP:$AP)</f>
        <v>0</v>
      </c>
      <c r="BD27" s="6">
        <f>SUMIF('Eredeti fejléccel'!$B:$B,'Felosztás eredménykim'!$B27,'Eredeti fejléccel'!$AS:$AS)</f>
        <v>0</v>
      </c>
      <c r="BE27" s="8">
        <f t="shared" si="38"/>
        <v>0</v>
      </c>
      <c r="BF27" s="36">
        <f t="shared" si="9"/>
        <v>0</v>
      </c>
      <c r="BG27" s="8">
        <f t="shared" si="10"/>
        <v>0</v>
      </c>
      <c r="BH27" s="6">
        <f t="shared" si="39"/>
        <v>0</v>
      </c>
      <c r="BI27" s="6">
        <f>SUMIF('Eredeti fejléccel'!$B:$B,'Felosztás eredménykim'!$B27,'Eredeti fejléccel'!$AH:$AH)</f>
        <v>0</v>
      </c>
      <c r="BJ27" s="6">
        <f>SUMIF('Eredeti fejléccel'!$B:$B,'Felosztás eredménykim'!$B27,'Eredeti fejléccel'!$AO:$AO)</f>
        <v>0</v>
      </c>
      <c r="BK27" s="6">
        <f>SUMIF('Eredeti fejléccel'!$B:$B,'Felosztás eredménykim'!$B27,'Eredeti fejléccel'!$BF:$BF)</f>
        <v>0</v>
      </c>
      <c r="BL27" s="8">
        <f t="shared" si="40"/>
        <v>0</v>
      </c>
      <c r="BM27" s="36">
        <f t="shared" si="11"/>
        <v>0</v>
      </c>
      <c r="BN27" s="8">
        <f t="shared" si="12"/>
        <v>0</v>
      </c>
      <c r="BP27" s="8">
        <f t="shared" si="41"/>
        <v>0</v>
      </c>
      <c r="BQ27" s="6">
        <f>SUMIF('Eredeti fejléccel'!$B:$B,'Felosztás eredménykim'!$B27,'Eredeti fejléccel'!$N:$N)</f>
        <v>0</v>
      </c>
      <c r="BR27" s="6">
        <f>SUMIF('Eredeti fejléccel'!$B:$B,'Felosztás eredménykim'!$B27,'Eredeti fejléccel'!$S:$S)</f>
        <v>0</v>
      </c>
      <c r="BT27" s="6">
        <f>SUMIF('Eredeti fejléccel'!$B:$B,'Felosztás eredménykim'!$B27,'Eredeti fejléccel'!$AR:$AR)</f>
        <v>0</v>
      </c>
      <c r="BU27" s="6">
        <f>SUMIF('Eredeti fejléccel'!$B:$B,'Felosztás eredménykim'!$B27,'Eredeti fejléccel'!$AU:$AU)</f>
        <v>0</v>
      </c>
      <c r="BV27" s="6">
        <f>SUMIF('Eredeti fejléccel'!$B:$B,'Felosztás eredménykim'!$B27,'Eredeti fejléccel'!$AV:$AV)</f>
        <v>0</v>
      </c>
      <c r="BW27" s="6">
        <f>SUMIF('Eredeti fejléccel'!$B:$B,'Felosztás eredménykim'!$B27,'Eredeti fejléccel'!$AW:$AW)</f>
        <v>0</v>
      </c>
      <c r="BX27" s="6">
        <f>SUMIF('Eredeti fejléccel'!$B:$B,'Felosztás eredménykim'!$B27,'Eredeti fejléccel'!$AX:$AX)</f>
        <v>0</v>
      </c>
      <c r="BY27" s="6">
        <f>SUMIF('Eredeti fejléccel'!$B:$B,'Felosztás eredménykim'!$B27,'Eredeti fejléccel'!$AY:$AY)</f>
        <v>0</v>
      </c>
      <c r="BZ27" s="6">
        <f>SUMIF('Eredeti fejléccel'!$B:$B,'Felosztás eredménykim'!$B27,'Eredeti fejléccel'!$AZ:$AZ)</f>
        <v>0</v>
      </c>
      <c r="CA27" s="6">
        <f>SUMIF('Eredeti fejléccel'!$B:$B,'Felosztás eredménykim'!$B27,'Eredeti fejléccel'!$BA:$BA)</f>
        <v>0</v>
      </c>
      <c r="CB27" s="6">
        <f t="shared" si="13"/>
        <v>0</v>
      </c>
      <c r="CC27" s="36">
        <f t="shared" si="14"/>
        <v>0</v>
      </c>
      <c r="CD27" s="8">
        <f t="shared" si="15"/>
        <v>0</v>
      </c>
      <c r="CE27" s="6">
        <f>SUMIF('Eredeti fejléccel'!$B:$B,'Felosztás eredménykim'!$B27,'Eredeti fejléccel'!$BC:$BC)</f>
        <v>0</v>
      </c>
      <c r="CF27" s="8">
        <f t="shared" si="42"/>
        <v>0</v>
      </c>
      <c r="CG27" s="6">
        <f>SUMIF('Eredeti fejléccel'!$B:$B,'Felosztás eredménykim'!$B27,'Eredeti fejléccel'!$H:$H)</f>
        <v>0</v>
      </c>
      <c r="CH27" s="6">
        <f>SUMIF('Eredeti fejléccel'!$B:$B,'Felosztás eredménykim'!$B27,'Eredeti fejléccel'!$BE:$BE)</f>
        <v>0</v>
      </c>
      <c r="CI27" s="6">
        <f t="shared" si="43"/>
        <v>0</v>
      </c>
      <c r="CJ27" s="36">
        <f t="shared" si="16"/>
        <v>0</v>
      </c>
      <c r="CK27" s="8">
        <f t="shared" si="17"/>
        <v>0</v>
      </c>
      <c r="CL27" s="8">
        <f t="shared" si="44"/>
        <v>0</v>
      </c>
      <c r="CM27" s="6">
        <f>SUMIF('Eredeti fejléccel'!$B:$B,'Felosztás eredménykim'!$B27,'Eredeti fejléccel'!$BD:$BD)</f>
        <v>0</v>
      </c>
      <c r="CN27" s="8">
        <f t="shared" si="45"/>
        <v>0</v>
      </c>
      <c r="CO27" s="8">
        <f t="shared" si="18"/>
        <v>0</v>
      </c>
      <c r="CR27" s="36">
        <f t="shared" si="19"/>
        <v>0</v>
      </c>
      <c r="CS27" s="6">
        <f>SUMIF('Eredeti fejléccel'!$B:$B,'Felosztás eredménykim'!$B27,'Eredeti fejléccel'!$I:$I)</f>
        <v>0</v>
      </c>
      <c r="CT27" s="6">
        <f>SUMIF('Eredeti fejléccel'!$B:$B,'Felosztás eredménykim'!$B27,'Eredeti fejléccel'!$BG:$BG)</f>
        <v>0</v>
      </c>
      <c r="CU27" s="6">
        <f>SUMIF('Eredeti fejléccel'!$B:$B,'Felosztás eredménykim'!$B27,'Eredeti fejléccel'!$BH:$BH)</f>
        <v>0</v>
      </c>
      <c r="CV27" s="6">
        <f>SUMIF('Eredeti fejléccel'!$B:$B,'Felosztás eredménykim'!$B27,'Eredeti fejléccel'!$BI:$BI)</f>
        <v>0</v>
      </c>
      <c r="CW27" s="6">
        <f>SUMIF('Eredeti fejléccel'!$B:$B,'Felosztás eredménykim'!$B27,'Eredeti fejléccel'!$BL:$BL)</f>
        <v>884814.65999999992</v>
      </c>
      <c r="CX27" s="6">
        <f t="shared" si="46"/>
        <v>884814.65999999992</v>
      </c>
      <c r="CY27" s="6">
        <f>SUMIF('Eredeti fejléccel'!$B:$B,'Felosztás eredménykim'!$B27,'Eredeti fejléccel'!$BJ:$BJ)</f>
        <v>132213.34</v>
      </c>
      <c r="CZ27" s="6">
        <f>SUMIF('Eredeti fejléccel'!$B:$B,'Felosztás eredménykim'!$B27,'Eredeti fejléccel'!$BK:$BK)</f>
        <v>0</v>
      </c>
      <c r="DA27" s="99">
        <f t="shared" si="47"/>
        <v>1017027.9999999999</v>
      </c>
      <c r="DC27" s="36">
        <f t="shared" si="20"/>
        <v>0</v>
      </c>
      <c r="DD27" s="6">
        <f>SUMIF('Eredeti fejléccel'!$B:$B,'Felosztás eredménykim'!$B27,'Eredeti fejléccel'!$J:$J)</f>
        <v>0</v>
      </c>
      <c r="DE27" s="6">
        <f>SUMIF('Eredeti fejléccel'!$B:$B,'Felosztás eredménykim'!$B27,'Eredeti fejléccel'!$BM:$BM)</f>
        <v>98913</v>
      </c>
      <c r="DF27" s="6">
        <f t="shared" si="48"/>
        <v>0</v>
      </c>
      <c r="DG27" s="8">
        <f t="shared" si="21"/>
        <v>0</v>
      </c>
      <c r="DH27" s="8">
        <f t="shared" si="49"/>
        <v>98913</v>
      </c>
      <c r="DJ27" s="6">
        <f>SUMIF('Eredeti fejléccel'!$B:$B,'Felosztás eredménykim'!$B27,'Eredeti fejléccel'!$BN:$BN)</f>
        <v>0</v>
      </c>
      <c r="DK27" s="6">
        <f>SUMIF('Eredeti fejléccel'!$B:$B,'Felosztás eredménykim'!$B27,'Eredeti fejléccel'!$BZ:$BZ)</f>
        <v>0</v>
      </c>
      <c r="DL27" s="8">
        <f t="shared" si="50"/>
        <v>0</v>
      </c>
      <c r="DM27" s="6">
        <f>SUMIF('Eredeti fejléccel'!$B:$B,'Felosztás eredménykim'!$B27,'Eredeti fejléccel'!$BR:$BR)</f>
        <v>0</v>
      </c>
      <c r="DN27" s="6">
        <f>SUMIF('Eredeti fejléccel'!$B:$B,'Felosztás eredménykim'!$B27,'Eredeti fejléccel'!$BS:$BS)</f>
        <v>0</v>
      </c>
      <c r="DO27" s="6">
        <f>SUMIF('Eredeti fejléccel'!$B:$B,'Felosztás eredménykim'!$B27,'Eredeti fejléccel'!$BO:$BO)</f>
        <v>0</v>
      </c>
      <c r="DP27" s="6">
        <f>SUMIF('Eredeti fejléccel'!$B:$B,'Felosztás eredménykim'!$B27,'Eredeti fejléccel'!$BP:$BP)</f>
        <v>0</v>
      </c>
      <c r="DQ27" s="6">
        <f>SUMIF('Eredeti fejléccel'!$B:$B,'Felosztás eredménykim'!$B27,'Eredeti fejléccel'!$BQ:$BQ)</f>
        <v>0</v>
      </c>
      <c r="DS27" s="8"/>
      <c r="DU27" s="6">
        <f>SUMIF('Eredeti fejléccel'!$B:$B,'Felosztás eredménykim'!$B27,'Eredeti fejléccel'!$BT:$BT)</f>
        <v>0</v>
      </c>
      <c r="DV27" s="6">
        <f>SUMIF('Eredeti fejléccel'!$B:$B,'Felosztás eredménykim'!$B27,'Eredeti fejléccel'!$BU:$BU)</f>
        <v>0</v>
      </c>
      <c r="DW27" s="6">
        <f>SUMIF('Eredeti fejléccel'!$B:$B,'Felosztás eredménykim'!$B27,'Eredeti fejléccel'!$BV:$BV)</f>
        <v>0</v>
      </c>
      <c r="DX27" s="6">
        <f>SUMIF('Eredeti fejléccel'!$B:$B,'Felosztás eredménykim'!$B27,'Eredeti fejléccel'!$BW:$BW)</f>
        <v>0</v>
      </c>
      <c r="DY27" s="6">
        <f>SUMIF('Eredeti fejléccel'!$B:$B,'Felosztás eredménykim'!$B27,'Eredeti fejléccel'!$BX:$BX)</f>
        <v>0</v>
      </c>
      <c r="EA27" s="6"/>
      <c r="EC27" s="6"/>
      <c r="EE27" s="6">
        <f>SUMIF('Eredeti fejléccel'!$B:$B,'Felosztás eredménykim'!$B27,'Eredeti fejléccel'!$CA:$CA)</f>
        <v>0</v>
      </c>
      <c r="EF27" s="6">
        <f>SUMIF('Eredeti fejléccel'!$B:$B,'Felosztás eredménykim'!$B27,'Eredeti fejléccel'!$CB:$CB)</f>
        <v>0</v>
      </c>
      <c r="EG27" s="6">
        <f>SUMIF('Eredeti fejléccel'!$B:$B,'Felosztás eredménykim'!$B27,'Eredeti fejléccel'!$CC:$CC)</f>
        <v>0</v>
      </c>
      <c r="EH27" s="6">
        <f>SUMIF('Eredeti fejléccel'!$B:$B,'Felosztás eredménykim'!$B27,'Eredeti fejléccel'!$CD:$CD)</f>
        <v>0</v>
      </c>
      <c r="EK27" s="6">
        <f>SUMIF('Eredeti fejléccel'!$B:$B,'Felosztás eredménykim'!$B27,'Eredeti fejléccel'!$CE:$CE)</f>
        <v>0</v>
      </c>
      <c r="EN27" s="6">
        <f>SUMIF('Eredeti fejléccel'!$B:$B,'Felosztás eredménykim'!$B27,'Eredeti fejléccel'!$CF:$CF)</f>
        <v>0</v>
      </c>
      <c r="EP27" s="6">
        <f>SUMIF('Eredeti fejléccel'!$B:$B,'Felosztás eredménykim'!$B27,'Eredeti fejléccel'!$CG:$CG)</f>
        <v>0</v>
      </c>
      <c r="ES27" s="6">
        <f>SUMIF('Eredeti fejléccel'!$B:$B,'Felosztás eredménykim'!$B27,'Eredeti fejléccel'!$CH:$CH)</f>
        <v>0</v>
      </c>
      <c r="ET27" s="6">
        <f>SUMIF('Eredeti fejléccel'!$B:$B,'Felosztás eredménykim'!$B27,'Eredeti fejléccel'!$CI:$CI)</f>
        <v>0</v>
      </c>
      <c r="EW27" s="8">
        <f t="shared" si="22"/>
        <v>0</v>
      </c>
      <c r="EX27" s="8">
        <f t="shared" si="51"/>
        <v>0</v>
      </c>
      <c r="EY27" s="8">
        <f t="shared" si="52"/>
        <v>98913</v>
      </c>
      <c r="EZ27" s="8">
        <f t="shared" si="23"/>
        <v>98913</v>
      </c>
      <c r="FA27" s="8">
        <f t="shared" si="24"/>
        <v>98913</v>
      </c>
      <c r="FC27" s="6">
        <f>SUMIF('Eredeti fejléccel'!$B:$B,'Felosztás eredménykim'!$B27,'Eredeti fejléccel'!$L:$L)</f>
        <v>0</v>
      </c>
      <c r="FD27" s="6">
        <f>SUMIF('Eredeti fejléccel'!$B:$B,'Felosztás eredménykim'!$B27,'Eredeti fejléccel'!$CJ:$CJ)</f>
        <v>89470.68</v>
      </c>
      <c r="FE27" s="6">
        <f>SUMIF('Eredeti fejléccel'!$B:$B,'Felosztás eredménykim'!$B27,'Eredeti fejléccel'!$CL:$CL)</f>
        <v>0</v>
      </c>
      <c r="FG27" s="99">
        <f t="shared" si="53"/>
        <v>89470.68</v>
      </c>
      <c r="FH27" s="6">
        <f>SUMIF('Eredeti fejléccel'!$B:$B,'Felosztás eredménykim'!$B27,'Eredeti fejléccel'!$CK:$CK)</f>
        <v>0</v>
      </c>
      <c r="FI27" s="36">
        <f t="shared" si="25"/>
        <v>0</v>
      </c>
      <c r="FJ27" s="101">
        <f t="shared" si="26"/>
        <v>19839.779728375099</v>
      </c>
      <c r="FK27" s="6">
        <f>SUMIF('Eredeti fejléccel'!$B:$B,'Felosztás eredménykim'!$B27,'Eredeti fejléccel'!$CM:$CM)</f>
        <v>0</v>
      </c>
      <c r="FL27" s="6">
        <f>SUMIF('Eredeti fejléccel'!$B:$B,'Felosztás eredménykim'!$B27,'Eredeti fejléccel'!$CN:$CN)</f>
        <v>0</v>
      </c>
      <c r="FM27" s="8">
        <f t="shared" si="54"/>
        <v>19839.779728375099</v>
      </c>
      <c r="FN27" s="36">
        <f t="shared" si="27"/>
        <v>0</v>
      </c>
      <c r="FO27" s="101">
        <f t="shared" si="28"/>
        <v>16867.067563459983</v>
      </c>
      <c r="FP27" s="6">
        <f>SUMIF('Eredeti fejléccel'!$B:$B,'Felosztás eredménykim'!$B27,'Eredeti fejléccel'!$CO:$CO)</f>
        <v>445560.95999999996</v>
      </c>
      <c r="FQ27" s="6">
        <f>'Eredeti fejléccel'!CP27</f>
        <v>0</v>
      </c>
      <c r="FR27" s="6">
        <f>'Eredeti fejléccel'!CQ27</f>
        <v>0</v>
      </c>
      <c r="FS27" s="103">
        <f t="shared" si="55"/>
        <v>462428.02756345994</v>
      </c>
      <c r="FT27" s="36">
        <f t="shared" si="29"/>
        <v>0</v>
      </c>
      <c r="FU27" s="101">
        <f t="shared" si="30"/>
        <v>46558.024831042843</v>
      </c>
      <c r="FV27" s="101"/>
      <c r="FW27" s="6">
        <f>SUMIF('Eredeti fejléccel'!$B:$B,'Felosztás eredménykim'!$B27,'Eredeti fejléccel'!$CR:$CR)</f>
        <v>10901011.67</v>
      </c>
      <c r="FX27" s="6">
        <f>SUMIF('Eredeti fejléccel'!$B:$B,'Felosztás eredménykim'!$B27,'Eredeti fejléccel'!$CS:$CS)</f>
        <v>0</v>
      </c>
      <c r="FY27" s="6">
        <f>SUMIF('Eredeti fejléccel'!$B:$B,'Felosztás eredménykim'!$B27,'Eredeti fejléccel'!$CT:$CT)</f>
        <v>0</v>
      </c>
      <c r="FZ27" s="6">
        <f>SUMIF('Eredeti fejléccel'!$B:$B,'Felosztás eredménykim'!$B27,'Eredeti fejléccel'!$CU:$CU)</f>
        <v>0</v>
      </c>
      <c r="GA27" s="103">
        <f t="shared" si="56"/>
        <v>10947569.694831043</v>
      </c>
      <c r="GB27" s="36">
        <f t="shared" si="31"/>
        <v>0</v>
      </c>
      <c r="GC27" s="101">
        <f t="shared" si="32"/>
        <v>6205.8078771220689</v>
      </c>
      <c r="GD27" s="6">
        <f>SUMIF('Eredeti fejléccel'!$B:$B,'Felosztás eredménykim'!$B27,'Eredeti fejléccel'!$CV:$CV)</f>
        <v>1045779.0499999999</v>
      </c>
      <c r="GE27" s="6">
        <f>SUMIF('Eredeti fejléccel'!$B:$B,'Felosztás eredménykim'!$B27,'Eredeti fejléccel'!$CW:$CW)</f>
        <v>15118.08</v>
      </c>
      <c r="GF27" s="103">
        <f t="shared" si="57"/>
        <v>1067102.9378771221</v>
      </c>
      <c r="GG27" s="36">
        <f t="shared" si="33"/>
        <v>0</v>
      </c>
      <c r="GM27" s="6">
        <f>SUMIF('Eredeti fejléccel'!$B:$B,'Felosztás eredménykim'!$B27,'Eredeti fejléccel'!$CX:$CX)</f>
        <v>0</v>
      </c>
      <c r="GN27" s="6">
        <f>SUMIF('Eredeti fejléccel'!$B:$B,'Felosztás eredménykim'!$B27,'Eredeti fejléccel'!$CY:$CY)</f>
        <v>0</v>
      </c>
      <c r="GO27" s="6">
        <f>SUMIF('Eredeti fejléccel'!$B:$B,'Felosztás eredménykim'!$B27,'Eredeti fejléccel'!$CZ:$CZ)</f>
        <v>0</v>
      </c>
      <c r="GP27" s="6">
        <f>SUMIF('Eredeti fejléccel'!$B:$B,'Felosztás eredménykim'!$B27,'Eredeti fejléccel'!$DA:$DA)</f>
        <v>0</v>
      </c>
      <c r="GQ27" s="6">
        <f>SUMIF('Eredeti fejléccel'!$B:$B,'Felosztás eredménykim'!$B27,'Eredeti fejléccel'!$DB:$DB)</f>
        <v>0</v>
      </c>
      <c r="GR27" s="103">
        <f t="shared" si="58"/>
        <v>0</v>
      </c>
      <c r="GW27" s="36">
        <f t="shared" si="34"/>
        <v>0</v>
      </c>
      <c r="GX27" s="6">
        <f>SUMIF('Eredeti fejléccel'!$B:$B,'Felosztás eredménykim'!$B27,'Eredeti fejléccel'!$M:$M)</f>
        <v>0</v>
      </c>
      <c r="GY27" s="6">
        <f>SUMIF('Eredeti fejléccel'!$B:$B,'Felosztás eredménykim'!$B27,'Eredeti fejléccel'!$DC:$DC)</f>
        <v>0</v>
      </c>
      <c r="GZ27" s="6">
        <f>SUMIF('Eredeti fejléccel'!$B:$B,'Felosztás eredménykim'!$B27,'Eredeti fejléccel'!$DD:$DD)</f>
        <v>0</v>
      </c>
      <c r="HA27" s="6">
        <f>SUMIF('Eredeti fejléccel'!$B:$B,'Felosztás eredménykim'!$B27,'Eredeti fejléccel'!$DE:$DE)</f>
        <v>0</v>
      </c>
      <c r="HB27" s="103">
        <f t="shared" si="59"/>
        <v>0</v>
      </c>
      <c r="HD27" s="9">
        <f t="shared" si="35"/>
        <v>13612881.439999999</v>
      </c>
      <c r="HE27" s="9">
        <v>13612881.439999999</v>
      </c>
      <c r="HF27" s="476"/>
      <c r="HH27" s="34">
        <f t="shared" si="60"/>
        <v>0</v>
      </c>
    </row>
    <row r="28" spans="1:218" x14ac:dyDescent="0.25">
      <c r="A28" s="4" t="s">
        <v>95</v>
      </c>
      <c r="B28" s="4" t="s">
        <v>95</v>
      </c>
      <c r="C28" s="1" t="s">
        <v>96</v>
      </c>
      <c r="D28" s="6">
        <f>SUMIF('Eredeti fejléccel'!$B:$B,'Felosztás eredménykim'!$B28,'Eredeti fejléccel'!$D:$D)</f>
        <v>0</v>
      </c>
      <c r="E28" s="6">
        <f>SUMIF('Eredeti fejléccel'!$B:$B,'Felosztás eredménykim'!$B28,'Eredeti fejléccel'!$E:$E)</f>
        <v>59030</v>
      </c>
      <c r="F28" s="6">
        <f>SUMIF('Eredeti fejléccel'!$B:$B,'Felosztás eredménykim'!$B28,'Eredeti fejléccel'!$F:$F)</f>
        <v>0</v>
      </c>
      <c r="G28" s="6">
        <f>SUMIF('Eredeti fejléccel'!$B:$B,'Felosztás eredménykim'!$B28,'Eredeti fejléccel'!$G:$G)</f>
        <v>46850</v>
      </c>
      <c r="H28" s="6"/>
      <c r="I28" s="6">
        <f>SUMIF('Eredeti fejléccel'!$B:$B,'Felosztás eredménykim'!$B28,'Eredeti fejléccel'!$O:$O)</f>
        <v>0</v>
      </c>
      <c r="J28" s="6">
        <f>SUMIF('Eredeti fejléccel'!$B:$B,'Felosztás eredménykim'!$B28,'Eredeti fejléccel'!$P:$P)</f>
        <v>0</v>
      </c>
      <c r="K28" s="6">
        <f>SUMIF('Eredeti fejléccel'!$B:$B,'Felosztás eredménykim'!$B28,'Eredeti fejléccel'!$Q:$Q)</f>
        <v>0</v>
      </c>
      <c r="L28" s="6">
        <f>SUMIF('Eredeti fejléccel'!$B:$B,'Felosztás eredménykim'!$B28,'Eredeti fejléccel'!$R:$R)</f>
        <v>0</v>
      </c>
      <c r="M28" s="6">
        <f>SUMIF('Eredeti fejléccel'!$B:$B,'Felosztás eredménykim'!$B28,'Eredeti fejléccel'!$T:$T)</f>
        <v>0</v>
      </c>
      <c r="N28" s="6">
        <f>SUMIF('Eredeti fejléccel'!$B:$B,'Felosztás eredménykim'!$B28,'Eredeti fejléccel'!$U:$U)</f>
        <v>0</v>
      </c>
      <c r="O28" s="6">
        <f>SUMIF('Eredeti fejléccel'!$B:$B,'Felosztás eredménykim'!$B28,'Eredeti fejléccel'!$V:$V)</f>
        <v>0</v>
      </c>
      <c r="P28" s="6">
        <f>SUMIF('Eredeti fejléccel'!$B:$B,'Felosztás eredménykim'!$B28,'Eredeti fejléccel'!$W:$W)</f>
        <v>0</v>
      </c>
      <c r="Q28" s="6">
        <f>SUMIF('Eredeti fejléccel'!$B:$B,'Felosztás eredménykim'!$B28,'Eredeti fejléccel'!$X:$X)</f>
        <v>0</v>
      </c>
      <c r="R28" s="6">
        <f>SUMIF('Eredeti fejléccel'!$B:$B,'Felosztás eredménykim'!$B28,'Eredeti fejléccel'!$Y:$Y)</f>
        <v>0</v>
      </c>
      <c r="S28" s="6">
        <f>SUMIF('Eredeti fejléccel'!$B:$B,'Felosztás eredménykim'!$B28,'Eredeti fejléccel'!$Z:$Z)</f>
        <v>0</v>
      </c>
      <c r="T28" s="6">
        <f>SUMIF('Eredeti fejléccel'!$B:$B,'Felosztás eredménykim'!$B28,'Eredeti fejléccel'!$AA:$AA)</f>
        <v>0</v>
      </c>
      <c r="U28" s="6">
        <f>SUMIF('Eredeti fejléccel'!$B:$B,'Felosztás eredménykim'!$B28,'Eredeti fejléccel'!$D:$D)</f>
        <v>0</v>
      </c>
      <c r="V28" s="6">
        <f>SUMIF('Eredeti fejléccel'!$B:$B,'Felosztás eredménykim'!$B28,'Eredeti fejléccel'!$AT:$AT)</f>
        <v>0</v>
      </c>
      <c r="X28" s="36">
        <f t="shared" si="0"/>
        <v>105880</v>
      </c>
      <c r="Z28" s="6">
        <f>SUMIF('Eredeti fejléccel'!$B:$B,'Felosztás eredménykim'!$B28,'Eredeti fejléccel'!$K:$K)</f>
        <v>41270</v>
      </c>
      <c r="AB28" s="6">
        <f>SUMIF('Eredeti fejléccel'!$B:$B,'Felosztás eredménykim'!$B28,'Eredeti fejléccel'!$AB:$AB)</f>
        <v>0</v>
      </c>
      <c r="AC28" s="6">
        <f>SUMIF('Eredeti fejléccel'!$B:$B,'Felosztás eredménykim'!$B28,'Eredeti fejléccel'!$AQ:$AQ)</f>
        <v>0</v>
      </c>
      <c r="AE28" s="73">
        <f t="shared" si="1"/>
        <v>41270</v>
      </c>
      <c r="AF28" s="36">
        <f t="shared" si="2"/>
        <v>12630.916645631878</v>
      </c>
      <c r="AG28" s="8">
        <f t="shared" si="3"/>
        <v>13158.711206511043</v>
      </c>
      <c r="AI28" s="6">
        <f>SUMIF('Eredeti fejléccel'!$B:$B,'Felosztás eredménykim'!$B28,'Eredeti fejléccel'!$BB:$BB)</f>
        <v>0</v>
      </c>
      <c r="AJ28" s="6">
        <f>SUMIF('Eredeti fejléccel'!$B:$B,'Felosztás eredménykim'!$B28,'Eredeti fejléccel'!$AF:$AF)</f>
        <v>0</v>
      </c>
      <c r="AK28" s="8">
        <f t="shared" si="4"/>
        <v>13158.711206511043</v>
      </c>
      <c r="AL28" s="36">
        <f t="shared" si="5"/>
        <v>5016.9363170307834</v>
      </c>
      <c r="AM28" s="8">
        <f t="shared" si="6"/>
        <v>5226.5736517306141</v>
      </c>
      <c r="AN28" s="6">
        <f t="shared" si="36"/>
        <v>0</v>
      </c>
      <c r="AO28" s="6">
        <f>SUMIF('Eredeti fejléccel'!$B:$B,'Felosztás eredménykim'!$B28,'Eredeti fejléccel'!$AC:$AC)</f>
        <v>0</v>
      </c>
      <c r="AP28" s="6">
        <f>SUMIF('Eredeti fejléccel'!$B:$B,'Felosztás eredménykim'!$B28,'Eredeti fejléccel'!$AD:$AD)</f>
        <v>0</v>
      </c>
      <c r="AQ28" s="6">
        <f>SUMIF('Eredeti fejléccel'!$B:$B,'Felosztás eredménykim'!$B28,'Eredeti fejléccel'!$AE:$AE)</f>
        <v>0</v>
      </c>
      <c r="AR28" s="6">
        <f>SUMIF('Eredeti fejléccel'!$B:$B,'Felosztás eredménykim'!$B28,'Eredeti fejléccel'!$AG:$AG)</f>
        <v>0</v>
      </c>
      <c r="AS28" s="6">
        <f t="shared" si="37"/>
        <v>5226.5736517306141</v>
      </c>
      <c r="AT28" s="36">
        <f t="shared" si="7"/>
        <v>8148.9784810528263</v>
      </c>
      <c r="AU28" s="8">
        <f t="shared" si="8"/>
        <v>8489.4911009748666</v>
      </c>
      <c r="AV28" s="6">
        <f>SUMIF('Eredeti fejléccel'!$B:$B,'Felosztás eredménykim'!$B28,'Eredeti fejléccel'!$AI:$AI)</f>
        <v>0</v>
      </c>
      <c r="AW28" s="6">
        <f>SUMIF('Eredeti fejléccel'!$B:$B,'Felosztás eredménykim'!$B28,'Eredeti fejléccel'!$AJ:$AJ)</f>
        <v>0</v>
      </c>
      <c r="AX28" s="6">
        <f>SUMIF('Eredeti fejléccel'!$B:$B,'Felosztás eredménykim'!$B28,'Eredeti fejléccel'!$AK:$AK)</f>
        <v>0</v>
      </c>
      <c r="AY28" s="6">
        <f>SUMIF('Eredeti fejléccel'!$B:$B,'Felosztás eredménykim'!$B28,'Eredeti fejléccel'!$AL:$AL)</f>
        <v>0</v>
      </c>
      <c r="AZ28" s="6">
        <f>SUMIF('Eredeti fejléccel'!$B:$B,'Felosztás eredménykim'!$B28,'Eredeti fejléccel'!$AM:$AM)</f>
        <v>0</v>
      </c>
      <c r="BA28" s="6">
        <f>SUMIF('Eredeti fejléccel'!$B:$B,'Felosztás eredménykim'!$B28,'Eredeti fejléccel'!$AN:$AN)</f>
        <v>0</v>
      </c>
      <c r="BB28" s="6">
        <f>SUMIF('Eredeti fejléccel'!$B:$B,'Felosztás eredménykim'!$B28,'Eredeti fejléccel'!$AP:$AP)</f>
        <v>0</v>
      </c>
      <c r="BD28" s="6">
        <f>SUMIF('Eredeti fejléccel'!$B:$B,'Felosztás eredménykim'!$B28,'Eredeti fejléccel'!$AS:$AS)</f>
        <v>0</v>
      </c>
      <c r="BE28" s="8">
        <f t="shared" si="38"/>
        <v>8489.4911009748666</v>
      </c>
      <c r="BF28" s="36">
        <f t="shared" si="9"/>
        <v>2125.8204733181283</v>
      </c>
      <c r="BG28" s="8">
        <f t="shared" si="10"/>
        <v>2214.649852428226</v>
      </c>
      <c r="BH28" s="6">
        <f t="shared" si="39"/>
        <v>0</v>
      </c>
      <c r="BI28" s="6">
        <f>SUMIF('Eredeti fejléccel'!$B:$B,'Felosztás eredménykim'!$B28,'Eredeti fejléccel'!$AH:$AH)</f>
        <v>0</v>
      </c>
      <c r="BJ28" s="6">
        <f>SUMIF('Eredeti fejléccel'!$B:$B,'Felosztás eredménykim'!$B28,'Eredeti fejléccel'!$AO:$AO)</f>
        <v>0</v>
      </c>
      <c r="BK28" s="6">
        <f>SUMIF('Eredeti fejléccel'!$B:$B,'Felosztás eredménykim'!$B28,'Eredeti fejléccel'!$BF:$BF)</f>
        <v>0</v>
      </c>
      <c r="BL28" s="8">
        <f t="shared" si="40"/>
        <v>2214.649852428226</v>
      </c>
      <c r="BM28" s="36">
        <f t="shared" si="11"/>
        <v>7964.7407066985888</v>
      </c>
      <c r="BN28" s="8">
        <f t="shared" si="12"/>
        <v>8297.5547804310881</v>
      </c>
      <c r="BP28" s="8">
        <f t="shared" si="41"/>
        <v>0</v>
      </c>
      <c r="BQ28" s="6">
        <f>SUMIF('Eredeti fejléccel'!$B:$B,'Felosztás eredménykim'!$B28,'Eredeti fejléccel'!$N:$N)</f>
        <v>0</v>
      </c>
      <c r="BR28" s="6">
        <f>SUMIF('Eredeti fejléccel'!$B:$B,'Felosztás eredménykim'!$B28,'Eredeti fejléccel'!$S:$S)</f>
        <v>0</v>
      </c>
      <c r="BT28" s="6">
        <f>SUMIF('Eredeti fejléccel'!$B:$B,'Felosztás eredménykim'!$B28,'Eredeti fejléccel'!$AR:$AR)</f>
        <v>0</v>
      </c>
      <c r="BU28" s="6">
        <f>SUMIF('Eredeti fejléccel'!$B:$B,'Felosztás eredménykim'!$B28,'Eredeti fejléccel'!$AU:$AU)</f>
        <v>0</v>
      </c>
      <c r="BV28" s="6">
        <f>SUMIF('Eredeti fejléccel'!$B:$B,'Felosztás eredménykim'!$B28,'Eredeti fejléccel'!$AV:$AV)</f>
        <v>0</v>
      </c>
      <c r="BW28" s="6">
        <f>SUMIF('Eredeti fejléccel'!$B:$B,'Felosztás eredménykim'!$B28,'Eredeti fejléccel'!$AW:$AW)</f>
        <v>0</v>
      </c>
      <c r="BX28" s="6">
        <f>SUMIF('Eredeti fejléccel'!$B:$B,'Felosztás eredménykim'!$B28,'Eredeti fejléccel'!$AX:$AX)</f>
        <v>0</v>
      </c>
      <c r="BY28" s="6">
        <f>SUMIF('Eredeti fejléccel'!$B:$B,'Felosztás eredménykim'!$B28,'Eredeti fejléccel'!$AY:$AY)</f>
        <v>0</v>
      </c>
      <c r="BZ28" s="6">
        <f>SUMIF('Eredeti fejléccel'!$B:$B,'Felosztás eredménykim'!$B28,'Eredeti fejléccel'!$AZ:$AZ)</f>
        <v>0</v>
      </c>
      <c r="CA28" s="6">
        <f>SUMIF('Eredeti fejléccel'!$B:$B,'Felosztás eredménykim'!$B28,'Eredeti fejléccel'!$BA:$BA)</f>
        <v>0</v>
      </c>
      <c r="CB28" s="6">
        <f t="shared" si="13"/>
        <v>8297.5547804310881</v>
      </c>
      <c r="CC28" s="36">
        <f t="shared" si="14"/>
        <v>2168.3368827844911</v>
      </c>
      <c r="CD28" s="8">
        <f t="shared" si="15"/>
        <v>2258.9428494767908</v>
      </c>
      <c r="CE28" s="6">
        <f>SUMIF('Eredeti fejléccel'!$B:$B,'Felosztás eredménykim'!$B28,'Eredeti fejléccel'!$BC:$BC)</f>
        <v>0</v>
      </c>
      <c r="CF28" s="8">
        <f t="shared" si="42"/>
        <v>0</v>
      </c>
      <c r="CG28" s="6">
        <f>SUMIF('Eredeti fejléccel'!$B:$B,'Felosztás eredménykim'!$B28,'Eredeti fejléccel'!$H:$H)</f>
        <v>0</v>
      </c>
      <c r="CH28" s="6">
        <f>SUMIF('Eredeti fejléccel'!$B:$B,'Felosztás eredménykim'!$B28,'Eredeti fejléccel'!$BE:$BE)</f>
        <v>0</v>
      </c>
      <c r="CI28" s="6">
        <f t="shared" si="43"/>
        <v>2258.9428494767908</v>
      </c>
      <c r="CJ28" s="36">
        <f t="shared" si="16"/>
        <v>1558.9350137666279</v>
      </c>
      <c r="CK28" s="8">
        <f t="shared" si="17"/>
        <v>1624.0765584473659</v>
      </c>
      <c r="CL28" s="8">
        <f t="shared" si="44"/>
        <v>0</v>
      </c>
      <c r="CM28" s="6">
        <f>SUMIF('Eredeti fejléccel'!$B:$B,'Felosztás eredménykim'!$B28,'Eredeti fejléccel'!$BD:$BD)</f>
        <v>0</v>
      </c>
      <c r="CN28" s="8">
        <f t="shared" si="45"/>
        <v>1624.0765584473659</v>
      </c>
      <c r="CO28" s="8">
        <f t="shared" si="18"/>
        <v>80884.664520283346</v>
      </c>
      <c r="CR28" s="36">
        <f t="shared" si="19"/>
        <v>9364.209916291049</v>
      </c>
      <c r="CS28" s="6">
        <f>SUMIF('Eredeti fejléccel'!$B:$B,'Felosztás eredménykim'!$B28,'Eredeti fejléccel'!$I:$I)</f>
        <v>0</v>
      </c>
      <c r="CT28" s="6">
        <f>SUMIF('Eredeti fejléccel'!$B:$B,'Felosztás eredménykim'!$B28,'Eredeti fejléccel'!$BG:$BG)</f>
        <v>0</v>
      </c>
      <c r="CU28" s="6">
        <f>SUMIF('Eredeti fejléccel'!$B:$B,'Felosztás eredménykim'!$B28,'Eredeti fejléccel'!$BH:$BH)</f>
        <v>0</v>
      </c>
      <c r="CV28" s="6">
        <f>SUMIF('Eredeti fejléccel'!$B:$B,'Felosztás eredménykim'!$B28,'Eredeti fejléccel'!$BI:$BI)</f>
        <v>0</v>
      </c>
      <c r="CW28" s="6">
        <f>SUMIF('Eredeti fejléccel'!$B:$B,'Felosztás eredménykim'!$B28,'Eredeti fejléccel'!$BL:$BL)</f>
        <v>38032</v>
      </c>
      <c r="CX28" s="6">
        <f t="shared" si="46"/>
        <v>38032</v>
      </c>
      <c r="CY28" s="6">
        <f>SUMIF('Eredeti fejléccel'!$B:$B,'Felosztás eredménykim'!$B28,'Eredeti fejléccel'!$BJ:$BJ)</f>
        <v>5683</v>
      </c>
      <c r="CZ28" s="6">
        <f>SUMIF('Eredeti fejléccel'!$B:$B,'Felosztás eredménykim'!$B28,'Eredeti fejléccel'!$BK:$BK)</f>
        <v>0</v>
      </c>
      <c r="DA28" s="99">
        <f t="shared" si="47"/>
        <v>43715</v>
      </c>
      <c r="DC28" s="36">
        <f t="shared" si="20"/>
        <v>8201.7797810689008</v>
      </c>
      <c r="DD28" s="6">
        <f>SUMIF('Eredeti fejléccel'!$B:$B,'Felosztás eredménykim'!$B28,'Eredeti fejléccel'!$J:$J)</f>
        <v>0</v>
      </c>
      <c r="DE28" s="6">
        <f>SUMIF('Eredeti fejléccel'!$B:$B,'Felosztás eredménykim'!$B28,'Eredeti fejléccel'!$BM:$BM)</f>
        <v>0</v>
      </c>
      <c r="DF28" s="6">
        <f t="shared" si="48"/>
        <v>0</v>
      </c>
      <c r="DG28" s="8">
        <f t="shared" si="21"/>
        <v>0</v>
      </c>
      <c r="DH28" s="8">
        <f t="shared" si="49"/>
        <v>0</v>
      </c>
      <c r="DJ28" s="6">
        <f>SUMIF('Eredeti fejléccel'!$B:$B,'Felosztás eredménykim'!$B28,'Eredeti fejléccel'!$BN:$BN)</f>
        <v>0</v>
      </c>
      <c r="DK28" s="6">
        <f>SUMIF('Eredeti fejléccel'!$B:$B,'Felosztás eredménykim'!$B28,'Eredeti fejléccel'!$BZ:$BZ)</f>
        <v>0</v>
      </c>
      <c r="DL28" s="8">
        <f t="shared" si="50"/>
        <v>0</v>
      </c>
      <c r="DM28" s="6">
        <f>SUMIF('Eredeti fejléccel'!$B:$B,'Felosztás eredménykim'!$B28,'Eredeti fejléccel'!$BR:$BR)</f>
        <v>0</v>
      </c>
      <c r="DN28" s="6">
        <f>SUMIF('Eredeti fejléccel'!$B:$B,'Felosztás eredménykim'!$B28,'Eredeti fejléccel'!$BS:$BS)</f>
        <v>0</v>
      </c>
      <c r="DO28" s="6">
        <f>SUMIF('Eredeti fejléccel'!$B:$B,'Felosztás eredménykim'!$B28,'Eredeti fejléccel'!$BO:$BO)</f>
        <v>0</v>
      </c>
      <c r="DP28" s="6">
        <f>SUMIF('Eredeti fejléccel'!$B:$B,'Felosztás eredménykim'!$B28,'Eredeti fejléccel'!$BP:$BP)</f>
        <v>0</v>
      </c>
      <c r="DQ28" s="6">
        <f>SUMIF('Eredeti fejléccel'!$B:$B,'Felosztás eredménykim'!$B28,'Eredeti fejléccel'!$BQ:$BQ)</f>
        <v>0</v>
      </c>
      <c r="DS28" s="8"/>
      <c r="DU28" s="6">
        <f>SUMIF('Eredeti fejléccel'!$B:$B,'Felosztás eredménykim'!$B28,'Eredeti fejléccel'!$BT:$BT)</f>
        <v>0</v>
      </c>
      <c r="DV28" s="6">
        <f>SUMIF('Eredeti fejléccel'!$B:$B,'Felosztás eredménykim'!$B28,'Eredeti fejléccel'!$BU:$BU)</f>
        <v>0</v>
      </c>
      <c r="DW28" s="6">
        <f>SUMIF('Eredeti fejléccel'!$B:$B,'Felosztás eredménykim'!$B28,'Eredeti fejléccel'!$BV:$BV)</f>
        <v>0</v>
      </c>
      <c r="DX28" s="6">
        <f>SUMIF('Eredeti fejléccel'!$B:$B,'Felosztás eredménykim'!$B28,'Eredeti fejléccel'!$BW:$BW)</f>
        <v>0</v>
      </c>
      <c r="DY28" s="6">
        <f>SUMIF('Eredeti fejléccel'!$B:$B,'Felosztás eredménykim'!$B28,'Eredeti fejléccel'!$BX:$BX)</f>
        <v>0</v>
      </c>
      <c r="EA28" s="6"/>
      <c r="EC28" s="6"/>
      <c r="EE28" s="6">
        <f>SUMIF('Eredeti fejléccel'!$B:$B,'Felosztás eredménykim'!$B28,'Eredeti fejléccel'!$CA:$CA)</f>
        <v>0</v>
      </c>
      <c r="EF28" s="6">
        <f>SUMIF('Eredeti fejléccel'!$B:$B,'Felosztás eredménykim'!$B28,'Eredeti fejléccel'!$CB:$CB)</f>
        <v>0</v>
      </c>
      <c r="EG28" s="6">
        <f>SUMIF('Eredeti fejléccel'!$B:$B,'Felosztás eredménykim'!$B28,'Eredeti fejléccel'!$CC:$CC)</f>
        <v>0</v>
      </c>
      <c r="EH28" s="6">
        <f>SUMIF('Eredeti fejléccel'!$B:$B,'Felosztás eredménykim'!$B28,'Eredeti fejléccel'!$CD:$CD)</f>
        <v>0</v>
      </c>
      <c r="EK28" s="6">
        <f>SUMIF('Eredeti fejléccel'!$B:$B,'Felosztás eredménykim'!$B28,'Eredeti fejléccel'!$CE:$CE)</f>
        <v>0</v>
      </c>
      <c r="EN28" s="6">
        <f>SUMIF('Eredeti fejléccel'!$B:$B,'Felosztás eredménykim'!$B28,'Eredeti fejléccel'!$CF:$CF)</f>
        <v>0</v>
      </c>
      <c r="EP28" s="6">
        <f>SUMIF('Eredeti fejléccel'!$B:$B,'Felosztás eredménykim'!$B28,'Eredeti fejléccel'!$CG:$CG)</f>
        <v>0</v>
      </c>
      <c r="ES28" s="6">
        <f>SUMIF('Eredeti fejléccel'!$B:$B,'Felosztás eredménykim'!$B28,'Eredeti fejléccel'!$CH:$CH)</f>
        <v>0</v>
      </c>
      <c r="ET28" s="6">
        <f>SUMIF('Eredeti fejléccel'!$B:$B,'Felosztás eredménykim'!$B28,'Eredeti fejléccel'!$CI:$CI)</f>
        <v>0</v>
      </c>
      <c r="EW28" s="8">
        <f t="shared" si="22"/>
        <v>0</v>
      </c>
      <c r="EX28" s="8">
        <f t="shared" si="51"/>
        <v>0</v>
      </c>
      <c r="EY28" s="8">
        <f t="shared" si="52"/>
        <v>0</v>
      </c>
      <c r="EZ28" s="8">
        <f t="shared" si="23"/>
        <v>0</v>
      </c>
      <c r="FA28" s="8">
        <f t="shared" si="24"/>
        <v>0</v>
      </c>
      <c r="FC28" s="6">
        <f>SUMIF('Eredeti fejléccel'!$B:$B,'Felosztás eredménykim'!$B28,'Eredeti fejléccel'!$L:$L)</f>
        <v>0</v>
      </c>
      <c r="FD28" s="6">
        <f>SUMIF('Eredeti fejléccel'!$B:$B,'Felosztás eredménykim'!$B28,'Eredeti fejléccel'!$CJ:$CJ)</f>
        <v>3044.02</v>
      </c>
      <c r="FE28" s="6">
        <f>SUMIF('Eredeti fejléccel'!$B:$B,'Felosztás eredménykim'!$B28,'Eredeti fejléccel'!$CL:$CL)</f>
        <v>0</v>
      </c>
      <c r="FG28" s="99">
        <f t="shared" si="53"/>
        <v>3044.02</v>
      </c>
      <c r="FH28" s="6">
        <f>SUMIF('Eredeti fejléccel'!$B:$B,'Felosztás eredménykim'!$B28,'Eredeti fejléccel'!$CK:$CK)</f>
        <v>0</v>
      </c>
      <c r="FI28" s="36">
        <f t="shared" si="25"/>
        <v>9649.9136972745782</v>
      </c>
      <c r="FJ28" s="101">
        <f t="shared" si="26"/>
        <v>674.99974616006466</v>
      </c>
      <c r="FK28" s="6">
        <f>SUMIF('Eredeti fejléccel'!$B:$B,'Felosztás eredménykim'!$B28,'Eredeti fejléccel'!$CM:$CM)</f>
        <v>0</v>
      </c>
      <c r="FL28" s="6">
        <f>SUMIF('Eredeti fejléccel'!$B:$B,'Felosztás eredménykim'!$B28,'Eredeti fejléccel'!$CN:$CN)</f>
        <v>0</v>
      </c>
      <c r="FM28" s="8">
        <f t="shared" si="54"/>
        <v>674.99974616006466</v>
      </c>
      <c r="FN28" s="36">
        <f t="shared" si="27"/>
        <v>8204.0097491958877</v>
      </c>
      <c r="FO28" s="101">
        <f t="shared" si="28"/>
        <v>573.86052061438966</v>
      </c>
      <c r="FP28" s="6">
        <f>SUMIF('Eredeti fejléccel'!$B:$B,'Felosztás eredménykim'!$B28,'Eredeti fejléccel'!$CO:$CO)</f>
        <v>0</v>
      </c>
      <c r="FQ28" s="6">
        <f>'Eredeti fejléccel'!CP28</f>
        <v>0</v>
      </c>
      <c r="FR28" s="6">
        <f>'Eredeti fejléccel'!CQ28</f>
        <v>0</v>
      </c>
      <c r="FS28" s="103">
        <f t="shared" si="55"/>
        <v>573.86052061438966</v>
      </c>
      <c r="FT28" s="36">
        <f t="shared" si="29"/>
        <v>22645.459157621757</v>
      </c>
      <c r="FU28" s="101">
        <f t="shared" si="30"/>
        <v>1584.0223718674213</v>
      </c>
      <c r="FV28" s="101"/>
      <c r="FW28" s="6">
        <f>SUMIF('Eredeti fejléccel'!$B:$B,'Felosztás eredménykim'!$B28,'Eredeti fejléccel'!$CR:$CR)</f>
        <v>0</v>
      </c>
      <c r="FX28" s="6">
        <f>SUMIF('Eredeti fejléccel'!$B:$B,'Felosztás eredménykim'!$B28,'Eredeti fejléccel'!$CS:$CS)</f>
        <v>0</v>
      </c>
      <c r="FY28" s="6">
        <f>SUMIF('Eredeti fejléccel'!$B:$B,'Felosztás eredménykim'!$B28,'Eredeti fejléccel'!$CT:$CT)</f>
        <v>0</v>
      </c>
      <c r="FZ28" s="6">
        <f>SUMIF('Eredeti fejléccel'!$B:$B,'Felosztás eredménykim'!$B28,'Eredeti fejléccel'!$CU:$CU)</f>
        <v>0</v>
      </c>
      <c r="GA28" s="103">
        <f t="shared" si="56"/>
        <v>1584.0223718674213</v>
      </c>
      <c r="GB28" s="36">
        <f t="shared" si="31"/>
        <v>3018.4564171569773</v>
      </c>
      <c r="GC28" s="101">
        <f t="shared" si="32"/>
        <v>211.13736135812448</v>
      </c>
      <c r="GD28" s="6">
        <f>SUMIF('Eredeti fejléccel'!$B:$B,'Felosztás eredménykim'!$B28,'Eredeti fejléccel'!$CV:$CV)</f>
        <v>0</v>
      </c>
      <c r="GE28" s="6">
        <f>SUMIF('Eredeti fejléccel'!$B:$B,'Felosztás eredménykim'!$B28,'Eredeti fejléccel'!$CW:$CW)</f>
        <v>0</v>
      </c>
      <c r="GF28" s="103">
        <f t="shared" si="57"/>
        <v>211.13736135812448</v>
      </c>
      <c r="GG28" s="36">
        <f t="shared" si="33"/>
        <v>0</v>
      </c>
      <c r="GM28" s="6">
        <f>SUMIF('Eredeti fejléccel'!$B:$B,'Felosztás eredménykim'!$B28,'Eredeti fejléccel'!$CX:$CX)</f>
        <v>0</v>
      </c>
      <c r="GN28" s="6">
        <f>SUMIF('Eredeti fejléccel'!$B:$B,'Felosztás eredménykim'!$B28,'Eredeti fejléccel'!$CY:$CY)</f>
        <v>0</v>
      </c>
      <c r="GO28" s="6">
        <f>SUMIF('Eredeti fejléccel'!$B:$B,'Felosztás eredménykim'!$B28,'Eredeti fejléccel'!$CZ:$CZ)</f>
        <v>0</v>
      </c>
      <c r="GP28" s="6">
        <f>SUMIF('Eredeti fejléccel'!$B:$B,'Felosztás eredménykim'!$B28,'Eredeti fejléccel'!$DA:$DA)</f>
        <v>0</v>
      </c>
      <c r="GQ28" s="6">
        <f>SUMIF('Eredeti fejléccel'!$B:$B,'Felosztás eredménykim'!$B28,'Eredeti fejléccel'!$DB:$DB)</f>
        <v>0</v>
      </c>
      <c r="GR28" s="103">
        <f t="shared" si="58"/>
        <v>0</v>
      </c>
      <c r="GW28" s="36">
        <f t="shared" si="34"/>
        <v>5181.5067611075337</v>
      </c>
      <c r="GX28" s="6">
        <f>SUMIF('Eredeti fejléccel'!$B:$B,'Felosztás eredménykim'!$B28,'Eredeti fejléccel'!$M:$M)</f>
        <v>0</v>
      </c>
      <c r="GY28" s="6">
        <f>SUMIF('Eredeti fejléccel'!$B:$B,'Felosztás eredménykim'!$B28,'Eredeti fejléccel'!$DC:$DC)</f>
        <v>0</v>
      </c>
      <c r="GZ28" s="6">
        <f>SUMIF('Eredeti fejléccel'!$B:$B,'Felosztás eredménykim'!$B28,'Eredeti fejléccel'!$DD:$DD)</f>
        <v>0</v>
      </c>
      <c r="HA28" s="6">
        <f>SUMIF('Eredeti fejléccel'!$B:$B,'Felosztás eredménykim'!$B28,'Eredeti fejléccel'!$DE:$DE)</f>
        <v>0</v>
      </c>
      <c r="HB28" s="103">
        <f t="shared" si="59"/>
        <v>0</v>
      </c>
      <c r="HD28" s="9">
        <f t="shared" si="35"/>
        <v>193909.02000000037</v>
      </c>
      <c r="HE28" s="9">
        <v>193909.02</v>
      </c>
      <c r="HF28" s="476"/>
      <c r="HH28" s="34">
        <f t="shared" si="60"/>
        <v>3.7834979593753815E-10</v>
      </c>
    </row>
    <row r="29" spans="1:218" x14ac:dyDescent="0.25">
      <c r="A29" s="208" t="s">
        <v>1462</v>
      </c>
      <c r="B29" s="208" t="s">
        <v>1462</v>
      </c>
      <c r="C29" s="1" t="s">
        <v>1463</v>
      </c>
      <c r="D29" s="6">
        <f>SUMIF('Eredeti fejléccel'!$B:$B,'Felosztás eredménykim'!$B29,'Eredeti fejléccel'!$D:$D)</f>
        <v>0</v>
      </c>
      <c r="E29" s="6">
        <f>SUMIF('Eredeti fejléccel'!$B:$B,'Felosztás eredménykim'!$B29,'Eredeti fejléccel'!$E:$E)</f>
        <v>0</v>
      </c>
      <c r="F29" s="6">
        <f>SUMIF('Eredeti fejléccel'!$B:$B,'Felosztás eredménykim'!$B29,'Eredeti fejléccel'!$F:$F)</f>
        <v>0</v>
      </c>
      <c r="G29" s="6">
        <f>SUMIF('Eredeti fejléccel'!$B:$B,'Felosztás eredménykim'!$B29,'Eredeti fejléccel'!$G:$G)</f>
        <v>0</v>
      </c>
      <c r="H29" s="6"/>
      <c r="I29" s="6">
        <f>SUMIF('Eredeti fejléccel'!$B:$B,'Felosztás eredménykim'!$B29,'Eredeti fejléccel'!$O:$O)</f>
        <v>0</v>
      </c>
      <c r="J29" s="6">
        <f>SUMIF('Eredeti fejléccel'!$B:$B,'Felosztás eredménykim'!$B29,'Eredeti fejléccel'!$P:$P)</f>
        <v>0</v>
      </c>
      <c r="K29" s="6">
        <f>SUMIF('Eredeti fejléccel'!$B:$B,'Felosztás eredménykim'!$B29,'Eredeti fejléccel'!$Q:$Q)</f>
        <v>0</v>
      </c>
      <c r="L29" s="6">
        <f>SUMIF('Eredeti fejléccel'!$B:$B,'Felosztás eredménykim'!$B29,'Eredeti fejléccel'!$R:$R)</f>
        <v>0</v>
      </c>
      <c r="M29" s="6">
        <f>SUMIF('Eredeti fejléccel'!$B:$B,'Felosztás eredménykim'!$B29,'Eredeti fejléccel'!$T:$T)</f>
        <v>0</v>
      </c>
      <c r="N29" s="6">
        <f>SUMIF('Eredeti fejléccel'!$B:$B,'Felosztás eredménykim'!$B29,'Eredeti fejléccel'!$U:$U)</f>
        <v>0</v>
      </c>
      <c r="O29" s="6">
        <f>SUMIF('Eredeti fejléccel'!$B:$B,'Felosztás eredménykim'!$B29,'Eredeti fejléccel'!$V:$V)</f>
        <v>0</v>
      </c>
      <c r="P29" s="6">
        <f>SUMIF('Eredeti fejléccel'!$B:$B,'Felosztás eredménykim'!$B29,'Eredeti fejléccel'!$W:$W)</f>
        <v>0</v>
      </c>
      <c r="Q29" s="6">
        <f>SUMIF('Eredeti fejléccel'!$B:$B,'Felosztás eredménykim'!$B29,'Eredeti fejléccel'!$X:$X)</f>
        <v>0</v>
      </c>
      <c r="R29" s="6">
        <f>SUMIF('Eredeti fejléccel'!$B:$B,'Felosztás eredménykim'!$B29,'Eredeti fejléccel'!$Y:$Y)</f>
        <v>0</v>
      </c>
      <c r="S29" s="6">
        <f>SUMIF('Eredeti fejléccel'!$B:$B,'Felosztás eredménykim'!$B29,'Eredeti fejléccel'!$Z:$Z)</f>
        <v>0</v>
      </c>
      <c r="T29" s="6">
        <f>SUMIF('Eredeti fejléccel'!$B:$B,'Felosztás eredménykim'!$B29,'Eredeti fejléccel'!$AA:$AA)</f>
        <v>0</v>
      </c>
      <c r="U29" s="6">
        <f>SUMIF('Eredeti fejléccel'!$B:$B,'Felosztás eredménykim'!$B29,'Eredeti fejléccel'!$D:$D)</f>
        <v>0</v>
      </c>
      <c r="V29" s="6">
        <f>SUMIF('Eredeti fejléccel'!$B:$B,'Felosztás eredménykim'!$B29,'Eredeti fejléccel'!$AT:$AT)</f>
        <v>0</v>
      </c>
      <c r="X29" s="36">
        <f t="shared" si="0"/>
        <v>0</v>
      </c>
      <c r="Z29" s="6">
        <f>SUMIF('Eredeti fejléccel'!$B:$B,'Felosztás eredménykim'!$B29,'Eredeti fejléccel'!$K:$K)</f>
        <v>0</v>
      </c>
      <c r="AB29" s="6">
        <f>SUMIF('Eredeti fejléccel'!$B:$B,'Felosztás eredménykim'!$B29,'Eredeti fejléccel'!$AB:$AB)</f>
        <v>0</v>
      </c>
      <c r="AC29" s="6">
        <f>SUMIF('Eredeti fejléccel'!$B:$B,'Felosztás eredménykim'!$B29,'Eredeti fejléccel'!$AQ:$AQ)</f>
        <v>0</v>
      </c>
      <c r="AE29" s="73">
        <f>SUM(Z29:AD29)</f>
        <v>0</v>
      </c>
      <c r="AF29" s="36">
        <f t="shared" si="2"/>
        <v>0</v>
      </c>
      <c r="AG29" s="8">
        <f t="shared" si="3"/>
        <v>0</v>
      </c>
      <c r="AI29" s="6">
        <f>SUMIF('Eredeti fejléccel'!$B:$B,'Felosztás eredménykim'!$B29,'Eredeti fejléccel'!$BB:$BB)</f>
        <v>0</v>
      </c>
      <c r="AJ29" s="6">
        <f>SUMIF('Eredeti fejléccel'!$B:$B,'Felosztás eredménykim'!$B29,'Eredeti fejléccel'!$AF:$AF)</f>
        <v>0</v>
      </c>
      <c r="AK29" s="8">
        <f t="shared" si="4"/>
        <v>0</v>
      </c>
      <c r="AL29" s="36">
        <f t="shared" si="5"/>
        <v>0</v>
      </c>
      <c r="AM29" s="8">
        <f t="shared" si="6"/>
        <v>0</v>
      </c>
      <c r="AN29" s="6">
        <f>-AO29/2</f>
        <v>0</v>
      </c>
      <c r="AO29" s="6">
        <f>SUMIF('Eredeti fejléccel'!$B:$B,'Felosztás eredménykim'!$B29,'Eredeti fejléccel'!$AC:$AC)</f>
        <v>0</v>
      </c>
      <c r="AP29" s="6">
        <f>SUMIF('Eredeti fejléccel'!$B:$B,'Felosztás eredménykim'!$B29,'Eredeti fejléccel'!$AD:$AD)</f>
        <v>0</v>
      </c>
      <c r="AQ29" s="6">
        <f>SUMIF('Eredeti fejléccel'!$B:$B,'Felosztás eredménykim'!$B29,'Eredeti fejléccel'!$AE:$AE)</f>
        <v>0</v>
      </c>
      <c r="AR29" s="6">
        <f>SUMIF('Eredeti fejléccel'!$B:$B,'Felosztás eredménykim'!$B29,'Eredeti fejléccel'!$AG:$AG)</f>
        <v>0</v>
      </c>
      <c r="AS29" s="6">
        <f>SUM(AM29:AR29)</f>
        <v>0</v>
      </c>
      <c r="AT29" s="36">
        <f t="shared" si="7"/>
        <v>0</v>
      </c>
      <c r="AU29" s="8">
        <f t="shared" si="8"/>
        <v>0</v>
      </c>
      <c r="AV29" s="6">
        <f>SUMIF('Eredeti fejléccel'!$B:$B,'Felosztás eredménykim'!$B29,'Eredeti fejléccel'!$AI:$AI)</f>
        <v>0</v>
      </c>
      <c r="AW29" s="6">
        <f>SUMIF('Eredeti fejléccel'!$B:$B,'Felosztás eredménykim'!$B29,'Eredeti fejléccel'!$AJ:$AJ)</f>
        <v>0</v>
      </c>
      <c r="AX29" s="6">
        <f>SUMIF('Eredeti fejléccel'!$B:$B,'Felosztás eredménykim'!$B29,'Eredeti fejléccel'!$AK:$AK)</f>
        <v>0</v>
      </c>
      <c r="AY29" s="6">
        <f>SUMIF('Eredeti fejléccel'!$B:$B,'Felosztás eredménykim'!$B29,'Eredeti fejléccel'!$AL:$AL)</f>
        <v>0</v>
      </c>
      <c r="AZ29" s="6">
        <f>SUMIF('Eredeti fejléccel'!$B:$B,'Felosztás eredménykim'!$B29,'Eredeti fejléccel'!$AM:$AM)</f>
        <v>0</v>
      </c>
      <c r="BA29" s="6">
        <f>SUMIF('Eredeti fejléccel'!$B:$B,'Felosztás eredménykim'!$B29,'Eredeti fejléccel'!$AN:$AN)</f>
        <v>0</v>
      </c>
      <c r="BB29" s="6">
        <f>SUMIF('Eredeti fejléccel'!$B:$B,'Felosztás eredménykim'!$B29,'Eredeti fejléccel'!$AP:$AP)</f>
        <v>0</v>
      </c>
      <c r="BD29" s="6">
        <f>SUMIF('Eredeti fejléccel'!$B:$B,'Felosztás eredménykim'!$B29,'Eredeti fejléccel'!$AS:$AS)</f>
        <v>0</v>
      </c>
      <c r="BE29" s="8">
        <f>SUM(AU29:BD29)</f>
        <v>0</v>
      </c>
      <c r="BF29" s="36">
        <f t="shared" si="9"/>
        <v>0</v>
      </c>
      <c r="BG29" s="8">
        <f t="shared" si="10"/>
        <v>0</v>
      </c>
      <c r="BH29" s="6">
        <f>AO29/2</f>
        <v>0</v>
      </c>
      <c r="BI29" s="6">
        <f>SUMIF('Eredeti fejléccel'!$B:$B,'Felosztás eredménykim'!$B29,'Eredeti fejléccel'!$AH:$AH)</f>
        <v>0</v>
      </c>
      <c r="BJ29" s="6">
        <f>SUMIF('Eredeti fejléccel'!$B:$B,'Felosztás eredménykim'!$B29,'Eredeti fejléccel'!$AO:$AO)</f>
        <v>0</v>
      </c>
      <c r="BK29" s="6">
        <f>SUMIF('Eredeti fejléccel'!$B:$B,'Felosztás eredménykim'!$B29,'Eredeti fejléccel'!$BF:$BF)</f>
        <v>0</v>
      </c>
      <c r="BL29" s="8">
        <f>SUM(BG29:BK29)</f>
        <v>0</v>
      </c>
      <c r="BM29" s="36">
        <f t="shared" si="11"/>
        <v>0</v>
      </c>
      <c r="BN29" s="8">
        <f t="shared" si="12"/>
        <v>0</v>
      </c>
      <c r="BP29" s="8">
        <f>-FV29</f>
        <v>0</v>
      </c>
      <c r="BQ29" s="6">
        <f>SUMIF('Eredeti fejléccel'!$B:$B,'Felosztás eredménykim'!$B29,'Eredeti fejléccel'!$N:$N)</f>
        <v>0</v>
      </c>
      <c r="BR29" s="6">
        <f>SUMIF('Eredeti fejléccel'!$B:$B,'Felosztás eredménykim'!$B29,'Eredeti fejléccel'!$S:$S)</f>
        <v>0</v>
      </c>
      <c r="BT29" s="6">
        <f>SUMIF('Eredeti fejléccel'!$B:$B,'Felosztás eredménykim'!$B29,'Eredeti fejléccel'!$AR:$AR)</f>
        <v>0</v>
      </c>
      <c r="BU29" s="6">
        <f>SUMIF('Eredeti fejléccel'!$B:$B,'Felosztás eredménykim'!$B29,'Eredeti fejléccel'!$AU:$AU)</f>
        <v>0</v>
      </c>
      <c r="BV29" s="6">
        <f>SUMIF('Eredeti fejléccel'!$B:$B,'Felosztás eredménykim'!$B29,'Eredeti fejléccel'!$AV:$AV)</f>
        <v>0</v>
      </c>
      <c r="BW29" s="6">
        <f>SUMIF('Eredeti fejléccel'!$B:$B,'Felosztás eredménykim'!$B29,'Eredeti fejléccel'!$AW:$AW)</f>
        <v>0</v>
      </c>
      <c r="BX29" s="6">
        <f>SUMIF('Eredeti fejléccel'!$B:$B,'Felosztás eredménykim'!$B29,'Eredeti fejléccel'!$AX:$AX)</f>
        <v>0</v>
      </c>
      <c r="BY29" s="6">
        <f>SUMIF('Eredeti fejléccel'!$B:$B,'Felosztás eredménykim'!$B29,'Eredeti fejléccel'!$AY:$AY)</f>
        <v>0</v>
      </c>
      <c r="BZ29" s="6">
        <f>SUMIF('Eredeti fejléccel'!$B:$B,'Felosztás eredménykim'!$B29,'Eredeti fejléccel'!$AZ:$AZ)</f>
        <v>0</v>
      </c>
      <c r="CA29" s="6">
        <f>SUMIF('Eredeti fejléccel'!$B:$B,'Felosztás eredménykim'!$B29,'Eredeti fejléccel'!$BA:$BA)</f>
        <v>0</v>
      </c>
      <c r="CB29" s="6">
        <f t="shared" si="13"/>
        <v>0</v>
      </c>
      <c r="CC29" s="36">
        <f t="shared" si="14"/>
        <v>0</v>
      </c>
      <c r="CD29" s="8">
        <f t="shared" si="15"/>
        <v>0</v>
      </c>
      <c r="CE29" s="6">
        <f>SUMIF('Eredeti fejléccel'!$B:$B,'Felosztás eredménykim'!$B29,'Eredeti fejléccel'!$BC:$BC)</f>
        <v>0</v>
      </c>
      <c r="CF29" s="8">
        <f>-CE29/2</f>
        <v>0</v>
      </c>
      <c r="CG29" s="6">
        <f>SUMIF('Eredeti fejléccel'!$B:$B,'Felosztás eredménykim'!$B29,'Eredeti fejléccel'!$H:$H)</f>
        <v>0</v>
      </c>
      <c r="CH29" s="6">
        <f>SUMIF('Eredeti fejléccel'!$B:$B,'Felosztás eredménykim'!$B29,'Eredeti fejléccel'!$BE:$BE)</f>
        <v>0</v>
      </c>
      <c r="CI29" s="6">
        <f>SUM(CD29:CH29)</f>
        <v>0</v>
      </c>
      <c r="CJ29" s="36">
        <f t="shared" si="16"/>
        <v>0</v>
      </c>
      <c r="CK29" s="8">
        <f t="shared" si="17"/>
        <v>0</v>
      </c>
      <c r="CL29" s="8">
        <f>CE29/2</f>
        <v>0</v>
      </c>
      <c r="CM29" s="6">
        <f>SUMIF('Eredeti fejléccel'!$B:$B,'Felosztás eredménykim'!$B29,'Eredeti fejléccel'!$BD:$BD)</f>
        <v>0</v>
      </c>
      <c r="CN29" s="8">
        <f>SUM(CK29:CM29)</f>
        <v>0</v>
      </c>
      <c r="CO29" s="8">
        <f t="shared" si="18"/>
        <v>0</v>
      </c>
      <c r="CR29" s="36">
        <f t="shared" si="19"/>
        <v>0</v>
      </c>
      <c r="CS29" s="6">
        <f>SUMIF('Eredeti fejléccel'!$B:$B,'Felosztás eredménykim'!$B29,'Eredeti fejléccel'!$I:$I)</f>
        <v>0</v>
      </c>
      <c r="CT29" s="6">
        <f>SUMIF('Eredeti fejléccel'!$B:$B,'Felosztás eredménykim'!$B29,'Eredeti fejléccel'!$BG:$BG)</f>
        <v>0</v>
      </c>
      <c r="CU29" s="6">
        <f>SUMIF('Eredeti fejléccel'!$B:$B,'Felosztás eredménykim'!$B29,'Eredeti fejléccel'!$BH:$BH)</f>
        <v>0</v>
      </c>
      <c r="CV29" s="6">
        <f>SUMIF('Eredeti fejléccel'!$B:$B,'Felosztás eredménykim'!$B29,'Eredeti fejléccel'!$BI:$BI)</f>
        <v>0</v>
      </c>
      <c r="CW29" s="6">
        <f>SUMIF('Eredeti fejléccel'!$B:$B,'Felosztás eredménykim'!$B29,'Eredeti fejléccel'!$BL:$BL)</f>
        <v>0</v>
      </c>
      <c r="CX29" s="6">
        <f>SUM(CS29:CW29)</f>
        <v>0</v>
      </c>
      <c r="CY29" s="6">
        <f>SUMIF('Eredeti fejléccel'!$B:$B,'Felosztás eredménykim'!$B29,'Eredeti fejléccel'!$BJ:$BJ)</f>
        <v>0</v>
      </c>
      <c r="CZ29" s="6">
        <f>SUMIF('Eredeti fejléccel'!$B:$B,'Felosztás eredménykim'!$B29,'Eredeti fejléccel'!$BK:$BK)</f>
        <v>0</v>
      </c>
      <c r="DA29" s="99">
        <f t="shared" si="47"/>
        <v>0</v>
      </c>
      <c r="DC29" s="36">
        <f t="shared" si="20"/>
        <v>0</v>
      </c>
      <c r="DD29" s="6">
        <f>SUMIF('Eredeti fejléccel'!$B:$B,'Felosztás eredménykim'!$B29,'Eredeti fejléccel'!$J:$J)</f>
        <v>0</v>
      </c>
      <c r="DE29" s="6">
        <f>SUMIF('Eredeti fejléccel'!$B:$B,'Felosztás eredménykim'!$B29,'Eredeti fejléccel'!$BM:$BM)</f>
        <v>0</v>
      </c>
      <c r="DF29" s="6">
        <f>-DI29</f>
        <v>0</v>
      </c>
      <c r="DG29" s="8">
        <f t="shared" si="21"/>
        <v>0</v>
      </c>
      <c r="DH29" s="8">
        <f>SUM(DD29:DG29)</f>
        <v>0</v>
      </c>
      <c r="DJ29" s="6">
        <f>SUMIF('Eredeti fejléccel'!$B:$B,'Felosztás eredménykim'!$B29,'Eredeti fejléccel'!$BN:$BN)</f>
        <v>0</v>
      </c>
      <c r="DK29" s="6">
        <f>SUMIF('Eredeti fejléccel'!$B:$B,'Felosztás eredménykim'!$B29,'Eredeti fejléccel'!$BZ:$BZ)</f>
        <v>0</v>
      </c>
      <c r="DL29" s="8">
        <f>SUM(DI29:DK29)</f>
        <v>0</v>
      </c>
      <c r="DM29" s="6">
        <f>SUMIF('Eredeti fejléccel'!$B:$B,'Felosztás eredménykim'!$B29,'Eredeti fejléccel'!$BR:$BR)</f>
        <v>0</v>
      </c>
      <c r="DN29" s="6">
        <f>SUMIF('Eredeti fejléccel'!$B:$B,'Felosztás eredménykim'!$B29,'Eredeti fejléccel'!$BS:$BS)</f>
        <v>0</v>
      </c>
      <c r="DO29" s="6">
        <f>SUMIF('Eredeti fejléccel'!$B:$B,'Felosztás eredménykim'!$B29,'Eredeti fejléccel'!$BO:$BO)</f>
        <v>0</v>
      </c>
      <c r="DP29" s="6">
        <f>SUMIF('Eredeti fejléccel'!$B:$B,'Felosztás eredménykim'!$B29,'Eredeti fejléccel'!$BP:$BP)</f>
        <v>0</v>
      </c>
      <c r="DQ29" s="6">
        <f>SUMIF('Eredeti fejléccel'!$B:$B,'Felosztás eredménykim'!$B29,'Eredeti fejléccel'!$BQ:$BQ)</f>
        <v>0</v>
      </c>
      <c r="DS29" s="8"/>
      <c r="DU29" s="6">
        <f>SUMIF('Eredeti fejléccel'!$B:$B,'Felosztás eredménykim'!$B29,'Eredeti fejléccel'!$BT:$BT)</f>
        <v>0</v>
      </c>
      <c r="DV29" s="6">
        <f>SUMIF('Eredeti fejléccel'!$B:$B,'Felosztás eredménykim'!$B29,'Eredeti fejléccel'!$BU:$BU)</f>
        <v>0</v>
      </c>
      <c r="DW29" s="6">
        <f>SUMIF('Eredeti fejléccel'!$B:$B,'Felosztás eredménykim'!$B29,'Eredeti fejléccel'!$BV:$BV)</f>
        <v>0</v>
      </c>
      <c r="DX29" s="6">
        <f>SUMIF('Eredeti fejléccel'!$B:$B,'Felosztás eredménykim'!$B29,'Eredeti fejléccel'!$BW:$BW)</f>
        <v>0</v>
      </c>
      <c r="DY29" s="6">
        <f>SUMIF('Eredeti fejléccel'!$B:$B,'Felosztás eredménykim'!$B29,'Eredeti fejléccel'!$BX:$BX)</f>
        <v>0</v>
      </c>
      <c r="EA29" s="6"/>
      <c r="EC29" s="6"/>
      <c r="EE29" s="6">
        <f>SUMIF('Eredeti fejléccel'!$B:$B,'Felosztás eredménykim'!$B29,'Eredeti fejléccel'!$CA:$CA)</f>
        <v>0</v>
      </c>
      <c r="EF29" s="6">
        <f>SUMIF('Eredeti fejléccel'!$B:$B,'Felosztás eredménykim'!$B29,'Eredeti fejléccel'!$CB:$CB)</f>
        <v>0</v>
      </c>
      <c r="EG29" s="6">
        <f>SUMIF('Eredeti fejléccel'!$B:$B,'Felosztás eredménykim'!$B29,'Eredeti fejléccel'!$CC:$CC)</f>
        <v>0</v>
      </c>
      <c r="EH29" s="6">
        <f>SUMIF('Eredeti fejléccel'!$B:$B,'Felosztás eredménykim'!$B29,'Eredeti fejléccel'!$CD:$CD)</f>
        <v>0</v>
      </c>
      <c r="EK29" s="6">
        <f>SUMIF('Eredeti fejléccel'!$B:$B,'Felosztás eredménykim'!$B29,'Eredeti fejléccel'!$CE:$CE)</f>
        <v>0</v>
      </c>
      <c r="EN29" s="6">
        <f>SUMIF('Eredeti fejléccel'!$B:$B,'Felosztás eredménykim'!$B29,'Eredeti fejléccel'!$CF:$CF)</f>
        <v>0</v>
      </c>
      <c r="EP29" s="6">
        <f>SUMIF('Eredeti fejléccel'!$B:$B,'Felosztás eredménykim'!$B29,'Eredeti fejléccel'!$CG:$CG)</f>
        <v>0</v>
      </c>
      <c r="ES29" s="6">
        <f>SUMIF('Eredeti fejléccel'!$B:$B,'Felosztás eredménykim'!$B29,'Eredeti fejléccel'!$CH:$CH)</f>
        <v>0</v>
      </c>
      <c r="ET29" s="6">
        <f>SUMIF('Eredeti fejléccel'!$B:$B,'Felosztás eredménykim'!$B29,'Eredeti fejléccel'!$CI:$CI)</f>
        <v>0</v>
      </c>
      <c r="EW29" s="8">
        <f t="shared" si="22"/>
        <v>0</v>
      </c>
      <c r="EX29" s="8">
        <f>SUM(EE29:EV29)</f>
        <v>0</v>
      </c>
      <c r="EY29" s="8">
        <f t="shared" si="52"/>
        <v>0</v>
      </c>
      <c r="EZ29" s="8">
        <f t="shared" si="23"/>
        <v>0</v>
      </c>
      <c r="FA29" s="8">
        <f t="shared" si="24"/>
        <v>0</v>
      </c>
      <c r="FC29" s="6">
        <f>SUMIF('Eredeti fejléccel'!$B:$B,'Felosztás eredménykim'!$B29,'Eredeti fejléccel'!$L:$L)</f>
        <v>0</v>
      </c>
      <c r="FD29" s="6">
        <f>SUMIF('Eredeti fejléccel'!$B:$B,'Felosztás eredménykim'!$B29,'Eredeti fejléccel'!$CJ:$CJ)</f>
        <v>0</v>
      </c>
      <c r="FE29" s="6">
        <f>SUMIF('Eredeti fejléccel'!$B:$B,'Felosztás eredménykim'!$B29,'Eredeti fejléccel'!$CL:$CL)</f>
        <v>0</v>
      </c>
      <c r="FG29" s="99">
        <f>SUM(FC29:FF29)</f>
        <v>0</v>
      </c>
      <c r="FH29" s="6">
        <f>SUMIF('Eredeti fejléccel'!$B:$B,'Felosztás eredménykim'!$B29,'Eredeti fejléccel'!$CK:$CK)</f>
        <v>0</v>
      </c>
      <c r="FI29" s="36">
        <f t="shared" si="25"/>
        <v>0</v>
      </c>
      <c r="FJ29" s="101">
        <f t="shared" si="26"/>
        <v>0</v>
      </c>
      <c r="FK29" s="6">
        <f>SUMIF('Eredeti fejléccel'!$B:$B,'Felosztás eredménykim'!$B29,'Eredeti fejléccel'!$CM:$CM)</f>
        <v>0</v>
      </c>
      <c r="FL29" s="6">
        <f>SUMIF('Eredeti fejléccel'!$B:$B,'Felosztás eredménykim'!$B29,'Eredeti fejléccel'!$CN:$CN)</f>
        <v>0</v>
      </c>
      <c r="FM29" s="8">
        <f>SUM(FJ29:FL29)</f>
        <v>0</v>
      </c>
      <c r="FN29" s="36">
        <f t="shared" si="27"/>
        <v>0</v>
      </c>
      <c r="FO29" s="101">
        <f t="shared" si="28"/>
        <v>0</v>
      </c>
      <c r="FP29" s="6">
        <f>SUMIF('Eredeti fejléccel'!$B:$B,'Felosztás eredménykim'!$B29,'Eredeti fejléccel'!$CO:$CO)</f>
        <v>0</v>
      </c>
      <c r="FQ29" s="6">
        <f>'Eredeti fejléccel'!CP29</f>
        <v>0</v>
      </c>
      <c r="FR29" s="6">
        <f>'Eredeti fejléccel'!CQ29</f>
        <v>0</v>
      </c>
      <c r="FS29" s="103">
        <f t="shared" si="55"/>
        <v>0</v>
      </c>
      <c r="FT29" s="36">
        <f t="shared" si="29"/>
        <v>0</v>
      </c>
      <c r="FU29" s="101">
        <f t="shared" si="30"/>
        <v>0</v>
      </c>
      <c r="FV29" s="101"/>
      <c r="FW29" s="6">
        <f>SUMIF('Eredeti fejléccel'!$B:$B,'Felosztás eredménykim'!$B29,'Eredeti fejléccel'!$CR:$CR)</f>
        <v>0</v>
      </c>
      <c r="FX29" s="6">
        <f>SUMIF('Eredeti fejléccel'!$B:$B,'Felosztás eredménykim'!$B29,'Eredeti fejléccel'!$CS:$CS)</f>
        <v>0</v>
      </c>
      <c r="FY29" s="6">
        <f>SUMIF('Eredeti fejléccel'!$B:$B,'Felosztás eredménykim'!$B29,'Eredeti fejléccel'!$CT:$CT)</f>
        <v>0</v>
      </c>
      <c r="FZ29" s="6">
        <f>SUMIF('Eredeti fejléccel'!$B:$B,'Felosztás eredménykim'!$B29,'Eredeti fejléccel'!$CU:$CU)</f>
        <v>0</v>
      </c>
      <c r="GA29" s="103">
        <f>SUM(FU29:FZ29)</f>
        <v>0</v>
      </c>
      <c r="GB29" s="36">
        <f t="shared" si="31"/>
        <v>0</v>
      </c>
      <c r="GC29" s="101">
        <f t="shared" si="32"/>
        <v>0</v>
      </c>
      <c r="GD29" s="6">
        <f>SUMIF('Eredeti fejléccel'!$B:$B,'Felosztás eredménykim'!$B29,'Eredeti fejléccel'!$CV:$CV)</f>
        <v>0</v>
      </c>
      <c r="GE29" s="6">
        <f>SUMIF('Eredeti fejléccel'!$B:$B,'Felosztás eredménykim'!$B29,'Eredeti fejléccel'!$CW:$CW)</f>
        <v>0</v>
      </c>
      <c r="GF29" s="103">
        <f>SUM(GC29:GE29)</f>
        <v>0</v>
      </c>
      <c r="GG29" s="36">
        <f t="shared" si="33"/>
        <v>0</v>
      </c>
      <c r="GM29" s="6">
        <f>SUMIF('Eredeti fejléccel'!$B:$B,'Felosztás eredménykim'!$B29,'Eredeti fejléccel'!$CX:$CX)</f>
        <v>0</v>
      </c>
      <c r="GN29" s="6">
        <f>SUMIF('Eredeti fejléccel'!$B:$B,'Felosztás eredménykim'!$B29,'Eredeti fejléccel'!$CY:$CY)</f>
        <v>0</v>
      </c>
      <c r="GO29" s="6">
        <f>SUMIF('Eredeti fejléccel'!$B:$B,'Felosztás eredménykim'!$B29,'Eredeti fejléccel'!$CZ:$CZ)</f>
        <v>0</v>
      </c>
      <c r="GP29" s="6">
        <f>SUMIF('Eredeti fejléccel'!$B:$B,'Felosztás eredménykim'!$B29,'Eredeti fejléccel'!$DA:$DA)</f>
        <v>0</v>
      </c>
      <c r="GQ29" s="6">
        <f>SUMIF('Eredeti fejléccel'!$B:$B,'Felosztás eredménykim'!$B29,'Eredeti fejléccel'!$DB:$DB)</f>
        <v>0</v>
      </c>
      <c r="GR29" s="103">
        <f>SUM(GH29:GQ29)</f>
        <v>0</v>
      </c>
      <c r="GW29" s="36">
        <f t="shared" si="34"/>
        <v>0</v>
      </c>
      <c r="GX29" s="6">
        <f>SUMIF('Eredeti fejléccel'!$B:$B,'Felosztás eredménykim'!$B29,'Eredeti fejléccel'!$M:$M)</f>
        <v>0</v>
      </c>
      <c r="GY29" s="6">
        <f>SUMIF('Eredeti fejléccel'!$B:$B,'Felosztás eredménykim'!$B29,'Eredeti fejléccel'!$DC:$DC)</f>
        <v>0</v>
      </c>
      <c r="GZ29" s="6">
        <f>SUMIF('Eredeti fejléccel'!$B:$B,'Felosztás eredménykim'!$B29,'Eredeti fejléccel'!$DD:$DD)</f>
        <v>0</v>
      </c>
      <c r="HA29" s="6">
        <f>SUMIF('Eredeti fejléccel'!$B:$B,'Felosztás eredménykim'!$B29,'Eredeti fejléccel'!$DE:$DE)</f>
        <v>0</v>
      </c>
      <c r="HB29" s="103">
        <f>SUM(GX29:HA29)</f>
        <v>0</v>
      </c>
      <c r="HD29" s="9">
        <f t="shared" si="35"/>
        <v>0</v>
      </c>
      <c r="HE29" s="9"/>
      <c r="HF29" s="476"/>
      <c r="HH29" s="34">
        <f>+HD29-HE29</f>
        <v>0</v>
      </c>
    </row>
    <row r="30" spans="1:218" x14ac:dyDescent="0.25">
      <c r="A30" s="4" t="s">
        <v>97</v>
      </c>
      <c r="B30" s="4" t="s">
        <v>97</v>
      </c>
      <c r="C30" s="1" t="s">
        <v>98</v>
      </c>
      <c r="D30" s="6">
        <f>SUMIF('Eredeti fejléccel'!$B:$B,'Felosztás eredménykim'!$B30,'Eredeti fejléccel'!$D:$D)</f>
        <v>0</v>
      </c>
      <c r="E30" s="6">
        <f>SUMIF('Eredeti fejléccel'!$B:$B,'Felosztás eredménykim'!$B30,'Eredeti fejléccel'!$E:$E)</f>
        <v>0</v>
      </c>
      <c r="F30" s="6">
        <f>SUMIF('Eredeti fejléccel'!$B:$B,'Felosztás eredménykim'!$B30,'Eredeti fejléccel'!$F:$F)</f>
        <v>0</v>
      </c>
      <c r="G30" s="6">
        <f>SUMIF('Eredeti fejléccel'!$B:$B,'Felosztás eredménykim'!$B30,'Eredeti fejléccel'!$G:$G)</f>
        <v>0</v>
      </c>
      <c r="H30" s="6"/>
      <c r="I30" s="6">
        <f>SUMIF('Eredeti fejléccel'!$B:$B,'Felosztás eredménykim'!$B30,'Eredeti fejléccel'!$O:$O)</f>
        <v>0</v>
      </c>
      <c r="J30" s="6">
        <f>SUMIF('Eredeti fejléccel'!$B:$B,'Felosztás eredménykim'!$B30,'Eredeti fejléccel'!$P:$P)</f>
        <v>0</v>
      </c>
      <c r="K30" s="6">
        <f>SUMIF('Eredeti fejléccel'!$B:$B,'Felosztás eredménykim'!$B30,'Eredeti fejléccel'!$Q:$Q)</f>
        <v>0</v>
      </c>
      <c r="L30" s="6">
        <f>SUMIF('Eredeti fejléccel'!$B:$B,'Felosztás eredménykim'!$B30,'Eredeti fejléccel'!$R:$R)</f>
        <v>0</v>
      </c>
      <c r="M30" s="6">
        <f>SUMIF('Eredeti fejléccel'!$B:$B,'Felosztás eredménykim'!$B30,'Eredeti fejléccel'!$T:$T)</f>
        <v>0</v>
      </c>
      <c r="N30" s="6">
        <f>SUMIF('Eredeti fejléccel'!$B:$B,'Felosztás eredménykim'!$B30,'Eredeti fejléccel'!$U:$U)</f>
        <v>0</v>
      </c>
      <c r="O30" s="6">
        <f>SUMIF('Eredeti fejléccel'!$B:$B,'Felosztás eredménykim'!$B30,'Eredeti fejléccel'!$V:$V)</f>
        <v>0</v>
      </c>
      <c r="P30" s="6">
        <f>SUMIF('Eredeti fejléccel'!$B:$B,'Felosztás eredménykim'!$B30,'Eredeti fejléccel'!$W:$W)</f>
        <v>147040</v>
      </c>
      <c r="Q30" s="6">
        <f>SUMIF('Eredeti fejléccel'!$B:$B,'Felosztás eredménykim'!$B30,'Eredeti fejléccel'!$X:$X)</f>
        <v>0</v>
      </c>
      <c r="R30" s="6">
        <f>SUMIF('Eredeti fejléccel'!$B:$B,'Felosztás eredménykim'!$B30,'Eredeti fejléccel'!$Y:$Y)</f>
        <v>0</v>
      </c>
      <c r="S30" s="6">
        <f>SUMIF('Eredeti fejléccel'!$B:$B,'Felosztás eredménykim'!$B30,'Eredeti fejléccel'!$Z:$Z)</f>
        <v>0</v>
      </c>
      <c r="T30" s="6">
        <f>SUMIF('Eredeti fejléccel'!$B:$B,'Felosztás eredménykim'!$B30,'Eredeti fejléccel'!$AA:$AA)</f>
        <v>0</v>
      </c>
      <c r="U30" s="6">
        <f>SUMIF('Eredeti fejléccel'!$B:$B,'Felosztás eredménykim'!$B30,'Eredeti fejléccel'!$D:$D)</f>
        <v>0</v>
      </c>
      <c r="V30" s="6">
        <f>SUMIF('Eredeti fejléccel'!$B:$B,'Felosztás eredménykim'!$B30,'Eredeti fejléccel'!$AT:$AT)</f>
        <v>0</v>
      </c>
      <c r="X30" s="36">
        <f t="shared" si="0"/>
        <v>147040</v>
      </c>
      <c r="Z30" s="6">
        <f>SUMIF('Eredeti fejléccel'!$B:$B,'Felosztás eredménykim'!$B30,'Eredeti fejléccel'!$K:$K)</f>
        <v>0</v>
      </c>
      <c r="AB30" s="6">
        <f>SUMIF('Eredeti fejléccel'!$B:$B,'Felosztás eredménykim'!$B30,'Eredeti fejléccel'!$AB:$AB)</f>
        <v>0</v>
      </c>
      <c r="AC30" s="6">
        <f>SUMIF('Eredeti fejléccel'!$B:$B,'Felosztás eredménykim'!$B30,'Eredeti fejléccel'!$AQ:$AQ)</f>
        <v>0</v>
      </c>
      <c r="AE30" s="73">
        <f t="shared" si="1"/>
        <v>0</v>
      </c>
      <c r="AF30" s="36">
        <f t="shared" si="2"/>
        <v>17541.08409117597</v>
      </c>
      <c r="AG30" s="8">
        <f t="shared" si="3"/>
        <v>0</v>
      </c>
      <c r="AI30" s="6">
        <f>SUMIF('Eredeti fejléccel'!$B:$B,'Felosztás eredménykim'!$B30,'Eredeti fejléccel'!$BB:$BB)</f>
        <v>0</v>
      </c>
      <c r="AJ30" s="6">
        <f>SUMIF('Eredeti fejléccel'!$B:$B,'Felosztás eredménykim'!$B30,'Eredeti fejléccel'!$AF:$AF)</f>
        <v>0</v>
      </c>
      <c r="AK30" s="8">
        <f t="shared" si="4"/>
        <v>0</v>
      </c>
      <c r="AL30" s="36">
        <f t="shared" si="5"/>
        <v>6967.2300345316062</v>
      </c>
      <c r="AM30" s="8">
        <f t="shared" si="6"/>
        <v>0</v>
      </c>
      <c r="AN30" s="6">
        <f t="shared" si="36"/>
        <v>0</v>
      </c>
      <c r="AO30" s="6">
        <f>SUMIF('Eredeti fejléccel'!$B:$B,'Felosztás eredménykim'!$B30,'Eredeti fejléccel'!$AC:$AC)</f>
        <v>0</v>
      </c>
      <c r="AP30" s="6">
        <f>SUMIF('Eredeti fejléccel'!$B:$B,'Felosztás eredménykim'!$B30,'Eredeti fejléccel'!$AD:$AD)</f>
        <v>0</v>
      </c>
      <c r="AQ30" s="6">
        <f>SUMIF('Eredeti fejléccel'!$B:$B,'Felosztás eredménykim'!$B30,'Eredeti fejléccel'!$AE:$AE)</f>
        <v>0</v>
      </c>
      <c r="AR30" s="6">
        <f>SUMIF('Eredeti fejléccel'!$B:$B,'Felosztás eredménykim'!$B30,'Eredeti fejléccel'!$AG:$AG)</f>
        <v>0</v>
      </c>
      <c r="AS30" s="6">
        <f t="shared" si="37"/>
        <v>0</v>
      </c>
      <c r="AT30" s="36">
        <f t="shared" si="7"/>
        <v>11316.828445919982</v>
      </c>
      <c r="AU30" s="8">
        <f t="shared" si="8"/>
        <v>0</v>
      </c>
      <c r="AV30" s="6">
        <f>SUMIF('Eredeti fejléccel'!$B:$B,'Felosztás eredménykim'!$B30,'Eredeti fejléccel'!$AI:$AI)</f>
        <v>0</v>
      </c>
      <c r="AW30" s="6">
        <f>SUMIF('Eredeti fejléccel'!$B:$B,'Felosztás eredménykim'!$B30,'Eredeti fejléccel'!$AJ:$AJ)</f>
        <v>0</v>
      </c>
      <c r="AX30" s="6">
        <f>SUMIF('Eredeti fejléccel'!$B:$B,'Felosztás eredménykim'!$B30,'Eredeti fejléccel'!$AK:$AK)</f>
        <v>0</v>
      </c>
      <c r="AY30" s="6">
        <f>SUMIF('Eredeti fejléccel'!$B:$B,'Felosztás eredménykim'!$B30,'Eredeti fejléccel'!$AL:$AL)</f>
        <v>0</v>
      </c>
      <c r="AZ30" s="6">
        <f>SUMIF('Eredeti fejléccel'!$B:$B,'Felosztás eredménykim'!$B30,'Eredeti fejléccel'!$AM:$AM)</f>
        <v>0</v>
      </c>
      <c r="BA30" s="6">
        <f>SUMIF('Eredeti fejléccel'!$B:$B,'Felosztás eredménykim'!$B30,'Eredeti fejléccel'!$AN:$AN)</f>
        <v>0</v>
      </c>
      <c r="BB30" s="6">
        <f>SUMIF('Eredeti fejléccel'!$B:$B,'Felosztás eredménykim'!$B30,'Eredeti fejléccel'!$AP:$AP)</f>
        <v>0</v>
      </c>
      <c r="BD30" s="6">
        <f>SUMIF('Eredeti fejléccel'!$B:$B,'Felosztás eredménykim'!$B30,'Eredeti fejléccel'!$AS:$AS)</f>
        <v>0</v>
      </c>
      <c r="BE30" s="8">
        <f t="shared" si="38"/>
        <v>0</v>
      </c>
      <c r="BF30" s="36">
        <f t="shared" si="9"/>
        <v>2952.2161163269516</v>
      </c>
      <c r="BG30" s="8">
        <f t="shared" si="10"/>
        <v>0</v>
      </c>
      <c r="BH30" s="6">
        <f t="shared" si="39"/>
        <v>0</v>
      </c>
      <c r="BI30" s="6">
        <f>SUMIF('Eredeti fejléccel'!$B:$B,'Felosztás eredménykim'!$B30,'Eredeti fejléccel'!$AH:$AH)</f>
        <v>0</v>
      </c>
      <c r="BJ30" s="6">
        <f>SUMIF('Eredeti fejléccel'!$B:$B,'Felosztás eredménykim'!$B30,'Eredeti fejléccel'!$AO:$AO)</f>
        <v>0</v>
      </c>
      <c r="BK30" s="6">
        <f>SUMIF('Eredeti fejléccel'!$B:$B,'Felosztás eredménykim'!$B30,'Eredeti fejléccel'!$BF:$BF)</f>
        <v>0</v>
      </c>
      <c r="BL30" s="8">
        <f t="shared" si="40"/>
        <v>0</v>
      </c>
      <c r="BM30" s="36">
        <f t="shared" si="11"/>
        <v>11060.969715838313</v>
      </c>
      <c r="BN30" s="8">
        <f t="shared" si="12"/>
        <v>0</v>
      </c>
      <c r="BP30" s="8">
        <f t="shared" si="41"/>
        <v>0</v>
      </c>
      <c r="BQ30" s="6">
        <f>SUMIF('Eredeti fejléccel'!$B:$B,'Felosztás eredménykim'!$B30,'Eredeti fejléccel'!$N:$N)</f>
        <v>0</v>
      </c>
      <c r="BR30" s="6">
        <f>SUMIF('Eredeti fejléccel'!$B:$B,'Felosztás eredménykim'!$B30,'Eredeti fejléccel'!$S:$S)</f>
        <v>0</v>
      </c>
      <c r="BT30" s="6">
        <f>SUMIF('Eredeti fejléccel'!$B:$B,'Felosztás eredménykim'!$B30,'Eredeti fejléccel'!$AR:$AR)</f>
        <v>0</v>
      </c>
      <c r="BU30" s="6">
        <f>SUMIF('Eredeti fejléccel'!$B:$B,'Felosztás eredménykim'!$B30,'Eredeti fejléccel'!$AU:$AU)</f>
        <v>0</v>
      </c>
      <c r="BV30" s="6">
        <f>SUMIF('Eredeti fejléccel'!$B:$B,'Felosztás eredménykim'!$B30,'Eredeti fejléccel'!$AV:$AV)</f>
        <v>0</v>
      </c>
      <c r="BW30" s="6">
        <f>SUMIF('Eredeti fejléccel'!$B:$B,'Felosztás eredménykim'!$B30,'Eredeti fejléccel'!$AW:$AW)</f>
        <v>0</v>
      </c>
      <c r="BX30" s="6">
        <f>SUMIF('Eredeti fejléccel'!$B:$B,'Felosztás eredménykim'!$B30,'Eredeti fejléccel'!$AX:$AX)</f>
        <v>0</v>
      </c>
      <c r="BY30" s="6">
        <f>SUMIF('Eredeti fejléccel'!$B:$B,'Felosztás eredménykim'!$B30,'Eredeti fejléccel'!$AY:$AY)</f>
        <v>0</v>
      </c>
      <c r="BZ30" s="6">
        <f>SUMIF('Eredeti fejléccel'!$B:$B,'Felosztás eredménykim'!$B30,'Eredeti fejléccel'!$AZ:$AZ)</f>
        <v>0</v>
      </c>
      <c r="CA30" s="6">
        <f>SUMIF('Eredeti fejléccel'!$B:$B,'Felosztás eredménykim'!$B30,'Eredeti fejléccel'!$BA:$BA)</f>
        <v>0</v>
      </c>
      <c r="CB30" s="6">
        <f t="shared" si="13"/>
        <v>0</v>
      </c>
      <c r="CC30" s="36">
        <f t="shared" si="14"/>
        <v>3011.2604386534904</v>
      </c>
      <c r="CD30" s="8">
        <f t="shared" si="15"/>
        <v>0</v>
      </c>
      <c r="CE30" s="6">
        <f>SUMIF('Eredeti fejléccel'!$B:$B,'Felosztás eredménykim'!$B30,'Eredeti fejléccel'!$BC:$BC)</f>
        <v>0</v>
      </c>
      <c r="CF30" s="8">
        <f t="shared" si="42"/>
        <v>0</v>
      </c>
      <c r="CG30" s="6">
        <f>SUMIF('Eredeti fejléccel'!$B:$B,'Felosztás eredménykim'!$B30,'Eredeti fejléccel'!$H:$H)</f>
        <v>0</v>
      </c>
      <c r="CH30" s="6">
        <f>SUMIF('Eredeti fejléccel'!$B:$B,'Felosztás eredménykim'!$B30,'Eredeti fejléccel'!$BE:$BE)</f>
        <v>0</v>
      </c>
      <c r="CI30" s="6">
        <f t="shared" si="43"/>
        <v>0</v>
      </c>
      <c r="CJ30" s="36">
        <f t="shared" si="16"/>
        <v>2164.9584853064316</v>
      </c>
      <c r="CK30" s="8">
        <f t="shared" si="17"/>
        <v>0</v>
      </c>
      <c r="CL30" s="8">
        <f t="shared" si="44"/>
        <v>0</v>
      </c>
      <c r="CM30" s="6">
        <f>SUMIF('Eredeti fejléccel'!$B:$B,'Felosztás eredménykim'!$B30,'Eredeti fejléccel'!$BD:$BD)</f>
        <v>0</v>
      </c>
      <c r="CN30" s="8">
        <f t="shared" si="45"/>
        <v>0</v>
      </c>
      <c r="CO30" s="8">
        <f t="shared" si="18"/>
        <v>55014.547327752734</v>
      </c>
      <c r="CR30" s="36">
        <f t="shared" si="19"/>
        <v>13004.471345782358</v>
      </c>
      <c r="CS30" s="6">
        <f>SUMIF('Eredeti fejléccel'!$B:$B,'Felosztás eredménykim'!$B30,'Eredeti fejléccel'!$I:$I)</f>
        <v>0</v>
      </c>
      <c r="CT30" s="6">
        <f>SUMIF('Eredeti fejléccel'!$B:$B,'Felosztás eredménykim'!$B30,'Eredeti fejléccel'!$BG:$BG)</f>
        <v>0</v>
      </c>
      <c r="CU30" s="6">
        <f>SUMIF('Eredeti fejléccel'!$B:$B,'Felosztás eredménykim'!$B30,'Eredeti fejléccel'!$BH:$BH)</f>
        <v>0</v>
      </c>
      <c r="CV30" s="6">
        <f>SUMIF('Eredeti fejléccel'!$B:$B,'Felosztás eredménykim'!$B30,'Eredeti fejléccel'!$BI:$BI)</f>
        <v>0</v>
      </c>
      <c r="CW30" s="6">
        <f>SUMIF('Eredeti fejléccel'!$B:$B,'Felosztás eredménykim'!$B30,'Eredeti fejléccel'!$BL:$BL)</f>
        <v>0</v>
      </c>
      <c r="CX30" s="6">
        <f t="shared" si="46"/>
        <v>0</v>
      </c>
      <c r="CY30" s="6">
        <f>SUMIF('Eredeti fejléccel'!$B:$B,'Felosztás eredménykim'!$B30,'Eredeti fejléccel'!$BJ:$BJ)</f>
        <v>0</v>
      </c>
      <c r="CZ30" s="6">
        <f>SUMIF('Eredeti fejléccel'!$B:$B,'Felosztás eredménykim'!$B30,'Eredeti fejléccel'!$BK:$BK)</f>
        <v>0</v>
      </c>
      <c r="DA30" s="99">
        <f t="shared" si="47"/>
        <v>0</v>
      </c>
      <c r="DC30" s="36">
        <f t="shared" si="20"/>
        <v>11390.155827430781</v>
      </c>
      <c r="DD30" s="6">
        <f>SUMIF('Eredeti fejléccel'!$B:$B,'Felosztás eredménykim'!$B30,'Eredeti fejléccel'!$J:$J)</f>
        <v>0</v>
      </c>
      <c r="DE30" s="6">
        <f>SUMIF('Eredeti fejléccel'!$B:$B,'Felosztás eredménykim'!$B30,'Eredeti fejléccel'!$BM:$BM)</f>
        <v>0</v>
      </c>
      <c r="DF30" s="6">
        <f t="shared" si="48"/>
        <v>0</v>
      </c>
      <c r="DG30" s="8">
        <f t="shared" si="21"/>
        <v>0</v>
      </c>
      <c r="DH30" s="8">
        <f t="shared" si="49"/>
        <v>0</v>
      </c>
      <c r="DJ30" s="6">
        <f>SUMIF('Eredeti fejléccel'!$B:$B,'Felosztás eredménykim'!$B30,'Eredeti fejléccel'!$BN:$BN)</f>
        <v>0</v>
      </c>
      <c r="DK30" s="6">
        <f>SUMIF('Eredeti fejléccel'!$B:$B,'Felosztás eredménykim'!$B30,'Eredeti fejléccel'!$BZ:$BZ)</f>
        <v>0</v>
      </c>
      <c r="DL30" s="8">
        <f t="shared" si="50"/>
        <v>0</v>
      </c>
      <c r="DM30" s="6">
        <f>SUMIF('Eredeti fejléccel'!$B:$B,'Felosztás eredménykim'!$B30,'Eredeti fejléccel'!$BR:$BR)</f>
        <v>0</v>
      </c>
      <c r="DN30" s="6">
        <f>SUMIF('Eredeti fejléccel'!$B:$B,'Felosztás eredménykim'!$B30,'Eredeti fejléccel'!$BS:$BS)</f>
        <v>0</v>
      </c>
      <c r="DO30" s="6">
        <f>SUMIF('Eredeti fejléccel'!$B:$B,'Felosztás eredménykim'!$B30,'Eredeti fejléccel'!$BO:$BO)</f>
        <v>0</v>
      </c>
      <c r="DP30" s="6">
        <f>SUMIF('Eredeti fejléccel'!$B:$B,'Felosztás eredménykim'!$B30,'Eredeti fejléccel'!$BP:$BP)</f>
        <v>0</v>
      </c>
      <c r="DQ30" s="6">
        <f>SUMIF('Eredeti fejléccel'!$B:$B,'Felosztás eredménykim'!$B30,'Eredeti fejléccel'!$BQ:$BQ)</f>
        <v>0</v>
      </c>
      <c r="DS30" s="8"/>
      <c r="DU30" s="6">
        <f>SUMIF('Eredeti fejléccel'!$B:$B,'Felosztás eredménykim'!$B30,'Eredeti fejléccel'!$BT:$BT)</f>
        <v>0</v>
      </c>
      <c r="DV30" s="6">
        <f>SUMIF('Eredeti fejléccel'!$B:$B,'Felosztás eredménykim'!$B30,'Eredeti fejléccel'!$BU:$BU)</f>
        <v>0</v>
      </c>
      <c r="DW30" s="6">
        <f>SUMIF('Eredeti fejléccel'!$B:$B,'Felosztás eredménykim'!$B30,'Eredeti fejléccel'!$BV:$BV)</f>
        <v>0</v>
      </c>
      <c r="DX30" s="6">
        <f>SUMIF('Eredeti fejléccel'!$B:$B,'Felosztás eredménykim'!$B30,'Eredeti fejléccel'!$BW:$BW)</f>
        <v>0</v>
      </c>
      <c r="DY30" s="6">
        <f>SUMIF('Eredeti fejléccel'!$B:$B,'Felosztás eredménykim'!$B30,'Eredeti fejléccel'!$BX:$BX)</f>
        <v>0</v>
      </c>
      <c r="EA30" s="6"/>
      <c r="EC30" s="6"/>
      <c r="EE30" s="6">
        <f>SUMIF('Eredeti fejléccel'!$B:$B,'Felosztás eredménykim'!$B30,'Eredeti fejléccel'!$CA:$CA)</f>
        <v>0</v>
      </c>
      <c r="EF30" s="6">
        <f>SUMIF('Eredeti fejléccel'!$B:$B,'Felosztás eredménykim'!$B30,'Eredeti fejléccel'!$CB:$CB)</f>
        <v>0</v>
      </c>
      <c r="EG30" s="6">
        <f>SUMIF('Eredeti fejléccel'!$B:$B,'Felosztás eredménykim'!$B30,'Eredeti fejléccel'!$CC:$CC)</f>
        <v>0</v>
      </c>
      <c r="EH30" s="6">
        <f>SUMIF('Eredeti fejléccel'!$B:$B,'Felosztás eredménykim'!$B30,'Eredeti fejléccel'!$CD:$CD)</f>
        <v>0</v>
      </c>
      <c r="EK30" s="6">
        <f>SUMIF('Eredeti fejléccel'!$B:$B,'Felosztás eredménykim'!$B30,'Eredeti fejléccel'!$CE:$CE)</f>
        <v>0</v>
      </c>
      <c r="EN30" s="6">
        <f>SUMIF('Eredeti fejléccel'!$B:$B,'Felosztás eredménykim'!$B30,'Eredeti fejléccel'!$CF:$CF)</f>
        <v>0</v>
      </c>
      <c r="EP30" s="6">
        <f>SUMIF('Eredeti fejléccel'!$B:$B,'Felosztás eredménykim'!$B30,'Eredeti fejléccel'!$CG:$CG)</f>
        <v>0</v>
      </c>
      <c r="ES30" s="6">
        <f>SUMIF('Eredeti fejléccel'!$B:$B,'Felosztás eredménykim'!$B30,'Eredeti fejléccel'!$CH:$CH)</f>
        <v>0</v>
      </c>
      <c r="ET30" s="6">
        <f>SUMIF('Eredeti fejléccel'!$B:$B,'Felosztás eredménykim'!$B30,'Eredeti fejléccel'!$CI:$CI)</f>
        <v>0</v>
      </c>
      <c r="EW30" s="8">
        <f t="shared" si="22"/>
        <v>0</v>
      </c>
      <c r="EX30" s="8">
        <f t="shared" si="51"/>
        <v>0</v>
      </c>
      <c r="EY30" s="8">
        <f t="shared" si="52"/>
        <v>0</v>
      </c>
      <c r="EZ30" s="8">
        <f t="shared" si="23"/>
        <v>0</v>
      </c>
      <c r="FA30" s="8">
        <f t="shared" si="24"/>
        <v>0</v>
      </c>
      <c r="FC30" s="6">
        <f>SUMIF('Eredeti fejléccel'!$B:$B,'Felosztás eredménykim'!$B30,'Eredeti fejléccel'!$L:$L)</f>
        <v>0</v>
      </c>
      <c r="FD30" s="6">
        <f>SUMIF('Eredeti fejléccel'!$B:$B,'Felosztás eredménykim'!$B30,'Eredeti fejléccel'!$CJ:$CJ)</f>
        <v>0</v>
      </c>
      <c r="FE30" s="6">
        <f>SUMIF('Eredeti fejléccel'!$B:$B,'Felosztás eredménykim'!$B30,'Eredeti fejléccel'!$CL:$CL)</f>
        <v>0</v>
      </c>
      <c r="FG30" s="99">
        <f t="shared" si="53"/>
        <v>0</v>
      </c>
      <c r="FH30" s="6">
        <f>SUMIF('Eredeti fejléccel'!$B:$B,'Felosztás eredménykim'!$B30,'Eredeti fejléccel'!$CK:$CK)</f>
        <v>0</v>
      </c>
      <c r="FI30" s="36">
        <f t="shared" si="25"/>
        <v>13401.240178005801</v>
      </c>
      <c r="FJ30" s="101">
        <f t="shared" si="26"/>
        <v>0</v>
      </c>
      <c r="FK30" s="6">
        <f>SUMIF('Eredeti fejléccel'!$B:$B,'Felosztás eredménykim'!$B30,'Eredeti fejléccel'!$CM:$CM)</f>
        <v>0</v>
      </c>
      <c r="FL30" s="6">
        <f>SUMIF('Eredeti fejléccel'!$B:$B,'Felosztás eredménykim'!$B30,'Eredeti fejléccel'!$CN:$CN)</f>
        <v>0</v>
      </c>
      <c r="FM30" s="8">
        <f t="shared" si="54"/>
        <v>0</v>
      </c>
      <c r="FN30" s="36">
        <f t="shared" si="27"/>
        <v>11393.252677765049</v>
      </c>
      <c r="FO30" s="101">
        <f t="shared" si="28"/>
        <v>0</v>
      </c>
      <c r="FP30" s="6">
        <f>SUMIF('Eredeti fejléccel'!$B:$B,'Felosztás eredménykim'!$B30,'Eredeti fejléccel'!$CO:$CO)</f>
        <v>0</v>
      </c>
      <c r="FQ30" s="6">
        <f>'Eredeti fejléccel'!CP30</f>
        <v>0</v>
      </c>
      <c r="FR30" s="6">
        <f>'Eredeti fejléccel'!CQ30</f>
        <v>0</v>
      </c>
      <c r="FS30" s="103">
        <f t="shared" si="55"/>
        <v>0</v>
      </c>
      <c r="FT30" s="36">
        <f t="shared" si="29"/>
        <v>31448.699608393494</v>
      </c>
      <c r="FU30" s="101">
        <f t="shared" si="30"/>
        <v>0</v>
      </c>
      <c r="FV30" s="101"/>
      <c r="FW30" s="6">
        <f>SUMIF('Eredeti fejléccel'!$B:$B,'Felosztás eredménykim'!$B30,'Eredeti fejléccel'!$CR:$CR)</f>
        <v>0</v>
      </c>
      <c r="FX30" s="6">
        <f>SUMIF('Eredeti fejléccel'!$B:$B,'Felosztás eredménykim'!$B30,'Eredeti fejléccel'!$CS:$CS)</f>
        <v>0</v>
      </c>
      <c r="FY30" s="6">
        <f>SUMIF('Eredeti fejléccel'!$B:$B,'Felosztás eredménykim'!$B30,'Eredeti fejléccel'!$CT:$CT)</f>
        <v>0</v>
      </c>
      <c r="FZ30" s="6">
        <f>SUMIF('Eredeti fejléccel'!$B:$B,'Felosztás eredménykim'!$B30,'Eredeti fejléccel'!$CU:$CU)</f>
        <v>0</v>
      </c>
      <c r="GA30" s="103">
        <f t="shared" si="56"/>
        <v>0</v>
      </c>
      <c r="GB30" s="36">
        <f t="shared" si="31"/>
        <v>4191.8571172909142</v>
      </c>
      <c r="GC30" s="101">
        <f t="shared" si="32"/>
        <v>0</v>
      </c>
      <c r="GD30" s="6">
        <f>SUMIF('Eredeti fejléccel'!$B:$B,'Felosztás eredménykim'!$B30,'Eredeti fejléccel'!$CV:$CV)</f>
        <v>0</v>
      </c>
      <c r="GE30" s="6">
        <f>SUMIF('Eredeti fejléccel'!$B:$B,'Felosztás eredménykim'!$B30,'Eredeti fejléccel'!$CW:$CW)</f>
        <v>0</v>
      </c>
      <c r="GF30" s="103">
        <f t="shared" si="57"/>
        <v>0</v>
      </c>
      <c r="GG30" s="36">
        <f t="shared" si="33"/>
        <v>0</v>
      </c>
      <c r="GM30" s="6">
        <f>SUMIF('Eredeti fejléccel'!$B:$B,'Felosztás eredménykim'!$B30,'Eredeti fejléccel'!$CX:$CX)</f>
        <v>0</v>
      </c>
      <c r="GN30" s="6">
        <f>SUMIF('Eredeti fejléccel'!$B:$B,'Felosztás eredménykim'!$B30,'Eredeti fejléccel'!$CY:$CY)</f>
        <v>0</v>
      </c>
      <c r="GO30" s="6">
        <f>SUMIF('Eredeti fejléccel'!$B:$B,'Felosztás eredménykim'!$B30,'Eredeti fejléccel'!$CZ:$CZ)</f>
        <v>0</v>
      </c>
      <c r="GP30" s="6">
        <f>SUMIF('Eredeti fejléccel'!$B:$B,'Felosztás eredménykim'!$B30,'Eredeti fejléccel'!$DA:$DA)</f>
        <v>0</v>
      </c>
      <c r="GQ30" s="6">
        <f>SUMIF('Eredeti fejléccel'!$B:$B,'Felosztás eredménykim'!$B30,'Eredeti fejléccel'!$DB:$DB)</f>
        <v>0</v>
      </c>
      <c r="GR30" s="103">
        <f t="shared" si="58"/>
        <v>0</v>
      </c>
      <c r="GW30" s="36">
        <f t="shared" si="34"/>
        <v>7195.7759175788797</v>
      </c>
      <c r="GX30" s="6">
        <f>SUMIF('Eredeti fejléccel'!$B:$B,'Felosztás eredménykim'!$B30,'Eredeti fejléccel'!$M:$M)</f>
        <v>0</v>
      </c>
      <c r="GY30" s="6">
        <f>SUMIF('Eredeti fejléccel'!$B:$B,'Felosztás eredménykim'!$B30,'Eredeti fejléccel'!$DC:$DC)</f>
        <v>0</v>
      </c>
      <c r="GZ30" s="6">
        <f>SUMIF('Eredeti fejléccel'!$B:$B,'Felosztás eredménykim'!$B30,'Eredeti fejléccel'!$DD:$DD)</f>
        <v>0</v>
      </c>
      <c r="HA30" s="6">
        <f>SUMIF('Eredeti fejléccel'!$B:$B,'Felosztás eredménykim'!$B30,'Eredeti fejléccel'!$DE:$DE)</f>
        <v>0</v>
      </c>
      <c r="HB30" s="103">
        <f t="shared" si="59"/>
        <v>0</v>
      </c>
      <c r="HD30" s="9">
        <f t="shared" si="35"/>
        <v>147040.00000000003</v>
      </c>
      <c r="HE30" s="9">
        <v>147040</v>
      </c>
      <c r="HF30" s="476"/>
      <c r="HH30" s="34">
        <f t="shared" si="60"/>
        <v>0</v>
      </c>
    </row>
    <row r="31" spans="1:218" x14ac:dyDescent="0.25">
      <c r="A31" s="208" t="s">
        <v>761</v>
      </c>
      <c r="B31" s="208" t="s">
        <v>761</v>
      </c>
      <c r="D31" s="6">
        <f>SUMIF('Eredeti fejléccel'!$B:$B,'Felosztás eredménykim'!$B31,'Eredeti fejléccel'!$D:$D)</f>
        <v>0</v>
      </c>
      <c r="E31" s="6">
        <f>SUMIF('Eredeti fejléccel'!$B:$B,'Felosztás eredménykim'!$B31,'Eredeti fejléccel'!$E:$E)</f>
        <v>0</v>
      </c>
      <c r="F31" s="6">
        <f>SUMIF('Eredeti fejléccel'!$B:$B,'Felosztás eredménykim'!$B31,'Eredeti fejléccel'!$F:$F)</f>
        <v>0</v>
      </c>
      <c r="G31" s="6">
        <f>SUMIF('Eredeti fejléccel'!$B:$B,'Felosztás eredménykim'!$B31,'Eredeti fejléccel'!$G:$G)</f>
        <v>0</v>
      </c>
      <c r="H31" s="6"/>
      <c r="I31" s="6">
        <f>SUMIF('Eredeti fejléccel'!$B:$B,'Felosztás eredménykim'!$B31,'Eredeti fejléccel'!$O:$O)</f>
        <v>0</v>
      </c>
      <c r="J31" s="6">
        <f>SUMIF('Eredeti fejléccel'!$B:$B,'Felosztás eredménykim'!$B31,'Eredeti fejléccel'!$P:$P)</f>
        <v>0</v>
      </c>
      <c r="K31" s="6">
        <f>SUMIF('Eredeti fejléccel'!$B:$B,'Felosztás eredménykim'!$B31,'Eredeti fejléccel'!$Q:$Q)</f>
        <v>0</v>
      </c>
      <c r="L31" s="6">
        <f>SUMIF('Eredeti fejléccel'!$B:$B,'Felosztás eredménykim'!$B31,'Eredeti fejléccel'!$R:$R)</f>
        <v>0</v>
      </c>
      <c r="M31" s="6">
        <f>SUMIF('Eredeti fejléccel'!$B:$B,'Felosztás eredménykim'!$B31,'Eredeti fejléccel'!$T:$T)</f>
        <v>0</v>
      </c>
      <c r="N31" s="6">
        <f>SUMIF('Eredeti fejléccel'!$B:$B,'Felosztás eredménykim'!$B31,'Eredeti fejléccel'!$U:$U)</f>
        <v>0</v>
      </c>
      <c r="O31" s="6">
        <f>SUMIF('Eredeti fejléccel'!$B:$B,'Felosztás eredménykim'!$B31,'Eredeti fejléccel'!$V:$V)</f>
        <v>0</v>
      </c>
      <c r="P31" s="6">
        <f>SUMIF('Eredeti fejléccel'!$B:$B,'Felosztás eredménykim'!$B31,'Eredeti fejléccel'!$W:$W)</f>
        <v>0</v>
      </c>
      <c r="Q31" s="6">
        <f>SUMIF('Eredeti fejléccel'!$B:$B,'Felosztás eredménykim'!$B31,'Eredeti fejléccel'!$X:$X)</f>
        <v>0</v>
      </c>
      <c r="R31" s="6">
        <f>SUMIF('Eredeti fejléccel'!$B:$B,'Felosztás eredménykim'!$B31,'Eredeti fejléccel'!$Y:$Y)</f>
        <v>0</v>
      </c>
      <c r="S31" s="6">
        <f>SUMIF('Eredeti fejléccel'!$B:$B,'Felosztás eredménykim'!$B31,'Eredeti fejléccel'!$Z:$Z)</f>
        <v>0</v>
      </c>
      <c r="T31" s="6">
        <f>SUMIF('Eredeti fejléccel'!$B:$B,'Felosztás eredménykim'!$B31,'Eredeti fejléccel'!$AA:$AA)</f>
        <v>0</v>
      </c>
      <c r="U31" s="6">
        <f>SUMIF('Eredeti fejléccel'!$B:$B,'Felosztás eredménykim'!$B31,'Eredeti fejléccel'!$D:$D)</f>
        <v>0</v>
      </c>
      <c r="V31" s="6">
        <f>SUMIF('Eredeti fejléccel'!$B:$B,'Felosztás eredménykim'!$B31,'Eredeti fejléccel'!$AT:$AT)</f>
        <v>0</v>
      </c>
      <c r="X31" s="36">
        <f t="shared" si="0"/>
        <v>0</v>
      </c>
      <c r="Z31" s="6">
        <f>SUMIF('Eredeti fejléccel'!$B:$B,'Felosztás eredménykim'!$B31,'Eredeti fejléccel'!$K:$K)</f>
        <v>0</v>
      </c>
      <c r="AB31" s="6">
        <f>SUMIF('Eredeti fejléccel'!$B:$B,'Felosztás eredménykim'!$B31,'Eredeti fejléccel'!$AB:$AB)</f>
        <v>0</v>
      </c>
      <c r="AC31" s="6">
        <f>SUMIF('Eredeti fejléccel'!$B:$B,'Felosztás eredménykim'!$B31,'Eredeti fejléccel'!$AQ:$AQ)</f>
        <v>0</v>
      </c>
      <c r="AE31" s="73">
        <f t="shared" si="1"/>
        <v>0</v>
      </c>
      <c r="AF31" s="36">
        <f t="shared" si="2"/>
        <v>0</v>
      </c>
      <c r="AG31" s="8">
        <f t="shared" si="3"/>
        <v>0</v>
      </c>
      <c r="AI31" s="6">
        <f>SUMIF('Eredeti fejléccel'!$B:$B,'Felosztás eredménykim'!$B31,'Eredeti fejléccel'!$BB:$BB)</f>
        <v>0</v>
      </c>
      <c r="AJ31" s="6">
        <f>SUMIF('Eredeti fejléccel'!$B:$B,'Felosztás eredménykim'!$B31,'Eredeti fejléccel'!$AF:$AF)</f>
        <v>0</v>
      </c>
      <c r="AK31" s="8">
        <f>SUM(AG31:AJ31)</f>
        <v>0</v>
      </c>
      <c r="AL31" s="36">
        <f t="shared" si="5"/>
        <v>0</v>
      </c>
      <c r="AM31" s="8">
        <f t="shared" si="6"/>
        <v>0</v>
      </c>
      <c r="AN31" s="6">
        <f t="shared" si="36"/>
        <v>0</v>
      </c>
      <c r="AO31" s="6">
        <f>SUMIF('Eredeti fejléccel'!$B:$B,'Felosztás eredménykim'!$B31,'Eredeti fejléccel'!$AC:$AC)</f>
        <v>0</v>
      </c>
      <c r="AP31" s="6">
        <f>SUMIF('Eredeti fejléccel'!$B:$B,'Felosztás eredménykim'!$B31,'Eredeti fejléccel'!$AD:$AD)</f>
        <v>0</v>
      </c>
      <c r="AQ31" s="6">
        <f>SUMIF('Eredeti fejléccel'!$B:$B,'Felosztás eredménykim'!$B31,'Eredeti fejléccel'!$AE:$AE)</f>
        <v>0</v>
      </c>
      <c r="AR31" s="6">
        <f>SUMIF('Eredeti fejléccel'!$B:$B,'Felosztás eredménykim'!$B31,'Eredeti fejléccel'!$AG:$AG)</f>
        <v>0</v>
      </c>
      <c r="AS31" s="6">
        <f t="shared" si="37"/>
        <v>0</v>
      </c>
      <c r="AT31" s="36">
        <f t="shared" si="7"/>
        <v>0</v>
      </c>
      <c r="AU31" s="8">
        <f t="shared" si="8"/>
        <v>0</v>
      </c>
      <c r="AV31" s="6">
        <f>SUMIF('Eredeti fejléccel'!$B:$B,'Felosztás eredménykim'!$B31,'Eredeti fejléccel'!$AI:$AI)</f>
        <v>0</v>
      </c>
      <c r="AW31" s="6">
        <f>SUMIF('Eredeti fejléccel'!$B:$B,'Felosztás eredménykim'!$B31,'Eredeti fejléccel'!$AJ:$AJ)</f>
        <v>0</v>
      </c>
      <c r="AX31" s="6">
        <f>SUMIF('Eredeti fejléccel'!$B:$B,'Felosztás eredménykim'!$B31,'Eredeti fejléccel'!$AK:$AK)</f>
        <v>0</v>
      </c>
      <c r="AY31" s="6">
        <f>SUMIF('Eredeti fejléccel'!$B:$B,'Felosztás eredménykim'!$B31,'Eredeti fejléccel'!$AL:$AL)</f>
        <v>0</v>
      </c>
      <c r="AZ31" s="6">
        <f>SUMIF('Eredeti fejléccel'!$B:$B,'Felosztás eredménykim'!$B31,'Eredeti fejléccel'!$AM:$AM)</f>
        <v>0</v>
      </c>
      <c r="BA31" s="6">
        <f>SUMIF('Eredeti fejléccel'!$B:$B,'Felosztás eredménykim'!$B31,'Eredeti fejléccel'!$AN:$AN)</f>
        <v>0</v>
      </c>
      <c r="BB31" s="6">
        <f>SUMIF('Eredeti fejléccel'!$B:$B,'Felosztás eredménykim'!$B31,'Eredeti fejléccel'!$AP:$AP)</f>
        <v>0</v>
      </c>
      <c r="BD31" s="6">
        <f>SUMIF('Eredeti fejléccel'!$B:$B,'Felosztás eredménykim'!$B31,'Eredeti fejléccel'!$AS:$AS)</f>
        <v>0</v>
      </c>
      <c r="BE31" s="8">
        <f t="shared" si="38"/>
        <v>0</v>
      </c>
      <c r="BF31" s="36">
        <f t="shared" si="9"/>
        <v>0</v>
      </c>
      <c r="BG31" s="8">
        <f t="shared" si="10"/>
        <v>0</v>
      </c>
      <c r="BH31" s="6">
        <f t="shared" si="39"/>
        <v>0</v>
      </c>
      <c r="BI31" s="6">
        <f>SUMIF('Eredeti fejléccel'!$B:$B,'Felosztás eredménykim'!$B31,'Eredeti fejléccel'!$AH:$AH)</f>
        <v>0</v>
      </c>
      <c r="BJ31" s="6">
        <f>SUMIF('Eredeti fejléccel'!$B:$B,'Felosztás eredménykim'!$B31,'Eredeti fejléccel'!$AO:$AO)</f>
        <v>0</v>
      </c>
      <c r="BK31" s="6">
        <f>SUMIF('Eredeti fejléccel'!$B:$B,'Felosztás eredménykim'!$B31,'Eredeti fejléccel'!$BF:$BF)</f>
        <v>0</v>
      </c>
      <c r="BL31" s="8">
        <f t="shared" si="40"/>
        <v>0</v>
      </c>
      <c r="BM31" s="36">
        <f t="shared" si="11"/>
        <v>0</v>
      </c>
      <c r="BN31" s="8">
        <f t="shared" si="12"/>
        <v>0</v>
      </c>
      <c r="BP31" s="8">
        <f t="shared" si="41"/>
        <v>0</v>
      </c>
      <c r="BQ31" s="6">
        <f>SUMIF('Eredeti fejléccel'!$B:$B,'Felosztás eredménykim'!$B31,'Eredeti fejléccel'!$N:$N)</f>
        <v>0</v>
      </c>
      <c r="BR31" s="6">
        <f>SUMIF('Eredeti fejléccel'!$B:$B,'Felosztás eredménykim'!$B31,'Eredeti fejléccel'!$S:$S)</f>
        <v>0</v>
      </c>
      <c r="BT31" s="6">
        <f>SUMIF('Eredeti fejléccel'!$B:$B,'Felosztás eredménykim'!$B31,'Eredeti fejléccel'!$AR:$AR)</f>
        <v>0</v>
      </c>
      <c r="BU31" s="6">
        <f>SUMIF('Eredeti fejléccel'!$B:$B,'Felosztás eredménykim'!$B31,'Eredeti fejléccel'!$AU:$AU)</f>
        <v>0</v>
      </c>
      <c r="BV31" s="6">
        <f>SUMIF('Eredeti fejléccel'!$B:$B,'Felosztás eredménykim'!$B31,'Eredeti fejléccel'!$AV:$AV)</f>
        <v>0</v>
      </c>
      <c r="BW31" s="6">
        <f>SUMIF('Eredeti fejléccel'!$B:$B,'Felosztás eredménykim'!$B31,'Eredeti fejléccel'!$AW:$AW)</f>
        <v>0</v>
      </c>
      <c r="BX31" s="6">
        <f>SUMIF('Eredeti fejléccel'!$B:$B,'Felosztás eredménykim'!$B31,'Eredeti fejléccel'!$AX:$AX)</f>
        <v>0</v>
      </c>
      <c r="BY31" s="6">
        <f>SUMIF('Eredeti fejléccel'!$B:$B,'Felosztás eredménykim'!$B31,'Eredeti fejléccel'!$AY:$AY)</f>
        <v>0</v>
      </c>
      <c r="BZ31" s="6">
        <f>SUMIF('Eredeti fejléccel'!$B:$B,'Felosztás eredménykim'!$B31,'Eredeti fejléccel'!$AZ:$AZ)</f>
        <v>0</v>
      </c>
      <c r="CA31" s="6">
        <f>SUMIF('Eredeti fejléccel'!$B:$B,'Felosztás eredménykim'!$B31,'Eredeti fejléccel'!$BA:$BA)</f>
        <v>7844330</v>
      </c>
      <c r="CB31" s="6">
        <f t="shared" si="13"/>
        <v>7844330</v>
      </c>
      <c r="CC31" s="36">
        <f t="shared" si="14"/>
        <v>0</v>
      </c>
      <c r="CD31" s="8">
        <f t="shared" si="15"/>
        <v>0</v>
      </c>
      <c r="CE31" s="6">
        <f>SUMIF('Eredeti fejléccel'!$B:$B,'Felosztás eredménykim'!$B31,'Eredeti fejléccel'!$BC:$BC)</f>
        <v>0</v>
      </c>
      <c r="CF31" s="8">
        <f t="shared" si="42"/>
        <v>0</v>
      </c>
      <c r="CG31" s="6">
        <f>SUMIF('Eredeti fejléccel'!$B:$B,'Felosztás eredménykim'!$B31,'Eredeti fejléccel'!$H:$H)</f>
        <v>0</v>
      </c>
      <c r="CH31" s="6">
        <f>SUMIF('Eredeti fejléccel'!$B:$B,'Felosztás eredménykim'!$B31,'Eredeti fejléccel'!$BE:$BE)</f>
        <v>0</v>
      </c>
      <c r="CI31" s="6">
        <f t="shared" si="43"/>
        <v>0</v>
      </c>
      <c r="CJ31" s="36">
        <f t="shared" si="16"/>
        <v>0</v>
      </c>
      <c r="CK31" s="8">
        <f t="shared" si="17"/>
        <v>0</v>
      </c>
      <c r="CL31" s="8">
        <f t="shared" si="44"/>
        <v>0</v>
      </c>
      <c r="CM31" s="6">
        <f>SUMIF('Eredeti fejléccel'!$B:$B,'Felosztás eredménykim'!$B31,'Eredeti fejléccel'!$BD:$BD)</f>
        <v>0</v>
      </c>
      <c r="CN31" s="8">
        <f t="shared" si="45"/>
        <v>0</v>
      </c>
      <c r="CO31" s="8">
        <f t="shared" si="18"/>
        <v>7844330</v>
      </c>
      <c r="CR31" s="36">
        <f t="shared" si="19"/>
        <v>0</v>
      </c>
      <c r="CS31" s="6">
        <f>SUMIF('Eredeti fejléccel'!$B:$B,'Felosztás eredménykim'!$B31,'Eredeti fejléccel'!$I:$I)</f>
        <v>0</v>
      </c>
      <c r="CT31" s="6">
        <f>SUMIF('Eredeti fejléccel'!$B:$B,'Felosztás eredménykim'!$B31,'Eredeti fejléccel'!$BG:$BG)</f>
        <v>0</v>
      </c>
      <c r="CU31" s="6">
        <f>SUMIF('Eredeti fejléccel'!$B:$B,'Felosztás eredménykim'!$B31,'Eredeti fejléccel'!$BH:$BH)</f>
        <v>0</v>
      </c>
      <c r="CV31" s="6">
        <f>SUMIF('Eredeti fejléccel'!$B:$B,'Felosztás eredménykim'!$B31,'Eredeti fejléccel'!$BI:$BI)</f>
        <v>0</v>
      </c>
      <c r="CW31" s="6">
        <f>SUMIF('Eredeti fejléccel'!$B:$B,'Felosztás eredménykim'!$B31,'Eredeti fejléccel'!$BL:$BL)</f>
        <v>0</v>
      </c>
      <c r="CX31" s="6">
        <f t="shared" si="46"/>
        <v>0</v>
      </c>
      <c r="CY31" s="6">
        <f>SUMIF('Eredeti fejléccel'!$B:$B,'Felosztás eredménykim'!$B31,'Eredeti fejléccel'!$BJ:$BJ)</f>
        <v>0</v>
      </c>
      <c r="CZ31" s="6">
        <f>SUMIF('Eredeti fejléccel'!$B:$B,'Felosztás eredménykim'!$B31,'Eredeti fejléccel'!$BK:$BK)</f>
        <v>0</v>
      </c>
      <c r="DA31" s="99">
        <f t="shared" si="47"/>
        <v>0</v>
      </c>
      <c r="DC31" s="36">
        <f t="shared" si="20"/>
        <v>0</v>
      </c>
      <c r="DD31" s="6">
        <f>SUMIF('Eredeti fejléccel'!$B:$B,'Felosztás eredménykim'!$B31,'Eredeti fejléccel'!$J:$J)</f>
        <v>0</v>
      </c>
      <c r="DE31" s="6">
        <f>SUMIF('Eredeti fejléccel'!$B:$B,'Felosztás eredménykim'!$B31,'Eredeti fejléccel'!$BM:$BM)</f>
        <v>47244</v>
      </c>
      <c r="DF31" s="6">
        <f t="shared" si="48"/>
        <v>0</v>
      </c>
      <c r="DG31" s="8">
        <f t="shared" si="21"/>
        <v>0</v>
      </c>
      <c r="DH31" s="8">
        <f t="shared" si="49"/>
        <v>47244</v>
      </c>
      <c r="DJ31" s="6">
        <f>SUMIF('Eredeti fejléccel'!$B:$B,'Felosztás eredménykim'!$B31,'Eredeti fejléccel'!$BN:$BN)</f>
        <v>0</v>
      </c>
      <c r="DK31" s="6">
        <f>SUMIF('Eredeti fejléccel'!$B:$B,'Felosztás eredménykim'!$B31,'Eredeti fejléccel'!$BZ:$BZ)</f>
        <v>0</v>
      </c>
      <c r="DL31" s="8">
        <f t="shared" si="50"/>
        <v>0</v>
      </c>
      <c r="DM31" s="6">
        <f>SUMIF('Eredeti fejléccel'!$B:$B,'Felosztás eredménykim'!$B31,'Eredeti fejléccel'!$BR:$BR)</f>
        <v>0</v>
      </c>
      <c r="DN31" s="6">
        <f>SUMIF('Eredeti fejléccel'!$B:$B,'Felosztás eredménykim'!$B31,'Eredeti fejléccel'!$BS:$BS)</f>
        <v>0</v>
      </c>
      <c r="DO31" s="6">
        <f>SUMIF('Eredeti fejléccel'!$B:$B,'Felosztás eredménykim'!$B31,'Eredeti fejléccel'!$BO:$BO)</f>
        <v>0</v>
      </c>
      <c r="DP31" s="6">
        <f>SUMIF('Eredeti fejléccel'!$B:$B,'Felosztás eredménykim'!$B31,'Eredeti fejléccel'!$BP:$BP)</f>
        <v>0</v>
      </c>
      <c r="DQ31" s="6">
        <f>SUMIF('Eredeti fejléccel'!$B:$B,'Felosztás eredménykim'!$B31,'Eredeti fejléccel'!$BQ:$BQ)</f>
        <v>0</v>
      </c>
      <c r="DS31" s="8"/>
      <c r="DU31" s="6">
        <f>SUMIF('Eredeti fejléccel'!$B:$B,'Felosztás eredménykim'!$B31,'Eredeti fejléccel'!$BT:$BT)</f>
        <v>0</v>
      </c>
      <c r="DV31" s="6">
        <f>SUMIF('Eredeti fejléccel'!$B:$B,'Felosztás eredménykim'!$B31,'Eredeti fejléccel'!$BU:$BU)</f>
        <v>0</v>
      </c>
      <c r="DW31" s="6">
        <f>SUMIF('Eredeti fejléccel'!$B:$B,'Felosztás eredménykim'!$B31,'Eredeti fejléccel'!$BV:$BV)</f>
        <v>0</v>
      </c>
      <c r="DX31" s="6">
        <f>SUMIF('Eredeti fejléccel'!$B:$B,'Felosztás eredménykim'!$B31,'Eredeti fejléccel'!$BW:$BW)</f>
        <v>0</v>
      </c>
      <c r="DY31" s="6">
        <f>SUMIF('Eredeti fejléccel'!$B:$B,'Felosztás eredménykim'!$B31,'Eredeti fejléccel'!$BX:$BX)</f>
        <v>0</v>
      </c>
      <c r="EA31" s="6"/>
      <c r="EC31" s="6"/>
      <c r="EE31" s="6">
        <f>SUMIF('Eredeti fejléccel'!$B:$B,'Felosztás eredménykim'!$B31,'Eredeti fejléccel'!$CA:$CA)</f>
        <v>0</v>
      </c>
      <c r="EF31" s="6">
        <f>SUMIF('Eredeti fejléccel'!$B:$B,'Felosztás eredménykim'!$B31,'Eredeti fejléccel'!$CB:$CB)</f>
        <v>0</v>
      </c>
      <c r="EG31" s="6">
        <f>SUMIF('Eredeti fejléccel'!$B:$B,'Felosztás eredménykim'!$B31,'Eredeti fejléccel'!$CC:$CC)</f>
        <v>0</v>
      </c>
      <c r="EH31" s="6">
        <f>SUMIF('Eredeti fejléccel'!$B:$B,'Felosztás eredménykim'!$B31,'Eredeti fejléccel'!$CD:$CD)</f>
        <v>0</v>
      </c>
      <c r="EK31" s="6">
        <f>SUMIF('Eredeti fejléccel'!$B:$B,'Felosztás eredménykim'!$B31,'Eredeti fejléccel'!$CE:$CE)</f>
        <v>0</v>
      </c>
      <c r="EN31" s="6">
        <f>SUMIF('Eredeti fejléccel'!$B:$B,'Felosztás eredménykim'!$B31,'Eredeti fejléccel'!$CF:$CF)</f>
        <v>0</v>
      </c>
      <c r="EP31" s="6">
        <f>SUMIF('Eredeti fejléccel'!$B:$B,'Felosztás eredménykim'!$B31,'Eredeti fejléccel'!$CG:$CG)</f>
        <v>0</v>
      </c>
      <c r="ES31" s="6">
        <f>SUMIF('Eredeti fejléccel'!$B:$B,'Felosztás eredménykim'!$B31,'Eredeti fejléccel'!$CH:$CH)</f>
        <v>0</v>
      </c>
      <c r="ET31" s="6">
        <f>SUMIF('Eredeti fejléccel'!$B:$B,'Felosztás eredménykim'!$B31,'Eredeti fejléccel'!$CI:$CI)</f>
        <v>0</v>
      </c>
      <c r="EW31" s="8">
        <f t="shared" si="22"/>
        <v>0</v>
      </c>
      <c r="EX31" s="8">
        <f t="shared" si="51"/>
        <v>0</v>
      </c>
      <c r="EY31" s="8">
        <f t="shared" si="52"/>
        <v>47244</v>
      </c>
      <c r="EZ31" s="8">
        <f t="shared" si="23"/>
        <v>47244</v>
      </c>
      <c r="FA31" s="8">
        <f t="shared" si="24"/>
        <v>47244</v>
      </c>
      <c r="FC31" s="6">
        <f>SUMIF('Eredeti fejléccel'!$B:$B,'Felosztás eredménykim'!$B31,'Eredeti fejléccel'!$L:$L)</f>
        <v>0</v>
      </c>
      <c r="FD31" s="6">
        <f>SUMIF('Eredeti fejléccel'!$B:$B,'Felosztás eredménykim'!$B31,'Eredeti fejléccel'!$CJ:$CJ)</f>
        <v>0</v>
      </c>
      <c r="FE31" s="6">
        <f>SUMIF('Eredeti fejléccel'!$B:$B,'Felosztás eredménykim'!$B31,'Eredeti fejléccel'!$CL:$CL)</f>
        <v>0</v>
      </c>
      <c r="FG31" s="99">
        <f t="shared" si="53"/>
        <v>0</v>
      </c>
      <c r="FH31" s="6">
        <f>SUMIF('Eredeti fejléccel'!$B:$B,'Felosztás eredménykim'!$B31,'Eredeti fejléccel'!$CK:$CK)</f>
        <v>0</v>
      </c>
      <c r="FI31" s="36">
        <f t="shared" si="25"/>
        <v>0</v>
      </c>
      <c r="FJ31" s="101">
        <f t="shared" si="26"/>
        <v>0</v>
      </c>
      <c r="FK31" s="6">
        <f>SUMIF('Eredeti fejléccel'!$B:$B,'Felosztás eredménykim'!$B31,'Eredeti fejléccel'!$CM:$CM)</f>
        <v>0</v>
      </c>
      <c r="FL31" s="6">
        <f>SUMIF('Eredeti fejléccel'!$B:$B,'Felosztás eredménykim'!$B31,'Eredeti fejléccel'!$CN:$CN)</f>
        <v>0</v>
      </c>
      <c r="FM31" s="8">
        <f t="shared" si="54"/>
        <v>0</v>
      </c>
      <c r="FN31" s="36">
        <f t="shared" si="27"/>
        <v>0</v>
      </c>
      <c r="FO31" s="101">
        <f t="shared" si="28"/>
        <v>0</v>
      </c>
      <c r="FP31" s="6">
        <f>SUMIF('Eredeti fejléccel'!$B:$B,'Felosztás eredménykim'!$B31,'Eredeti fejléccel'!$CO:$CO)</f>
        <v>93625</v>
      </c>
      <c r="FQ31" s="6">
        <f>'Eredeti fejléccel'!CP31</f>
        <v>0</v>
      </c>
      <c r="FR31" s="6">
        <f>'Eredeti fejléccel'!CQ31</f>
        <v>0</v>
      </c>
      <c r="FS31" s="103">
        <f t="shared" si="55"/>
        <v>93625</v>
      </c>
      <c r="FT31" s="36">
        <f t="shared" si="29"/>
        <v>0</v>
      </c>
      <c r="FU31" s="101">
        <f t="shared" si="30"/>
        <v>0</v>
      </c>
      <c r="FV31" s="101"/>
      <c r="FW31" s="6">
        <f>SUMIF('Eredeti fejléccel'!$B:$B,'Felosztás eredménykim'!$B31,'Eredeti fejléccel'!$CR:$CR)</f>
        <v>0</v>
      </c>
      <c r="FX31" s="6">
        <f>SUMIF('Eredeti fejléccel'!$B:$B,'Felosztás eredménykim'!$B31,'Eredeti fejléccel'!$CS:$CS)</f>
        <v>0</v>
      </c>
      <c r="FY31" s="6">
        <f>SUMIF('Eredeti fejléccel'!$B:$B,'Felosztás eredménykim'!$B31,'Eredeti fejléccel'!$CT:$CT)</f>
        <v>0</v>
      </c>
      <c r="FZ31" s="6">
        <f>SUMIF('Eredeti fejléccel'!$B:$B,'Felosztás eredménykim'!$B31,'Eredeti fejléccel'!$CU:$CU)</f>
        <v>0</v>
      </c>
      <c r="GA31" s="103">
        <f t="shared" si="56"/>
        <v>0</v>
      </c>
      <c r="GB31" s="36">
        <f t="shared" si="31"/>
        <v>0</v>
      </c>
      <c r="GC31" s="101">
        <f t="shared" si="32"/>
        <v>0</v>
      </c>
      <c r="GD31" s="6">
        <f>SUMIF('Eredeti fejléccel'!$B:$B,'Felosztás eredménykim'!$B31,'Eredeti fejléccel'!$CV:$CV)</f>
        <v>0</v>
      </c>
      <c r="GE31" s="6">
        <f>SUMIF('Eredeti fejléccel'!$B:$B,'Felosztás eredménykim'!$B31,'Eredeti fejléccel'!$CW:$CW)</f>
        <v>0</v>
      </c>
      <c r="GF31" s="103">
        <f t="shared" si="57"/>
        <v>0</v>
      </c>
      <c r="GG31" s="36">
        <f t="shared" si="33"/>
        <v>0</v>
      </c>
      <c r="GM31" s="6">
        <f>SUMIF('Eredeti fejléccel'!$B:$B,'Felosztás eredménykim'!$B31,'Eredeti fejléccel'!$CX:$CX)</f>
        <v>0</v>
      </c>
      <c r="GN31" s="6">
        <f>SUMIF('Eredeti fejléccel'!$B:$B,'Felosztás eredménykim'!$B31,'Eredeti fejléccel'!$CY:$CY)</f>
        <v>0</v>
      </c>
      <c r="GO31" s="6">
        <f>SUMIF('Eredeti fejléccel'!$B:$B,'Felosztás eredménykim'!$B31,'Eredeti fejléccel'!$CZ:$CZ)</f>
        <v>0</v>
      </c>
      <c r="GP31" s="6">
        <f>SUMIF('Eredeti fejléccel'!$B:$B,'Felosztás eredménykim'!$B31,'Eredeti fejléccel'!$DA:$DA)</f>
        <v>0</v>
      </c>
      <c r="GQ31" s="6">
        <f>SUMIF('Eredeti fejléccel'!$B:$B,'Felosztás eredménykim'!$B31,'Eredeti fejléccel'!$DB:$DB)</f>
        <v>0</v>
      </c>
      <c r="GR31" s="103">
        <f t="shared" si="58"/>
        <v>0</v>
      </c>
      <c r="GW31" s="36">
        <f t="shared" si="34"/>
        <v>0</v>
      </c>
      <c r="GX31" s="6">
        <f>SUMIF('Eredeti fejléccel'!$B:$B,'Felosztás eredménykim'!$B31,'Eredeti fejléccel'!$M:$M)</f>
        <v>0</v>
      </c>
      <c r="GY31" s="6">
        <f>SUMIF('Eredeti fejléccel'!$B:$B,'Felosztás eredménykim'!$B31,'Eredeti fejléccel'!$DC:$DC)</f>
        <v>0</v>
      </c>
      <c r="GZ31" s="6">
        <f>SUMIF('Eredeti fejléccel'!$B:$B,'Felosztás eredménykim'!$B31,'Eredeti fejléccel'!$DD:$DD)</f>
        <v>0</v>
      </c>
      <c r="HA31" s="6">
        <f>SUMIF('Eredeti fejléccel'!$B:$B,'Felosztás eredménykim'!$B31,'Eredeti fejléccel'!$DE:$DE)</f>
        <v>0</v>
      </c>
      <c r="HB31" s="103">
        <f t="shared" si="59"/>
        <v>0</v>
      </c>
      <c r="HD31" s="9">
        <f t="shared" si="35"/>
        <v>7985199</v>
      </c>
      <c r="HE31" s="9">
        <v>7985199</v>
      </c>
      <c r="HF31" s="476"/>
      <c r="HH31" s="34">
        <f t="shared" si="60"/>
        <v>0</v>
      </c>
    </row>
    <row r="32" spans="1:218" x14ac:dyDescent="0.25">
      <c r="A32" s="4" t="s">
        <v>99</v>
      </c>
      <c r="B32" s="4" t="s">
        <v>99</v>
      </c>
      <c r="C32" s="1" t="s">
        <v>100</v>
      </c>
      <c r="D32" s="6">
        <f>SUMIF('Eredeti fejléccel'!$B:$B,'Felosztás eredménykim'!$B32,'Eredeti fejléccel'!$D:$D)</f>
        <v>0</v>
      </c>
      <c r="E32" s="6">
        <f>SUMIF('Eredeti fejléccel'!$B:$B,'Felosztás eredménykim'!$B32,'Eredeti fejléccel'!$E:$E)</f>
        <v>0</v>
      </c>
      <c r="F32" s="6">
        <f>SUMIF('Eredeti fejléccel'!$B:$B,'Felosztás eredménykim'!$B32,'Eredeti fejléccel'!$F:$F)</f>
        <v>0</v>
      </c>
      <c r="G32" s="6">
        <f>SUMIF('Eredeti fejléccel'!$B:$B,'Felosztás eredménykim'!$B32,'Eredeti fejléccel'!$G:$G)</f>
        <v>16000</v>
      </c>
      <c r="H32" s="6"/>
      <c r="I32" s="6">
        <f>SUMIF('Eredeti fejléccel'!$B:$B,'Felosztás eredménykim'!$B32,'Eredeti fejléccel'!$O:$O)</f>
        <v>0</v>
      </c>
      <c r="J32" s="6">
        <f>SUMIF('Eredeti fejléccel'!$B:$B,'Felosztás eredménykim'!$B32,'Eredeti fejléccel'!$P:$P)</f>
        <v>0</v>
      </c>
      <c r="K32" s="6">
        <f>SUMIF('Eredeti fejléccel'!$B:$B,'Felosztás eredménykim'!$B32,'Eredeti fejléccel'!$Q:$Q)</f>
        <v>0</v>
      </c>
      <c r="L32" s="6">
        <f>SUMIF('Eredeti fejléccel'!$B:$B,'Felosztás eredménykim'!$B32,'Eredeti fejléccel'!$R:$R)</f>
        <v>0</v>
      </c>
      <c r="M32" s="6">
        <f>SUMIF('Eredeti fejléccel'!$B:$B,'Felosztás eredménykim'!$B32,'Eredeti fejléccel'!$T:$T)</f>
        <v>0</v>
      </c>
      <c r="N32" s="6">
        <f>SUMIF('Eredeti fejléccel'!$B:$B,'Felosztás eredménykim'!$B32,'Eredeti fejléccel'!$U:$U)</f>
        <v>0</v>
      </c>
      <c r="O32" s="6">
        <f>SUMIF('Eredeti fejléccel'!$B:$B,'Felosztás eredménykim'!$B32,'Eredeti fejléccel'!$V:$V)</f>
        <v>32000</v>
      </c>
      <c r="P32" s="6">
        <f>SUMIF('Eredeti fejléccel'!$B:$B,'Felosztás eredménykim'!$B32,'Eredeti fejléccel'!$W:$W)</f>
        <v>0</v>
      </c>
      <c r="Q32" s="6">
        <f>SUMIF('Eredeti fejléccel'!$B:$B,'Felosztás eredménykim'!$B32,'Eredeti fejléccel'!$X:$X)</f>
        <v>0</v>
      </c>
      <c r="R32" s="6">
        <f>SUMIF('Eredeti fejléccel'!$B:$B,'Felosztás eredménykim'!$B32,'Eredeti fejléccel'!$Y:$Y)</f>
        <v>0</v>
      </c>
      <c r="S32" s="6">
        <f>SUMIF('Eredeti fejléccel'!$B:$B,'Felosztás eredménykim'!$B32,'Eredeti fejléccel'!$Z:$Z)</f>
        <v>0</v>
      </c>
      <c r="T32" s="6">
        <f>SUMIF('Eredeti fejléccel'!$B:$B,'Felosztás eredménykim'!$B32,'Eredeti fejléccel'!$AA:$AA)</f>
        <v>0</v>
      </c>
      <c r="U32" s="6">
        <f>SUMIF('Eredeti fejléccel'!$B:$B,'Felosztás eredménykim'!$B32,'Eredeti fejléccel'!$D:$D)</f>
        <v>0</v>
      </c>
      <c r="V32" s="6">
        <f>SUMIF('Eredeti fejléccel'!$B:$B,'Felosztás eredménykim'!$B32,'Eredeti fejléccel'!$AT:$AT)</f>
        <v>0</v>
      </c>
      <c r="X32" s="36">
        <f t="shared" si="0"/>
        <v>48000</v>
      </c>
      <c r="Z32" s="6">
        <f>SUMIF('Eredeti fejléccel'!$B:$B,'Felosztás eredménykim'!$B32,'Eredeti fejléccel'!$K:$K)</f>
        <v>86000</v>
      </c>
      <c r="AB32" s="6">
        <f>SUMIF('Eredeti fejléccel'!$B:$B,'Felosztás eredménykim'!$B32,'Eredeti fejléccel'!$AB:$AB)</f>
        <v>0</v>
      </c>
      <c r="AC32" s="6">
        <f>SUMIF('Eredeti fejléccel'!$B:$B,'Felosztás eredménykim'!$B32,'Eredeti fejléccel'!$AQ:$AQ)</f>
        <v>0</v>
      </c>
      <c r="AE32" s="73">
        <f t="shared" si="1"/>
        <v>86000</v>
      </c>
      <c r="AF32" s="36">
        <f t="shared" si="2"/>
        <v>5726.1427936374212</v>
      </c>
      <c r="AG32" s="8">
        <f t="shared" si="3"/>
        <v>27420.624273320806</v>
      </c>
      <c r="AI32" s="6">
        <f>SUMIF('Eredeti fejléccel'!$B:$B,'Felosztás eredménykim'!$B32,'Eredeti fejléccel'!$BB:$BB)</f>
        <v>0</v>
      </c>
      <c r="AJ32" s="6">
        <f>SUMIF('Eredeti fejléccel'!$B:$B,'Felosztás eredménykim'!$B32,'Eredeti fejléccel'!$AF:$AF)</f>
        <v>0</v>
      </c>
      <c r="AK32" s="8">
        <f t="shared" si="4"/>
        <v>27420.624273320806</v>
      </c>
      <c r="AL32" s="36">
        <f t="shared" si="5"/>
        <v>2274.3950058318624</v>
      </c>
      <c r="AM32" s="8">
        <f t="shared" si="6"/>
        <v>10891.333512208208</v>
      </c>
      <c r="AN32" s="6">
        <f t="shared" si="36"/>
        <v>0</v>
      </c>
      <c r="AO32" s="6">
        <f>SUMIF('Eredeti fejléccel'!$B:$B,'Felosztás eredménykim'!$B32,'Eredeti fejléccel'!$AC:$AC)</f>
        <v>0</v>
      </c>
      <c r="AP32" s="6">
        <f>SUMIF('Eredeti fejléccel'!$B:$B,'Felosztás eredménykim'!$B32,'Eredeti fejléccel'!$AD:$AD)</f>
        <v>0</v>
      </c>
      <c r="AQ32" s="6">
        <f>SUMIF('Eredeti fejléccel'!$B:$B,'Felosztás eredménykim'!$B32,'Eredeti fejléccel'!$AE:$AE)</f>
        <v>0</v>
      </c>
      <c r="AR32" s="6">
        <f>SUMIF('Eredeti fejléccel'!$B:$B,'Felosztás eredménykim'!$B32,'Eredeti fejléccel'!$AG:$AG)</f>
        <v>0</v>
      </c>
      <c r="AS32" s="6">
        <f t="shared" si="37"/>
        <v>10891.333512208208</v>
      </c>
      <c r="AT32" s="36">
        <f t="shared" si="7"/>
        <v>3694.2856733144658</v>
      </c>
      <c r="AU32" s="8">
        <f t="shared" si="8"/>
        <v>17690.725337626325</v>
      </c>
      <c r="AV32" s="6">
        <f>SUMIF('Eredeti fejléccel'!$B:$B,'Felosztás eredménykim'!$B32,'Eredeti fejléccel'!$AI:$AI)</f>
        <v>0</v>
      </c>
      <c r="AW32" s="6">
        <f>SUMIF('Eredeti fejléccel'!$B:$B,'Felosztás eredménykim'!$B32,'Eredeti fejléccel'!$AJ:$AJ)</f>
        <v>0</v>
      </c>
      <c r="AX32" s="6">
        <f>SUMIF('Eredeti fejléccel'!$B:$B,'Felosztás eredménykim'!$B32,'Eredeti fejléccel'!$AK:$AK)</f>
        <v>0</v>
      </c>
      <c r="AY32" s="6">
        <f>SUMIF('Eredeti fejléccel'!$B:$B,'Felosztás eredménykim'!$B32,'Eredeti fejléccel'!$AL:$AL)</f>
        <v>16000</v>
      </c>
      <c r="AZ32" s="6">
        <f>SUMIF('Eredeti fejléccel'!$B:$B,'Felosztás eredménykim'!$B32,'Eredeti fejléccel'!$AM:$AM)</f>
        <v>16000</v>
      </c>
      <c r="BA32" s="6">
        <f>SUMIF('Eredeti fejléccel'!$B:$B,'Felosztás eredménykim'!$B32,'Eredeti fejléccel'!$AN:$AN)</f>
        <v>0</v>
      </c>
      <c r="BB32" s="6">
        <f>SUMIF('Eredeti fejléccel'!$B:$B,'Felosztás eredménykim'!$B32,'Eredeti fejléccel'!$AP:$AP)</f>
        <v>0</v>
      </c>
      <c r="BD32" s="6">
        <f>SUMIF('Eredeti fejléccel'!$B:$B,'Felosztás eredménykim'!$B32,'Eredeti fejléccel'!$AS:$AS)</f>
        <v>0</v>
      </c>
      <c r="BE32" s="8">
        <f t="shared" si="38"/>
        <v>49690.725337626325</v>
      </c>
      <c r="BF32" s="36">
        <f t="shared" si="9"/>
        <v>963.72669738638228</v>
      </c>
      <c r="BG32" s="8">
        <f t="shared" si="10"/>
        <v>4614.9718272068676</v>
      </c>
      <c r="BH32" s="6">
        <f t="shared" si="39"/>
        <v>0</v>
      </c>
      <c r="BI32" s="6">
        <f>SUMIF('Eredeti fejléccel'!$B:$B,'Felosztás eredménykim'!$B32,'Eredeti fejléccel'!$AH:$AH)</f>
        <v>0</v>
      </c>
      <c r="BJ32" s="6">
        <f>SUMIF('Eredeti fejléccel'!$B:$B,'Felosztás eredménykim'!$B32,'Eredeti fejléccel'!$AO:$AO)</f>
        <v>0</v>
      </c>
      <c r="BK32" s="6">
        <f>SUMIF('Eredeti fejléccel'!$B:$B,'Felosztás eredménykim'!$B32,'Eredeti fejléccel'!$BF:$BF)</f>
        <v>0</v>
      </c>
      <c r="BL32" s="8">
        <f t="shared" si="40"/>
        <v>4614.9718272068676</v>
      </c>
      <c r="BM32" s="36">
        <f t="shared" si="11"/>
        <v>3610.762692874313</v>
      </c>
      <c r="BN32" s="8">
        <f t="shared" si="12"/>
        <v>17290.761112601733</v>
      </c>
      <c r="BP32" s="8">
        <f t="shared" si="41"/>
        <v>0</v>
      </c>
      <c r="BQ32" s="6">
        <f>SUMIF('Eredeti fejléccel'!$B:$B,'Felosztás eredménykim'!$B32,'Eredeti fejléccel'!$N:$N)</f>
        <v>0</v>
      </c>
      <c r="BR32" s="6">
        <f>SUMIF('Eredeti fejléccel'!$B:$B,'Felosztás eredménykim'!$B32,'Eredeti fejléccel'!$S:$S)</f>
        <v>0</v>
      </c>
      <c r="BT32" s="6">
        <f>SUMIF('Eredeti fejléccel'!$B:$B,'Felosztás eredménykim'!$B32,'Eredeti fejléccel'!$AR:$AR)</f>
        <v>0</v>
      </c>
      <c r="BU32" s="6">
        <f>SUMIF('Eredeti fejléccel'!$B:$B,'Felosztás eredménykim'!$B32,'Eredeti fejléccel'!$AU:$AU)</f>
        <v>0</v>
      </c>
      <c r="BV32" s="6">
        <f>SUMIF('Eredeti fejléccel'!$B:$B,'Felosztás eredménykim'!$B32,'Eredeti fejléccel'!$AV:$AV)</f>
        <v>0</v>
      </c>
      <c r="BW32" s="6">
        <f>SUMIF('Eredeti fejléccel'!$B:$B,'Felosztás eredménykim'!$B32,'Eredeti fejléccel'!$AW:$AW)</f>
        <v>0</v>
      </c>
      <c r="BX32" s="6">
        <f>SUMIF('Eredeti fejléccel'!$B:$B,'Felosztás eredménykim'!$B32,'Eredeti fejléccel'!$AX:$AX)</f>
        <v>0</v>
      </c>
      <c r="BY32" s="6">
        <f>SUMIF('Eredeti fejléccel'!$B:$B,'Felosztás eredménykim'!$B32,'Eredeti fejléccel'!$AY:$AY)</f>
        <v>0</v>
      </c>
      <c r="BZ32" s="6">
        <f>SUMIF('Eredeti fejléccel'!$B:$B,'Felosztás eredménykim'!$B32,'Eredeti fejléccel'!$AZ:$AZ)</f>
        <v>0</v>
      </c>
      <c r="CA32" s="6">
        <f>SUMIF('Eredeti fejléccel'!$B:$B,'Felosztás eredménykim'!$B32,'Eredeti fejléccel'!$BA:$BA)</f>
        <v>0</v>
      </c>
      <c r="CB32" s="6">
        <f t="shared" si="13"/>
        <v>17290.761112601733</v>
      </c>
      <c r="CC32" s="36">
        <f t="shared" si="14"/>
        <v>983.00123133411</v>
      </c>
      <c r="CD32" s="8">
        <f t="shared" si="15"/>
        <v>4707.2712637510049</v>
      </c>
      <c r="CE32" s="6">
        <f>SUMIF('Eredeti fejléccel'!$B:$B,'Felosztás eredménykim'!$B32,'Eredeti fejléccel'!$BC:$BC)</f>
        <v>0</v>
      </c>
      <c r="CF32" s="8">
        <f t="shared" si="42"/>
        <v>0</v>
      </c>
      <c r="CG32" s="6">
        <f>SUMIF('Eredeti fejléccel'!$B:$B,'Felosztás eredménykim'!$B32,'Eredeti fejléccel'!$H:$H)</f>
        <v>0</v>
      </c>
      <c r="CH32" s="6">
        <f>SUMIF('Eredeti fejléccel'!$B:$B,'Felosztás eredménykim'!$B32,'Eredeti fejléccel'!$BE:$BE)</f>
        <v>0</v>
      </c>
      <c r="CI32" s="6">
        <f t="shared" si="43"/>
        <v>4707.2712637510049</v>
      </c>
      <c r="CJ32" s="36">
        <f t="shared" si="16"/>
        <v>706.73291141668051</v>
      </c>
      <c r="CK32" s="8">
        <f t="shared" si="17"/>
        <v>3384.3126732850369</v>
      </c>
      <c r="CL32" s="8">
        <f t="shared" si="44"/>
        <v>0</v>
      </c>
      <c r="CM32" s="6">
        <f>SUMIF('Eredeti fejléccel'!$B:$B,'Felosztás eredménykim'!$B32,'Eredeti fejléccel'!$BD:$BD)</f>
        <v>0</v>
      </c>
      <c r="CN32" s="8">
        <f t="shared" si="45"/>
        <v>3384.3126732850369</v>
      </c>
      <c r="CO32" s="8">
        <f t="shared" si="18"/>
        <v>135959.04700579523</v>
      </c>
      <c r="CR32" s="36">
        <f t="shared" si="19"/>
        <v>4245.2028332260143</v>
      </c>
      <c r="CS32" s="6">
        <f>SUMIF('Eredeti fejléccel'!$B:$B,'Felosztás eredménykim'!$B32,'Eredeti fejléccel'!$I:$I)</f>
        <v>0</v>
      </c>
      <c r="CT32" s="6">
        <f>SUMIF('Eredeti fejléccel'!$B:$B,'Felosztás eredménykim'!$B32,'Eredeti fejléccel'!$BG:$BG)</f>
        <v>0</v>
      </c>
      <c r="CU32" s="6">
        <f>SUMIF('Eredeti fejléccel'!$B:$B,'Felosztás eredménykim'!$B32,'Eredeti fejléccel'!$BH:$BH)</f>
        <v>0</v>
      </c>
      <c r="CV32" s="6">
        <f>SUMIF('Eredeti fejléccel'!$B:$B,'Felosztás eredménykim'!$B32,'Eredeti fejléccel'!$BI:$BI)</f>
        <v>0</v>
      </c>
      <c r="CW32" s="6">
        <f>SUMIF('Eredeti fejléccel'!$B:$B,'Felosztás eredménykim'!$B32,'Eredeti fejléccel'!$BL:$BL)</f>
        <v>17400</v>
      </c>
      <c r="CX32" s="6">
        <f t="shared" si="46"/>
        <v>17400</v>
      </c>
      <c r="CY32" s="6">
        <f>SUMIF('Eredeti fejléccel'!$B:$B,'Felosztás eredménykim'!$B32,'Eredeti fejléccel'!$BJ:$BJ)</f>
        <v>2600</v>
      </c>
      <c r="CZ32" s="6">
        <f>SUMIF('Eredeti fejléccel'!$B:$B,'Felosztás eredménykim'!$B32,'Eredeti fejléccel'!$BK:$BK)</f>
        <v>0</v>
      </c>
      <c r="DA32" s="99">
        <f t="shared" si="47"/>
        <v>20000</v>
      </c>
      <c r="DC32" s="36">
        <f t="shared" si="20"/>
        <v>3718.2227945911145</v>
      </c>
      <c r="DD32" s="6">
        <f>SUMIF('Eredeti fejléccel'!$B:$B,'Felosztás eredménykim'!$B32,'Eredeti fejléccel'!$J:$J)</f>
        <v>0</v>
      </c>
      <c r="DE32" s="6">
        <f>SUMIF('Eredeti fejléccel'!$B:$B,'Felosztás eredménykim'!$B32,'Eredeti fejléccel'!$BM:$BM)</f>
        <v>0</v>
      </c>
      <c r="DF32" s="6">
        <f t="shared" si="48"/>
        <v>0</v>
      </c>
      <c r="DG32" s="8">
        <f t="shared" si="21"/>
        <v>0</v>
      </c>
      <c r="DH32" s="8">
        <f t="shared" si="49"/>
        <v>0</v>
      </c>
      <c r="DJ32" s="6">
        <f>SUMIF('Eredeti fejléccel'!$B:$B,'Felosztás eredménykim'!$B32,'Eredeti fejléccel'!$BN:$BN)</f>
        <v>0</v>
      </c>
      <c r="DK32" s="6">
        <f>SUMIF('Eredeti fejléccel'!$B:$B,'Felosztás eredménykim'!$B32,'Eredeti fejléccel'!$BZ:$BZ)</f>
        <v>0</v>
      </c>
      <c r="DL32" s="8">
        <f t="shared" si="50"/>
        <v>0</v>
      </c>
      <c r="DM32" s="6">
        <f>SUMIF('Eredeti fejléccel'!$B:$B,'Felosztás eredménykim'!$B32,'Eredeti fejléccel'!$BR:$BR)</f>
        <v>0</v>
      </c>
      <c r="DN32" s="6">
        <f>SUMIF('Eredeti fejléccel'!$B:$B,'Felosztás eredménykim'!$B32,'Eredeti fejléccel'!$BS:$BS)</f>
        <v>0</v>
      </c>
      <c r="DO32" s="6">
        <f>SUMIF('Eredeti fejléccel'!$B:$B,'Felosztás eredménykim'!$B32,'Eredeti fejléccel'!$BO:$BO)</f>
        <v>0</v>
      </c>
      <c r="DP32" s="6">
        <f>SUMIF('Eredeti fejléccel'!$B:$B,'Felosztás eredménykim'!$B32,'Eredeti fejléccel'!$BP:$BP)</f>
        <v>0</v>
      </c>
      <c r="DQ32" s="6">
        <f>SUMIF('Eredeti fejléccel'!$B:$B,'Felosztás eredménykim'!$B32,'Eredeti fejléccel'!$BQ:$BQ)</f>
        <v>0</v>
      </c>
      <c r="DS32" s="8"/>
      <c r="DU32" s="6">
        <f>SUMIF('Eredeti fejléccel'!$B:$B,'Felosztás eredménykim'!$B32,'Eredeti fejléccel'!$BT:$BT)</f>
        <v>0</v>
      </c>
      <c r="DV32" s="6">
        <f>SUMIF('Eredeti fejléccel'!$B:$B,'Felosztás eredménykim'!$B32,'Eredeti fejléccel'!$BU:$BU)</f>
        <v>0</v>
      </c>
      <c r="DW32" s="6">
        <f>SUMIF('Eredeti fejléccel'!$B:$B,'Felosztás eredménykim'!$B32,'Eredeti fejléccel'!$BV:$BV)</f>
        <v>0</v>
      </c>
      <c r="DX32" s="6">
        <f>SUMIF('Eredeti fejléccel'!$B:$B,'Felosztás eredménykim'!$B32,'Eredeti fejléccel'!$BW:$BW)</f>
        <v>0</v>
      </c>
      <c r="DY32" s="6">
        <f>SUMIF('Eredeti fejléccel'!$B:$B,'Felosztás eredménykim'!$B32,'Eredeti fejléccel'!$BX:$BX)</f>
        <v>0</v>
      </c>
      <c r="EA32" s="6"/>
      <c r="EC32" s="6"/>
      <c r="EE32" s="6">
        <f>SUMIF('Eredeti fejléccel'!$B:$B,'Felosztás eredménykim'!$B32,'Eredeti fejléccel'!$CA:$CA)</f>
        <v>0</v>
      </c>
      <c r="EF32" s="6">
        <f>SUMIF('Eredeti fejléccel'!$B:$B,'Felosztás eredménykim'!$B32,'Eredeti fejléccel'!$CB:$CB)</f>
        <v>0</v>
      </c>
      <c r="EG32" s="6">
        <f>SUMIF('Eredeti fejléccel'!$B:$B,'Felosztás eredménykim'!$B32,'Eredeti fejléccel'!$CC:$CC)</f>
        <v>0</v>
      </c>
      <c r="EH32" s="6">
        <f>SUMIF('Eredeti fejléccel'!$B:$B,'Felosztás eredménykim'!$B32,'Eredeti fejléccel'!$CD:$CD)</f>
        <v>0</v>
      </c>
      <c r="EK32" s="6">
        <f>SUMIF('Eredeti fejléccel'!$B:$B,'Felosztás eredménykim'!$B32,'Eredeti fejléccel'!$CE:$CE)</f>
        <v>0</v>
      </c>
      <c r="EN32" s="6">
        <f>SUMIF('Eredeti fejléccel'!$B:$B,'Felosztás eredménykim'!$B32,'Eredeti fejléccel'!$CF:$CF)</f>
        <v>0</v>
      </c>
      <c r="EP32" s="6">
        <f>SUMIF('Eredeti fejléccel'!$B:$B,'Felosztás eredménykim'!$B32,'Eredeti fejléccel'!$CG:$CG)</f>
        <v>0</v>
      </c>
      <c r="ES32" s="6">
        <f>SUMIF('Eredeti fejléccel'!$B:$B,'Felosztás eredménykim'!$B32,'Eredeti fejléccel'!$CH:$CH)</f>
        <v>0</v>
      </c>
      <c r="ET32" s="6">
        <f>SUMIF('Eredeti fejléccel'!$B:$B,'Felosztás eredménykim'!$B32,'Eredeti fejléccel'!$CI:$CI)</f>
        <v>0</v>
      </c>
      <c r="EW32" s="8">
        <f t="shared" si="22"/>
        <v>0</v>
      </c>
      <c r="EX32" s="8">
        <f t="shared" si="51"/>
        <v>0</v>
      </c>
      <c r="EY32" s="8">
        <f t="shared" si="52"/>
        <v>0</v>
      </c>
      <c r="EZ32" s="8">
        <f t="shared" si="23"/>
        <v>0</v>
      </c>
      <c r="FA32" s="8">
        <f t="shared" si="24"/>
        <v>0</v>
      </c>
      <c r="FC32" s="6">
        <f>SUMIF('Eredeti fejléccel'!$B:$B,'Felosztás eredménykim'!$B32,'Eredeti fejléccel'!$L:$L)</f>
        <v>0</v>
      </c>
      <c r="FD32" s="6">
        <f>SUMIF('Eredeti fejléccel'!$B:$B,'Felosztás eredménykim'!$B32,'Eredeti fejléccel'!$CJ:$CJ)</f>
        <v>0</v>
      </c>
      <c r="FE32" s="6">
        <f>SUMIF('Eredeti fejléccel'!$B:$B,'Felosztás eredménykim'!$B32,'Eredeti fejléccel'!$CL:$CL)</f>
        <v>0</v>
      </c>
      <c r="FG32" s="99">
        <f t="shared" si="53"/>
        <v>0</v>
      </c>
      <c r="FH32" s="6">
        <f>SUMIF('Eredeti fejléccel'!$B:$B,'Felosztás eredménykim'!$B32,'Eredeti fejléccel'!$CK:$CK)</f>
        <v>0</v>
      </c>
      <c r="FI32" s="36">
        <f t="shared" si="25"/>
        <v>4374.7247588702285</v>
      </c>
      <c r="FJ32" s="101">
        <f t="shared" si="26"/>
        <v>0</v>
      </c>
      <c r="FK32" s="6">
        <f>SUMIF('Eredeti fejléccel'!$B:$B,'Felosztás eredménykim'!$B32,'Eredeti fejléccel'!$CM:$CM)</f>
        <v>0</v>
      </c>
      <c r="FL32" s="6">
        <f>SUMIF('Eredeti fejléccel'!$B:$B,'Felosztás eredménykim'!$B32,'Eredeti fejléccel'!$CN:$CN)</f>
        <v>0</v>
      </c>
      <c r="FM32" s="8">
        <f t="shared" si="54"/>
        <v>0</v>
      </c>
      <c r="FN32" s="36">
        <f t="shared" si="27"/>
        <v>3719.2337359407124</v>
      </c>
      <c r="FO32" s="101">
        <f t="shared" si="28"/>
        <v>0</v>
      </c>
      <c r="FP32" s="6">
        <f>SUMIF('Eredeti fejléccel'!$B:$B,'Felosztás eredménykim'!$B32,'Eredeti fejléccel'!$CO:$CO)</f>
        <v>0</v>
      </c>
      <c r="FQ32" s="6">
        <f>'Eredeti fejléccel'!CP32</f>
        <v>0</v>
      </c>
      <c r="FR32" s="6">
        <f>'Eredeti fejléccel'!CQ32</f>
        <v>0</v>
      </c>
      <c r="FS32" s="103">
        <f t="shared" si="55"/>
        <v>0</v>
      </c>
      <c r="FT32" s="36">
        <f t="shared" si="29"/>
        <v>10266.169621891238</v>
      </c>
      <c r="FU32" s="101">
        <f t="shared" si="30"/>
        <v>0</v>
      </c>
      <c r="FV32" s="101"/>
      <c r="FW32" s="6">
        <f>SUMIF('Eredeti fejléccel'!$B:$B,'Felosztás eredménykim'!$B32,'Eredeti fejléccel'!$CR:$CR)</f>
        <v>10000</v>
      </c>
      <c r="FX32" s="6">
        <f>SUMIF('Eredeti fejléccel'!$B:$B,'Felosztás eredménykim'!$B32,'Eredeti fejléccel'!$CS:$CS)</f>
        <v>0</v>
      </c>
      <c r="FY32" s="6">
        <f>SUMIF('Eredeti fejléccel'!$B:$B,'Felosztás eredménykim'!$B32,'Eredeti fejléccel'!$CT:$CT)</f>
        <v>0</v>
      </c>
      <c r="FZ32" s="6">
        <f>SUMIF('Eredeti fejléccel'!$B:$B,'Felosztás eredménykim'!$B32,'Eredeti fejléccel'!$CU:$CU)</f>
        <v>0</v>
      </c>
      <c r="GA32" s="103">
        <f t="shared" si="56"/>
        <v>10000</v>
      </c>
      <c r="GB32" s="36">
        <f t="shared" si="31"/>
        <v>1368.3973179404506</v>
      </c>
      <c r="GC32" s="101">
        <f t="shared" si="32"/>
        <v>0</v>
      </c>
      <c r="GD32" s="6">
        <f>SUMIF('Eredeti fejléccel'!$B:$B,'Felosztás eredménykim'!$B32,'Eredeti fejléccel'!$CV:$CV)</f>
        <v>0</v>
      </c>
      <c r="GE32" s="6">
        <f>SUMIF('Eredeti fejléccel'!$B:$B,'Felosztás eredménykim'!$B32,'Eredeti fejléccel'!$CW:$CW)</f>
        <v>0</v>
      </c>
      <c r="GF32" s="103">
        <f t="shared" si="57"/>
        <v>0</v>
      </c>
      <c r="GG32" s="36">
        <f t="shared" si="33"/>
        <v>0</v>
      </c>
      <c r="GM32" s="6">
        <f>SUMIF('Eredeti fejléccel'!$B:$B,'Felosztás eredménykim'!$B32,'Eredeti fejléccel'!$CX:$CX)</f>
        <v>0</v>
      </c>
      <c r="GN32" s="6">
        <f>SUMIF('Eredeti fejléccel'!$B:$B,'Felosztás eredménykim'!$B32,'Eredeti fejléccel'!$CY:$CY)</f>
        <v>0</v>
      </c>
      <c r="GO32" s="6">
        <f>SUMIF('Eredeti fejléccel'!$B:$B,'Felosztás eredménykim'!$B32,'Eredeti fejléccel'!$CZ:$CZ)</f>
        <v>0</v>
      </c>
      <c r="GP32" s="6">
        <f>SUMIF('Eredeti fejléccel'!$B:$B,'Felosztás eredménykim'!$B32,'Eredeti fejléccel'!$DA:$DA)</f>
        <v>0</v>
      </c>
      <c r="GQ32" s="6">
        <f>SUMIF('Eredeti fejléccel'!$B:$B,'Felosztás eredménykim'!$B32,'Eredeti fejléccel'!$DB:$DB)</f>
        <v>0</v>
      </c>
      <c r="GR32" s="103">
        <f t="shared" si="58"/>
        <v>0</v>
      </c>
      <c r="GW32" s="36">
        <f t="shared" si="34"/>
        <v>2349.0019317450096</v>
      </c>
      <c r="GX32" s="6">
        <f>SUMIF('Eredeti fejléccel'!$B:$B,'Felosztás eredménykim'!$B32,'Eredeti fejléccel'!$M:$M)</f>
        <v>0</v>
      </c>
      <c r="GY32" s="6">
        <f>SUMIF('Eredeti fejléccel'!$B:$B,'Felosztás eredménykim'!$B32,'Eredeti fejléccel'!$DC:$DC)</f>
        <v>0</v>
      </c>
      <c r="GZ32" s="6">
        <f>SUMIF('Eredeti fejléccel'!$B:$B,'Felosztás eredménykim'!$B32,'Eredeti fejléccel'!$DD:$DD)</f>
        <v>0</v>
      </c>
      <c r="HA32" s="6">
        <f>SUMIF('Eredeti fejléccel'!$B:$B,'Felosztás eredménykim'!$B32,'Eredeti fejléccel'!$DE:$DE)</f>
        <v>0</v>
      </c>
      <c r="HB32" s="103">
        <f t="shared" si="59"/>
        <v>0</v>
      </c>
      <c r="HD32" s="9">
        <f t="shared" si="35"/>
        <v>196000.00000000009</v>
      </c>
      <c r="HE32" s="9">
        <v>196000</v>
      </c>
      <c r="HF32" s="476"/>
      <c r="HH32" s="34">
        <f t="shared" si="60"/>
        <v>0</v>
      </c>
    </row>
    <row r="33" spans="1:216" x14ac:dyDescent="0.25">
      <c r="A33" s="4" t="s">
        <v>101</v>
      </c>
      <c r="B33" s="4" t="s">
        <v>101</v>
      </c>
      <c r="C33" s="1" t="s">
        <v>102</v>
      </c>
      <c r="D33" s="6">
        <f>SUMIF('Eredeti fejléccel'!$B:$B,'Felosztás eredménykim'!$B33,'Eredeti fejléccel'!$D:$D)</f>
        <v>0</v>
      </c>
      <c r="E33" s="6">
        <f>SUMIF('Eredeti fejléccel'!$B:$B,'Felosztás eredménykim'!$B33,'Eredeti fejléccel'!$E:$E)</f>
        <v>0</v>
      </c>
      <c r="F33" s="6">
        <f>SUMIF('Eredeti fejléccel'!$B:$B,'Felosztás eredménykim'!$B33,'Eredeti fejléccel'!$F:$F)</f>
        <v>0</v>
      </c>
      <c r="G33" s="6">
        <f>SUMIF('Eredeti fejléccel'!$B:$B,'Felosztás eredménykim'!$B33,'Eredeti fejléccel'!$G:$G)</f>
        <v>0</v>
      </c>
      <c r="H33" s="6"/>
      <c r="I33" s="6">
        <f>SUMIF('Eredeti fejléccel'!$B:$B,'Felosztás eredménykim'!$B33,'Eredeti fejléccel'!$O:$O)</f>
        <v>0</v>
      </c>
      <c r="J33" s="6">
        <f>SUMIF('Eredeti fejléccel'!$B:$B,'Felosztás eredménykim'!$B33,'Eredeti fejléccel'!$P:$P)</f>
        <v>0</v>
      </c>
      <c r="K33" s="6">
        <f>SUMIF('Eredeti fejléccel'!$B:$B,'Felosztás eredménykim'!$B33,'Eredeti fejléccel'!$Q:$Q)</f>
        <v>0</v>
      </c>
      <c r="L33" s="6">
        <f>SUMIF('Eredeti fejléccel'!$B:$B,'Felosztás eredménykim'!$B33,'Eredeti fejléccel'!$R:$R)</f>
        <v>0</v>
      </c>
      <c r="M33" s="6">
        <f>SUMIF('Eredeti fejléccel'!$B:$B,'Felosztás eredménykim'!$B33,'Eredeti fejléccel'!$T:$T)</f>
        <v>0</v>
      </c>
      <c r="N33" s="6">
        <f>SUMIF('Eredeti fejléccel'!$B:$B,'Felosztás eredménykim'!$B33,'Eredeti fejléccel'!$U:$U)</f>
        <v>0</v>
      </c>
      <c r="O33" s="6">
        <f>SUMIF('Eredeti fejléccel'!$B:$B,'Felosztás eredménykim'!$B33,'Eredeti fejléccel'!$V:$V)</f>
        <v>0</v>
      </c>
      <c r="P33" s="6">
        <f>SUMIF('Eredeti fejléccel'!$B:$B,'Felosztás eredménykim'!$B33,'Eredeti fejléccel'!$W:$W)</f>
        <v>3600</v>
      </c>
      <c r="Q33" s="6">
        <f>SUMIF('Eredeti fejléccel'!$B:$B,'Felosztás eredménykim'!$B33,'Eredeti fejléccel'!$X:$X)</f>
        <v>0</v>
      </c>
      <c r="R33" s="6">
        <f>SUMIF('Eredeti fejléccel'!$B:$B,'Felosztás eredménykim'!$B33,'Eredeti fejléccel'!$Y:$Y)</f>
        <v>0</v>
      </c>
      <c r="S33" s="6">
        <f>SUMIF('Eredeti fejléccel'!$B:$B,'Felosztás eredménykim'!$B33,'Eredeti fejléccel'!$Z:$Z)</f>
        <v>0</v>
      </c>
      <c r="T33" s="6">
        <f>SUMIF('Eredeti fejléccel'!$B:$B,'Felosztás eredménykim'!$B33,'Eredeti fejléccel'!$AA:$AA)</f>
        <v>0</v>
      </c>
      <c r="U33" s="6">
        <f>SUMIF('Eredeti fejléccel'!$B:$B,'Felosztás eredménykim'!$B33,'Eredeti fejléccel'!$D:$D)</f>
        <v>0</v>
      </c>
      <c r="V33" s="6">
        <f>SUMIF('Eredeti fejléccel'!$B:$B,'Felosztás eredménykim'!$B33,'Eredeti fejléccel'!$AT:$AT)</f>
        <v>0</v>
      </c>
      <c r="X33" s="36">
        <f t="shared" si="0"/>
        <v>3600</v>
      </c>
      <c r="Z33" s="6">
        <f>SUMIF('Eredeti fejléccel'!$B:$B,'Felosztás eredménykim'!$B33,'Eredeti fejléccel'!$K:$K)</f>
        <v>0</v>
      </c>
      <c r="AB33" s="6">
        <f>SUMIF('Eredeti fejléccel'!$B:$B,'Felosztás eredménykim'!$B33,'Eredeti fejléccel'!$AB:$AB)</f>
        <v>0</v>
      </c>
      <c r="AC33" s="6">
        <f>SUMIF('Eredeti fejléccel'!$B:$B,'Felosztás eredménykim'!$B33,'Eredeti fejléccel'!$AQ:$AQ)</f>
        <v>0</v>
      </c>
      <c r="AE33" s="73">
        <f t="shared" si="1"/>
        <v>0</v>
      </c>
      <c r="AF33" s="36">
        <f t="shared" si="2"/>
        <v>429.46070952280667</v>
      </c>
      <c r="AG33" s="8">
        <f t="shared" si="3"/>
        <v>0</v>
      </c>
      <c r="AI33" s="6">
        <f>SUMIF('Eredeti fejléccel'!$B:$B,'Felosztás eredménykim'!$B33,'Eredeti fejléccel'!$BB:$BB)</f>
        <v>0</v>
      </c>
      <c r="AJ33" s="6">
        <f>SUMIF('Eredeti fejléccel'!$B:$B,'Felosztás eredménykim'!$B33,'Eredeti fejléccel'!$AF:$AF)</f>
        <v>0</v>
      </c>
      <c r="AK33" s="8">
        <f t="shared" si="4"/>
        <v>0</v>
      </c>
      <c r="AL33" s="36">
        <f t="shared" si="5"/>
        <v>170.57962543738972</v>
      </c>
      <c r="AM33" s="8">
        <f t="shared" si="6"/>
        <v>0</v>
      </c>
      <c r="AN33" s="6">
        <f t="shared" si="36"/>
        <v>0</v>
      </c>
      <c r="AO33" s="6">
        <f>SUMIF('Eredeti fejléccel'!$B:$B,'Felosztás eredménykim'!$B33,'Eredeti fejléccel'!$AC:$AC)</f>
        <v>0</v>
      </c>
      <c r="AP33" s="6">
        <f>SUMIF('Eredeti fejléccel'!$B:$B,'Felosztás eredménykim'!$B33,'Eredeti fejléccel'!$AD:$AD)</f>
        <v>0</v>
      </c>
      <c r="AQ33" s="6">
        <f>SUMIF('Eredeti fejléccel'!$B:$B,'Felosztás eredménykim'!$B33,'Eredeti fejléccel'!$AE:$AE)</f>
        <v>0</v>
      </c>
      <c r="AR33" s="6">
        <f>SUMIF('Eredeti fejléccel'!$B:$B,'Felosztás eredménykim'!$B33,'Eredeti fejléccel'!$AG:$AG)</f>
        <v>0</v>
      </c>
      <c r="AS33" s="6">
        <f t="shared" si="37"/>
        <v>0</v>
      </c>
      <c r="AT33" s="36">
        <f t="shared" si="7"/>
        <v>277.07142549858497</v>
      </c>
      <c r="AU33" s="8">
        <f t="shared" si="8"/>
        <v>0</v>
      </c>
      <c r="AV33" s="6">
        <f>SUMIF('Eredeti fejléccel'!$B:$B,'Felosztás eredménykim'!$B33,'Eredeti fejléccel'!$AI:$AI)</f>
        <v>0</v>
      </c>
      <c r="AW33" s="6">
        <f>SUMIF('Eredeti fejléccel'!$B:$B,'Felosztás eredménykim'!$B33,'Eredeti fejléccel'!$AJ:$AJ)</f>
        <v>0</v>
      </c>
      <c r="AX33" s="6">
        <f>SUMIF('Eredeti fejléccel'!$B:$B,'Felosztás eredménykim'!$B33,'Eredeti fejléccel'!$AK:$AK)</f>
        <v>0</v>
      </c>
      <c r="AY33" s="6">
        <f>SUMIF('Eredeti fejléccel'!$B:$B,'Felosztás eredménykim'!$B33,'Eredeti fejléccel'!$AL:$AL)</f>
        <v>0</v>
      </c>
      <c r="AZ33" s="6">
        <f>SUMIF('Eredeti fejléccel'!$B:$B,'Felosztás eredménykim'!$B33,'Eredeti fejléccel'!$AM:$AM)</f>
        <v>0</v>
      </c>
      <c r="BA33" s="6">
        <f>SUMIF('Eredeti fejléccel'!$B:$B,'Felosztás eredménykim'!$B33,'Eredeti fejléccel'!$AN:$AN)</f>
        <v>0</v>
      </c>
      <c r="BB33" s="6">
        <f>SUMIF('Eredeti fejléccel'!$B:$B,'Felosztás eredménykim'!$B33,'Eredeti fejléccel'!$AP:$AP)</f>
        <v>0</v>
      </c>
      <c r="BD33" s="6">
        <f>SUMIF('Eredeti fejléccel'!$B:$B,'Felosztás eredménykim'!$B33,'Eredeti fejléccel'!$AS:$AS)</f>
        <v>0</v>
      </c>
      <c r="BE33" s="8">
        <f t="shared" si="38"/>
        <v>0</v>
      </c>
      <c r="BF33" s="36">
        <f t="shared" si="9"/>
        <v>72.279502303978688</v>
      </c>
      <c r="BG33" s="8">
        <f t="shared" si="10"/>
        <v>0</v>
      </c>
      <c r="BH33" s="6">
        <f t="shared" si="39"/>
        <v>0</v>
      </c>
      <c r="BI33" s="6">
        <f>SUMIF('Eredeti fejléccel'!$B:$B,'Felosztás eredménykim'!$B33,'Eredeti fejléccel'!$AH:$AH)</f>
        <v>0</v>
      </c>
      <c r="BJ33" s="6">
        <f>SUMIF('Eredeti fejléccel'!$B:$B,'Felosztás eredménykim'!$B33,'Eredeti fejléccel'!$AO:$AO)</f>
        <v>0</v>
      </c>
      <c r="BK33" s="6">
        <f>SUMIF('Eredeti fejléccel'!$B:$B,'Felosztás eredménykim'!$B33,'Eredeti fejléccel'!$BF:$BF)</f>
        <v>0</v>
      </c>
      <c r="BL33" s="8">
        <f t="shared" si="40"/>
        <v>0</v>
      </c>
      <c r="BM33" s="36">
        <f t="shared" si="11"/>
        <v>270.80720196557348</v>
      </c>
      <c r="BN33" s="8">
        <f t="shared" si="12"/>
        <v>0</v>
      </c>
      <c r="BP33" s="8">
        <f t="shared" si="41"/>
        <v>0</v>
      </c>
      <c r="BQ33" s="6">
        <f>SUMIF('Eredeti fejléccel'!$B:$B,'Felosztás eredménykim'!$B33,'Eredeti fejléccel'!$N:$N)</f>
        <v>0</v>
      </c>
      <c r="BR33" s="6">
        <f>SUMIF('Eredeti fejléccel'!$B:$B,'Felosztás eredménykim'!$B33,'Eredeti fejléccel'!$S:$S)</f>
        <v>0</v>
      </c>
      <c r="BT33" s="6">
        <f>SUMIF('Eredeti fejléccel'!$B:$B,'Felosztás eredménykim'!$B33,'Eredeti fejléccel'!$AR:$AR)</f>
        <v>0</v>
      </c>
      <c r="BU33" s="6">
        <f>SUMIF('Eredeti fejléccel'!$B:$B,'Felosztás eredménykim'!$B33,'Eredeti fejléccel'!$AU:$AU)</f>
        <v>0</v>
      </c>
      <c r="BV33" s="6">
        <f>SUMIF('Eredeti fejléccel'!$B:$B,'Felosztás eredménykim'!$B33,'Eredeti fejléccel'!$AV:$AV)</f>
        <v>0</v>
      </c>
      <c r="BW33" s="6">
        <f>SUMIF('Eredeti fejléccel'!$B:$B,'Felosztás eredménykim'!$B33,'Eredeti fejléccel'!$AW:$AW)</f>
        <v>0</v>
      </c>
      <c r="BX33" s="6">
        <f>SUMIF('Eredeti fejléccel'!$B:$B,'Felosztás eredménykim'!$B33,'Eredeti fejléccel'!$AX:$AX)</f>
        <v>0</v>
      </c>
      <c r="BY33" s="6">
        <f>SUMIF('Eredeti fejléccel'!$B:$B,'Felosztás eredménykim'!$B33,'Eredeti fejléccel'!$AY:$AY)</f>
        <v>0</v>
      </c>
      <c r="BZ33" s="6">
        <f>SUMIF('Eredeti fejléccel'!$B:$B,'Felosztás eredménykim'!$B33,'Eredeti fejléccel'!$AZ:$AZ)</f>
        <v>0</v>
      </c>
      <c r="CA33" s="6">
        <f>SUMIF('Eredeti fejléccel'!$B:$B,'Felosztás eredménykim'!$B33,'Eredeti fejléccel'!$BA:$BA)</f>
        <v>0</v>
      </c>
      <c r="CB33" s="6">
        <f t="shared" si="13"/>
        <v>0</v>
      </c>
      <c r="CC33" s="36">
        <f t="shared" si="14"/>
        <v>73.725092350058262</v>
      </c>
      <c r="CD33" s="8">
        <f t="shared" si="15"/>
        <v>0</v>
      </c>
      <c r="CE33" s="6">
        <f>SUMIF('Eredeti fejléccel'!$B:$B,'Felosztás eredménykim'!$B33,'Eredeti fejléccel'!$BC:$BC)</f>
        <v>0</v>
      </c>
      <c r="CF33" s="8">
        <f t="shared" si="42"/>
        <v>0</v>
      </c>
      <c r="CG33" s="6">
        <f>SUMIF('Eredeti fejléccel'!$B:$B,'Felosztás eredménykim'!$B33,'Eredeti fejléccel'!$H:$H)</f>
        <v>0</v>
      </c>
      <c r="CH33" s="6">
        <f>SUMIF('Eredeti fejléccel'!$B:$B,'Felosztás eredménykim'!$B33,'Eredeti fejléccel'!$BE:$BE)</f>
        <v>0</v>
      </c>
      <c r="CI33" s="6">
        <f t="shared" si="43"/>
        <v>0</v>
      </c>
      <c r="CJ33" s="36">
        <f t="shared" si="16"/>
        <v>53.004968356251048</v>
      </c>
      <c r="CK33" s="8">
        <f t="shared" si="17"/>
        <v>0</v>
      </c>
      <c r="CL33" s="8">
        <f t="shared" si="44"/>
        <v>0</v>
      </c>
      <c r="CM33" s="6">
        <f>SUMIF('Eredeti fejléccel'!$B:$B,'Felosztás eredménykim'!$B33,'Eredeti fejléccel'!$BD:$BD)</f>
        <v>0</v>
      </c>
      <c r="CN33" s="8">
        <f t="shared" si="45"/>
        <v>0</v>
      </c>
      <c r="CO33" s="8">
        <f t="shared" si="18"/>
        <v>1346.9285254346428</v>
      </c>
      <c r="CR33" s="36">
        <f t="shared" si="19"/>
        <v>318.3902124919511</v>
      </c>
      <c r="CS33" s="6">
        <f>SUMIF('Eredeti fejléccel'!$B:$B,'Felosztás eredménykim'!$B33,'Eredeti fejléccel'!$I:$I)</f>
        <v>0</v>
      </c>
      <c r="CT33" s="6">
        <f>SUMIF('Eredeti fejléccel'!$B:$B,'Felosztás eredménykim'!$B33,'Eredeti fejléccel'!$BG:$BG)</f>
        <v>0</v>
      </c>
      <c r="CU33" s="6">
        <f>SUMIF('Eredeti fejléccel'!$B:$B,'Felosztás eredménykim'!$B33,'Eredeti fejléccel'!$BH:$BH)</f>
        <v>0</v>
      </c>
      <c r="CV33" s="6">
        <f>SUMIF('Eredeti fejléccel'!$B:$B,'Felosztás eredménykim'!$B33,'Eredeti fejléccel'!$BI:$BI)</f>
        <v>0</v>
      </c>
      <c r="CW33" s="6">
        <f>SUMIF('Eredeti fejléccel'!$B:$B,'Felosztás eredménykim'!$B33,'Eredeti fejléccel'!$BL:$BL)</f>
        <v>0</v>
      </c>
      <c r="CX33" s="6">
        <f t="shared" si="46"/>
        <v>0</v>
      </c>
      <c r="CY33" s="6">
        <f>SUMIF('Eredeti fejléccel'!$B:$B,'Felosztás eredménykim'!$B33,'Eredeti fejléccel'!$BJ:$BJ)</f>
        <v>0</v>
      </c>
      <c r="CZ33" s="6">
        <f>SUMIF('Eredeti fejléccel'!$B:$B,'Felosztás eredménykim'!$B33,'Eredeti fejléccel'!$BK:$BK)</f>
        <v>0</v>
      </c>
      <c r="DA33" s="99">
        <f t="shared" si="47"/>
        <v>0</v>
      </c>
      <c r="DC33" s="36">
        <f t="shared" si="20"/>
        <v>278.8667095943336</v>
      </c>
      <c r="DD33" s="6">
        <f>SUMIF('Eredeti fejléccel'!$B:$B,'Felosztás eredménykim'!$B33,'Eredeti fejléccel'!$J:$J)</f>
        <v>0</v>
      </c>
      <c r="DE33" s="6">
        <f>SUMIF('Eredeti fejléccel'!$B:$B,'Felosztás eredménykim'!$B33,'Eredeti fejléccel'!$BM:$BM)</f>
        <v>0</v>
      </c>
      <c r="DF33" s="6">
        <f t="shared" si="48"/>
        <v>0</v>
      </c>
      <c r="DG33" s="8">
        <f t="shared" si="21"/>
        <v>0</v>
      </c>
      <c r="DH33" s="8">
        <f t="shared" si="49"/>
        <v>0</v>
      </c>
      <c r="DJ33" s="6">
        <f>SUMIF('Eredeti fejléccel'!$B:$B,'Felosztás eredménykim'!$B33,'Eredeti fejléccel'!$BN:$BN)</f>
        <v>0</v>
      </c>
      <c r="DK33" s="6">
        <f>SUMIF('Eredeti fejléccel'!$B:$B,'Felosztás eredménykim'!$B33,'Eredeti fejléccel'!$BZ:$BZ)</f>
        <v>0</v>
      </c>
      <c r="DL33" s="8">
        <f t="shared" si="50"/>
        <v>0</v>
      </c>
      <c r="DM33" s="6">
        <f>SUMIF('Eredeti fejléccel'!$B:$B,'Felosztás eredménykim'!$B33,'Eredeti fejléccel'!$BR:$BR)</f>
        <v>0</v>
      </c>
      <c r="DN33" s="6">
        <f>SUMIF('Eredeti fejléccel'!$B:$B,'Felosztás eredménykim'!$B33,'Eredeti fejléccel'!$BS:$BS)</f>
        <v>0</v>
      </c>
      <c r="DO33" s="6">
        <f>SUMIF('Eredeti fejléccel'!$B:$B,'Felosztás eredménykim'!$B33,'Eredeti fejléccel'!$BO:$BO)</f>
        <v>0</v>
      </c>
      <c r="DP33" s="6">
        <f>SUMIF('Eredeti fejléccel'!$B:$B,'Felosztás eredménykim'!$B33,'Eredeti fejléccel'!$BP:$BP)</f>
        <v>0</v>
      </c>
      <c r="DQ33" s="6">
        <f>SUMIF('Eredeti fejléccel'!$B:$B,'Felosztás eredménykim'!$B33,'Eredeti fejléccel'!$BQ:$BQ)</f>
        <v>0</v>
      </c>
      <c r="DS33" s="8"/>
      <c r="DU33" s="6">
        <f>SUMIF('Eredeti fejléccel'!$B:$B,'Felosztás eredménykim'!$B33,'Eredeti fejléccel'!$BT:$BT)</f>
        <v>0</v>
      </c>
      <c r="DV33" s="6">
        <f>SUMIF('Eredeti fejléccel'!$B:$B,'Felosztás eredménykim'!$B33,'Eredeti fejléccel'!$BU:$BU)</f>
        <v>0</v>
      </c>
      <c r="DW33" s="6">
        <f>SUMIF('Eredeti fejléccel'!$B:$B,'Felosztás eredménykim'!$B33,'Eredeti fejléccel'!$BV:$BV)</f>
        <v>0</v>
      </c>
      <c r="DX33" s="6">
        <f>SUMIF('Eredeti fejléccel'!$B:$B,'Felosztás eredménykim'!$B33,'Eredeti fejléccel'!$BW:$BW)</f>
        <v>0</v>
      </c>
      <c r="DY33" s="6">
        <f>SUMIF('Eredeti fejléccel'!$B:$B,'Felosztás eredménykim'!$B33,'Eredeti fejléccel'!$BX:$BX)</f>
        <v>0</v>
      </c>
      <c r="EA33" s="6"/>
      <c r="EC33" s="6"/>
      <c r="EE33" s="6">
        <f>SUMIF('Eredeti fejléccel'!$B:$B,'Felosztás eredménykim'!$B33,'Eredeti fejléccel'!$CA:$CA)</f>
        <v>0</v>
      </c>
      <c r="EF33" s="6">
        <f>SUMIF('Eredeti fejléccel'!$B:$B,'Felosztás eredménykim'!$B33,'Eredeti fejléccel'!$CB:$CB)</f>
        <v>0</v>
      </c>
      <c r="EG33" s="6">
        <f>SUMIF('Eredeti fejléccel'!$B:$B,'Felosztás eredménykim'!$B33,'Eredeti fejléccel'!$CC:$CC)</f>
        <v>0</v>
      </c>
      <c r="EH33" s="6">
        <f>SUMIF('Eredeti fejléccel'!$B:$B,'Felosztás eredménykim'!$B33,'Eredeti fejléccel'!$CD:$CD)</f>
        <v>0</v>
      </c>
      <c r="EK33" s="6">
        <f>SUMIF('Eredeti fejléccel'!$B:$B,'Felosztás eredménykim'!$B33,'Eredeti fejléccel'!$CE:$CE)</f>
        <v>0</v>
      </c>
      <c r="EN33" s="6">
        <f>SUMIF('Eredeti fejléccel'!$B:$B,'Felosztás eredménykim'!$B33,'Eredeti fejléccel'!$CF:$CF)</f>
        <v>0</v>
      </c>
      <c r="EP33" s="6">
        <f>SUMIF('Eredeti fejléccel'!$B:$B,'Felosztás eredménykim'!$B33,'Eredeti fejléccel'!$CG:$CG)</f>
        <v>0</v>
      </c>
      <c r="ES33" s="6">
        <f>SUMIF('Eredeti fejléccel'!$B:$B,'Felosztás eredménykim'!$B33,'Eredeti fejléccel'!$CH:$CH)</f>
        <v>0</v>
      </c>
      <c r="ET33" s="6">
        <f>SUMIF('Eredeti fejléccel'!$B:$B,'Felosztás eredménykim'!$B33,'Eredeti fejléccel'!$CI:$CI)</f>
        <v>0</v>
      </c>
      <c r="EW33" s="8">
        <f t="shared" si="22"/>
        <v>0</v>
      </c>
      <c r="EX33" s="8">
        <f t="shared" si="51"/>
        <v>0</v>
      </c>
      <c r="EY33" s="8">
        <f t="shared" si="52"/>
        <v>0</v>
      </c>
      <c r="EZ33" s="8">
        <f t="shared" si="23"/>
        <v>0</v>
      </c>
      <c r="FA33" s="8">
        <f t="shared" si="24"/>
        <v>0</v>
      </c>
      <c r="FC33" s="6">
        <f>SUMIF('Eredeti fejléccel'!$B:$B,'Felosztás eredménykim'!$B33,'Eredeti fejléccel'!$L:$L)</f>
        <v>0</v>
      </c>
      <c r="FD33" s="6">
        <f>SUMIF('Eredeti fejléccel'!$B:$B,'Felosztás eredménykim'!$B33,'Eredeti fejléccel'!$CJ:$CJ)</f>
        <v>0</v>
      </c>
      <c r="FE33" s="6">
        <f>SUMIF('Eredeti fejléccel'!$B:$B,'Felosztás eredménykim'!$B33,'Eredeti fejléccel'!$CL:$CL)</f>
        <v>0</v>
      </c>
      <c r="FG33" s="99">
        <f t="shared" si="53"/>
        <v>0</v>
      </c>
      <c r="FH33" s="6">
        <f>SUMIF('Eredeti fejléccel'!$B:$B,'Felosztás eredménykim'!$B33,'Eredeti fejléccel'!$CK:$CK)</f>
        <v>0</v>
      </c>
      <c r="FI33" s="36">
        <f t="shared" si="25"/>
        <v>328.10435691526715</v>
      </c>
      <c r="FJ33" s="101">
        <f t="shared" si="26"/>
        <v>0</v>
      </c>
      <c r="FK33" s="6">
        <f>SUMIF('Eredeti fejléccel'!$B:$B,'Felosztás eredménykim'!$B33,'Eredeti fejléccel'!$CM:$CM)</f>
        <v>0</v>
      </c>
      <c r="FL33" s="6">
        <f>SUMIF('Eredeti fejléccel'!$B:$B,'Felosztás eredménykim'!$B33,'Eredeti fejléccel'!$CN:$CN)</f>
        <v>0</v>
      </c>
      <c r="FM33" s="8">
        <f t="shared" si="54"/>
        <v>0</v>
      </c>
      <c r="FN33" s="36">
        <f t="shared" si="27"/>
        <v>278.94253019555345</v>
      </c>
      <c r="FO33" s="101">
        <f t="shared" si="28"/>
        <v>0</v>
      </c>
      <c r="FP33" s="6">
        <f>SUMIF('Eredeti fejléccel'!$B:$B,'Felosztás eredménykim'!$B33,'Eredeti fejléccel'!$CO:$CO)</f>
        <v>0</v>
      </c>
      <c r="FQ33" s="6">
        <f>'Eredeti fejléccel'!CP33</f>
        <v>0</v>
      </c>
      <c r="FR33" s="6">
        <f>'Eredeti fejléccel'!CQ33</f>
        <v>0</v>
      </c>
      <c r="FS33" s="103">
        <f t="shared" si="55"/>
        <v>0</v>
      </c>
      <c r="FT33" s="36">
        <f t="shared" si="29"/>
        <v>769.9627216418429</v>
      </c>
      <c r="FU33" s="101">
        <f t="shared" si="30"/>
        <v>0</v>
      </c>
      <c r="FV33" s="101"/>
      <c r="FW33" s="6">
        <f>SUMIF('Eredeti fejléccel'!$B:$B,'Felosztás eredménykim'!$B33,'Eredeti fejléccel'!$CR:$CR)</f>
        <v>0</v>
      </c>
      <c r="FX33" s="6">
        <f>SUMIF('Eredeti fejléccel'!$B:$B,'Felosztás eredménykim'!$B33,'Eredeti fejléccel'!$CS:$CS)</f>
        <v>0</v>
      </c>
      <c r="FY33" s="6">
        <f>SUMIF('Eredeti fejléccel'!$B:$B,'Felosztás eredménykim'!$B33,'Eredeti fejléccel'!$CT:$CT)</f>
        <v>0</v>
      </c>
      <c r="FZ33" s="6">
        <f>SUMIF('Eredeti fejléccel'!$B:$B,'Felosztás eredménykim'!$B33,'Eredeti fejléccel'!$CU:$CU)</f>
        <v>0</v>
      </c>
      <c r="GA33" s="103">
        <f t="shared" si="56"/>
        <v>0</v>
      </c>
      <c r="GB33" s="36">
        <f t="shared" si="31"/>
        <v>102.62979884553381</v>
      </c>
      <c r="GC33" s="101">
        <f t="shared" si="32"/>
        <v>0</v>
      </c>
      <c r="GD33" s="6">
        <f>SUMIF('Eredeti fejléccel'!$B:$B,'Felosztás eredménykim'!$B33,'Eredeti fejléccel'!$CV:$CV)</f>
        <v>0</v>
      </c>
      <c r="GE33" s="6">
        <f>SUMIF('Eredeti fejléccel'!$B:$B,'Felosztás eredménykim'!$B33,'Eredeti fejléccel'!$CW:$CW)</f>
        <v>0</v>
      </c>
      <c r="GF33" s="103">
        <f t="shared" si="57"/>
        <v>0</v>
      </c>
      <c r="GG33" s="36">
        <f t="shared" si="33"/>
        <v>0</v>
      </c>
      <c r="GM33" s="6">
        <f>SUMIF('Eredeti fejléccel'!$B:$B,'Felosztás eredménykim'!$B33,'Eredeti fejléccel'!$CX:$CX)</f>
        <v>0</v>
      </c>
      <c r="GN33" s="6">
        <f>SUMIF('Eredeti fejléccel'!$B:$B,'Felosztás eredménykim'!$B33,'Eredeti fejléccel'!$CY:$CY)</f>
        <v>0</v>
      </c>
      <c r="GO33" s="6">
        <f>SUMIF('Eredeti fejléccel'!$B:$B,'Felosztás eredménykim'!$B33,'Eredeti fejléccel'!$CZ:$CZ)</f>
        <v>0</v>
      </c>
      <c r="GP33" s="6">
        <f>SUMIF('Eredeti fejléccel'!$B:$B,'Felosztás eredménykim'!$B33,'Eredeti fejléccel'!$DA:$DA)</f>
        <v>0</v>
      </c>
      <c r="GQ33" s="6">
        <f>SUMIF('Eredeti fejléccel'!$B:$B,'Felosztás eredménykim'!$B33,'Eredeti fejléccel'!$DB:$DB)</f>
        <v>0</v>
      </c>
      <c r="GR33" s="103">
        <f t="shared" si="58"/>
        <v>0</v>
      </c>
      <c r="GW33" s="36">
        <f t="shared" si="34"/>
        <v>176.17514488087573</v>
      </c>
      <c r="GX33" s="6">
        <f>SUMIF('Eredeti fejléccel'!$B:$B,'Felosztás eredménykim'!$B33,'Eredeti fejléccel'!$M:$M)</f>
        <v>0</v>
      </c>
      <c r="GY33" s="6">
        <f>SUMIF('Eredeti fejléccel'!$B:$B,'Felosztás eredménykim'!$B33,'Eredeti fejléccel'!$DC:$DC)</f>
        <v>0</v>
      </c>
      <c r="GZ33" s="6">
        <f>SUMIF('Eredeti fejléccel'!$B:$B,'Felosztás eredménykim'!$B33,'Eredeti fejléccel'!$DD:$DD)</f>
        <v>0</v>
      </c>
      <c r="HA33" s="6">
        <f>SUMIF('Eredeti fejléccel'!$B:$B,'Felosztás eredménykim'!$B33,'Eredeti fejléccel'!$DE:$DE)</f>
        <v>0</v>
      </c>
      <c r="HB33" s="103">
        <f t="shared" si="59"/>
        <v>0</v>
      </c>
      <c r="HD33" s="9">
        <f t="shared" si="35"/>
        <v>3599.9999999999964</v>
      </c>
      <c r="HE33" s="9">
        <v>3600</v>
      </c>
      <c r="HF33" s="476"/>
      <c r="HH33" s="34">
        <f t="shared" si="60"/>
        <v>-3.637978807091713E-12</v>
      </c>
    </row>
    <row r="34" spans="1:216" x14ac:dyDescent="0.25">
      <c r="A34" s="4" t="s">
        <v>762</v>
      </c>
      <c r="B34" s="4" t="s">
        <v>762</v>
      </c>
      <c r="C34" s="1" t="s">
        <v>763</v>
      </c>
      <c r="D34" s="6">
        <f>SUMIF('Eredeti fejléccel'!$B:$B,'Felosztás eredménykim'!$B34,'Eredeti fejléccel'!$D:$D)</f>
        <v>0</v>
      </c>
      <c r="E34" s="6">
        <f>SUMIF('Eredeti fejléccel'!$B:$B,'Felosztás eredménykim'!$B34,'Eredeti fejléccel'!$E:$E)</f>
        <v>35000</v>
      </c>
      <c r="F34" s="6">
        <f>SUMIF('Eredeti fejléccel'!$B:$B,'Felosztás eredménykim'!$B34,'Eredeti fejléccel'!$F:$F)</f>
        <v>0</v>
      </c>
      <c r="G34" s="6">
        <f>SUMIF('Eredeti fejléccel'!$B:$B,'Felosztás eredménykim'!$B34,'Eredeti fejléccel'!$G:$G)</f>
        <v>13540</v>
      </c>
      <c r="H34" s="6"/>
      <c r="I34" s="6">
        <f>SUMIF('Eredeti fejléccel'!$B:$B,'Felosztás eredménykim'!$B34,'Eredeti fejléccel'!$O:$O)</f>
        <v>0</v>
      </c>
      <c r="J34" s="6">
        <f>SUMIF('Eredeti fejléccel'!$B:$B,'Felosztás eredménykim'!$B34,'Eredeti fejléccel'!$P:$P)</f>
        <v>0</v>
      </c>
      <c r="K34" s="6">
        <f>SUMIF('Eredeti fejléccel'!$B:$B,'Felosztás eredménykim'!$B34,'Eredeti fejléccel'!$Q:$Q)</f>
        <v>0</v>
      </c>
      <c r="L34" s="6">
        <f>SUMIF('Eredeti fejléccel'!$B:$B,'Felosztás eredménykim'!$B34,'Eredeti fejléccel'!$R:$R)</f>
        <v>1040</v>
      </c>
      <c r="M34" s="6">
        <f>SUMIF('Eredeti fejléccel'!$B:$B,'Felosztás eredménykim'!$B34,'Eredeti fejléccel'!$T:$T)</f>
        <v>0</v>
      </c>
      <c r="N34" s="6">
        <f>SUMIF('Eredeti fejléccel'!$B:$B,'Felosztás eredménykim'!$B34,'Eredeti fejléccel'!$U:$U)</f>
        <v>0</v>
      </c>
      <c r="O34" s="6">
        <f>SUMIF('Eredeti fejléccel'!$B:$B,'Felosztás eredménykim'!$B34,'Eredeti fejléccel'!$V:$V)</f>
        <v>0</v>
      </c>
      <c r="P34" s="6">
        <f>SUMIF('Eredeti fejléccel'!$B:$B,'Felosztás eredménykim'!$B34,'Eredeti fejléccel'!$W:$W)</f>
        <v>0</v>
      </c>
      <c r="Q34" s="6">
        <f>SUMIF('Eredeti fejléccel'!$B:$B,'Felosztás eredménykim'!$B34,'Eredeti fejléccel'!$X:$X)</f>
        <v>0</v>
      </c>
      <c r="R34" s="6">
        <f>SUMIF('Eredeti fejléccel'!$B:$B,'Felosztás eredménykim'!$B34,'Eredeti fejléccel'!$Y:$Y)</f>
        <v>0</v>
      </c>
      <c r="S34" s="6">
        <f>SUMIF('Eredeti fejléccel'!$B:$B,'Felosztás eredménykim'!$B34,'Eredeti fejléccel'!$Z:$Z)</f>
        <v>0</v>
      </c>
      <c r="T34" s="6">
        <f>SUMIF('Eredeti fejléccel'!$B:$B,'Felosztás eredménykim'!$B34,'Eredeti fejléccel'!$AA:$AA)</f>
        <v>0</v>
      </c>
      <c r="U34" s="6">
        <f>SUMIF('Eredeti fejléccel'!$B:$B,'Felosztás eredménykim'!$B34,'Eredeti fejléccel'!$D:$D)</f>
        <v>0</v>
      </c>
      <c r="V34" s="6">
        <f>SUMIF('Eredeti fejléccel'!$B:$B,'Felosztás eredménykim'!$B34,'Eredeti fejléccel'!$AT:$AT)</f>
        <v>0</v>
      </c>
      <c r="X34" s="36">
        <f t="shared" si="0"/>
        <v>49580</v>
      </c>
      <c r="Z34" s="6">
        <f>SUMIF('Eredeti fejléccel'!$B:$B,'Felosztás eredménykim'!$B34,'Eredeti fejléccel'!$K:$K)</f>
        <v>2400</v>
      </c>
      <c r="AB34" s="6">
        <f>SUMIF('Eredeti fejléccel'!$B:$B,'Felosztás eredménykim'!$B34,'Eredeti fejléccel'!$AB:$AB)</f>
        <v>0</v>
      </c>
      <c r="AC34" s="6">
        <f>SUMIF('Eredeti fejléccel'!$B:$B,'Felosztás eredménykim'!$B34,'Eredeti fejléccel'!$AQ:$AQ)</f>
        <v>0</v>
      </c>
      <c r="AE34" s="73">
        <f t="shared" si="1"/>
        <v>2400</v>
      </c>
      <c r="AF34" s="36">
        <f t="shared" si="2"/>
        <v>5914.62832726132</v>
      </c>
      <c r="AG34" s="8">
        <f t="shared" si="3"/>
        <v>765.22672390662717</v>
      </c>
      <c r="AI34" s="6">
        <f>SUMIF('Eredeti fejléccel'!$B:$B,'Felosztás eredménykim'!$B34,'Eredeti fejléccel'!$BB:$BB)</f>
        <v>0</v>
      </c>
      <c r="AJ34" s="6">
        <f>SUMIF('Eredeti fejléccel'!$B:$B,'Felosztás eredménykim'!$B34,'Eredeti fejléccel'!$AF:$AF)</f>
        <v>0</v>
      </c>
      <c r="AK34" s="8">
        <f t="shared" si="4"/>
        <v>765.22672390662717</v>
      </c>
      <c r="AL34" s="36">
        <f t="shared" si="5"/>
        <v>2349.2605081071615</v>
      </c>
      <c r="AM34" s="8">
        <f t="shared" si="6"/>
        <v>303.94419103836861</v>
      </c>
      <c r="AN34" s="6">
        <f t="shared" si="36"/>
        <v>0</v>
      </c>
      <c r="AO34" s="6">
        <f>SUMIF('Eredeti fejléccel'!$B:$B,'Felosztás eredménykim'!$B34,'Eredeti fejléccel'!$AC:$AC)</f>
        <v>0</v>
      </c>
      <c r="AP34" s="6">
        <f>SUMIF('Eredeti fejléccel'!$B:$B,'Felosztás eredménykim'!$B34,'Eredeti fejléccel'!$AD:$AD)</f>
        <v>0</v>
      </c>
      <c r="AQ34" s="6">
        <f>SUMIF('Eredeti fejléccel'!$B:$B,'Felosztás eredménykim'!$B34,'Eredeti fejléccel'!$AE:$AE)</f>
        <v>0</v>
      </c>
      <c r="AR34" s="6">
        <f>SUMIF('Eredeti fejléccel'!$B:$B,'Felosztás eredménykim'!$B34,'Eredeti fejléccel'!$AG:$AG)</f>
        <v>4400</v>
      </c>
      <c r="AS34" s="6">
        <f t="shared" si="37"/>
        <v>4703.9441910383684</v>
      </c>
      <c r="AT34" s="36">
        <f t="shared" si="7"/>
        <v>3815.8892433944006</v>
      </c>
      <c r="AU34" s="8">
        <f t="shared" si="8"/>
        <v>493.69466058492077</v>
      </c>
      <c r="AV34" s="6">
        <f>SUMIF('Eredeti fejléccel'!$B:$B,'Felosztás eredménykim'!$B34,'Eredeti fejléccel'!$AI:$AI)</f>
        <v>0</v>
      </c>
      <c r="AW34" s="6">
        <f>SUMIF('Eredeti fejléccel'!$B:$B,'Felosztás eredménykim'!$B34,'Eredeti fejléccel'!$AJ:$AJ)</f>
        <v>0</v>
      </c>
      <c r="AX34" s="6">
        <f>SUMIF('Eredeti fejléccel'!$B:$B,'Felosztás eredménykim'!$B34,'Eredeti fejléccel'!$AK:$AK)</f>
        <v>0</v>
      </c>
      <c r="AY34" s="6">
        <f>SUMIF('Eredeti fejléccel'!$B:$B,'Felosztás eredménykim'!$B34,'Eredeti fejléccel'!$AL:$AL)</f>
        <v>0</v>
      </c>
      <c r="AZ34" s="6">
        <f>SUMIF('Eredeti fejléccel'!$B:$B,'Felosztás eredménykim'!$B34,'Eredeti fejléccel'!$AM:$AM)</f>
        <v>0</v>
      </c>
      <c r="BA34" s="6">
        <f>SUMIF('Eredeti fejléccel'!$B:$B,'Felosztás eredménykim'!$B34,'Eredeti fejléccel'!$AN:$AN)</f>
        <v>0</v>
      </c>
      <c r="BB34" s="6">
        <f>SUMIF('Eredeti fejléccel'!$B:$B,'Felosztás eredménykim'!$B34,'Eredeti fejléccel'!$AP:$AP)</f>
        <v>0</v>
      </c>
      <c r="BD34" s="6">
        <f>SUMIF('Eredeti fejléccel'!$B:$B,'Felosztás eredménykim'!$B34,'Eredeti fejléccel'!$AS:$AS)</f>
        <v>0</v>
      </c>
      <c r="BE34" s="8">
        <f t="shared" si="38"/>
        <v>493.69466058492077</v>
      </c>
      <c r="BF34" s="36">
        <f t="shared" si="9"/>
        <v>995.44936784201741</v>
      </c>
      <c r="BG34" s="8">
        <f t="shared" si="10"/>
        <v>128.78991145693584</v>
      </c>
      <c r="BH34" s="6">
        <f t="shared" si="39"/>
        <v>0</v>
      </c>
      <c r="BI34" s="6">
        <f>SUMIF('Eredeti fejléccel'!$B:$B,'Felosztás eredménykim'!$B34,'Eredeti fejléccel'!$AH:$AH)</f>
        <v>0</v>
      </c>
      <c r="BJ34" s="6">
        <f>SUMIF('Eredeti fejléccel'!$B:$B,'Felosztás eredménykim'!$B34,'Eredeti fejléccel'!$AO:$AO)</f>
        <v>0</v>
      </c>
      <c r="BK34" s="6">
        <f>SUMIF('Eredeti fejléccel'!$B:$B,'Felosztás eredménykim'!$B34,'Eredeti fejléccel'!$BF:$BF)</f>
        <v>0</v>
      </c>
      <c r="BL34" s="8">
        <f t="shared" si="40"/>
        <v>128.78991145693584</v>
      </c>
      <c r="BM34" s="36">
        <f t="shared" si="11"/>
        <v>3729.6169648480923</v>
      </c>
      <c r="BN34" s="8">
        <f t="shared" si="12"/>
        <v>482.53286825865302</v>
      </c>
      <c r="BP34" s="8">
        <f t="shared" si="41"/>
        <v>0</v>
      </c>
      <c r="BQ34" s="6">
        <f>SUMIF('Eredeti fejléccel'!$B:$B,'Felosztás eredménykim'!$B34,'Eredeti fejléccel'!$N:$N)</f>
        <v>0</v>
      </c>
      <c r="BR34" s="6">
        <f>SUMIF('Eredeti fejléccel'!$B:$B,'Felosztás eredménykim'!$B34,'Eredeti fejléccel'!$S:$S)</f>
        <v>0</v>
      </c>
      <c r="BT34" s="6">
        <f>SUMIF('Eredeti fejléccel'!$B:$B,'Felosztás eredménykim'!$B34,'Eredeti fejléccel'!$AR:$AR)</f>
        <v>0</v>
      </c>
      <c r="BU34" s="6">
        <f>SUMIF('Eredeti fejléccel'!$B:$B,'Felosztás eredménykim'!$B34,'Eredeti fejléccel'!$AU:$AU)</f>
        <v>0</v>
      </c>
      <c r="BV34" s="6">
        <f>SUMIF('Eredeti fejléccel'!$B:$B,'Felosztás eredménykim'!$B34,'Eredeti fejléccel'!$AV:$AV)</f>
        <v>0</v>
      </c>
      <c r="BW34" s="6">
        <f>SUMIF('Eredeti fejléccel'!$B:$B,'Felosztás eredménykim'!$B34,'Eredeti fejléccel'!$AW:$AW)</f>
        <v>0</v>
      </c>
      <c r="BX34" s="6">
        <f>SUMIF('Eredeti fejléccel'!$B:$B,'Felosztás eredménykim'!$B34,'Eredeti fejléccel'!$AX:$AX)</f>
        <v>0</v>
      </c>
      <c r="BY34" s="6">
        <f>SUMIF('Eredeti fejléccel'!$B:$B,'Felosztás eredménykim'!$B34,'Eredeti fejléccel'!$AY:$AY)</f>
        <v>0</v>
      </c>
      <c r="BZ34" s="6">
        <f>SUMIF('Eredeti fejléccel'!$B:$B,'Felosztás eredménykim'!$B34,'Eredeti fejléccel'!$AZ:$AZ)</f>
        <v>0</v>
      </c>
      <c r="CA34" s="6">
        <f>SUMIF('Eredeti fejléccel'!$B:$B,'Felosztás eredménykim'!$B34,'Eredeti fejléccel'!$BA:$BA)</f>
        <v>0</v>
      </c>
      <c r="CB34" s="6">
        <f t="shared" si="13"/>
        <v>482.53286825865302</v>
      </c>
      <c r="CC34" s="36">
        <f t="shared" si="14"/>
        <v>1015.3583551988578</v>
      </c>
      <c r="CD34" s="8">
        <f t="shared" si="15"/>
        <v>131.36570968607458</v>
      </c>
      <c r="CE34" s="6">
        <f>SUMIF('Eredeti fejléccel'!$B:$B,'Felosztás eredménykim'!$B34,'Eredeti fejléccel'!$BC:$BC)</f>
        <v>0</v>
      </c>
      <c r="CF34" s="8">
        <f t="shared" si="42"/>
        <v>0</v>
      </c>
      <c r="CG34" s="6">
        <f>SUMIF('Eredeti fejléccel'!$B:$B,'Felosztás eredménykim'!$B34,'Eredeti fejléccel'!$H:$H)</f>
        <v>0</v>
      </c>
      <c r="CH34" s="6">
        <f>SUMIF('Eredeti fejléccel'!$B:$B,'Felosztás eredménykim'!$B34,'Eredeti fejléccel'!$BE:$BE)</f>
        <v>0</v>
      </c>
      <c r="CI34" s="6">
        <f t="shared" si="43"/>
        <v>131.36570968607458</v>
      </c>
      <c r="CJ34" s="36">
        <f t="shared" si="16"/>
        <v>729.99620308414626</v>
      </c>
      <c r="CK34" s="8">
        <f t="shared" si="17"/>
        <v>94.445935068419629</v>
      </c>
      <c r="CL34" s="8">
        <f t="shared" si="44"/>
        <v>0</v>
      </c>
      <c r="CM34" s="6">
        <f>SUMIF('Eredeti fejléccel'!$B:$B,'Felosztás eredménykim'!$B34,'Eredeti fejléccel'!$BD:$BD)</f>
        <v>0</v>
      </c>
      <c r="CN34" s="8">
        <f t="shared" si="45"/>
        <v>94.445935068419629</v>
      </c>
      <c r="CO34" s="8">
        <f t="shared" si="18"/>
        <v>25350.198969736</v>
      </c>
      <c r="CR34" s="36">
        <f t="shared" si="19"/>
        <v>4384.940759819704</v>
      </c>
      <c r="CS34" s="6">
        <f>SUMIF('Eredeti fejléccel'!$B:$B,'Felosztás eredménykim'!$B34,'Eredeti fejléccel'!$I:$I)</f>
        <v>0</v>
      </c>
      <c r="CT34" s="6">
        <f>SUMIF('Eredeti fejléccel'!$B:$B,'Felosztás eredménykim'!$B34,'Eredeti fejléccel'!$BG:$BG)</f>
        <v>0</v>
      </c>
      <c r="CU34" s="6">
        <f>SUMIF('Eredeti fejléccel'!$B:$B,'Felosztás eredménykim'!$B34,'Eredeti fejléccel'!$BH:$BH)</f>
        <v>0</v>
      </c>
      <c r="CV34" s="6">
        <f>SUMIF('Eredeti fejléccel'!$B:$B,'Felosztás eredménykim'!$B34,'Eredeti fejléccel'!$BI:$BI)</f>
        <v>0</v>
      </c>
      <c r="CW34" s="6">
        <f>SUMIF('Eredeti fejléccel'!$B:$B,'Felosztás eredménykim'!$B34,'Eredeti fejléccel'!$BL:$BL)</f>
        <v>3488.7</v>
      </c>
      <c r="CX34" s="6">
        <f t="shared" si="46"/>
        <v>3488.7</v>
      </c>
      <c r="CY34" s="6">
        <f>SUMIF('Eredeti fejléccel'!$B:$B,'Felosztás eredménykim'!$B34,'Eredeti fejléccel'!$BJ:$BJ)</f>
        <v>521.29999999999995</v>
      </c>
      <c r="CZ34" s="6">
        <f>SUMIF('Eredeti fejléccel'!$B:$B,'Felosztás eredménykim'!$B34,'Eredeti fejléccel'!$BK:$BK)</f>
        <v>0</v>
      </c>
      <c r="DA34" s="99">
        <f t="shared" si="47"/>
        <v>4010</v>
      </c>
      <c r="DC34" s="36">
        <f t="shared" si="20"/>
        <v>3840.6142949130722</v>
      </c>
      <c r="DD34" s="6">
        <f>SUMIF('Eredeti fejléccel'!$B:$B,'Felosztás eredménykim'!$B34,'Eredeti fejléccel'!$J:$J)</f>
        <v>0</v>
      </c>
      <c r="DE34" s="6">
        <f>SUMIF('Eredeti fejléccel'!$B:$B,'Felosztás eredménykim'!$B34,'Eredeti fejléccel'!$BM:$BM)</f>
        <v>5580</v>
      </c>
      <c r="DF34" s="6">
        <f t="shared" si="48"/>
        <v>0</v>
      </c>
      <c r="DG34" s="8">
        <f t="shared" si="21"/>
        <v>0</v>
      </c>
      <c r="DH34" s="8">
        <f t="shared" si="49"/>
        <v>5580</v>
      </c>
      <c r="DJ34" s="6">
        <f>SUMIF('Eredeti fejléccel'!$B:$B,'Felosztás eredménykim'!$B34,'Eredeti fejléccel'!$BN:$BN)</f>
        <v>0</v>
      </c>
      <c r="DK34" s="6">
        <f>SUMIF('Eredeti fejléccel'!$B:$B,'Felosztás eredménykim'!$B34,'Eredeti fejléccel'!$BZ:$BZ)</f>
        <v>0</v>
      </c>
      <c r="DL34" s="8">
        <f t="shared" si="50"/>
        <v>0</v>
      </c>
      <c r="DM34" s="6">
        <f>SUMIF('Eredeti fejléccel'!$B:$B,'Felosztás eredménykim'!$B34,'Eredeti fejléccel'!$BR:$BR)</f>
        <v>0</v>
      </c>
      <c r="DN34" s="6">
        <f>SUMIF('Eredeti fejléccel'!$B:$B,'Felosztás eredménykim'!$B34,'Eredeti fejléccel'!$BS:$BS)</f>
        <v>0</v>
      </c>
      <c r="DO34" s="6">
        <f>SUMIF('Eredeti fejléccel'!$B:$B,'Felosztás eredménykim'!$B34,'Eredeti fejléccel'!$BO:$BO)</f>
        <v>0</v>
      </c>
      <c r="DP34" s="6">
        <f>SUMIF('Eredeti fejléccel'!$B:$B,'Felosztás eredménykim'!$B34,'Eredeti fejléccel'!$BP:$BP)</f>
        <v>0</v>
      </c>
      <c r="DQ34" s="6">
        <f>SUMIF('Eredeti fejléccel'!$B:$B,'Felosztás eredménykim'!$B34,'Eredeti fejléccel'!$BQ:$BQ)</f>
        <v>0</v>
      </c>
      <c r="DS34" s="8"/>
      <c r="DU34" s="6">
        <f>SUMIF('Eredeti fejléccel'!$B:$B,'Felosztás eredménykim'!$B34,'Eredeti fejléccel'!$BT:$BT)</f>
        <v>0</v>
      </c>
      <c r="DV34" s="6">
        <f>SUMIF('Eredeti fejléccel'!$B:$B,'Felosztás eredménykim'!$B34,'Eredeti fejléccel'!$BU:$BU)</f>
        <v>0</v>
      </c>
      <c r="DW34" s="6">
        <f>SUMIF('Eredeti fejléccel'!$B:$B,'Felosztás eredménykim'!$B34,'Eredeti fejléccel'!$BV:$BV)</f>
        <v>0</v>
      </c>
      <c r="DX34" s="6">
        <f>SUMIF('Eredeti fejléccel'!$B:$B,'Felosztás eredménykim'!$B34,'Eredeti fejléccel'!$BW:$BW)</f>
        <v>0</v>
      </c>
      <c r="DY34" s="6">
        <f>SUMIF('Eredeti fejléccel'!$B:$B,'Felosztás eredménykim'!$B34,'Eredeti fejléccel'!$BX:$BX)</f>
        <v>0</v>
      </c>
      <c r="EA34" s="6"/>
      <c r="EC34" s="6"/>
      <c r="EE34" s="6">
        <f>SUMIF('Eredeti fejléccel'!$B:$B,'Felosztás eredménykim'!$B34,'Eredeti fejléccel'!$CA:$CA)</f>
        <v>0</v>
      </c>
      <c r="EF34" s="6">
        <f>SUMIF('Eredeti fejléccel'!$B:$B,'Felosztás eredménykim'!$B34,'Eredeti fejléccel'!$CB:$CB)</f>
        <v>0</v>
      </c>
      <c r="EG34" s="6">
        <f>SUMIF('Eredeti fejléccel'!$B:$B,'Felosztás eredménykim'!$B34,'Eredeti fejléccel'!$CC:$CC)</f>
        <v>0</v>
      </c>
      <c r="EH34" s="6">
        <f>SUMIF('Eredeti fejléccel'!$B:$B,'Felosztás eredménykim'!$B34,'Eredeti fejléccel'!$CD:$CD)</f>
        <v>0</v>
      </c>
      <c r="EK34" s="6">
        <f>SUMIF('Eredeti fejléccel'!$B:$B,'Felosztás eredménykim'!$B34,'Eredeti fejléccel'!$CE:$CE)</f>
        <v>0</v>
      </c>
      <c r="EN34" s="6">
        <f>SUMIF('Eredeti fejléccel'!$B:$B,'Felosztás eredménykim'!$B34,'Eredeti fejléccel'!$CF:$CF)</f>
        <v>0</v>
      </c>
      <c r="EP34" s="6">
        <f>SUMIF('Eredeti fejléccel'!$B:$B,'Felosztás eredménykim'!$B34,'Eredeti fejléccel'!$CG:$CG)</f>
        <v>0</v>
      </c>
      <c r="ES34" s="6">
        <f>SUMIF('Eredeti fejléccel'!$B:$B,'Felosztás eredménykim'!$B34,'Eredeti fejléccel'!$CH:$CH)</f>
        <v>0</v>
      </c>
      <c r="ET34" s="6">
        <f>SUMIF('Eredeti fejléccel'!$B:$B,'Felosztás eredménykim'!$B34,'Eredeti fejléccel'!$CI:$CI)</f>
        <v>0</v>
      </c>
      <c r="EW34" s="8">
        <f t="shared" si="22"/>
        <v>0</v>
      </c>
      <c r="EX34" s="8">
        <f t="shared" si="51"/>
        <v>0</v>
      </c>
      <c r="EY34" s="8">
        <f t="shared" si="52"/>
        <v>5580</v>
      </c>
      <c r="EZ34" s="8">
        <f t="shared" si="23"/>
        <v>5580</v>
      </c>
      <c r="FA34" s="8">
        <f t="shared" si="24"/>
        <v>5580</v>
      </c>
      <c r="FC34" s="6">
        <f>SUMIF('Eredeti fejléccel'!$B:$B,'Felosztás eredménykim'!$B34,'Eredeti fejléccel'!$L:$L)</f>
        <v>0</v>
      </c>
      <c r="FD34" s="6">
        <f>SUMIF('Eredeti fejléccel'!$B:$B,'Felosztás eredménykim'!$B34,'Eredeti fejléccel'!$CJ:$CJ)</f>
        <v>0</v>
      </c>
      <c r="FE34" s="6">
        <f>SUMIF('Eredeti fejléccel'!$B:$B,'Felosztás eredménykim'!$B34,'Eredeti fejléccel'!$CL:$CL)</f>
        <v>0</v>
      </c>
      <c r="FG34" s="99">
        <f t="shared" si="53"/>
        <v>0</v>
      </c>
      <c r="FH34" s="6">
        <f>SUMIF('Eredeti fejléccel'!$B:$B,'Felosztás eredménykim'!$B34,'Eredeti fejléccel'!$CK:$CK)</f>
        <v>0</v>
      </c>
      <c r="FI34" s="36">
        <f t="shared" si="25"/>
        <v>4518.7261155163733</v>
      </c>
      <c r="FJ34" s="101">
        <f t="shared" si="26"/>
        <v>0</v>
      </c>
      <c r="FK34" s="6">
        <f>SUMIF('Eredeti fejléccel'!$B:$B,'Felosztás eredménykim'!$B34,'Eredeti fejléccel'!$CM:$CM)</f>
        <v>0</v>
      </c>
      <c r="FL34" s="6">
        <f>SUMIF('Eredeti fejléccel'!$B:$B,'Felosztás eredménykim'!$B34,'Eredeti fejléccel'!$CN:$CN)</f>
        <v>0</v>
      </c>
      <c r="FM34" s="8">
        <f t="shared" si="54"/>
        <v>0</v>
      </c>
      <c r="FN34" s="36">
        <f t="shared" si="27"/>
        <v>3841.658513082094</v>
      </c>
      <c r="FO34" s="101">
        <f t="shared" si="28"/>
        <v>0</v>
      </c>
      <c r="FP34" s="6">
        <f>SUMIF('Eredeti fejléccel'!$B:$B,'Felosztás eredménykim'!$B34,'Eredeti fejléccel'!$CO:$CO)</f>
        <v>6900</v>
      </c>
      <c r="FQ34" s="6">
        <f>'Eredeti fejléccel'!CP34</f>
        <v>0</v>
      </c>
      <c r="FR34" s="6">
        <f>'Eredeti fejléccel'!CQ34</f>
        <v>0</v>
      </c>
      <c r="FS34" s="103">
        <f t="shared" si="55"/>
        <v>6900</v>
      </c>
      <c r="FT34" s="36">
        <f t="shared" si="29"/>
        <v>10604.097705278491</v>
      </c>
      <c r="FU34" s="101">
        <f t="shared" si="30"/>
        <v>0</v>
      </c>
      <c r="FV34" s="101"/>
      <c r="FW34" s="6">
        <f>SUMIF('Eredeti fejléccel'!$B:$B,'Felosztás eredménykim'!$B34,'Eredeti fejléccel'!$CR:$CR)</f>
        <v>11530</v>
      </c>
      <c r="FX34" s="6">
        <f>SUMIF('Eredeti fejléccel'!$B:$B,'Felosztás eredménykim'!$B34,'Eredeti fejléccel'!$CS:$CS)</f>
        <v>0</v>
      </c>
      <c r="FY34" s="6">
        <f>SUMIF('Eredeti fejléccel'!$B:$B,'Felosztás eredménykim'!$B34,'Eredeti fejléccel'!$CT:$CT)</f>
        <v>0</v>
      </c>
      <c r="FZ34" s="6">
        <f>SUMIF('Eredeti fejléccel'!$B:$B,'Felosztás eredménykim'!$B34,'Eredeti fejléccel'!$CU:$CU)</f>
        <v>0</v>
      </c>
      <c r="GA34" s="103">
        <f t="shared" si="56"/>
        <v>11530</v>
      </c>
      <c r="GB34" s="36">
        <f t="shared" si="31"/>
        <v>1413.4403963226571</v>
      </c>
      <c r="GC34" s="101">
        <f t="shared" si="32"/>
        <v>0</v>
      </c>
      <c r="GD34" s="6">
        <f>SUMIF('Eredeti fejléccel'!$B:$B,'Felosztás eredménykim'!$B34,'Eredeti fejléccel'!$CV:$CV)</f>
        <v>0</v>
      </c>
      <c r="GE34" s="6">
        <f>SUMIF('Eredeti fejléccel'!$B:$B,'Felosztás eredménykim'!$B34,'Eredeti fejléccel'!$CW:$CW)</f>
        <v>0</v>
      </c>
      <c r="GF34" s="103">
        <f t="shared" si="57"/>
        <v>0</v>
      </c>
      <c r="GG34" s="36">
        <f t="shared" si="33"/>
        <v>0</v>
      </c>
      <c r="GM34" s="6">
        <f>SUMIF('Eredeti fejléccel'!$B:$B,'Felosztás eredménykim'!$B34,'Eredeti fejléccel'!$CX:$CX)</f>
        <v>0</v>
      </c>
      <c r="GN34" s="6">
        <f>SUMIF('Eredeti fejléccel'!$B:$B,'Felosztás eredménykim'!$B34,'Eredeti fejléccel'!$CY:$CY)</f>
        <v>0</v>
      </c>
      <c r="GO34" s="6">
        <f>SUMIF('Eredeti fejléccel'!$B:$B,'Felosztás eredménykim'!$B34,'Eredeti fejléccel'!$CZ:$CZ)</f>
        <v>0</v>
      </c>
      <c r="GP34" s="6">
        <f>SUMIF('Eredeti fejléccel'!$B:$B,'Felosztás eredménykim'!$B34,'Eredeti fejléccel'!$DA:$DA)</f>
        <v>0</v>
      </c>
      <c r="GQ34" s="6">
        <f>SUMIF('Eredeti fejléccel'!$B:$B,'Felosztás eredménykim'!$B34,'Eredeti fejléccel'!$DB:$DB)</f>
        <v>0</v>
      </c>
      <c r="GR34" s="103">
        <f t="shared" si="58"/>
        <v>0</v>
      </c>
      <c r="GW34" s="36">
        <f t="shared" si="34"/>
        <v>2426.3232453316164</v>
      </c>
      <c r="GX34" s="6">
        <f>SUMIF('Eredeti fejléccel'!$B:$B,'Felosztás eredménykim'!$B34,'Eredeti fejléccel'!$M:$M)</f>
        <v>0</v>
      </c>
      <c r="GY34" s="6">
        <f>SUMIF('Eredeti fejléccel'!$B:$B,'Felosztás eredménykim'!$B34,'Eredeti fejléccel'!$DC:$DC)</f>
        <v>1409915</v>
      </c>
      <c r="GZ34" s="6">
        <f>SUMIF('Eredeti fejléccel'!$B:$B,'Felosztás eredménykim'!$B34,'Eredeti fejléccel'!$DD:$DD)</f>
        <v>0</v>
      </c>
      <c r="HA34" s="6">
        <f>SUMIF('Eredeti fejléccel'!$B:$B,'Felosztás eredménykim'!$B34,'Eredeti fejléccel'!$DE:$DE)</f>
        <v>0</v>
      </c>
      <c r="HB34" s="103">
        <f t="shared" si="59"/>
        <v>1409915</v>
      </c>
      <c r="HD34" s="9">
        <f t="shared" si="35"/>
        <v>1494314.9999999998</v>
      </c>
      <c r="HE34" s="9">
        <v>1494315</v>
      </c>
      <c r="HF34" s="476"/>
      <c r="HH34" s="34">
        <f t="shared" si="60"/>
        <v>0</v>
      </c>
    </row>
    <row r="35" spans="1:216" x14ac:dyDescent="0.25">
      <c r="A35" s="4" t="s">
        <v>1675</v>
      </c>
      <c r="B35" s="4" t="s">
        <v>1675</v>
      </c>
      <c r="C35" s="1" t="s">
        <v>1676</v>
      </c>
      <c r="D35" s="6">
        <f>SUMIF('Eredeti fejléccel'!$B:$B,'Felosztás eredménykim'!$B35,'Eredeti fejléccel'!$D:$D)</f>
        <v>0</v>
      </c>
      <c r="E35" s="6">
        <f>SUMIF('Eredeti fejléccel'!$B:$B,'Felosztás eredménykim'!$B35,'Eredeti fejléccel'!$E:$E)</f>
        <v>0</v>
      </c>
      <c r="F35" s="6">
        <f>SUMIF('Eredeti fejléccel'!$B:$B,'Felosztás eredménykim'!$B35,'Eredeti fejléccel'!$F:$F)</f>
        <v>0</v>
      </c>
      <c r="G35" s="6">
        <f>SUMIF('Eredeti fejléccel'!$B:$B,'Felosztás eredménykim'!$B35,'Eredeti fejléccel'!$G:$G)</f>
        <v>0</v>
      </c>
      <c r="H35" s="6"/>
      <c r="I35" s="6">
        <f>SUMIF('Eredeti fejléccel'!$B:$B,'Felosztás eredménykim'!$B35,'Eredeti fejléccel'!$O:$O)</f>
        <v>0</v>
      </c>
      <c r="J35" s="6">
        <f>SUMIF('Eredeti fejléccel'!$B:$B,'Felosztás eredménykim'!$B35,'Eredeti fejléccel'!$P:$P)</f>
        <v>0</v>
      </c>
      <c r="K35" s="6">
        <f>SUMIF('Eredeti fejléccel'!$B:$B,'Felosztás eredménykim'!$B35,'Eredeti fejléccel'!$Q:$Q)</f>
        <v>0</v>
      </c>
      <c r="L35" s="6">
        <f>SUMIF('Eredeti fejléccel'!$B:$B,'Felosztás eredménykim'!$B35,'Eredeti fejléccel'!$R:$R)</f>
        <v>0</v>
      </c>
      <c r="M35" s="6">
        <f>SUMIF('Eredeti fejléccel'!$B:$B,'Felosztás eredménykim'!$B35,'Eredeti fejléccel'!$T:$T)</f>
        <v>0</v>
      </c>
      <c r="N35" s="6">
        <f>SUMIF('Eredeti fejléccel'!$B:$B,'Felosztás eredménykim'!$B35,'Eredeti fejléccel'!$U:$U)</f>
        <v>0</v>
      </c>
      <c r="O35" s="6">
        <f>SUMIF('Eredeti fejléccel'!$B:$B,'Felosztás eredménykim'!$B35,'Eredeti fejléccel'!$V:$V)</f>
        <v>0</v>
      </c>
      <c r="P35" s="6">
        <f>SUMIF('Eredeti fejléccel'!$B:$B,'Felosztás eredménykim'!$B35,'Eredeti fejléccel'!$W:$W)</f>
        <v>0</v>
      </c>
      <c r="Q35" s="6">
        <f>SUMIF('Eredeti fejléccel'!$B:$B,'Felosztás eredménykim'!$B35,'Eredeti fejléccel'!$X:$X)</f>
        <v>0</v>
      </c>
      <c r="R35" s="6">
        <f>SUMIF('Eredeti fejléccel'!$B:$B,'Felosztás eredménykim'!$B35,'Eredeti fejléccel'!$Y:$Y)</f>
        <v>0</v>
      </c>
      <c r="S35" s="6">
        <f>SUMIF('Eredeti fejléccel'!$B:$B,'Felosztás eredménykim'!$B35,'Eredeti fejléccel'!$Z:$Z)</f>
        <v>0</v>
      </c>
      <c r="T35" s="6">
        <f>SUMIF('Eredeti fejléccel'!$B:$B,'Felosztás eredménykim'!$B35,'Eredeti fejléccel'!$AA:$AA)</f>
        <v>0</v>
      </c>
      <c r="U35" s="6">
        <f>SUMIF('Eredeti fejléccel'!$B:$B,'Felosztás eredménykim'!$B35,'Eredeti fejléccel'!$D:$D)</f>
        <v>0</v>
      </c>
      <c r="V35" s="6">
        <f>SUMIF('Eredeti fejléccel'!$B:$B,'Felosztás eredménykim'!$B35,'Eredeti fejléccel'!$AT:$AT)</f>
        <v>0</v>
      </c>
      <c r="X35" s="36">
        <f t="shared" si="0"/>
        <v>0</v>
      </c>
      <c r="Z35" s="6">
        <f>SUMIF('Eredeti fejléccel'!$B:$B,'Felosztás eredménykim'!$B35,'Eredeti fejléccel'!$K:$K)</f>
        <v>0</v>
      </c>
      <c r="AB35" s="6">
        <f>SUMIF('Eredeti fejléccel'!$B:$B,'Felosztás eredménykim'!$B35,'Eredeti fejléccel'!$AB:$AB)</f>
        <v>0</v>
      </c>
      <c r="AC35" s="6">
        <f>SUMIF('Eredeti fejléccel'!$B:$B,'Felosztás eredménykim'!$B35,'Eredeti fejléccel'!$AQ:$AQ)</f>
        <v>0</v>
      </c>
      <c r="AE35" s="73">
        <f>SUM(Z35:AD35)</f>
        <v>0</v>
      </c>
      <c r="AF35" s="36">
        <f t="shared" si="2"/>
        <v>0</v>
      </c>
      <c r="AG35" s="8">
        <f t="shared" si="3"/>
        <v>0</v>
      </c>
      <c r="AI35" s="6">
        <f>SUMIF('Eredeti fejléccel'!$B:$B,'Felosztás eredménykim'!$B35,'Eredeti fejléccel'!$BB:$BB)</f>
        <v>0</v>
      </c>
      <c r="AJ35" s="6">
        <f>SUMIF('Eredeti fejléccel'!$B:$B,'Felosztás eredménykim'!$B35,'Eredeti fejléccel'!$AF:$AF)</f>
        <v>0</v>
      </c>
      <c r="AK35" s="8">
        <f>SUM(AG35:AJ35)</f>
        <v>0</v>
      </c>
      <c r="AL35" s="36">
        <f t="shared" si="5"/>
        <v>0</v>
      </c>
      <c r="AM35" s="8">
        <f t="shared" si="6"/>
        <v>0</v>
      </c>
      <c r="AN35" s="6">
        <f t="shared" si="36"/>
        <v>0</v>
      </c>
      <c r="AO35" s="6">
        <f>SUMIF('Eredeti fejléccel'!$B:$B,'Felosztás eredménykim'!$B35,'Eredeti fejléccel'!$AC:$AC)</f>
        <v>0</v>
      </c>
      <c r="AP35" s="6">
        <f>SUMIF('Eredeti fejléccel'!$B:$B,'Felosztás eredménykim'!$B35,'Eredeti fejléccel'!$AD:$AD)</f>
        <v>0</v>
      </c>
      <c r="AQ35" s="6">
        <f>SUMIF('Eredeti fejléccel'!$B:$B,'Felosztás eredménykim'!$B35,'Eredeti fejléccel'!$AE:$AE)</f>
        <v>0</v>
      </c>
      <c r="AR35" s="6">
        <f>SUMIF('Eredeti fejléccel'!$B:$B,'Felosztás eredménykim'!$B35,'Eredeti fejléccel'!$AG:$AG)</f>
        <v>0</v>
      </c>
      <c r="AS35" s="6">
        <f t="shared" si="37"/>
        <v>0</v>
      </c>
      <c r="AT35" s="36">
        <f t="shared" si="7"/>
        <v>0</v>
      </c>
      <c r="AU35" s="8">
        <f t="shared" si="8"/>
        <v>0</v>
      </c>
      <c r="AV35" s="6">
        <f>SUMIF('Eredeti fejléccel'!$B:$B,'Felosztás eredménykim'!$B35,'Eredeti fejléccel'!$AI:$AI)</f>
        <v>0</v>
      </c>
      <c r="AW35" s="6">
        <f>SUMIF('Eredeti fejléccel'!$B:$B,'Felosztás eredménykim'!$B35,'Eredeti fejléccel'!$AJ:$AJ)</f>
        <v>0</v>
      </c>
      <c r="AX35" s="6">
        <f>SUMIF('Eredeti fejléccel'!$B:$B,'Felosztás eredménykim'!$B35,'Eredeti fejléccel'!$AK:$AK)</f>
        <v>0</v>
      </c>
      <c r="AY35" s="6">
        <f>SUMIF('Eredeti fejléccel'!$B:$B,'Felosztás eredménykim'!$B35,'Eredeti fejléccel'!$AL:$AL)</f>
        <v>0</v>
      </c>
      <c r="AZ35" s="6">
        <f>SUMIF('Eredeti fejléccel'!$B:$B,'Felosztás eredménykim'!$B35,'Eredeti fejléccel'!$AM:$AM)</f>
        <v>0</v>
      </c>
      <c r="BA35" s="6">
        <f>SUMIF('Eredeti fejléccel'!$B:$B,'Felosztás eredménykim'!$B35,'Eredeti fejléccel'!$AN:$AN)</f>
        <v>0</v>
      </c>
      <c r="BB35" s="6">
        <f>SUMIF('Eredeti fejléccel'!$B:$B,'Felosztás eredménykim'!$B35,'Eredeti fejléccel'!$AP:$AP)</f>
        <v>0</v>
      </c>
      <c r="BD35" s="6">
        <f>SUMIF('Eredeti fejléccel'!$B:$B,'Felosztás eredménykim'!$B35,'Eredeti fejléccel'!$AS:$AS)</f>
        <v>0</v>
      </c>
      <c r="BE35" s="8">
        <f t="shared" si="38"/>
        <v>0</v>
      </c>
      <c r="BF35" s="36">
        <f t="shared" si="9"/>
        <v>0</v>
      </c>
      <c r="BG35" s="8">
        <f t="shared" si="10"/>
        <v>0</v>
      </c>
      <c r="BH35" s="6">
        <f t="shared" si="39"/>
        <v>0</v>
      </c>
      <c r="BI35" s="6">
        <f>SUMIF('Eredeti fejléccel'!$B:$B,'Felosztás eredménykim'!$B35,'Eredeti fejléccel'!$AH:$AH)</f>
        <v>0</v>
      </c>
      <c r="BJ35" s="6">
        <f>SUMIF('Eredeti fejléccel'!$B:$B,'Felosztás eredménykim'!$B35,'Eredeti fejléccel'!$AO:$AO)</f>
        <v>0</v>
      </c>
      <c r="BK35" s="6">
        <f>SUMIF('Eredeti fejléccel'!$B:$B,'Felosztás eredménykim'!$B35,'Eredeti fejléccel'!$BF:$BF)</f>
        <v>0</v>
      </c>
      <c r="BL35" s="8">
        <f t="shared" si="40"/>
        <v>0</v>
      </c>
      <c r="BM35" s="36">
        <f t="shared" si="11"/>
        <v>0</v>
      </c>
      <c r="BN35" s="8">
        <f t="shared" si="12"/>
        <v>0</v>
      </c>
      <c r="BP35" s="8">
        <f t="shared" si="41"/>
        <v>0</v>
      </c>
      <c r="BQ35" s="6">
        <f>SUMIF('Eredeti fejléccel'!$B:$B,'Felosztás eredménykim'!$B35,'Eredeti fejléccel'!$N:$N)</f>
        <v>0</v>
      </c>
      <c r="BR35" s="6">
        <f>SUMIF('Eredeti fejléccel'!$B:$B,'Felosztás eredménykim'!$B35,'Eredeti fejléccel'!$S:$S)</f>
        <v>0</v>
      </c>
      <c r="BT35" s="6">
        <f>SUMIF('Eredeti fejléccel'!$B:$B,'Felosztás eredménykim'!$B35,'Eredeti fejléccel'!$AR:$AR)</f>
        <v>0</v>
      </c>
      <c r="BU35" s="6">
        <f>SUMIF('Eredeti fejléccel'!$B:$B,'Felosztás eredménykim'!$B35,'Eredeti fejléccel'!$AU:$AU)</f>
        <v>0</v>
      </c>
      <c r="BV35" s="6">
        <f>SUMIF('Eredeti fejléccel'!$B:$B,'Felosztás eredménykim'!$B35,'Eredeti fejléccel'!$AV:$AV)</f>
        <v>0</v>
      </c>
      <c r="BW35" s="6">
        <f>SUMIF('Eredeti fejléccel'!$B:$B,'Felosztás eredménykim'!$B35,'Eredeti fejléccel'!$AW:$AW)</f>
        <v>0</v>
      </c>
      <c r="BX35" s="6">
        <f>SUMIF('Eredeti fejléccel'!$B:$B,'Felosztás eredménykim'!$B35,'Eredeti fejléccel'!$AX:$AX)</f>
        <v>0</v>
      </c>
      <c r="BY35" s="6">
        <f>SUMIF('Eredeti fejléccel'!$B:$B,'Felosztás eredménykim'!$B35,'Eredeti fejléccel'!$AY:$AY)</f>
        <v>0</v>
      </c>
      <c r="BZ35" s="6">
        <f>SUMIF('Eredeti fejléccel'!$B:$B,'Felosztás eredménykim'!$B35,'Eredeti fejléccel'!$AZ:$AZ)</f>
        <v>0</v>
      </c>
      <c r="CA35" s="6">
        <f>SUMIF('Eredeti fejléccel'!$B:$B,'Felosztás eredménykim'!$B35,'Eredeti fejléccel'!$BA:$BA)</f>
        <v>0</v>
      </c>
      <c r="CB35" s="6">
        <f t="shared" si="13"/>
        <v>0</v>
      </c>
      <c r="CC35" s="36">
        <f t="shared" si="14"/>
        <v>0</v>
      </c>
      <c r="CD35" s="8">
        <f t="shared" si="15"/>
        <v>0</v>
      </c>
      <c r="CE35" s="6">
        <f>SUMIF('Eredeti fejléccel'!$B:$B,'Felosztás eredménykim'!$B35,'Eredeti fejléccel'!$BC:$BC)</f>
        <v>0</v>
      </c>
      <c r="CF35" s="8">
        <f t="shared" si="42"/>
        <v>0</v>
      </c>
      <c r="CG35" s="6">
        <f>SUMIF('Eredeti fejléccel'!$B:$B,'Felosztás eredménykim'!$B35,'Eredeti fejléccel'!$H:$H)</f>
        <v>0</v>
      </c>
      <c r="CH35" s="6">
        <f>SUMIF('Eredeti fejléccel'!$B:$B,'Felosztás eredménykim'!$B35,'Eredeti fejléccel'!$BE:$BE)</f>
        <v>0</v>
      </c>
      <c r="CI35" s="6">
        <f>SUM(CD35:CH35)</f>
        <v>0</v>
      </c>
      <c r="CJ35" s="36">
        <f t="shared" si="16"/>
        <v>0</v>
      </c>
      <c r="CK35" s="8">
        <f t="shared" si="17"/>
        <v>0</v>
      </c>
      <c r="CL35" s="8">
        <f t="shared" si="44"/>
        <v>0</v>
      </c>
      <c r="CM35" s="6">
        <f>SUMIF('Eredeti fejléccel'!$B:$B,'Felosztás eredménykim'!$B35,'Eredeti fejléccel'!$BD:$BD)</f>
        <v>0</v>
      </c>
      <c r="CN35" s="8">
        <f>SUM(CK35:CM35)</f>
        <v>0</v>
      </c>
      <c r="CO35" s="8">
        <f t="shared" si="18"/>
        <v>0</v>
      </c>
      <c r="CR35" s="36">
        <f t="shared" si="19"/>
        <v>0</v>
      </c>
      <c r="CS35" s="6">
        <f>SUMIF('Eredeti fejléccel'!$B:$B,'Felosztás eredménykim'!$B35,'Eredeti fejléccel'!$I:$I)</f>
        <v>0</v>
      </c>
      <c r="CT35" s="6">
        <f>SUMIF('Eredeti fejléccel'!$B:$B,'Felosztás eredménykim'!$B35,'Eredeti fejléccel'!$BG:$BG)</f>
        <v>0</v>
      </c>
      <c r="CU35" s="6">
        <f>SUMIF('Eredeti fejléccel'!$B:$B,'Felosztás eredménykim'!$B35,'Eredeti fejléccel'!$BH:$BH)</f>
        <v>0</v>
      </c>
      <c r="CV35" s="6">
        <f>SUMIF('Eredeti fejléccel'!$B:$B,'Felosztás eredménykim'!$B35,'Eredeti fejléccel'!$BI:$BI)</f>
        <v>0</v>
      </c>
      <c r="CW35" s="6">
        <f>SUMIF('Eredeti fejléccel'!$B:$B,'Felosztás eredménykim'!$B35,'Eredeti fejléccel'!$BL:$BL)</f>
        <v>0</v>
      </c>
      <c r="CX35" s="6">
        <f t="shared" si="46"/>
        <v>0</v>
      </c>
      <c r="CY35" s="6">
        <f>SUMIF('Eredeti fejléccel'!$B:$B,'Felosztás eredménykim'!$B35,'Eredeti fejléccel'!$BJ:$BJ)</f>
        <v>0</v>
      </c>
      <c r="CZ35" s="6">
        <f>SUMIF('Eredeti fejléccel'!$B:$B,'Felosztás eredménykim'!$B35,'Eredeti fejléccel'!$BK:$BK)</f>
        <v>0</v>
      </c>
      <c r="DA35" s="99">
        <f t="shared" si="47"/>
        <v>0</v>
      </c>
      <c r="DC35" s="36">
        <f t="shared" si="20"/>
        <v>0</v>
      </c>
      <c r="DD35" s="6">
        <f>SUMIF('Eredeti fejléccel'!$B:$B,'Felosztás eredménykim'!$B35,'Eredeti fejléccel'!$J:$J)</f>
        <v>0</v>
      </c>
      <c r="DE35" s="6">
        <f>SUMIF('Eredeti fejléccel'!$B:$B,'Felosztás eredménykim'!$B35,'Eredeti fejléccel'!$BM:$BM)</f>
        <v>0</v>
      </c>
      <c r="DF35" s="6">
        <f t="shared" si="48"/>
        <v>0</v>
      </c>
      <c r="DG35" s="8">
        <f t="shared" si="21"/>
        <v>0</v>
      </c>
      <c r="DH35" s="8">
        <f t="shared" si="49"/>
        <v>0</v>
      </c>
      <c r="DJ35" s="6">
        <f>SUMIF('Eredeti fejléccel'!$B:$B,'Felosztás eredménykim'!$B35,'Eredeti fejléccel'!$BN:$BN)</f>
        <v>0</v>
      </c>
      <c r="DK35" s="6">
        <f>SUMIF('Eredeti fejléccel'!$B:$B,'Felosztás eredménykim'!$B35,'Eredeti fejléccel'!$BZ:$BZ)</f>
        <v>0</v>
      </c>
      <c r="DL35" s="8">
        <f t="shared" si="50"/>
        <v>0</v>
      </c>
      <c r="DM35" s="6">
        <f>SUMIF('Eredeti fejléccel'!$B:$B,'Felosztás eredménykim'!$B35,'Eredeti fejléccel'!$BR:$BR)</f>
        <v>0</v>
      </c>
      <c r="DN35" s="6">
        <f>SUMIF('Eredeti fejléccel'!$B:$B,'Felosztás eredménykim'!$B35,'Eredeti fejléccel'!$BS:$BS)</f>
        <v>0</v>
      </c>
      <c r="DO35" s="6">
        <f>SUMIF('Eredeti fejléccel'!$B:$B,'Felosztás eredménykim'!$B35,'Eredeti fejléccel'!$BO:$BO)</f>
        <v>0</v>
      </c>
      <c r="DP35" s="6">
        <f>SUMIF('Eredeti fejléccel'!$B:$B,'Felosztás eredménykim'!$B35,'Eredeti fejléccel'!$BP:$BP)</f>
        <v>0</v>
      </c>
      <c r="DQ35" s="6">
        <f>SUMIF('Eredeti fejléccel'!$B:$B,'Felosztás eredménykim'!$B35,'Eredeti fejléccel'!$BQ:$BQ)</f>
        <v>0</v>
      </c>
      <c r="DS35" s="8"/>
      <c r="DU35" s="6">
        <f>SUMIF('Eredeti fejléccel'!$B:$B,'Felosztás eredménykim'!$B35,'Eredeti fejléccel'!$BT:$BT)</f>
        <v>0</v>
      </c>
      <c r="DV35" s="6">
        <f>SUMIF('Eredeti fejléccel'!$B:$B,'Felosztás eredménykim'!$B35,'Eredeti fejléccel'!$BU:$BU)</f>
        <v>0</v>
      </c>
      <c r="DW35" s="6">
        <f>SUMIF('Eredeti fejléccel'!$B:$B,'Felosztás eredménykim'!$B35,'Eredeti fejléccel'!$BV:$BV)</f>
        <v>0</v>
      </c>
      <c r="DX35" s="6">
        <f>SUMIF('Eredeti fejléccel'!$B:$B,'Felosztás eredménykim'!$B35,'Eredeti fejléccel'!$BW:$BW)</f>
        <v>0</v>
      </c>
      <c r="DY35" s="6">
        <f>SUMIF('Eredeti fejléccel'!$B:$B,'Felosztás eredménykim'!$B35,'Eredeti fejléccel'!$BX:$BX)</f>
        <v>0</v>
      </c>
      <c r="EA35" s="6"/>
      <c r="EC35" s="6"/>
      <c r="EE35" s="6">
        <f>SUMIF('Eredeti fejléccel'!$B:$B,'Felosztás eredménykim'!$B35,'Eredeti fejléccel'!$CA:$CA)</f>
        <v>0</v>
      </c>
      <c r="EF35" s="6">
        <f>SUMIF('Eredeti fejléccel'!$B:$B,'Felosztás eredménykim'!$B35,'Eredeti fejléccel'!$CB:$CB)</f>
        <v>0</v>
      </c>
      <c r="EG35" s="6">
        <f>SUMIF('Eredeti fejléccel'!$B:$B,'Felosztás eredménykim'!$B35,'Eredeti fejléccel'!$CC:$CC)</f>
        <v>0</v>
      </c>
      <c r="EH35" s="6">
        <f>SUMIF('Eredeti fejléccel'!$B:$B,'Felosztás eredménykim'!$B35,'Eredeti fejléccel'!$CD:$CD)</f>
        <v>0</v>
      </c>
      <c r="EK35" s="6">
        <f>SUMIF('Eredeti fejléccel'!$B:$B,'Felosztás eredménykim'!$B35,'Eredeti fejléccel'!$CE:$CE)</f>
        <v>0</v>
      </c>
      <c r="EN35" s="6">
        <f>SUMIF('Eredeti fejléccel'!$B:$B,'Felosztás eredménykim'!$B35,'Eredeti fejléccel'!$CF:$CF)</f>
        <v>0</v>
      </c>
      <c r="EP35" s="6">
        <f>SUMIF('Eredeti fejléccel'!$B:$B,'Felosztás eredménykim'!$B35,'Eredeti fejléccel'!$CG:$CG)</f>
        <v>0</v>
      </c>
      <c r="ES35" s="6">
        <f>SUMIF('Eredeti fejléccel'!$B:$B,'Felosztás eredménykim'!$B35,'Eredeti fejléccel'!$CH:$CH)</f>
        <v>0</v>
      </c>
      <c r="ET35" s="6">
        <f>SUMIF('Eredeti fejléccel'!$B:$B,'Felosztás eredménykim'!$B35,'Eredeti fejléccel'!$CI:$CI)</f>
        <v>0</v>
      </c>
      <c r="EW35" s="8">
        <f t="shared" si="22"/>
        <v>0</v>
      </c>
      <c r="EX35" s="8">
        <f t="shared" si="51"/>
        <v>0</v>
      </c>
      <c r="EY35" s="8">
        <f t="shared" si="52"/>
        <v>0</v>
      </c>
      <c r="EZ35" s="8">
        <f t="shared" si="23"/>
        <v>0</v>
      </c>
      <c r="FA35" s="8">
        <f t="shared" si="24"/>
        <v>0</v>
      </c>
      <c r="FC35" s="6">
        <f>SUMIF('Eredeti fejléccel'!$B:$B,'Felosztás eredménykim'!$B35,'Eredeti fejléccel'!$L:$L)</f>
        <v>0</v>
      </c>
      <c r="FD35" s="6">
        <f>SUMIF('Eredeti fejléccel'!$B:$B,'Felosztás eredménykim'!$B35,'Eredeti fejléccel'!$CJ:$CJ)</f>
        <v>0</v>
      </c>
      <c r="FE35" s="6">
        <f>SUMIF('Eredeti fejléccel'!$B:$B,'Felosztás eredménykim'!$B35,'Eredeti fejléccel'!$CL:$CL)</f>
        <v>0</v>
      </c>
      <c r="FG35" s="99">
        <f t="shared" si="53"/>
        <v>0</v>
      </c>
      <c r="FH35" s="6">
        <f>SUMIF('Eredeti fejléccel'!$B:$B,'Felosztás eredménykim'!$B35,'Eredeti fejléccel'!$CK:$CK)</f>
        <v>0</v>
      </c>
      <c r="FI35" s="36">
        <f t="shared" si="25"/>
        <v>0</v>
      </c>
      <c r="FJ35" s="101">
        <f t="shared" si="26"/>
        <v>0</v>
      </c>
      <c r="FK35" s="6">
        <f>SUMIF('Eredeti fejléccel'!$B:$B,'Felosztás eredménykim'!$B35,'Eredeti fejléccel'!$CM:$CM)</f>
        <v>0</v>
      </c>
      <c r="FL35" s="6">
        <f>SUMIF('Eredeti fejléccel'!$B:$B,'Felosztás eredménykim'!$B35,'Eredeti fejléccel'!$CN:$CN)</f>
        <v>0</v>
      </c>
      <c r="FM35" s="8">
        <f t="shared" si="54"/>
        <v>0</v>
      </c>
      <c r="FN35" s="36">
        <f t="shared" si="27"/>
        <v>0</v>
      </c>
      <c r="FO35" s="101">
        <f t="shared" si="28"/>
        <v>0</v>
      </c>
      <c r="FP35" s="6">
        <f>SUMIF('Eredeti fejléccel'!$B:$B,'Felosztás eredménykim'!$B35,'Eredeti fejléccel'!$CO:$CO)</f>
        <v>10150</v>
      </c>
      <c r="FQ35" s="6">
        <f>'Eredeti fejléccel'!CP35</f>
        <v>0</v>
      </c>
      <c r="FR35" s="6">
        <f>'Eredeti fejléccel'!CQ35</f>
        <v>0</v>
      </c>
      <c r="FS35" s="103">
        <f t="shared" si="55"/>
        <v>10150</v>
      </c>
      <c r="FT35" s="36">
        <f t="shared" si="29"/>
        <v>0</v>
      </c>
      <c r="FU35" s="101">
        <f t="shared" si="30"/>
        <v>0</v>
      </c>
      <c r="FV35" s="101"/>
      <c r="FW35" s="6">
        <f>SUMIF('Eredeti fejléccel'!$B:$B,'Felosztás eredménykim'!$B35,'Eredeti fejléccel'!$CR:$CR)</f>
        <v>211493</v>
      </c>
      <c r="FX35" s="6">
        <f>SUMIF('Eredeti fejléccel'!$B:$B,'Felosztás eredménykim'!$B35,'Eredeti fejléccel'!$CS:$CS)</f>
        <v>0</v>
      </c>
      <c r="FY35" s="6">
        <f>SUMIF('Eredeti fejléccel'!$B:$B,'Felosztás eredménykim'!$B35,'Eredeti fejléccel'!$CT:$CT)</f>
        <v>0</v>
      </c>
      <c r="FZ35" s="6">
        <f>SUMIF('Eredeti fejléccel'!$B:$B,'Felosztás eredménykim'!$B35,'Eredeti fejléccel'!$CU:$CU)</f>
        <v>0</v>
      </c>
      <c r="GA35" s="103">
        <f t="shared" si="56"/>
        <v>211493</v>
      </c>
      <c r="GB35" s="36">
        <f t="shared" si="31"/>
        <v>0</v>
      </c>
      <c r="GC35" s="101">
        <f t="shared" si="32"/>
        <v>0</v>
      </c>
      <c r="GD35" s="6">
        <f>SUMIF('Eredeti fejléccel'!$B:$B,'Felosztás eredménykim'!$B35,'Eredeti fejléccel'!$CV:$CV)</f>
        <v>137418</v>
      </c>
      <c r="GE35" s="6">
        <f>SUMIF('Eredeti fejléccel'!$B:$B,'Felosztás eredménykim'!$B35,'Eredeti fejléccel'!$CW:$CW)</f>
        <v>0</v>
      </c>
      <c r="GF35" s="103">
        <f t="shared" si="57"/>
        <v>137418</v>
      </c>
      <c r="GG35" s="36">
        <f t="shared" si="33"/>
        <v>0</v>
      </c>
      <c r="GM35" s="6">
        <f>SUMIF('Eredeti fejléccel'!$B:$B,'Felosztás eredménykim'!$B35,'Eredeti fejléccel'!$CX:$CX)</f>
        <v>0</v>
      </c>
      <c r="GN35" s="6">
        <f>SUMIF('Eredeti fejléccel'!$B:$B,'Felosztás eredménykim'!$B35,'Eredeti fejléccel'!$CY:$CY)</f>
        <v>0</v>
      </c>
      <c r="GO35" s="6">
        <f>SUMIF('Eredeti fejléccel'!$B:$B,'Felosztás eredménykim'!$B35,'Eredeti fejléccel'!$CZ:$CZ)</f>
        <v>0</v>
      </c>
      <c r="GP35" s="6">
        <f>SUMIF('Eredeti fejléccel'!$B:$B,'Felosztás eredménykim'!$B35,'Eredeti fejléccel'!$DA:$DA)</f>
        <v>0</v>
      </c>
      <c r="GQ35" s="6">
        <f>SUMIF('Eredeti fejléccel'!$B:$B,'Felosztás eredménykim'!$B35,'Eredeti fejléccel'!$DB:$DB)</f>
        <v>0</v>
      </c>
      <c r="GR35" s="103">
        <f t="shared" si="58"/>
        <v>0</v>
      </c>
      <c r="GW35" s="36">
        <f t="shared" si="34"/>
        <v>0</v>
      </c>
      <c r="GX35" s="6">
        <f>SUMIF('Eredeti fejléccel'!$B:$B,'Felosztás eredménykim'!$B35,'Eredeti fejléccel'!$M:$M)</f>
        <v>0</v>
      </c>
      <c r="GY35" s="6">
        <f>SUMIF('Eredeti fejléccel'!$B:$B,'Felosztás eredménykim'!$B35,'Eredeti fejléccel'!$DC:$DC)</f>
        <v>46441</v>
      </c>
      <c r="GZ35" s="6">
        <f>SUMIF('Eredeti fejléccel'!$B:$B,'Felosztás eredménykim'!$B35,'Eredeti fejléccel'!$DD:$DD)</f>
        <v>0</v>
      </c>
      <c r="HA35" s="6">
        <f>SUMIF('Eredeti fejléccel'!$B:$B,'Felosztás eredménykim'!$B35,'Eredeti fejléccel'!$DE:$DE)</f>
        <v>0</v>
      </c>
      <c r="HB35" s="103">
        <f t="shared" si="59"/>
        <v>46441</v>
      </c>
      <c r="HD35" s="9">
        <f t="shared" si="35"/>
        <v>405502</v>
      </c>
      <c r="HE35" s="9">
        <v>405502</v>
      </c>
      <c r="HF35" s="476"/>
      <c r="HH35" s="34">
        <f t="shared" si="60"/>
        <v>0</v>
      </c>
    </row>
    <row r="36" spans="1:216" x14ac:dyDescent="0.25">
      <c r="A36" s="4" t="s">
        <v>103</v>
      </c>
      <c r="B36" s="4" t="s">
        <v>103</v>
      </c>
      <c r="C36" s="1" t="s">
        <v>104</v>
      </c>
      <c r="D36" s="6">
        <f>SUMIF('Eredeti fejléccel'!$B:$B,'Felosztás eredménykim'!$B36,'Eredeti fejléccel'!$D:$D)</f>
        <v>0</v>
      </c>
      <c r="E36" s="6">
        <f>SUMIF('Eredeti fejléccel'!$B:$B,'Felosztás eredménykim'!$B36,'Eredeti fejléccel'!$E:$E)</f>
        <v>34749.75</v>
      </c>
      <c r="F36" s="6">
        <f>SUMIF('Eredeti fejléccel'!$B:$B,'Felosztás eredménykim'!$B36,'Eredeti fejléccel'!$F:$F)</f>
        <v>-1.1641532182693481E-10</v>
      </c>
      <c r="G36" s="6">
        <f>SUMIF('Eredeti fejléccel'!$B:$B,'Felosztás eredménykim'!$B36,'Eredeti fejléccel'!$G:$G)</f>
        <v>198375</v>
      </c>
      <c r="H36" s="6"/>
      <c r="I36" s="6">
        <f>SUMIF('Eredeti fejléccel'!$B:$B,'Felosztás eredménykim'!$B36,'Eredeti fejléccel'!$O:$O)</f>
        <v>14892.75</v>
      </c>
      <c r="J36" s="6">
        <f>SUMIF('Eredeti fejléccel'!$B:$B,'Felosztás eredménykim'!$B36,'Eredeti fejléccel'!$P:$P)</f>
        <v>0</v>
      </c>
      <c r="K36" s="6">
        <f>SUMIF('Eredeti fejléccel'!$B:$B,'Felosztás eredménykim'!$B36,'Eredeti fejléccel'!$Q:$Q)</f>
        <v>0</v>
      </c>
      <c r="L36" s="6">
        <f>SUMIF('Eredeti fejléccel'!$B:$B,'Felosztás eredménykim'!$B36,'Eredeti fejléccel'!$R:$R)</f>
        <v>26450</v>
      </c>
      <c r="M36" s="6">
        <f>SUMIF('Eredeti fejléccel'!$B:$B,'Felosztás eredménykim'!$B36,'Eredeti fejléccel'!$T:$T)</f>
        <v>0</v>
      </c>
      <c r="N36" s="6">
        <f>SUMIF('Eredeti fejléccel'!$B:$B,'Felosztás eredménykim'!$B36,'Eredeti fejléccel'!$U:$U)</f>
        <v>0</v>
      </c>
      <c r="O36" s="6">
        <f>SUMIF('Eredeti fejléccel'!$B:$B,'Felosztás eredménykim'!$B36,'Eredeti fejléccel'!$V:$V)</f>
        <v>64535.25</v>
      </c>
      <c r="P36" s="6">
        <f>SUMIF('Eredeti fejléccel'!$B:$B,'Felosztás eredménykim'!$B36,'Eredeti fejléccel'!$W:$W)</f>
        <v>0</v>
      </c>
      <c r="Q36" s="6">
        <f>SUMIF('Eredeti fejléccel'!$B:$B,'Felosztás eredménykim'!$B36,'Eredeti fejléccel'!$X:$X)</f>
        <v>0</v>
      </c>
      <c r="R36" s="6">
        <f>SUMIF('Eredeti fejléccel'!$B:$B,'Felosztás eredménykim'!$B36,'Eredeti fejléccel'!$Y:$Y)</f>
        <v>0</v>
      </c>
      <c r="S36" s="6">
        <f>SUMIF('Eredeti fejléccel'!$B:$B,'Felosztás eredménykim'!$B36,'Eredeti fejléccel'!$Z:$Z)</f>
        <v>0</v>
      </c>
      <c r="T36" s="6">
        <f>SUMIF('Eredeti fejléccel'!$B:$B,'Felosztás eredménykim'!$B36,'Eredeti fejléccel'!$AA:$AA)</f>
        <v>0</v>
      </c>
      <c r="U36" s="6">
        <f>SUMIF('Eredeti fejléccel'!$B:$B,'Felosztás eredménykim'!$B36,'Eredeti fejléccel'!$D:$D)</f>
        <v>0</v>
      </c>
      <c r="V36" s="6">
        <f>SUMIF('Eredeti fejléccel'!$B:$B,'Felosztás eredménykim'!$B36,'Eredeti fejléccel'!$AT:$AT)</f>
        <v>0</v>
      </c>
      <c r="X36" s="36">
        <f t="shared" si="0"/>
        <v>339002.74999999988</v>
      </c>
      <c r="Z36" s="6">
        <f>SUMIF('Eredeti fejléccel'!$B:$B,'Felosztás eredménykim'!$B36,'Eredeti fejléccel'!$K:$K)</f>
        <v>24821.25</v>
      </c>
      <c r="AB36" s="6">
        <f>SUMIF('Eredeti fejléccel'!$B:$B,'Felosztás eredménykim'!$B36,'Eredeti fejléccel'!$AB:$AB)</f>
        <v>0</v>
      </c>
      <c r="AC36" s="6">
        <f>SUMIF('Eredeti fejléccel'!$B:$B,'Felosztás eredménykim'!$B36,'Eredeti fejléccel'!$AQ:$AQ)</f>
        <v>0</v>
      </c>
      <c r="AE36" s="73">
        <f t="shared" si="1"/>
        <v>24821.25</v>
      </c>
      <c r="AF36" s="36">
        <f t="shared" si="2"/>
        <v>40441.211540328492</v>
      </c>
      <c r="AG36" s="8">
        <f t="shared" si="3"/>
        <v>7914.1182586530704</v>
      </c>
      <c r="AI36" s="6">
        <f>SUMIF('Eredeti fejléccel'!$B:$B,'Felosztás eredménykim'!$B36,'Eredeti fejléccel'!$BB:$BB)</f>
        <v>61893</v>
      </c>
      <c r="AJ36" s="6">
        <f>SUMIF('Eredeti fejléccel'!$B:$B,'Felosztás eredménykim'!$B36,'Eredeti fejléccel'!$AF:$AF)</f>
        <v>0</v>
      </c>
      <c r="AK36" s="8">
        <f t="shared" si="4"/>
        <v>69807.118258653063</v>
      </c>
      <c r="AL36" s="36">
        <f t="shared" si="5"/>
        <v>16063.045032568065</v>
      </c>
      <c r="AM36" s="8">
        <f t="shared" si="6"/>
        <v>3143.4478132546278</v>
      </c>
      <c r="AN36" s="6">
        <f t="shared" si="36"/>
        <v>-4964.25</v>
      </c>
      <c r="AO36" s="6">
        <f>SUMIF('Eredeti fejléccel'!$B:$B,'Felosztás eredménykim'!$B36,'Eredeti fejléccel'!$AC:$AC)</f>
        <v>9928.5</v>
      </c>
      <c r="AP36" s="6">
        <f>SUMIF('Eredeti fejléccel'!$B:$B,'Felosztás eredménykim'!$B36,'Eredeti fejléccel'!$AD:$AD)</f>
        <v>0</v>
      </c>
      <c r="AQ36" s="6">
        <f>SUMIF('Eredeti fejléccel'!$B:$B,'Felosztás eredménykim'!$B36,'Eredeti fejléccel'!$AE:$AE)</f>
        <v>0</v>
      </c>
      <c r="AR36" s="6">
        <f>SUMIF('Eredeti fejléccel'!$B:$B,'Felosztás eredménykim'!$B36,'Eredeti fejléccel'!$AG:$AG)</f>
        <v>66125</v>
      </c>
      <c r="AS36" s="6">
        <f t="shared" si="37"/>
        <v>74232.697813254636</v>
      </c>
      <c r="AT36" s="36">
        <f t="shared" si="7"/>
        <v>26091.104219566772</v>
      </c>
      <c r="AU36" s="8">
        <f t="shared" si="8"/>
        <v>5105.8827475181097</v>
      </c>
      <c r="AV36" s="6">
        <f>SUMIF('Eredeti fejléccel'!$B:$B,'Felosztás eredménykim'!$B36,'Eredeti fejléccel'!$AI:$AI)</f>
        <v>0</v>
      </c>
      <c r="AW36" s="6">
        <f>SUMIF('Eredeti fejléccel'!$B:$B,'Felosztás eredménykim'!$B36,'Eredeti fejléccel'!$AJ:$AJ)</f>
        <v>9928.5</v>
      </c>
      <c r="AX36" s="6">
        <f>SUMIF('Eredeti fejléccel'!$B:$B,'Felosztás eredménykim'!$B36,'Eredeti fejléccel'!$AK:$AK)</f>
        <v>64535.25</v>
      </c>
      <c r="AY36" s="6">
        <f>SUMIF('Eredeti fejléccel'!$B:$B,'Felosztás eredménykim'!$B36,'Eredeti fejléccel'!$AL:$AL)</f>
        <v>24821.25</v>
      </c>
      <c r="AZ36" s="6">
        <f>SUMIF('Eredeti fejléccel'!$B:$B,'Felosztás eredménykim'!$B36,'Eredeti fejléccel'!$AM:$AM)</f>
        <v>44678.25</v>
      </c>
      <c r="BA36" s="6">
        <f>SUMIF('Eredeti fejléccel'!$B:$B,'Felosztás eredménykim'!$B36,'Eredeti fejléccel'!$AN:$AN)</f>
        <v>0</v>
      </c>
      <c r="BB36" s="6">
        <f>SUMIF('Eredeti fejléccel'!$B:$B,'Felosztás eredménykim'!$B36,'Eredeti fejléccel'!$AP:$AP)</f>
        <v>0</v>
      </c>
      <c r="BD36" s="6">
        <f>SUMIF('Eredeti fejléccel'!$B:$B,'Felosztás eredménykim'!$B36,'Eredeti fejléccel'!$AS:$AS)</f>
        <v>0</v>
      </c>
      <c r="BE36" s="8">
        <f t="shared" si="38"/>
        <v>149069.1327475181</v>
      </c>
      <c r="BF36" s="36">
        <f t="shared" si="9"/>
        <v>6806.3750138000269</v>
      </c>
      <c r="BG36" s="8">
        <f t="shared" si="10"/>
        <v>1331.9694123960287</v>
      </c>
      <c r="BH36" s="6">
        <f t="shared" si="39"/>
        <v>4964.25</v>
      </c>
      <c r="BI36" s="6">
        <f>SUMIF('Eredeti fejléccel'!$B:$B,'Felosztás eredménykim'!$B36,'Eredeti fejléccel'!$AH:$AH)</f>
        <v>44678.25</v>
      </c>
      <c r="BJ36" s="6">
        <f>SUMIF('Eredeti fejléccel'!$B:$B,'Felosztás eredménykim'!$B36,'Eredeti fejléccel'!$AO:$AO)</f>
        <v>0</v>
      </c>
      <c r="BK36" s="6">
        <f>SUMIF('Eredeti fejléccel'!$B:$B,'Felosztás eredménykim'!$B36,'Eredeti fejléccel'!$BF:$BF)</f>
        <v>0</v>
      </c>
      <c r="BL36" s="8">
        <f t="shared" si="40"/>
        <v>50974.469412396029</v>
      </c>
      <c r="BM36" s="36">
        <f t="shared" si="11"/>
        <v>25501.218385037439</v>
      </c>
      <c r="BN36" s="8">
        <f t="shared" si="12"/>
        <v>4990.4453984437878</v>
      </c>
      <c r="BP36" s="8">
        <f t="shared" si="41"/>
        <v>0</v>
      </c>
      <c r="BQ36" s="6">
        <f>SUMIF('Eredeti fejléccel'!$B:$B,'Felosztás eredménykim'!$B36,'Eredeti fejléccel'!$N:$N)</f>
        <v>0</v>
      </c>
      <c r="BR36" s="6">
        <f>SUMIF('Eredeti fejléccel'!$B:$B,'Felosztás eredménykim'!$B36,'Eredeti fejléccel'!$S:$S)</f>
        <v>0</v>
      </c>
      <c r="BT36" s="6">
        <f>SUMIF('Eredeti fejléccel'!$B:$B,'Felosztás eredménykim'!$B36,'Eredeti fejléccel'!$AR:$AR)</f>
        <v>0</v>
      </c>
      <c r="BU36" s="6">
        <f>SUMIF('Eredeti fejléccel'!$B:$B,'Felosztás eredménykim'!$B36,'Eredeti fejléccel'!$AU:$AU)</f>
        <v>0</v>
      </c>
      <c r="BV36" s="6">
        <f>SUMIF('Eredeti fejléccel'!$B:$B,'Felosztás eredménykim'!$B36,'Eredeti fejléccel'!$AV:$AV)</f>
        <v>0</v>
      </c>
      <c r="BW36" s="6">
        <f>SUMIF('Eredeti fejléccel'!$B:$B,'Felosztás eredménykim'!$B36,'Eredeti fejléccel'!$AW:$AW)</f>
        <v>0</v>
      </c>
      <c r="BX36" s="6">
        <f>SUMIF('Eredeti fejléccel'!$B:$B,'Felosztás eredménykim'!$B36,'Eredeti fejléccel'!$AX:$AX)</f>
        <v>0</v>
      </c>
      <c r="BY36" s="6">
        <f>SUMIF('Eredeti fejléccel'!$B:$B,'Felosztás eredménykim'!$B36,'Eredeti fejléccel'!$AY:$AY)</f>
        <v>0</v>
      </c>
      <c r="BZ36" s="6">
        <f>SUMIF('Eredeti fejléccel'!$B:$B,'Felosztás eredménykim'!$B36,'Eredeti fejléccel'!$AZ:$AZ)</f>
        <v>0</v>
      </c>
      <c r="CA36" s="6">
        <f>SUMIF('Eredeti fejléccel'!$B:$B,'Felosztás eredménykim'!$B36,'Eredeti fejléccel'!$BA:$BA)</f>
        <v>57171</v>
      </c>
      <c r="CB36" s="6">
        <f t="shared" si="13"/>
        <v>62161.445398443786</v>
      </c>
      <c r="CC36" s="36">
        <f t="shared" si="14"/>
        <v>6942.5025140760281</v>
      </c>
      <c r="CD36" s="8">
        <f t="shared" si="15"/>
        <v>1358.6088006439493</v>
      </c>
      <c r="CE36" s="6">
        <f>SUMIF('Eredeti fejléccel'!$B:$B,'Felosztás eredménykim'!$B36,'Eredeti fejléccel'!$BC:$BC)</f>
        <v>9928.5</v>
      </c>
      <c r="CF36" s="8">
        <f t="shared" si="42"/>
        <v>-4964.25</v>
      </c>
      <c r="CG36" s="6">
        <f>SUMIF('Eredeti fejléccel'!$B:$B,'Felosztás eredménykim'!$B36,'Eredeti fejléccel'!$H:$H)</f>
        <v>0</v>
      </c>
      <c r="CH36" s="6">
        <f>SUMIF('Eredeti fejléccel'!$B:$B,'Felosztás eredménykim'!$B36,'Eredeti fejléccel'!$BE:$BE)</f>
        <v>69499.5</v>
      </c>
      <c r="CI36" s="6">
        <f t="shared" si="43"/>
        <v>75822.358800643953</v>
      </c>
      <c r="CJ36" s="36">
        <f t="shared" si="16"/>
        <v>4991.3416767866875</v>
      </c>
      <c r="CK36" s="8">
        <f t="shared" si="17"/>
        <v>976.77756909042114</v>
      </c>
      <c r="CL36" s="8">
        <f t="shared" si="44"/>
        <v>4964.25</v>
      </c>
      <c r="CM36" s="6">
        <f>SUMIF('Eredeti fejléccel'!$B:$B,'Felosztás eredménykim'!$B36,'Eredeti fejléccel'!$BD:$BD)</f>
        <v>39714</v>
      </c>
      <c r="CN36" s="8">
        <f t="shared" si="45"/>
        <v>45655.027569090424</v>
      </c>
      <c r="CO36" s="8">
        <f t="shared" si="18"/>
        <v>654559.04838216351</v>
      </c>
      <c r="CR36" s="36">
        <f t="shared" si="19"/>
        <v>29981.988224404366</v>
      </c>
      <c r="CS36" s="6">
        <f>SUMIF('Eredeti fejléccel'!$B:$B,'Felosztás eredménykim'!$B36,'Eredeti fejléccel'!$I:$I)</f>
        <v>0</v>
      </c>
      <c r="CT36" s="6">
        <f>SUMIF('Eredeti fejléccel'!$B:$B,'Felosztás eredménykim'!$B36,'Eredeti fejléccel'!$BG:$BG)</f>
        <v>0</v>
      </c>
      <c r="CU36" s="6">
        <f>SUMIF('Eredeti fejléccel'!$B:$B,'Felosztás eredménykim'!$B36,'Eredeti fejléccel'!$BH:$BH)</f>
        <v>0</v>
      </c>
      <c r="CV36" s="6">
        <f>SUMIF('Eredeti fejléccel'!$B:$B,'Felosztás eredménykim'!$B36,'Eredeti fejléccel'!$BI:$BI)</f>
        <v>0</v>
      </c>
      <c r="CW36" s="6">
        <f>SUMIF('Eredeti fejléccel'!$B:$B,'Felosztás eredménykim'!$B36,'Eredeti fejléccel'!$BL:$BL)</f>
        <v>184092</v>
      </c>
      <c r="CX36" s="6">
        <f t="shared" si="46"/>
        <v>184092</v>
      </c>
      <c r="CY36" s="6">
        <f>SUMIF('Eredeti fejléccel'!$B:$B,'Felosztás eredménykim'!$B36,'Eredeti fejléccel'!$BJ:$BJ)</f>
        <v>27508</v>
      </c>
      <c r="CZ36" s="6">
        <f>SUMIF('Eredeti fejléccel'!$B:$B,'Felosztás eredménykim'!$B36,'Eredeti fejléccel'!$BK:$BK)</f>
        <v>0</v>
      </c>
      <c r="DA36" s="99">
        <f t="shared" si="47"/>
        <v>211600</v>
      </c>
      <c r="DC36" s="36">
        <f t="shared" si="20"/>
        <v>26260.161509980677</v>
      </c>
      <c r="DD36" s="6">
        <f>SUMIF('Eredeti fejléccel'!$B:$B,'Felosztás eredménykim'!$B36,'Eredeti fejléccel'!$J:$J)</f>
        <v>0</v>
      </c>
      <c r="DE36" s="6">
        <f>SUMIF('Eredeti fejléccel'!$B:$B,'Felosztás eredménykim'!$B36,'Eredeti fejléccel'!$BM:$BM)</f>
        <v>26450</v>
      </c>
      <c r="DF36" s="6">
        <f t="shared" si="48"/>
        <v>0</v>
      </c>
      <c r="DG36" s="8">
        <f t="shared" si="21"/>
        <v>0</v>
      </c>
      <c r="DH36" s="8">
        <f t="shared" si="49"/>
        <v>26450</v>
      </c>
      <c r="DJ36" s="6">
        <f>SUMIF('Eredeti fejléccel'!$B:$B,'Felosztás eredménykim'!$B36,'Eredeti fejléccel'!$BN:$BN)</f>
        <v>0</v>
      </c>
      <c r="DK36" s="6">
        <f>SUMIF('Eredeti fejléccel'!$B:$B,'Felosztás eredménykim'!$B36,'Eredeti fejléccel'!$BZ:$BZ)</f>
        <v>0</v>
      </c>
      <c r="DL36" s="8">
        <f t="shared" si="50"/>
        <v>0</v>
      </c>
      <c r="DM36" s="6">
        <f>SUMIF('Eredeti fejléccel'!$B:$B,'Felosztás eredménykim'!$B36,'Eredeti fejléccel'!$BR:$BR)</f>
        <v>0</v>
      </c>
      <c r="DN36" s="6">
        <f>SUMIF('Eredeti fejléccel'!$B:$B,'Felosztás eredménykim'!$B36,'Eredeti fejléccel'!$BS:$BS)</f>
        <v>0</v>
      </c>
      <c r="DO36" s="6">
        <f>SUMIF('Eredeti fejléccel'!$B:$B,'Felosztás eredménykim'!$B36,'Eredeti fejléccel'!$BO:$BO)</f>
        <v>0</v>
      </c>
      <c r="DP36" s="6">
        <f>SUMIF('Eredeti fejléccel'!$B:$B,'Felosztás eredménykim'!$B36,'Eredeti fejléccel'!$BP:$BP)</f>
        <v>0</v>
      </c>
      <c r="DQ36" s="6">
        <f>SUMIF('Eredeti fejléccel'!$B:$B,'Felosztás eredménykim'!$B36,'Eredeti fejléccel'!$BQ:$BQ)</f>
        <v>0</v>
      </c>
      <c r="DS36" s="8"/>
      <c r="DU36" s="6">
        <f>SUMIF('Eredeti fejléccel'!$B:$B,'Felosztás eredménykim'!$B36,'Eredeti fejléccel'!$BT:$BT)</f>
        <v>0</v>
      </c>
      <c r="DV36" s="6">
        <f>SUMIF('Eredeti fejléccel'!$B:$B,'Felosztás eredménykim'!$B36,'Eredeti fejléccel'!$BU:$BU)</f>
        <v>0</v>
      </c>
      <c r="DW36" s="6">
        <f>SUMIF('Eredeti fejléccel'!$B:$B,'Felosztás eredménykim'!$B36,'Eredeti fejléccel'!$BV:$BV)</f>
        <v>0</v>
      </c>
      <c r="DX36" s="6">
        <f>SUMIF('Eredeti fejléccel'!$B:$B,'Felosztás eredménykim'!$B36,'Eredeti fejléccel'!$BW:$BW)</f>
        <v>0</v>
      </c>
      <c r="DY36" s="6">
        <f>SUMIF('Eredeti fejléccel'!$B:$B,'Felosztás eredménykim'!$B36,'Eredeti fejléccel'!$BX:$BX)</f>
        <v>0</v>
      </c>
      <c r="EA36" s="6"/>
      <c r="EC36" s="6"/>
      <c r="EE36" s="6">
        <f>SUMIF('Eredeti fejléccel'!$B:$B,'Felosztás eredménykim'!$B36,'Eredeti fejléccel'!$CA:$CA)</f>
        <v>0</v>
      </c>
      <c r="EF36" s="6">
        <f>SUMIF('Eredeti fejléccel'!$B:$B,'Felosztás eredménykim'!$B36,'Eredeti fejléccel'!$CB:$CB)</f>
        <v>0</v>
      </c>
      <c r="EG36" s="6">
        <f>SUMIF('Eredeti fejléccel'!$B:$B,'Felosztás eredménykim'!$B36,'Eredeti fejléccel'!$CC:$CC)</f>
        <v>0</v>
      </c>
      <c r="EH36" s="6">
        <f>SUMIF('Eredeti fejléccel'!$B:$B,'Felosztás eredménykim'!$B36,'Eredeti fejléccel'!$CD:$CD)</f>
        <v>0</v>
      </c>
      <c r="EK36" s="6">
        <f>SUMIF('Eredeti fejléccel'!$B:$B,'Felosztás eredménykim'!$B36,'Eredeti fejléccel'!$CE:$CE)</f>
        <v>0</v>
      </c>
      <c r="EN36" s="6">
        <f>SUMIF('Eredeti fejléccel'!$B:$B,'Felosztás eredménykim'!$B36,'Eredeti fejléccel'!$CF:$CF)</f>
        <v>0</v>
      </c>
      <c r="EP36" s="6">
        <f>SUMIF('Eredeti fejléccel'!$B:$B,'Felosztás eredménykim'!$B36,'Eredeti fejléccel'!$CG:$CG)</f>
        <v>0</v>
      </c>
      <c r="ES36" s="6">
        <f>SUMIF('Eredeti fejléccel'!$B:$B,'Felosztás eredménykim'!$B36,'Eredeti fejléccel'!$CH:$CH)</f>
        <v>0</v>
      </c>
      <c r="ET36" s="6">
        <f>SUMIF('Eredeti fejléccel'!$B:$B,'Felosztás eredménykim'!$B36,'Eredeti fejléccel'!$CI:$CI)</f>
        <v>0</v>
      </c>
      <c r="EW36" s="8">
        <f t="shared" si="22"/>
        <v>0</v>
      </c>
      <c r="EX36" s="8">
        <f t="shared" si="51"/>
        <v>0</v>
      </c>
      <c r="EY36" s="8">
        <f t="shared" si="52"/>
        <v>26450</v>
      </c>
      <c r="EZ36" s="8">
        <f t="shared" si="23"/>
        <v>26450</v>
      </c>
      <c r="FA36" s="8">
        <f t="shared" si="24"/>
        <v>26450</v>
      </c>
      <c r="FC36" s="6">
        <f>SUMIF('Eredeti fejléccel'!$B:$B,'Felosztás eredménykim'!$B36,'Eredeti fejléccel'!$L:$L)</f>
        <v>0</v>
      </c>
      <c r="FD36" s="6">
        <f>SUMIF('Eredeti fejléccel'!$B:$B,'Felosztás eredménykim'!$B36,'Eredeti fejléccel'!$CJ:$CJ)</f>
        <v>0</v>
      </c>
      <c r="FE36" s="6">
        <f>SUMIF('Eredeti fejléccel'!$B:$B,'Felosztás eredménykim'!$B36,'Eredeti fejléccel'!$CL:$CL)</f>
        <v>0</v>
      </c>
      <c r="FG36" s="99">
        <f t="shared" si="53"/>
        <v>0</v>
      </c>
      <c r="FH36" s="6">
        <f>SUMIF('Eredeti fejléccel'!$B:$B,'Felosztás eredménykim'!$B36,'Eredeti fejléccel'!$CK:$CK)</f>
        <v>0</v>
      </c>
      <c r="FI36" s="36">
        <f t="shared" si="25"/>
        <v>30896.744244793619</v>
      </c>
      <c r="FJ36" s="101">
        <f t="shared" si="26"/>
        <v>0</v>
      </c>
      <c r="FK36" s="6">
        <f>SUMIF('Eredeti fejléccel'!$B:$B,'Felosztás eredménykim'!$B36,'Eredeti fejléccel'!$CM:$CM)</f>
        <v>0</v>
      </c>
      <c r="FL36" s="6">
        <f>SUMIF('Eredeti fejléccel'!$B:$B,'Felosztás eredménykim'!$B36,'Eredeti fejléccel'!$CN:$CN)</f>
        <v>0</v>
      </c>
      <c r="FM36" s="8">
        <f t="shared" si="54"/>
        <v>0</v>
      </c>
      <c r="FN36" s="36">
        <f t="shared" si="27"/>
        <v>26267.301341180726</v>
      </c>
      <c r="FO36" s="101">
        <f t="shared" si="28"/>
        <v>0</v>
      </c>
      <c r="FP36" s="6">
        <f>SUMIF('Eredeti fejléccel'!$B:$B,'Felosztás eredménykim'!$B36,'Eredeti fejléccel'!$CO:$CO)</f>
        <v>54800</v>
      </c>
      <c r="FQ36" s="6">
        <f>'Eredeti fejléccel'!CP36</f>
        <v>0</v>
      </c>
      <c r="FR36" s="6">
        <f>'Eredeti fejléccel'!CQ36</f>
        <v>0</v>
      </c>
      <c r="FS36" s="103">
        <f t="shared" si="55"/>
        <v>54800</v>
      </c>
      <c r="FT36" s="36">
        <f t="shared" si="29"/>
        <v>72505.411120574761</v>
      </c>
      <c r="FU36" s="101">
        <f t="shared" si="30"/>
        <v>0</v>
      </c>
      <c r="FV36" s="101"/>
      <c r="FW36" s="6">
        <f>SUMIF('Eredeti fejléccel'!$B:$B,'Felosztás eredménykim'!$B36,'Eredeti fejléccel'!$CR:$CR)</f>
        <v>39675</v>
      </c>
      <c r="FX36" s="6">
        <f>SUMIF('Eredeti fejléccel'!$B:$B,'Felosztás eredménykim'!$B36,'Eredeti fejléccel'!$CS:$CS)</f>
        <v>0</v>
      </c>
      <c r="FY36" s="6">
        <f>SUMIF('Eredeti fejléccel'!$B:$B,'Felosztás eredménykim'!$B36,'Eredeti fejléccel'!$CT:$CT)</f>
        <v>0</v>
      </c>
      <c r="FZ36" s="6">
        <f>SUMIF('Eredeti fejléccel'!$B:$B,'Felosztás eredménykim'!$B36,'Eredeti fejléccel'!$CU:$CU)</f>
        <v>0</v>
      </c>
      <c r="GA36" s="103">
        <f t="shared" si="56"/>
        <v>39675</v>
      </c>
      <c r="GB36" s="36">
        <f t="shared" si="31"/>
        <v>9664.3844557174361</v>
      </c>
      <c r="GC36" s="101">
        <f t="shared" si="32"/>
        <v>0</v>
      </c>
      <c r="GD36" s="6">
        <f>SUMIF('Eredeti fejléccel'!$B:$B,'Felosztás eredménykim'!$B36,'Eredeti fejléccel'!$CV:$CV)</f>
        <v>0</v>
      </c>
      <c r="GE36" s="6">
        <f>SUMIF('Eredeti fejléccel'!$B:$B,'Felosztás eredménykim'!$B36,'Eredeti fejléccel'!$CW:$CW)</f>
        <v>0</v>
      </c>
      <c r="GF36" s="103">
        <f t="shared" si="57"/>
        <v>0</v>
      </c>
      <c r="GG36" s="36">
        <f t="shared" si="33"/>
        <v>0</v>
      </c>
      <c r="GM36" s="6">
        <f>SUMIF('Eredeti fejléccel'!$B:$B,'Felosztás eredménykim'!$B36,'Eredeti fejléccel'!$CX:$CX)</f>
        <v>0</v>
      </c>
      <c r="GN36" s="6">
        <f>SUMIF('Eredeti fejléccel'!$B:$B,'Felosztás eredménykim'!$B36,'Eredeti fejléccel'!$CY:$CY)</f>
        <v>0</v>
      </c>
      <c r="GO36" s="6">
        <f>SUMIF('Eredeti fejléccel'!$B:$B,'Felosztás eredménykim'!$B36,'Eredeti fejléccel'!$CZ:$CZ)</f>
        <v>0</v>
      </c>
      <c r="GP36" s="6">
        <f>SUMIF('Eredeti fejléccel'!$B:$B,'Felosztás eredménykim'!$B36,'Eredeti fejléccel'!$DA:$DA)</f>
        <v>0</v>
      </c>
      <c r="GQ36" s="6">
        <f>SUMIF('Eredeti fejléccel'!$B:$B,'Felosztás eredménykim'!$B36,'Eredeti fejléccel'!$DB:$DB)</f>
        <v>0</v>
      </c>
      <c r="GR36" s="103">
        <f t="shared" si="58"/>
        <v>0</v>
      </c>
      <c r="GW36" s="36">
        <f t="shared" si="34"/>
        <v>16589.960721184798</v>
      </c>
      <c r="GX36" s="6">
        <f>SUMIF('Eredeti fejléccel'!$B:$B,'Felosztás eredménykim'!$B36,'Eredeti fejléccel'!$M:$M)</f>
        <v>0</v>
      </c>
      <c r="GY36" s="6">
        <f>SUMIF('Eredeti fejléccel'!$B:$B,'Felosztás eredménykim'!$B36,'Eredeti fejléccel'!$DC:$DC)</f>
        <v>52900</v>
      </c>
      <c r="GZ36" s="6">
        <f>SUMIF('Eredeti fejléccel'!$B:$B,'Felosztás eredménykim'!$B36,'Eredeti fejléccel'!$DD:$DD)</f>
        <v>0</v>
      </c>
      <c r="HA36" s="6">
        <f>SUMIF('Eredeti fejléccel'!$B:$B,'Felosztás eredménykim'!$B36,'Eredeti fejléccel'!$DE:$DE)</f>
        <v>0</v>
      </c>
      <c r="HB36" s="103">
        <f t="shared" si="59"/>
        <v>52900</v>
      </c>
      <c r="HD36" s="9">
        <f t="shared" si="35"/>
        <v>1252149.9999999998</v>
      </c>
      <c r="HE36" s="9">
        <v>1252150</v>
      </c>
      <c r="HF36" s="476"/>
      <c r="HH36" s="34">
        <f t="shared" si="60"/>
        <v>0</v>
      </c>
    </row>
    <row r="37" spans="1:216" x14ac:dyDescent="0.25">
      <c r="A37" s="4" t="s">
        <v>105</v>
      </c>
      <c r="B37" s="4" t="s">
        <v>105</v>
      </c>
      <c r="C37" s="1" t="s">
        <v>106</v>
      </c>
      <c r="D37" s="6">
        <f>SUMIF('Eredeti fejléccel'!$B:$B,'Felosztás eredménykim'!$B37,'Eredeti fejléccel'!$D:$D)</f>
        <v>0</v>
      </c>
      <c r="E37" s="6">
        <f>SUMIF('Eredeti fejléccel'!$B:$B,'Felosztás eredménykim'!$B37,'Eredeti fejléccel'!$E:$E)</f>
        <v>0</v>
      </c>
      <c r="F37" s="6">
        <f>SUMIF('Eredeti fejléccel'!$B:$B,'Felosztás eredménykim'!$B37,'Eredeti fejléccel'!$F:$F)</f>
        <v>0</v>
      </c>
      <c r="G37" s="6">
        <f>SUMIF('Eredeti fejléccel'!$B:$B,'Felosztás eredménykim'!$B37,'Eredeti fejléccel'!$G:$G)</f>
        <v>0</v>
      </c>
      <c r="H37" s="6"/>
      <c r="I37" s="6">
        <f>SUMIF('Eredeti fejléccel'!$B:$B,'Felosztás eredménykim'!$B37,'Eredeti fejléccel'!$O:$O)</f>
        <v>0</v>
      </c>
      <c r="J37" s="6">
        <f>SUMIF('Eredeti fejléccel'!$B:$B,'Felosztás eredménykim'!$B37,'Eredeti fejléccel'!$P:$P)</f>
        <v>0</v>
      </c>
      <c r="K37" s="6">
        <f>SUMIF('Eredeti fejléccel'!$B:$B,'Felosztás eredménykim'!$B37,'Eredeti fejléccel'!$Q:$Q)</f>
        <v>0</v>
      </c>
      <c r="L37" s="6">
        <f>SUMIF('Eredeti fejléccel'!$B:$B,'Felosztás eredménykim'!$B37,'Eredeti fejléccel'!$R:$R)</f>
        <v>0</v>
      </c>
      <c r="M37" s="6">
        <f>SUMIF('Eredeti fejléccel'!$B:$B,'Felosztás eredménykim'!$B37,'Eredeti fejléccel'!$T:$T)</f>
        <v>0</v>
      </c>
      <c r="N37" s="6">
        <f>SUMIF('Eredeti fejléccel'!$B:$B,'Felosztás eredménykim'!$B37,'Eredeti fejléccel'!$U:$U)</f>
        <v>0</v>
      </c>
      <c r="O37" s="6">
        <f>SUMIF('Eredeti fejléccel'!$B:$B,'Felosztás eredménykim'!$B37,'Eredeti fejléccel'!$V:$V)</f>
        <v>0</v>
      </c>
      <c r="P37" s="6">
        <f>SUMIF('Eredeti fejléccel'!$B:$B,'Felosztás eredménykim'!$B37,'Eredeti fejléccel'!$W:$W)</f>
        <v>0</v>
      </c>
      <c r="Q37" s="6">
        <f>SUMIF('Eredeti fejléccel'!$B:$B,'Felosztás eredménykim'!$B37,'Eredeti fejléccel'!$X:$X)</f>
        <v>0</v>
      </c>
      <c r="R37" s="6">
        <f>SUMIF('Eredeti fejléccel'!$B:$B,'Felosztás eredménykim'!$B37,'Eredeti fejléccel'!$Y:$Y)</f>
        <v>0</v>
      </c>
      <c r="S37" s="6">
        <f>SUMIF('Eredeti fejléccel'!$B:$B,'Felosztás eredménykim'!$B37,'Eredeti fejléccel'!$Z:$Z)</f>
        <v>0</v>
      </c>
      <c r="T37" s="6">
        <f>SUMIF('Eredeti fejléccel'!$B:$B,'Felosztás eredménykim'!$B37,'Eredeti fejléccel'!$AA:$AA)</f>
        <v>0</v>
      </c>
      <c r="U37" s="6">
        <f>SUMIF('Eredeti fejléccel'!$B:$B,'Felosztás eredménykim'!$B37,'Eredeti fejléccel'!$D:$D)</f>
        <v>0</v>
      </c>
      <c r="V37" s="6">
        <f>SUMIF('Eredeti fejléccel'!$B:$B,'Felosztás eredménykim'!$B37,'Eredeti fejléccel'!$AT:$AT)</f>
        <v>0</v>
      </c>
      <c r="X37" s="36">
        <f t="shared" si="0"/>
        <v>0</v>
      </c>
      <c r="Z37" s="6">
        <f>SUMIF('Eredeti fejléccel'!$B:$B,'Felosztás eredménykim'!$B37,'Eredeti fejléccel'!$K:$K)</f>
        <v>0</v>
      </c>
      <c r="AB37" s="6">
        <f>SUMIF('Eredeti fejléccel'!$B:$B,'Felosztás eredménykim'!$B37,'Eredeti fejléccel'!$AB:$AB)</f>
        <v>0</v>
      </c>
      <c r="AC37" s="6">
        <f>SUMIF('Eredeti fejléccel'!$B:$B,'Felosztás eredménykim'!$B37,'Eredeti fejléccel'!$AQ:$AQ)</f>
        <v>0</v>
      </c>
      <c r="AE37" s="73">
        <f t="shared" si="1"/>
        <v>0</v>
      </c>
      <c r="AF37" s="36">
        <f t="shared" si="2"/>
        <v>0</v>
      </c>
      <c r="AG37" s="8">
        <f t="shared" si="3"/>
        <v>0</v>
      </c>
      <c r="AI37" s="6">
        <f>SUMIF('Eredeti fejléccel'!$B:$B,'Felosztás eredménykim'!$B37,'Eredeti fejléccel'!$BB:$BB)</f>
        <v>0</v>
      </c>
      <c r="AJ37" s="6">
        <f>SUMIF('Eredeti fejléccel'!$B:$B,'Felosztás eredménykim'!$B37,'Eredeti fejléccel'!$AF:$AF)</f>
        <v>0</v>
      </c>
      <c r="AK37" s="8">
        <f t="shared" si="4"/>
        <v>0</v>
      </c>
      <c r="AL37" s="36">
        <f t="shared" si="5"/>
        <v>0</v>
      </c>
      <c r="AM37" s="8">
        <f t="shared" si="6"/>
        <v>0</v>
      </c>
      <c r="AN37" s="6">
        <f t="shared" si="36"/>
        <v>0</v>
      </c>
      <c r="AO37" s="6">
        <f>SUMIF('Eredeti fejléccel'!$B:$B,'Felosztás eredménykim'!$B37,'Eredeti fejléccel'!$AC:$AC)</f>
        <v>0</v>
      </c>
      <c r="AP37" s="6">
        <f>SUMIF('Eredeti fejléccel'!$B:$B,'Felosztás eredménykim'!$B37,'Eredeti fejléccel'!$AD:$AD)</f>
        <v>0</v>
      </c>
      <c r="AQ37" s="6">
        <f>SUMIF('Eredeti fejléccel'!$B:$B,'Felosztás eredménykim'!$B37,'Eredeti fejléccel'!$AE:$AE)</f>
        <v>0</v>
      </c>
      <c r="AR37" s="6">
        <f>SUMIF('Eredeti fejléccel'!$B:$B,'Felosztás eredménykim'!$B37,'Eredeti fejléccel'!$AG:$AG)</f>
        <v>0</v>
      </c>
      <c r="AS37" s="6">
        <f t="shared" si="37"/>
        <v>0</v>
      </c>
      <c r="AT37" s="36">
        <f t="shared" si="7"/>
        <v>0</v>
      </c>
      <c r="AU37" s="8">
        <f t="shared" si="8"/>
        <v>0</v>
      </c>
      <c r="AV37" s="6">
        <f>SUMIF('Eredeti fejléccel'!$B:$B,'Felosztás eredménykim'!$B37,'Eredeti fejléccel'!$AI:$AI)</f>
        <v>0</v>
      </c>
      <c r="AW37" s="6">
        <f>SUMIF('Eredeti fejléccel'!$B:$B,'Felosztás eredménykim'!$B37,'Eredeti fejléccel'!$AJ:$AJ)</f>
        <v>0</v>
      </c>
      <c r="AX37" s="6">
        <f>SUMIF('Eredeti fejléccel'!$B:$B,'Felosztás eredménykim'!$B37,'Eredeti fejléccel'!$AK:$AK)</f>
        <v>0</v>
      </c>
      <c r="AY37" s="6">
        <f>SUMIF('Eredeti fejléccel'!$B:$B,'Felosztás eredménykim'!$B37,'Eredeti fejléccel'!$AL:$AL)</f>
        <v>0</v>
      </c>
      <c r="AZ37" s="6">
        <f>SUMIF('Eredeti fejléccel'!$B:$B,'Felosztás eredménykim'!$B37,'Eredeti fejléccel'!$AM:$AM)</f>
        <v>0</v>
      </c>
      <c r="BA37" s="6">
        <f>SUMIF('Eredeti fejléccel'!$B:$B,'Felosztás eredménykim'!$B37,'Eredeti fejléccel'!$AN:$AN)</f>
        <v>0</v>
      </c>
      <c r="BB37" s="6">
        <f>SUMIF('Eredeti fejléccel'!$B:$B,'Felosztás eredménykim'!$B37,'Eredeti fejléccel'!$AP:$AP)</f>
        <v>0</v>
      </c>
      <c r="BD37" s="6">
        <f>SUMIF('Eredeti fejléccel'!$B:$B,'Felosztás eredménykim'!$B37,'Eredeti fejléccel'!$AS:$AS)</f>
        <v>0</v>
      </c>
      <c r="BE37" s="8">
        <f t="shared" si="38"/>
        <v>0</v>
      </c>
      <c r="BF37" s="36">
        <f t="shared" si="9"/>
        <v>0</v>
      </c>
      <c r="BG37" s="8">
        <f t="shared" si="10"/>
        <v>0</v>
      </c>
      <c r="BH37" s="6">
        <f t="shared" si="39"/>
        <v>0</v>
      </c>
      <c r="BI37" s="6">
        <f>SUMIF('Eredeti fejléccel'!$B:$B,'Felosztás eredménykim'!$B37,'Eredeti fejléccel'!$AH:$AH)</f>
        <v>0</v>
      </c>
      <c r="BJ37" s="6">
        <f>SUMIF('Eredeti fejléccel'!$B:$B,'Felosztás eredménykim'!$B37,'Eredeti fejléccel'!$AO:$AO)</f>
        <v>0</v>
      </c>
      <c r="BK37" s="6">
        <f>SUMIF('Eredeti fejléccel'!$B:$B,'Felosztás eredménykim'!$B37,'Eredeti fejléccel'!$BF:$BF)</f>
        <v>0</v>
      </c>
      <c r="BL37" s="8">
        <f t="shared" si="40"/>
        <v>0</v>
      </c>
      <c r="BM37" s="36">
        <f t="shared" si="11"/>
        <v>0</v>
      </c>
      <c r="BN37" s="8">
        <f t="shared" si="12"/>
        <v>0</v>
      </c>
      <c r="BP37" s="8">
        <f t="shared" si="41"/>
        <v>0</v>
      </c>
      <c r="BQ37" s="6">
        <f>SUMIF('Eredeti fejléccel'!$B:$B,'Felosztás eredménykim'!$B37,'Eredeti fejléccel'!$N:$N)</f>
        <v>0</v>
      </c>
      <c r="BR37" s="6">
        <f>SUMIF('Eredeti fejléccel'!$B:$B,'Felosztás eredménykim'!$B37,'Eredeti fejléccel'!$S:$S)</f>
        <v>0</v>
      </c>
      <c r="BT37" s="6">
        <f>SUMIF('Eredeti fejléccel'!$B:$B,'Felosztás eredménykim'!$B37,'Eredeti fejléccel'!$AR:$AR)</f>
        <v>0</v>
      </c>
      <c r="BU37" s="6">
        <f>SUMIF('Eredeti fejléccel'!$B:$B,'Felosztás eredménykim'!$B37,'Eredeti fejléccel'!$AU:$AU)</f>
        <v>0</v>
      </c>
      <c r="BV37" s="6">
        <f>SUMIF('Eredeti fejléccel'!$B:$B,'Felosztás eredménykim'!$B37,'Eredeti fejléccel'!$AV:$AV)</f>
        <v>0</v>
      </c>
      <c r="BW37" s="6">
        <f>SUMIF('Eredeti fejléccel'!$B:$B,'Felosztás eredménykim'!$B37,'Eredeti fejléccel'!$AW:$AW)</f>
        <v>0</v>
      </c>
      <c r="BX37" s="6">
        <f>SUMIF('Eredeti fejléccel'!$B:$B,'Felosztás eredménykim'!$B37,'Eredeti fejléccel'!$AX:$AX)</f>
        <v>0</v>
      </c>
      <c r="BY37" s="6">
        <f>SUMIF('Eredeti fejléccel'!$B:$B,'Felosztás eredménykim'!$B37,'Eredeti fejléccel'!$AY:$AY)</f>
        <v>0</v>
      </c>
      <c r="BZ37" s="6">
        <f>SUMIF('Eredeti fejléccel'!$B:$B,'Felosztás eredménykim'!$B37,'Eredeti fejléccel'!$AZ:$AZ)</f>
        <v>0</v>
      </c>
      <c r="CA37" s="6">
        <f>SUMIF('Eredeti fejléccel'!$B:$B,'Felosztás eredménykim'!$B37,'Eredeti fejléccel'!$BA:$BA)</f>
        <v>0</v>
      </c>
      <c r="CB37" s="6">
        <f t="shared" si="13"/>
        <v>0</v>
      </c>
      <c r="CC37" s="36">
        <f t="shared" si="14"/>
        <v>0</v>
      </c>
      <c r="CD37" s="8">
        <f t="shared" si="15"/>
        <v>0</v>
      </c>
      <c r="CE37" s="6">
        <f>SUMIF('Eredeti fejléccel'!$B:$B,'Felosztás eredménykim'!$B37,'Eredeti fejléccel'!$BC:$BC)</f>
        <v>0</v>
      </c>
      <c r="CF37" s="8">
        <f t="shared" si="42"/>
        <v>0</v>
      </c>
      <c r="CG37" s="6">
        <f>SUMIF('Eredeti fejléccel'!$B:$B,'Felosztás eredménykim'!$B37,'Eredeti fejléccel'!$H:$H)</f>
        <v>0</v>
      </c>
      <c r="CH37" s="6">
        <f>SUMIF('Eredeti fejléccel'!$B:$B,'Felosztás eredménykim'!$B37,'Eredeti fejléccel'!$BE:$BE)</f>
        <v>0</v>
      </c>
      <c r="CI37" s="6">
        <f t="shared" si="43"/>
        <v>0</v>
      </c>
      <c r="CJ37" s="36">
        <f t="shared" si="16"/>
        <v>0</v>
      </c>
      <c r="CK37" s="8">
        <f t="shared" si="17"/>
        <v>0</v>
      </c>
      <c r="CL37" s="8">
        <f t="shared" si="44"/>
        <v>0</v>
      </c>
      <c r="CM37" s="6">
        <f>SUMIF('Eredeti fejléccel'!$B:$B,'Felosztás eredménykim'!$B37,'Eredeti fejléccel'!$BD:$BD)</f>
        <v>0</v>
      </c>
      <c r="CN37" s="8">
        <f t="shared" si="45"/>
        <v>0</v>
      </c>
      <c r="CO37" s="8">
        <f t="shared" si="18"/>
        <v>0</v>
      </c>
      <c r="CR37" s="36">
        <f t="shared" si="19"/>
        <v>0</v>
      </c>
      <c r="CS37" s="6">
        <f>SUMIF('Eredeti fejléccel'!$B:$B,'Felosztás eredménykim'!$B37,'Eredeti fejléccel'!$I:$I)</f>
        <v>0</v>
      </c>
      <c r="CT37" s="6">
        <f>SUMIF('Eredeti fejléccel'!$B:$B,'Felosztás eredménykim'!$B37,'Eredeti fejléccel'!$BG:$BG)</f>
        <v>0</v>
      </c>
      <c r="CU37" s="6">
        <f>SUMIF('Eredeti fejléccel'!$B:$B,'Felosztás eredménykim'!$B37,'Eredeti fejléccel'!$BH:$BH)</f>
        <v>0</v>
      </c>
      <c r="CV37" s="6">
        <f>SUMIF('Eredeti fejléccel'!$B:$B,'Felosztás eredménykim'!$B37,'Eredeti fejléccel'!$BI:$BI)</f>
        <v>0</v>
      </c>
      <c r="CW37" s="6">
        <f>SUMIF('Eredeti fejléccel'!$B:$B,'Felosztás eredménykim'!$B37,'Eredeti fejléccel'!$BL:$BL)</f>
        <v>0</v>
      </c>
      <c r="CX37" s="6">
        <f t="shared" si="46"/>
        <v>0</v>
      </c>
      <c r="CY37" s="6">
        <f>SUMIF('Eredeti fejléccel'!$B:$B,'Felosztás eredménykim'!$B37,'Eredeti fejléccel'!$BJ:$BJ)</f>
        <v>0</v>
      </c>
      <c r="CZ37" s="6">
        <f>SUMIF('Eredeti fejléccel'!$B:$B,'Felosztás eredménykim'!$B37,'Eredeti fejléccel'!$BK:$BK)</f>
        <v>0</v>
      </c>
      <c r="DA37" s="99">
        <f t="shared" si="47"/>
        <v>0</v>
      </c>
      <c r="DC37" s="36">
        <f t="shared" si="20"/>
        <v>0</v>
      </c>
      <c r="DD37" s="6">
        <f>SUMIF('Eredeti fejléccel'!$B:$B,'Felosztás eredménykim'!$B37,'Eredeti fejléccel'!$J:$J)</f>
        <v>0</v>
      </c>
      <c r="DE37" s="6">
        <f>SUMIF('Eredeti fejléccel'!$B:$B,'Felosztás eredménykim'!$B37,'Eredeti fejléccel'!$BM:$BM)</f>
        <v>0</v>
      </c>
      <c r="DF37" s="6">
        <f t="shared" si="48"/>
        <v>0</v>
      </c>
      <c r="DG37" s="8">
        <f t="shared" si="21"/>
        <v>0</v>
      </c>
      <c r="DH37" s="8">
        <f t="shared" si="49"/>
        <v>0</v>
      </c>
      <c r="DJ37" s="6">
        <f>SUMIF('Eredeti fejléccel'!$B:$B,'Felosztás eredménykim'!$B37,'Eredeti fejléccel'!$BN:$BN)</f>
        <v>0</v>
      </c>
      <c r="DK37" s="6">
        <f>SUMIF('Eredeti fejléccel'!$B:$B,'Felosztás eredménykim'!$B37,'Eredeti fejléccel'!$BZ:$BZ)</f>
        <v>0</v>
      </c>
      <c r="DL37" s="8">
        <f t="shared" si="50"/>
        <v>0</v>
      </c>
      <c r="DM37" s="6">
        <f>SUMIF('Eredeti fejléccel'!$B:$B,'Felosztás eredménykim'!$B37,'Eredeti fejléccel'!$BR:$BR)</f>
        <v>0</v>
      </c>
      <c r="DN37" s="6">
        <f>SUMIF('Eredeti fejléccel'!$B:$B,'Felosztás eredménykim'!$B37,'Eredeti fejléccel'!$BS:$BS)</f>
        <v>0</v>
      </c>
      <c r="DO37" s="6">
        <f>SUMIF('Eredeti fejléccel'!$B:$B,'Felosztás eredménykim'!$B37,'Eredeti fejléccel'!$BO:$BO)</f>
        <v>0</v>
      </c>
      <c r="DP37" s="6">
        <f>SUMIF('Eredeti fejléccel'!$B:$B,'Felosztás eredménykim'!$B37,'Eredeti fejléccel'!$BP:$BP)</f>
        <v>0</v>
      </c>
      <c r="DQ37" s="6">
        <f>SUMIF('Eredeti fejléccel'!$B:$B,'Felosztás eredménykim'!$B37,'Eredeti fejléccel'!$BQ:$BQ)</f>
        <v>0</v>
      </c>
      <c r="DS37" s="8"/>
      <c r="DU37" s="6">
        <f>SUMIF('Eredeti fejléccel'!$B:$B,'Felosztás eredménykim'!$B37,'Eredeti fejléccel'!$BT:$BT)</f>
        <v>0</v>
      </c>
      <c r="DV37" s="6">
        <f>SUMIF('Eredeti fejléccel'!$B:$B,'Felosztás eredménykim'!$B37,'Eredeti fejléccel'!$BU:$BU)</f>
        <v>0</v>
      </c>
      <c r="DW37" s="6">
        <f>SUMIF('Eredeti fejléccel'!$B:$B,'Felosztás eredménykim'!$B37,'Eredeti fejléccel'!$BV:$BV)</f>
        <v>0</v>
      </c>
      <c r="DX37" s="6">
        <f>SUMIF('Eredeti fejléccel'!$B:$B,'Felosztás eredménykim'!$B37,'Eredeti fejléccel'!$BW:$BW)</f>
        <v>0</v>
      </c>
      <c r="DY37" s="6">
        <f>SUMIF('Eredeti fejléccel'!$B:$B,'Felosztás eredménykim'!$B37,'Eredeti fejléccel'!$BX:$BX)</f>
        <v>0</v>
      </c>
      <c r="EA37" s="6"/>
      <c r="EC37" s="6"/>
      <c r="EE37" s="6">
        <f>SUMIF('Eredeti fejléccel'!$B:$B,'Felosztás eredménykim'!$B37,'Eredeti fejléccel'!$CA:$CA)</f>
        <v>0</v>
      </c>
      <c r="EF37" s="6">
        <f>SUMIF('Eredeti fejléccel'!$B:$B,'Felosztás eredménykim'!$B37,'Eredeti fejléccel'!$CB:$CB)</f>
        <v>0</v>
      </c>
      <c r="EG37" s="6">
        <f>SUMIF('Eredeti fejléccel'!$B:$B,'Felosztás eredménykim'!$B37,'Eredeti fejléccel'!$CC:$CC)</f>
        <v>0</v>
      </c>
      <c r="EH37" s="6">
        <f>SUMIF('Eredeti fejléccel'!$B:$B,'Felosztás eredménykim'!$B37,'Eredeti fejléccel'!$CD:$CD)</f>
        <v>0</v>
      </c>
      <c r="EK37" s="6">
        <f>SUMIF('Eredeti fejléccel'!$B:$B,'Felosztás eredménykim'!$B37,'Eredeti fejléccel'!$CE:$CE)</f>
        <v>0</v>
      </c>
      <c r="EN37" s="6">
        <f>SUMIF('Eredeti fejléccel'!$B:$B,'Felosztás eredménykim'!$B37,'Eredeti fejléccel'!$CF:$CF)</f>
        <v>0</v>
      </c>
      <c r="EP37" s="6">
        <f>SUMIF('Eredeti fejléccel'!$B:$B,'Felosztás eredménykim'!$B37,'Eredeti fejléccel'!$CG:$CG)</f>
        <v>0</v>
      </c>
      <c r="ES37" s="6">
        <f>SUMIF('Eredeti fejléccel'!$B:$B,'Felosztás eredménykim'!$B37,'Eredeti fejléccel'!$CH:$CH)</f>
        <v>0</v>
      </c>
      <c r="ET37" s="6">
        <f>SUMIF('Eredeti fejléccel'!$B:$B,'Felosztás eredménykim'!$B37,'Eredeti fejléccel'!$CI:$CI)</f>
        <v>0</v>
      </c>
      <c r="EW37" s="8">
        <f t="shared" si="22"/>
        <v>0</v>
      </c>
      <c r="EX37" s="8">
        <f t="shared" si="51"/>
        <v>0</v>
      </c>
      <c r="EY37" s="8">
        <f t="shared" si="52"/>
        <v>0</v>
      </c>
      <c r="EZ37" s="8">
        <f t="shared" si="23"/>
        <v>0</v>
      </c>
      <c r="FA37" s="8">
        <f t="shared" si="24"/>
        <v>0</v>
      </c>
      <c r="FC37" s="6">
        <f>SUMIF('Eredeti fejléccel'!$B:$B,'Felosztás eredménykim'!$B37,'Eredeti fejléccel'!$L:$L)</f>
        <v>0</v>
      </c>
      <c r="FD37" s="6">
        <f>SUMIF('Eredeti fejléccel'!$B:$B,'Felosztás eredménykim'!$B37,'Eredeti fejléccel'!$CJ:$CJ)</f>
        <v>0</v>
      </c>
      <c r="FE37" s="6">
        <f>SUMIF('Eredeti fejléccel'!$B:$B,'Felosztás eredménykim'!$B37,'Eredeti fejléccel'!$CL:$CL)</f>
        <v>0</v>
      </c>
      <c r="FG37" s="99">
        <f t="shared" si="53"/>
        <v>0</v>
      </c>
      <c r="FH37" s="6">
        <f>SUMIF('Eredeti fejléccel'!$B:$B,'Felosztás eredménykim'!$B37,'Eredeti fejléccel'!$CK:$CK)</f>
        <v>0</v>
      </c>
      <c r="FI37" s="36">
        <f t="shared" si="25"/>
        <v>0</v>
      </c>
      <c r="FJ37" s="101">
        <f t="shared" si="26"/>
        <v>0</v>
      </c>
      <c r="FK37" s="6">
        <f>SUMIF('Eredeti fejléccel'!$B:$B,'Felosztás eredménykim'!$B37,'Eredeti fejléccel'!$CM:$CM)</f>
        <v>0</v>
      </c>
      <c r="FL37" s="6">
        <f>SUMIF('Eredeti fejléccel'!$B:$B,'Felosztás eredménykim'!$B37,'Eredeti fejléccel'!$CN:$CN)</f>
        <v>0</v>
      </c>
      <c r="FM37" s="8">
        <f t="shared" si="54"/>
        <v>0</v>
      </c>
      <c r="FN37" s="36">
        <f t="shared" si="27"/>
        <v>0</v>
      </c>
      <c r="FO37" s="101">
        <f t="shared" si="28"/>
        <v>0</v>
      </c>
      <c r="FP37" s="6">
        <f>SUMIF('Eredeti fejléccel'!$B:$B,'Felosztás eredménykim'!$B37,'Eredeti fejléccel'!$CO:$CO)</f>
        <v>9961010</v>
      </c>
      <c r="FQ37" s="6">
        <f>'Eredeti fejléccel'!CP37</f>
        <v>0</v>
      </c>
      <c r="FR37" s="6">
        <f>'Eredeti fejléccel'!CQ37</f>
        <v>0</v>
      </c>
      <c r="FS37" s="103">
        <f t="shared" si="55"/>
        <v>9961010</v>
      </c>
      <c r="FT37" s="36">
        <f t="shared" si="29"/>
        <v>0</v>
      </c>
      <c r="FU37" s="101">
        <f t="shared" si="30"/>
        <v>0</v>
      </c>
      <c r="FV37" s="101"/>
      <c r="FW37" s="6">
        <f>SUMIF('Eredeti fejléccel'!$B:$B,'Felosztás eredménykim'!$B37,'Eredeti fejléccel'!$CR:$CR)</f>
        <v>0</v>
      </c>
      <c r="FX37" s="6">
        <f>SUMIF('Eredeti fejléccel'!$B:$B,'Felosztás eredménykim'!$B37,'Eredeti fejléccel'!$CS:$CS)</f>
        <v>0</v>
      </c>
      <c r="FY37" s="6">
        <f>SUMIF('Eredeti fejléccel'!$B:$B,'Felosztás eredménykim'!$B37,'Eredeti fejléccel'!$CT:$CT)</f>
        <v>0</v>
      </c>
      <c r="FZ37" s="6">
        <f>SUMIF('Eredeti fejléccel'!$B:$B,'Felosztás eredménykim'!$B37,'Eredeti fejléccel'!$CU:$CU)</f>
        <v>0</v>
      </c>
      <c r="GA37" s="103">
        <f t="shared" si="56"/>
        <v>0</v>
      </c>
      <c r="GB37" s="36">
        <f t="shared" si="31"/>
        <v>0</v>
      </c>
      <c r="GC37" s="101">
        <f t="shared" si="32"/>
        <v>0</v>
      </c>
      <c r="GD37" s="6">
        <f>SUMIF('Eredeti fejléccel'!$B:$B,'Felosztás eredménykim'!$B37,'Eredeti fejléccel'!$CV:$CV)</f>
        <v>353485131.55000001</v>
      </c>
      <c r="GE37" s="6">
        <f>SUMIF('Eredeti fejléccel'!$B:$B,'Felosztás eredménykim'!$B37,'Eredeti fejléccel'!$CW:$CW)</f>
        <v>0</v>
      </c>
      <c r="GF37" s="103">
        <f t="shared" si="57"/>
        <v>353485131.55000001</v>
      </c>
      <c r="GG37" s="36">
        <f t="shared" si="33"/>
        <v>0</v>
      </c>
      <c r="GM37" s="6">
        <f>SUMIF('Eredeti fejléccel'!$B:$B,'Felosztás eredménykim'!$B37,'Eredeti fejléccel'!$CX:$CX)</f>
        <v>0</v>
      </c>
      <c r="GN37" s="6">
        <f>SUMIF('Eredeti fejléccel'!$B:$B,'Felosztás eredménykim'!$B37,'Eredeti fejléccel'!$CY:$CY)</f>
        <v>0</v>
      </c>
      <c r="GO37" s="6">
        <f>SUMIF('Eredeti fejléccel'!$B:$B,'Felosztás eredménykim'!$B37,'Eredeti fejléccel'!$CZ:$CZ)</f>
        <v>0</v>
      </c>
      <c r="GP37" s="6">
        <f>SUMIF('Eredeti fejléccel'!$B:$B,'Felosztás eredménykim'!$B37,'Eredeti fejléccel'!$DA:$DA)</f>
        <v>0</v>
      </c>
      <c r="GQ37" s="6">
        <f>SUMIF('Eredeti fejléccel'!$B:$B,'Felosztás eredménykim'!$B37,'Eredeti fejléccel'!$DB:$DB)</f>
        <v>0</v>
      </c>
      <c r="GR37" s="103">
        <f t="shared" si="58"/>
        <v>0</v>
      </c>
      <c r="GW37" s="36">
        <f t="shared" si="34"/>
        <v>0</v>
      </c>
      <c r="GX37" s="6">
        <f>SUMIF('Eredeti fejléccel'!$B:$B,'Felosztás eredménykim'!$B37,'Eredeti fejléccel'!$M:$M)</f>
        <v>0</v>
      </c>
      <c r="GY37" s="6">
        <f>SUMIF('Eredeti fejléccel'!$B:$B,'Felosztás eredménykim'!$B37,'Eredeti fejléccel'!$DC:$DC)</f>
        <v>0</v>
      </c>
      <c r="GZ37" s="6">
        <f>SUMIF('Eredeti fejléccel'!$B:$B,'Felosztás eredménykim'!$B37,'Eredeti fejléccel'!$DD:$DD)</f>
        <v>0</v>
      </c>
      <c r="HA37" s="6">
        <f>SUMIF('Eredeti fejléccel'!$B:$B,'Felosztás eredménykim'!$B37,'Eredeti fejléccel'!$DE:$DE)</f>
        <v>0</v>
      </c>
      <c r="HB37" s="103">
        <f t="shared" si="59"/>
        <v>0</v>
      </c>
      <c r="HD37" s="9">
        <f t="shared" si="35"/>
        <v>363446141.55000001</v>
      </c>
      <c r="HE37" s="9">
        <v>363446141.55000001</v>
      </c>
      <c r="HF37" s="476"/>
      <c r="HH37" s="34">
        <f t="shared" si="60"/>
        <v>0</v>
      </c>
    </row>
    <row r="38" spans="1:216" x14ac:dyDescent="0.25">
      <c r="A38" s="4" t="s">
        <v>107</v>
      </c>
      <c r="B38" s="4" t="s">
        <v>107</v>
      </c>
      <c r="C38" s="1" t="s">
        <v>108</v>
      </c>
      <c r="D38" s="6">
        <f>SUMIF('Eredeti fejléccel'!$B:$B,'Felosztás eredménykim'!$B38,'Eredeti fejléccel'!$D:$D)</f>
        <v>0</v>
      </c>
      <c r="E38" s="6">
        <f>SUMIF('Eredeti fejléccel'!$B:$B,'Felosztás eredménykim'!$B38,'Eredeti fejléccel'!$E:$E)</f>
        <v>101417</v>
      </c>
      <c r="F38" s="6">
        <f>SUMIF('Eredeti fejléccel'!$B:$B,'Felosztás eredménykim'!$B38,'Eredeti fejléccel'!$F:$F)</f>
        <v>0</v>
      </c>
      <c r="G38" s="6">
        <f>SUMIF('Eredeti fejléccel'!$B:$B,'Felosztás eredménykim'!$B38,'Eredeti fejléccel'!$G:$G)</f>
        <v>213360</v>
      </c>
      <c r="H38" s="6"/>
      <c r="I38" s="6">
        <f>SUMIF('Eredeti fejléccel'!$B:$B,'Felosztás eredménykim'!$B38,'Eredeti fejléccel'!$O:$O)</f>
        <v>0</v>
      </c>
      <c r="J38" s="6">
        <f>SUMIF('Eredeti fejléccel'!$B:$B,'Felosztás eredménykim'!$B38,'Eredeti fejléccel'!$P:$P)</f>
        <v>0</v>
      </c>
      <c r="K38" s="6">
        <f>SUMIF('Eredeti fejléccel'!$B:$B,'Felosztás eredménykim'!$B38,'Eredeti fejléccel'!$Q:$Q)</f>
        <v>0</v>
      </c>
      <c r="L38" s="6">
        <f>SUMIF('Eredeti fejléccel'!$B:$B,'Felosztás eredménykim'!$B38,'Eredeti fejléccel'!$R:$R)</f>
        <v>0</v>
      </c>
      <c r="M38" s="6">
        <f>SUMIF('Eredeti fejléccel'!$B:$B,'Felosztás eredménykim'!$B38,'Eredeti fejléccel'!$T:$T)</f>
        <v>0</v>
      </c>
      <c r="N38" s="6">
        <f>SUMIF('Eredeti fejléccel'!$B:$B,'Felosztás eredménykim'!$B38,'Eredeti fejléccel'!$U:$U)</f>
        <v>0</v>
      </c>
      <c r="O38" s="6">
        <f>SUMIF('Eredeti fejléccel'!$B:$B,'Felosztás eredménykim'!$B38,'Eredeti fejléccel'!$V:$V)</f>
        <v>0</v>
      </c>
      <c r="P38" s="6">
        <f>SUMIF('Eredeti fejléccel'!$B:$B,'Felosztás eredménykim'!$B38,'Eredeti fejléccel'!$W:$W)</f>
        <v>0</v>
      </c>
      <c r="Q38" s="6">
        <f>SUMIF('Eredeti fejléccel'!$B:$B,'Felosztás eredménykim'!$B38,'Eredeti fejléccel'!$X:$X)</f>
        <v>0</v>
      </c>
      <c r="R38" s="6">
        <f>SUMIF('Eredeti fejléccel'!$B:$B,'Felosztás eredménykim'!$B38,'Eredeti fejléccel'!$Y:$Y)</f>
        <v>0</v>
      </c>
      <c r="S38" s="6">
        <f>SUMIF('Eredeti fejléccel'!$B:$B,'Felosztás eredménykim'!$B38,'Eredeti fejléccel'!$Z:$Z)</f>
        <v>0</v>
      </c>
      <c r="T38" s="6">
        <f>SUMIF('Eredeti fejléccel'!$B:$B,'Felosztás eredménykim'!$B38,'Eredeti fejléccel'!$AA:$AA)</f>
        <v>0</v>
      </c>
      <c r="U38" s="6">
        <f>SUMIF('Eredeti fejléccel'!$B:$B,'Felosztás eredménykim'!$B38,'Eredeti fejléccel'!$D:$D)</f>
        <v>0</v>
      </c>
      <c r="V38" s="6">
        <f>SUMIF('Eredeti fejléccel'!$B:$B,'Felosztás eredménykim'!$B38,'Eredeti fejléccel'!$AT:$AT)</f>
        <v>0</v>
      </c>
      <c r="X38" s="36">
        <f t="shared" si="0"/>
        <v>314777</v>
      </c>
      <c r="Z38" s="6">
        <f>SUMIF('Eredeti fejléccel'!$B:$B,'Felosztás eredménykim'!$B38,'Eredeti fejléccel'!$K:$K)</f>
        <v>0</v>
      </c>
      <c r="AB38" s="6">
        <f>SUMIF('Eredeti fejléccel'!$B:$B,'Felosztás eredménykim'!$B38,'Eredeti fejléccel'!$AB:$AB)</f>
        <v>0</v>
      </c>
      <c r="AC38" s="6">
        <f>SUMIF('Eredeti fejléccel'!$B:$B,'Felosztás eredménykim'!$B38,'Eredeti fejléccel'!$AQ:$AQ)</f>
        <v>0</v>
      </c>
      <c r="AE38" s="73">
        <f t="shared" si="1"/>
        <v>0</v>
      </c>
      <c r="AF38" s="36">
        <f t="shared" ref="AF38:AF69" si="61">$X38/$HD$290*(AG$290+AG$291)</f>
        <v>37551.20937818347</v>
      </c>
      <c r="AG38" s="8">
        <f t="shared" si="3"/>
        <v>0</v>
      </c>
      <c r="AI38" s="6">
        <f>SUMIF('Eredeti fejléccel'!$B:$B,'Felosztás eredménykim'!$B38,'Eredeti fejléccel'!$BB:$BB)</f>
        <v>0</v>
      </c>
      <c r="AJ38" s="6">
        <f>SUMIF('Eredeti fejléccel'!$B:$B,'Felosztás eredménykim'!$B38,'Eredeti fejléccel'!$AF:$AF)</f>
        <v>0</v>
      </c>
      <c r="AK38" s="8">
        <f t="shared" si="4"/>
        <v>0</v>
      </c>
      <c r="AL38" s="36">
        <f t="shared" ref="AL38:AL69" si="62">$X38/$HD$290*(AM$290+AM$291)</f>
        <v>14915.150765640337</v>
      </c>
      <c r="AM38" s="8">
        <f t="shared" si="6"/>
        <v>0</v>
      </c>
      <c r="AN38" s="6">
        <f t="shared" si="36"/>
        <v>0</v>
      </c>
      <c r="AO38" s="6">
        <f>SUMIF('Eredeti fejléccel'!$B:$B,'Felosztás eredménykim'!$B38,'Eredeti fejléccel'!$AC:$AC)</f>
        <v>0</v>
      </c>
      <c r="AP38" s="6">
        <f>SUMIF('Eredeti fejléccel'!$B:$B,'Felosztás eredménykim'!$B38,'Eredeti fejléccel'!$AD:$AD)</f>
        <v>0</v>
      </c>
      <c r="AQ38" s="6">
        <f>SUMIF('Eredeti fejléccel'!$B:$B,'Felosztás eredménykim'!$B38,'Eredeti fejléccel'!$AE:$AE)</f>
        <v>0</v>
      </c>
      <c r="AR38" s="6">
        <f>SUMIF('Eredeti fejléccel'!$B:$B,'Felosztás eredménykim'!$B38,'Eredeti fejléccel'!$AG:$AG)</f>
        <v>0</v>
      </c>
      <c r="AS38" s="6">
        <f t="shared" si="37"/>
        <v>0</v>
      </c>
      <c r="AT38" s="36">
        <f t="shared" ref="AT38:AT69" si="63">$X38/$HD$290*(AU$290+AU$291)</f>
        <v>24226.586695602244</v>
      </c>
      <c r="AU38" s="8">
        <f t="shared" si="8"/>
        <v>0</v>
      </c>
      <c r="AV38" s="6">
        <f>SUMIF('Eredeti fejléccel'!$B:$B,'Felosztás eredménykim'!$B38,'Eredeti fejléccel'!$AI:$AI)</f>
        <v>0</v>
      </c>
      <c r="AW38" s="6">
        <f>SUMIF('Eredeti fejléccel'!$B:$B,'Felosztás eredménykim'!$B38,'Eredeti fejléccel'!$AJ:$AJ)</f>
        <v>0</v>
      </c>
      <c r="AX38" s="6">
        <f>SUMIF('Eredeti fejléccel'!$B:$B,'Felosztás eredménykim'!$B38,'Eredeti fejléccel'!$AK:$AK)</f>
        <v>0</v>
      </c>
      <c r="AY38" s="6">
        <f>SUMIF('Eredeti fejléccel'!$B:$B,'Felosztás eredménykim'!$B38,'Eredeti fejléccel'!$AL:$AL)</f>
        <v>0</v>
      </c>
      <c r="AZ38" s="6">
        <f>SUMIF('Eredeti fejléccel'!$B:$B,'Felosztás eredménykim'!$B38,'Eredeti fejléccel'!$AM:$AM)</f>
        <v>0</v>
      </c>
      <c r="BA38" s="6">
        <f>SUMIF('Eredeti fejléccel'!$B:$B,'Felosztás eredménykim'!$B38,'Eredeti fejléccel'!$AN:$AN)</f>
        <v>0</v>
      </c>
      <c r="BB38" s="6">
        <f>SUMIF('Eredeti fejléccel'!$B:$B,'Felosztás eredménykim'!$B38,'Eredeti fejléccel'!$AP:$AP)</f>
        <v>0</v>
      </c>
      <c r="BD38" s="6">
        <f>SUMIF('Eredeti fejléccel'!$B:$B,'Felosztás eredménykim'!$B38,'Eredeti fejléccel'!$AS:$AS)</f>
        <v>0</v>
      </c>
      <c r="BE38" s="8">
        <f t="shared" si="38"/>
        <v>0</v>
      </c>
      <c r="BF38" s="36">
        <f t="shared" ref="BF38:BF69" si="64">$X38/$HD$290*(BG$290+BG$291)</f>
        <v>6319.9791379831931</v>
      </c>
      <c r="BG38" s="8">
        <f t="shared" si="10"/>
        <v>0</v>
      </c>
      <c r="BH38" s="6">
        <f t="shared" si="39"/>
        <v>0</v>
      </c>
      <c r="BI38" s="6">
        <f>SUMIF('Eredeti fejléccel'!$B:$B,'Felosztás eredménykim'!$B38,'Eredeti fejléccel'!$AH:$AH)</f>
        <v>0</v>
      </c>
      <c r="BJ38" s="6">
        <f>SUMIF('Eredeti fejléccel'!$B:$B,'Felosztás eredménykim'!$B38,'Eredeti fejléccel'!$AO:$AO)</f>
        <v>0</v>
      </c>
      <c r="BK38" s="6">
        <f>SUMIF('Eredeti fejléccel'!$B:$B,'Felosztás eredménykim'!$B38,'Eredeti fejléccel'!$BF:$BF)</f>
        <v>0</v>
      </c>
      <c r="BL38" s="8">
        <f t="shared" si="40"/>
        <v>0</v>
      </c>
      <c r="BM38" s="36">
        <f t="shared" ref="BM38:BM69" si="65">$X38/$HD$290*(BN$290+BN$291)</f>
        <v>23678.855170310366</v>
      </c>
      <c r="BN38" s="8">
        <f t="shared" si="12"/>
        <v>0</v>
      </c>
      <c r="BP38" s="8">
        <f t="shared" si="41"/>
        <v>0</v>
      </c>
      <c r="BQ38" s="6">
        <f>SUMIF('Eredeti fejléccel'!$B:$B,'Felosztás eredménykim'!$B38,'Eredeti fejléccel'!$N:$N)</f>
        <v>0</v>
      </c>
      <c r="BR38" s="6">
        <f>SUMIF('Eredeti fejléccel'!$B:$B,'Felosztás eredménykim'!$B38,'Eredeti fejléccel'!$S:$S)</f>
        <v>0</v>
      </c>
      <c r="BT38" s="6">
        <f>SUMIF('Eredeti fejléccel'!$B:$B,'Felosztás eredménykim'!$B38,'Eredeti fejléccel'!$AR:$AR)</f>
        <v>0</v>
      </c>
      <c r="BU38" s="6">
        <f>SUMIF('Eredeti fejléccel'!$B:$B,'Felosztás eredménykim'!$B38,'Eredeti fejléccel'!$AU:$AU)</f>
        <v>0</v>
      </c>
      <c r="BV38" s="6">
        <f>SUMIF('Eredeti fejléccel'!$B:$B,'Felosztás eredménykim'!$B38,'Eredeti fejléccel'!$AV:$AV)</f>
        <v>0</v>
      </c>
      <c r="BW38" s="6">
        <f>SUMIF('Eredeti fejléccel'!$B:$B,'Felosztás eredménykim'!$B38,'Eredeti fejléccel'!$AW:$AW)</f>
        <v>0</v>
      </c>
      <c r="BX38" s="6">
        <f>SUMIF('Eredeti fejléccel'!$B:$B,'Felosztás eredménykim'!$B38,'Eredeti fejléccel'!$AX:$AX)</f>
        <v>0</v>
      </c>
      <c r="BY38" s="6">
        <f>SUMIF('Eredeti fejléccel'!$B:$B,'Felosztás eredménykim'!$B38,'Eredeti fejléccel'!$AY:$AY)</f>
        <v>0</v>
      </c>
      <c r="BZ38" s="6">
        <f>SUMIF('Eredeti fejléccel'!$B:$B,'Felosztás eredménykim'!$B38,'Eredeti fejléccel'!$AZ:$AZ)</f>
        <v>0</v>
      </c>
      <c r="CA38" s="6">
        <f>SUMIF('Eredeti fejléccel'!$B:$B,'Felosztás eredménykim'!$B38,'Eredeti fejléccel'!$BA:$BA)</f>
        <v>0</v>
      </c>
      <c r="CB38" s="6">
        <f t="shared" si="13"/>
        <v>0</v>
      </c>
      <c r="CC38" s="36">
        <f t="shared" ref="CC38:CC69" si="66">$X38/$HD$290*(CD$290+CD$291)</f>
        <v>6446.3787207428577</v>
      </c>
      <c r="CD38" s="8">
        <f t="shared" si="15"/>
        <v>0</v>
      </c>
      <c r="CE38" s="6">
        <f>SUMIF('Eredeti fejléccel'!$B:$B,'Felosztás eredménykim'!$B38,'Eredeti fejléccel'!$BC:$BC)</f>
        <v>0</v>
      </c>
      <c r="CF38" s="8">
        <f t="shared" si="42"/>
        <v>0</v>
      </c>
      <c r="CG38" s="6">
        <f>SUMIF('Eredeti fejléccel'!$B:$B,'Felosztás eredménykim'!$B38,'Eredeti fejléccel'!$H:$H)</f>
        <v>0</v>
      </c>
      <c r="CH38" s="6">
        <f>SUMIF('Eredeti fejléccel'!$B:$B,'Felosztás eredménykim'!$B38,'Eredeti fejléccel'!$BE:$BE)</f>
        <v>0</v>
      </c>
      <c r="CI38" s="6">
        <f t="shared" si="43"/>
        <v>0</v>
      </c>
      <c r="CJ38" s="36">
        <f t="shared" ref="CJ38:CJ69" si="67">$X38/$HD$290*(CK$290+CK$291)</f>
        <v>4634.6513678543424</v>
      </c>
      <c r="CK38" s="8">
        <f t="shared" si="17"/>
        <v>0</v>
      </c>
      <c r="CL38" s="8">
        <f t="shared" si="44"/>
        <v>0</v>
      </c>
      <c r="CM38" s="6">
        <f>SUMIF('Eredeti fejléccel'!$B:$B,'Felosztás eredménykim'!$B38,'Eredeti fejléccel'!$BD:$BD)</f>
        <v>0</v>
      </c>
      <c r="CN38" s="8">
        <f t="shared" si="45"/>
        <v>0</v>
      </c>
      <c r="CO38" s="8">
        <f t="shared" si="18"/>
        <v>117772.81123631682</v>
      </c>
      <c r="CR38" s="36">
        <f t="shared" si="19"/>
        <v>27839.421088216357</v>
      </c>
      <c r="CS38" s="6">
        <f>SUMIF('Eredeti fejléccel'!$B:$B,'Felosztás eredménykim'!$B38,'Eredeti fejléccel'!$I:$I)</f>
        <v>0</v>
      </c>
      <c r="CT38" s="6">
        <f>SUMIF('Eredeti fejléccel'!$B:$B,'Felosztás eredménykim'!$B38,'Eredeti fejléccel'!$BG:$BG)</f>
        <v>0</v>
      </c>
      <c r="CU38" s="6">
        <f>SUMIF('Eredeti fejléccel'!$B:$B,'Felosztás eredménykim'!$B38,'Eredeti fejléccel'!$BH:$BH)</f>
        <v>0</v>
      </c>
      <c r="CV38" s="6">
        <f>SUMIF('Eredeti fejléccel'!$B:$B,'Felosztás eredménykim'!$B38,'Eredeti fejléccel'!$BI:$BI)</f>
        <v>0</v>
      </c>
      <c r="CW38" s="6">
        <f>SUMIF('Eredeti fejléccel'!$B:$B,'Felosztás eredménykim'!$B38,'Eredeti fejléccel'!$BL:$BL)</f>
        <v>0</v>
      </c>
      <c r="CX38" s="6">
        <f t="shared" si="46"/>
        <v>0</v>
      </c>
      <c r="CY38" s="6">
        <f>SUMIF('Eredeti fejléccel'!$B:$B,'Felosztás eredménykim'!$B38,'Eredeti fejléccel'!$BJ:$BJ)</f>
        <v>0</v>
      </c>
      <c r="CZ38" s="6">
        <f>SUMIF('Eredeti fejléccel'!$B:$B,'Felosztás eredménykim'!$B38,'Eredeti fejléccel'!$BK:$BK)</f>
        <v>0</v>
      </c>
      <c r="DA38" s="99">
        <f t="shared" si="47"/>
        <v>0</v>
      </c>
      <c r="DC38" s="36">
        <f t="shared" si="20"/>
        <v>24383.56284610432</v>
      </c>
      <c r="DD38" s="6">
        <f>SUMIF('Eredeti fejléccel'!$B:$B,'Felosztás eredménykim'!$B38,'Eredeti fejléccel'!$J:$J)</f>
        <v>0</v>
      </c>
      <c r="DE38" s="6">
        <f>SUMIF('Eredeti fejléccel'!$B:$B,'Felosztás eredménykim'!$B38,'Eredeti fejléccel'!$BM:$BM)</f>
        <v>0</v>
      </c>
      <c r="DF38" s="6">
        <f t="shared" si="48"/>
        <v>0</v>
      </c>
      <c r="DG38" s="8">
        <f t="shared" si="21"/>
        <v>0</v>
      </c>
      <c r="DH38" s="8">
        <f t="shared" si="49"/>
        <v>0</v>
      </c>
      <c r="DJ38" s="6">
        <f>SUMIF('Eredeti fejléccel'!$B:$B,'Felosztás eredménykim'!$B38,'Eredeti fejléccel'!$BN:$BN)</f>
        <v>64400</v>
      </c>
      <c r="DK38" s="6">
        <f>SUMIF('Eredeti fejléccel'!$B:$B,'Felosztás eredménykim'!$B38,'Eredeti fejléccel'!$BZ:$BZ)</f>
        <v>0</v>
      </c>
      <c r="DL38" s="8">
        <f t="shared" si="50"/>
        <v>64400</v>
      </c>
      <c r="DM38" s="6">
        <f>SUMIF('Eredeti fejléccel'!$B:$B,'Felosztás eredménykim'!$B38,'Eredeti fejléccel'!$BR:$BR)</f>
        <v>0</v>
      </c>
      <c r="DN38" s="6">
        <f>SUMIF('Eredeti fejléccel'!$B:$B,'Felosztás eredménykim'!$B38,'Eredeti fejléccel'!$BS:$BS)</f>
        <v>0</v>
      </c>
      <c r="DO38" s="6">
        <f>SUMIF('Eredeti fejléccel'!$B:$B,'Felosztás eredménykim'!$B38,'Eredeti fejléccel'!$BO:$BO)</f>
        <v>0</v>
      </c>
      <c r="DP38" s="6">
        <f>SUMIF('Eredeti fejléccel'!$B:$B,'Felosztás eredménykim'!$B38,'Eredeti fejléccel'!$BP:$BP)</f>
        <v>400000</v>
      </c>
      <c r="DQ38" s="6">
        <f>SUMIF('Eredeti fejléccel'!$B:$B,'Felosztás eredménykim'!$B38,'Eredeti fejléccel'!$BQ:$BQ)</f>
        <v>0</v>
      </c>
      <c r="DS38" s="8"/>
      <c r="DU38" s="6">
        <f>SUMIF('Eredeti fejléccel'!$B:$B,'Felosztás eredménykim'!$B38,'Eredeti fejléccel'!$BT:$BT)</f>
        <v>0</v>
      </c>
      <c r="DV38" s="6">
        <f>SUMIF('Eredeti fejléccel'!$B:$B,'Felosztás eredménykim'!$B38,'Eredeti fejléccel'!$BU:$BU)</f>
        <v>0</v>
      </c>
      <c r="DW38" s="6">
        <f>SUMIF('Eredeti fejléccel'!$B:$B,'Felosztás eredménykim'!$B38,'Eredeti fejléccel'!$BV:$BV)</f>
        <v>0</v>
      </c>
      <c r="DX38" s="6">
        <f>SUMIF('Eredeti fejléccel'!$B:$B,'Felosztás eredménykim'!$B38,'Eredeti fejléccel'!$BW:$BW)</f>
        <v>0</v>
      </c>
      <c r="DY38" s="6">
        <f>SUMIF('Eredeti fejléccel'!$B:$B,'Felosztás eredménykim'!$B38,'Eredeti fejléccel'!$BX:$BX)</f>
        <v>0</v>
      </c>
      <c r="EA38" s="6"/>
      <c r="EC38" s="6"/>
      <c r="EE38" s="6">
        <f>SUMIF('Eredeti fejléccel'!$B:$B,'Felosztás eredménykim'!$B38,'Eredeti fejléccel'!$CA:$CA)</f>
        <v>0</v>
      </c>
      <c r="EF38" s="6">
        <f>SUMIF('Eredeti fejléccel'!$B:$B,'Felosztás eredménykim'!$B38,'Eredeti fejléccel'!$CB:$CB)</f>
        <v>0</v>
      </c>
      <c r="EG38" s="6">
        <f>SUMIF('Eredeti fejléccel'!$B:$B,'Felosztás eredménykim'!$B38,'Eredeti fejléccel'!$CC:$CC)</f>
        <v>0</v>
      </c>
      <c r="EH38" s="6">
        <f>SUMIF('Eredeti fejléccel'!$B:$B,'Felosztás eredménykim'!$B38,'Eredeti fejléccel'!$CD:$CD)</f>
        <v>0</v>
      </c>
      <c r="EK38" s="6">
        <f>SUMIF('Eredeti fejléccel'!$B:$B,'Felosztás eredménykim'!$B38,'Eredeti fejléccel'!$CE:$CE)</f>
        <v>0</v>
      </c>
      <c r="EN38" s="6">
        <f>SUMIF('Eredeti fejléccel'!$B:$B,'Felosztás eredménykim'!$B38,'Eredeti fejléccel'!$CF:$CF)</f>
        <v>0</v>
      </c>
      <c r="EP38" s="6">
        <f>SUMIF('Eredeti fejléccel'!$B:$B,'Felosztás eredménykim'!$B38,'Eredeti fejléccel'!$CG:$CG)</f>
        <v>0</v>
      </c>
      <c r="ES38" s="6">
        <f>SUMIF('Eredeti fejléccel'!$B:$B,'Felosztás eredménykim'!$B38,'Eredeti fejléccel'!$CH:$CH)</f>
        <v>0</v>
      </c>
      <c r="ET38" s="6">
        <f>SUMIF('Eredeti fejléccel'!$B:$B,'Felosztás eredménykim'!$B38,'Eredeti fejléccel'!$CI:$CI)</f>
        <v>0</v>
      </c>
      <c r="EW38" s="8">
        <f t="shared" si="22"/>
        <v>0</v>
      </c>
      <c r="EX38" s="8">
        <f t="shared" si="51"/>
        <v>0</v>
      </c>
      <c r="EY38" s="8">
        <f t="shared" si="52"/>
        <v>400000</v>
      </c>
      <c r="EZ38" s="8">
        <f t="shared" si="23"/>
        <v>864400</v>
      </c>
      <c r="FA38" s="8">
        <f t="shared" si="24"/>
        <v>800000</v>
      </c>
      <c r="FC38" s="6">
        <f>SUMIF('Eredeti fejléccel'!$B:$B,'Felosztás eredménykim'!$B38,'Eredeti fejléccel'!$L:$L)</f>
        <v>0</v>
      </c>
      <c r="FD38" s="6">
        <f>SUMIF('Eredeti fejléccel'!$B:$B,'Felosztás eredménykim'!$B38,'Eredeti fejléccel'!$CJ:$CJ)</f>
        <v>0</v>
      </c>
      <c r="FE38" s="6">
        <f>SUMIF('Eredeti fejléccel'!$B:$B,'Felosztás eredménykim'!$B38,'Eredeti fejléccel'!$CL:$CL)</f>
        <v>0</v>
      </c>
      <c r="FG38" s="99">
        <f t="shared" si="53"/>
        <v>0</v>
      </c>
      <c r="FH38" s="6">
        <f>SUMIF('Eredeti fejléccel'!$B:$B,'Felosztás eredménykim'!$B38,'Eredeti fejléccel'!$CK:$CK)</f>
        <v>0</v>
      </c>
      <c r="FI38" s="36">
        <f t="shared" ref="FI38:FI69" si="68">$X38/$HD$290*(FJ$290+FJ$293)</f>
        <v>28688.806987976957</v>
      </c>
      <c r="FJ38" s="101">
        <f t="shared" si="26"/>
        <v>0</v>
      </c>
      <c r="FK38" s="6">
        <f>SUMIF('Eredeti fejléccel'!$B:$B,'Felosztás eredménykim'!$B38,'Eredeti fejléccel'!$CM:$CM)</f>
        <v>0</v>
      </c>
      <c r="FL38" s="6">
        <f>SUMIF('Eredeti fejléccel'!$B:$B,'Felosztás eredménykim'!$B38,'Eredeti fejléccel'!$CN:$CN)</f>
        <v>0</v>
      </c>
      <c r="FM38" s="8">
        <f t="shared" si="54"/>
        <v>0</v>
      </c>
      <c r="FN38" s="36">
        <f t="shared" ref="FN38:FN69" si="69">$X38/$HD$290*(FO$290+FO$293)</f>
        <v>24390.192452046034</v>
      </c>
      <c r="FO38" s="101">
        <f t="shared" si="28"/>
        <v>0</v>
      </c>
      <c r="FP38" s="6">
        <f>SUMIF('Eredeti fejléccel'!$B:$B,'Felosztás eredménykim'!$B38,'Eredeti fejléccel'!$CO:$CO)</f>
        <v>33785975</v>
      </c>
      <c r="FQ38" s="6">
        <f>'Eredeti fejléccel'!CP38</f>
        <v>0</v>
      </c>
      <c r="FR38" s="6">
        <f>'Eredeti fejléccel'!CQ38</f>
        <v>0</v>
      </c>
      <c r="FS38" s="103">
        <f t="shared" si="55"/>
        <v>33785975</v>
      </c>
      <c r="FT38" s="36">
        <f t="shared" ref="FT38:FT69" si="70">$X38/$HD$290*(FU$290+FU$293)</f>
        <v>67324.043230626208</v>
      </c>
      <c r="FU38" s="101">
        <f t="shared" si="30"/>
        <v>0</v>
      </c>
      <c r="FV38" s="101"/>
      <c r="FW38" s="6">
        <f>SUMIF('Eredeti fejléccel'!$B:$B,'Felosztás eredménykim'!$B38,'Eredeti fejléccel'!$CR:$CR)</f>
        <v>0</v>
      </c>
      <c r="FX38" s="6">
        <f>SUMIF('Eredeti fejléccel'!$B:$B,'Felosztás eredménykim'!$B38,'Eredeti fejléccel'!$CS:$CS)</f>
        <v>0</v>
      </c>
      <c r="FY38" s="6">
        <f>SUMIF('Eredeti fejléccel'!$B:$B,'Felosztás eredménykim'!$B38,'Eredeti fejléccel'!$CT:$CT)</f>
        <v>0</v>
      </c>
      <c r="FZ38" s="6">
        <f>SUMIF('Eredeti fejléccel'!$B:$B,'Felosztás eredménykim'!$B38,'Eredeti fejléccel'!$CU:$CU)</f>
        <v>0</v>
      </c>
      <c r="GA38" s="103">
        <f t="shared" si="56"/>
        <v>0</v>
      </c>
      <c r="GB38" s="36">
        <f t="shared" ref="GB38:GB69" si="71">$X38/$HD$290*(GC$290+GC$293)</f>
        <v>8973.7500531112764</v>
      </c>
      <c r="GC38" s="101">
        <f t="shared" si="32"/>
        <v>0</v>
      </c>
      <c r="GD38" s="6">
        <f>SUMIF('Eredeti fejléccel'!$B:$B,'Felosztás eredménykim'!$B38,'Eredeti fejléccel'!$CV:$CV)</f>
        <v>43104</v>
      </c>
      <c r="GE38" s="6">
        <f>SUMIF('Eredeti fejléccel'!$B:$B,'Felosztás eredménykim'!$B38,'Eredeti fejléccel'!$CW:$CW)</f>
        <v>0</v>
      </c>
      <c r="GF38" s="103">
        <f t="shared" si="57"/>
        <v>43104</v>
      </c>
      <c r="GG38" s="36">
        <f t="shared" si="33"/>
        <v>0</v>
      </c>
      <c r="GM38" s="6">
        <f>SUMIF('Eredeti fejléccel'!$B:$B,'Felosztás eredménykim'!$B38,'Eredeti fejléccel'!$CX:$CX)</f>
        <v>0</v>
      </c>
      <c r="GN38" s="6">
        <f>SUMIF('Eredeti fejléccel'!$B:$B,'Felosztás eredménykim'!$B38,'Eredeti fejléccel'!$CY:$CY)</f>
        <v>0</v>
      </c>
      <c r="GO38" s="6">
        <f>SUMIF('Eredeti fejléccel'!$B:$B,'Felosztás eredménykim'!$B38,'Eredeti fejléccel'!$CZ:$CZ)</f>
        <v>0</v>
      </c>
      <c r="GP38" s="6">
        <f>SUMIF('Eredeti fejléccel'!$B:$B,'Felosztás eredménykim'!$B38,'Eredeti fejléccel'!$DA:$DA)</f>
        <v>0</v>
      </c>
      <c r="GQ38" s="6">
        <f>SUMIF('Eredeti fejléccel'!$B:$B,'Felosztás eredménykim'!$B38,'Eredeti fejléccel'!$DB:$DB)</f>
        <v>0</v>
      </c>
      <c r="GR38" s="103">
        <f t="shared" si="58"/>
        <v>0</v>
      </c>
      <c r="GW38" s="36">
        <f t="shared" si="34"/>
        <v>15404.412105602061</v>
      </c>
      <c r="GX38" s="6">
        <f>SUMIF('Eredeti fejléccel'!$B:$B,'Felosztás eredménykim'!$B38,'Eredeti fejléccel'!$M:$M)</f>
        <v>0</v>
      </c>
      <c r="GY38" s="6">
        <f>SUMIF('Eredeti fejléccel'!$B:$B,'Felosztás eredménykim'!$B38,'Eredeti fejléccel'!$DC:$DC)</f>
        <v>126870</v>
      </c>
      <c r="GZ38" s="6">
        <f>SUMIF('Eredeti fejléccel'!$B:$B,'Felosztás eredménykim'!$B38,'Eredeti fejléccel'!$DD:$DD)</f>
        <v>0</v>
      </c>
      <c r="HA38" s="6">
        <f>SUMIF('Eredeti fejléccel'!$B:$B,'Felosztás eredménykim'!$B38,'Eredeti fejléccel'!$DE:$DE)</f>
        <v>0</v>
      </c>
      <c r="HB38" s="103">
        <f t="shared" si="59"/>
        <v>126870</v>
      </c>
      <c r="HD38" s="9">
        <f t="shared" ref="HD38:HD69" si="72">SUM(D38:HA38)-W38-X38-AD38-AE38-AF38-AG38-AK38-AL38-AM38-AS38-AT38-AU38-BE38-BF38-BG38-BL38-BM38-BN38-CB38-CC38-CD38-CI38-CJ38-CK38-CN38-CO38-CP38-CR38-CX38-DA38-DC38-DG38-DH38-DL38-EW38-EX38-EY38-EZ38-FA38-FF38-FG38-FI38-FJ38-FM38-FN38-FO38-FS38-FT38-FU38-GA38-GB38-GC38-GF38-GG38-GR38-GS38-GT38-GU38-GW38</f>
        <v>34735125.999999985</v>
      </c>
      <c r="HE38" s="9">
        <v>34735126</v>
      </c>
      <c r="HF38" s="476"/>
      <c r="HH38" s="34">
        <f t="shared" si="60"/>
        <v>0</v>
      </c>
    </row>
    <row r="39" spans="1:216" x14ac:dyDescent="0.25">
      <c r="A39" s="4" t="s">
        <v>850</v>
      </c>
      <c r="B39" s="4" t="s">
        <v>850</v>
      </c>
      <c r="C39" s="1" t="s">
        <v>909</v>
      </c>
      <c r="D39" s="6">
        <f>SUMIF('Eredeti fejléccel'!$B:$B,'Felosztás eredménykim'!$B39,'Eredeti fejléccel'!$D:$D)</f>
        <v>0</v>
      </c>
      <c r="E39" s="6">
        <f>SUMIF('Eredeti fejléccel'!$B:$B,'Felosztás eredménykim'!$B39,'Eredeti fejléccel'!$E:$E)</f>
        <v>0</v>
      </c>
      <c r="F39" s="6">
        <f>SUMIF('Eredeti fejléccel'!$B:$B,'Felosztás eredménykim'!$B39,'Eredeti fejléccel'!$F:$F)</f>
        <v>0</v>
      </c>
      <c r="G39" s="6">
        <f>SUMIF('Eredeti fejléccel'!$B:$B,'Felosztás eredménykim'!$B39,'Eredeti fejléccel'!$G:$G)</f>
        <v>0</v>
      </c>
      <c r="H39" s="6"/>
      <c r="I39" s="6">
        <f>SUMIF('Eredeti fejléccel'!$B:$B,'Felosztás eredménykim'!$B39,'Eredeti fejléccel'!$O:$O)</f>
        <v>0</v>
      </c>
      <c r="J39" s="6">
        <f>SUMIF('Eredeti fejléccel'!$B:$B,'Felosztás eredménykim'!$B39,'Eredeti fejléccel'!$P:$P)</f>
        <v>0</v>
      </c>
      <c r="K39" s="6">
        <f>SUMIF('Eredeti fejléccel'!$B:$B,'Felosztás eredménykim'!$B39,'Eredeti fejléccel'!$Q:$Q)</f>
        <v>0</v>
      </c>
      <c r="L39" s="6">
        <f>SUMIF('Eredeti fejléccel'!$B:$B,'Felosztás eredménykim'!$B39,'Eredeti fejléccel'!$R:$R)</f>
        <v>0</v>
      </c>
      <c r="M39" s="6">
        <f>SUMIF('Eredeti fejléccel'!$B:$B,'Felosztás eredménykim'!$B39,'Eredeti fejléccel'!$T:$T)</f>
        <v>0</v>
      </c>
      <c r="N39" s="6">
        <f>SUMIF('Eredeti fejléccel'!$B:$B,'Felosztás eredménykim'!$B39,'Eredeti fejléccel'!$U:$U)</f>
        <v>0</v>
      </c>
      <c r="O39" s="6">
        <f>SUMIF('Eredeti fejléccel'!$B:$B,'Felosztás eredménykim'!$B39,'Eredeti fejléccel'!$V:$V)</f>
        <v>0</v>
      </c>
      <c r="P39" s="6">
        <f>SUMIF('Eredeti fejléccel'!$B:$B,'Felosztás eredménykim'!$B39,'Eredeti fejléccel'!$W:$W)</f>
        <v>0</v>
      </c>
      <c r="Q39" s="6">
        <f>SUMIF('Eredeti fejléccel'!$B:$B,'Felosztás eredménykim'!$B39,'Eredeti fejléccel'!$X:$X)</f>
        <v>0</v>
      </c>
      <c r="R39" s="6">
        <f>SUMIF('Eredeti fejléccel'!$B:$B,'Felosztás eredménykim'!$B39,'Eredeti fejléccel'!$Y:$Y)</f>
        <v>0</v>
      </c>
      <c r="S39" s="6">
        <f>SUMIF('Eredeti fejléccel'!$B:$B,'Felosztás eredménykim'!$B39,'Eredeti fejléccel'!$Z:$Z)</f>
        <v>0</v>
      </c>
      <c r="T39" s="6">
        <f>SUMIF('Eredeti fejléccel'!$B:$B,'Felosztás eredménykim'!$B39,'Eredeti fejléccel'!$AA:$AA)</f>
        <v>0</v>
      </c>
      <c r="U39" s="6">
        <f>SUMIF('Eredeti fejléccel'!$B:$B,'Felosztás eredménykim'!$B39,'Eredeti fejléccel'!$D:$D)</f>
        <v>0</v>
      </c>
      <c r="V39" s="6">
        <f>SUMIF('Eredeti fejléccel'!$B:$B,'Felosztás eredménykim'!$B39,'Eredeti fejléccel'!$AT:$AT)</f>
        <v>0</v>
      </c>
      <c r="X39" s="36">
        <f t="shared" si="0"/>
        <v>0</v>
      </c>
      <c r="Z39" s="6">
        <f>SUMIF('Eredeti fejléccel'!$B:$B,'Felosztás eredménykim'!$B39,'Eredeti fejléccel'!$K:$K)</f>
        <v>0</v>
      </c>
      <c r="AB39" s="6">
        <f>SUMIF('Eredeti fejléccel'!$B:$B,'Felosztás eredménykim'!$B39,'Eredeti fejléccel'!$AB:$AB)</f>
        <v>0</v>
      </c>
      <c r="AC39" s="6">
        <f>SUMIF('Eredeti fejléccel'!$B:$B,'Felosztás eredménykim'!$B39,'Eredeti fejléccel'!$AQ:$AQ)</f>
        <v>0</v>
      </c>
      <c r="AE39" s="73">
        <f t="shared" si="1"/>
        <v>0</v>
      </c>
      <c r="AF39" s="36">
        <f t="shared" si="61"/>
        <v>0</v>
      </c>
      <c r="AG39" s="8">
        <f t="shared" si="3"/>
        <v>0</v>
      </c>
      <c r="AI39" s="6">
        <f>SUMIF('Eredeti fejléccel'!$B:$B,'Felosztás eredménykim'!$B39,'Eredeti fejléccel'!$BB:$BB)</f>
        <v>0</v>
      </c>
      <c r="AJ39" s="6">
        <f>SUMIF('Eredeti fejléccel'!$B:$B,'Felosztás eredménykim'!$B39,'Eredeti fejléccel'!$AF:$AF)</f>
        <v>0</v>
      </c>
      <c r="AK39" s="8">
        <f t="shared" si="4"/>
        <v>0</v>
      </c>
      <c r="AL39" s="36">
        <f t="shared" si="62"/>
        <v>0</v>
      </c>
      <c r="AM39" s="8">
        <f t="shared" si="6"/>
        <v>0</v>
      </c>
      <c r="AN39" s="6">
        <f t="shared" si="36"/>
        <v>0</v>
      </c>
      <c r="AO39" s="6">
        <f>SUMIF('Eredeti fejléccel'!$B:$B,'Felosztás eredménykim'!$B39,'Eredeti fejléccel'!$AC:$AC)</f>
        <v>0</v>
      </c>
      <c r="AP39" s="6">
        <f>SUMIF('Eredeti fejléccel'!$B:$B,'Felosztás eredménykim'!$B39,'Eredeti fejléccel'!$AD:$AD)</f>
        <v>0</v>
      </c>
      <c r="AQ39" s="6">
        <f>SUMIF('Eredeti fejléccel'!$B:$B,'Felosztás eredménykim'!$B39,'Eredeti fejléccel'!$AE:$AE)</f>
        <v>0</v>
      </c>
      <c r="AR39" s="6">
        <f>SUMIF('Eredeti fejléccel'!$B:$B,'Felosztás eredménykim'!$B39,'Eredeti fejléccel'!$AG:$AG)</f>
        <v>0</v>
      </c>
      <c r="AS39" s="6">
        <f t="shared" si="37"/>
        <v>0</v>
      </c>
      <c r="AT39" s="36">
        <f t="shared" si="63"/>
        <v>0</v>
      </c>
      <c r="AU39" s="8">
        <f t="shared" si="8"/>
        <v>0</v>
      </c>
      <c r="AV39" s="6">
        <f>SUMIF('Eredeti fejléccel'!$B:$B,'Felosztás eredménykim'!$B39,'Eredeti fejléccel'!$AI:$AI)</f>
        <v>0</v>
      </c>
      <c r="AW39" s="6">
        <f>SUMIF('Eredeti fejléccel'!$B:$B,'Felosztás eredménykim'!$B39,'Eredeti fejléccel'!$AJ:$AJ)</f>
        <v>0</v>
      </c>
      <c r="AX39" s="6">
        <f>SUMIF('Eredeti fejléccel'!$B:$B,'Felosztás eredménykim'!$B39,'Eredeti fejléccel'!$AK:$AK)</f>
        <v>0</v>
      </c>
      <c r="AY39" s="6">
        <f>SUMIF('Eredeti fejléccel'!$B:$B,'Felosztás eredménykim'!$B39,'Eredeti fejléccel'!$AL:$AL)</f>
        <v>0</v>
      </c>
      <c r="AZ39" s="6">
        <f>SUMIF('Eredeti fejléccel'!$B:$B,'Felosztás eredménykim'!$B39,'Eredeti fejléccel'!$AM:$AM)</f>
        <v>0</v>
      </c>
      <c r="BA39" s="6">
        <f>SUMIF('Eredeti fejléccel'!$B:$B,'Felosztás eredménykim'!$B39,'Eredeti fejléccel'!$AN:$AN)</f>
        <v>0</v>
      </c>
      <c r="BB39" s="6">
        <f>SUMIF('Eredeti fejléccel'!$B:$B,'Felosztás eredménykim'!$B39,'Eredeti fejléccel'!$AP:$AP)</f>
        <v>0</v>
      </c>
      <c r="BD39" s="6">
        <f>SUMIF('Eredeti fejléccel'!$B:$B,'Felosztás eredménykim'!$B39,'Eredeti fejléccel'!$AS:$AS)</f>
        <v>0</v>
      </c>
      <c r="BE39" s="8">
        <f t="shared" si="38"/>
        <v>0</v>
      </c>
      <c r="BF39" s="36">
        <f t="shared" si="64"/>
        <v>0</v>
      </c>
      <c r="BG39" s="8">
        <f t="shared" si="10"/>
        <v>0</v>
      </c>
      <c r="BH39" s="6">
        <f t="shared" si="39"/>
        <v>0</v>
      </c>
      <c r="BI39" s="6">
        <f>SUMIF('Eredeti fejléccel'!$B:$B,'Felosztás eredménykim'!$B39,'Eredeti fejléccel'!$AH:$AH)</f>
        <v>0</v>
      </c>
      <c r="BJ39" s="6">
        <f>SUMIF('Eredeti fejléccel'!$B:$B,'Felosztás eredménykim'!$B39,'Eredeti fejléccel'!$AO:$AO)</f>
        <v>0</v>
      </c>
      <c r="BK39" s="6">
        <f>SUMIF('Eredeti fejléccel'!$B:$B,'Felosztás eredménykim'!$B39,'Eredeti fejléccel'!$BF:$BF)</f>
        <v>0</v>
      </c>
      <c r="BL39" s="8">
        <f t="shared" si="40"/>
        <v>0</v>
      </c>
      <c r="BM39" s="36">
        <f t="shared" si="65"/>
        <v>0</v>
      </c>
      <c r="BN39" s="8">
        <f t="shared" si="12"/>
        <v>0</v>
      </c>
      <c r="BP39" s="8">
        <f t="shared" si="41"/>
        <v>0</v>
      </c>
      <c r="BQ39" s="6">
        <f>SUMIF('Eredeti fejléccel'!$B:$B,'Felosztás eredménykim'!$B39,'Eredeti fejléccel'!$N:$N)</f>
        <v>0</v>
      </c>
      <c r="BR39" s="6">
        <f>SUMIF('Eredeti fejléccel'!$B:$B,'Felosztás eredménykim'!$B39,'Eredeti fejléccel'!$S:$S)</f>
        <v>0</v>
      </c>
      <c r="BT39" s="6">
        <f>SUMIF('Eredeti fejléccel'!$B:$B,'Felosztás eredménykim'!$B39,'Eredeti fejléccel'!$AR:$AR)</f>
        <v>0</v>
      </c>
      <c r="BU39" s="6">
        <f>SUMIF('Eredeti fejléccel'!$B:$B,'Felosztás eredménykim'!$B39,'Eredeti fejléccel'!$AU:$AU)</f>
        <v>0</v>
      </c>
      <c r="BV39" s="6">
        <f>SUMIF('Eredeti fejléccel'!$B:$B,'Felosztás eredménykim'!$B39,'Eredeti fejléccel'!$AV:$AV)</f>
        <v>0</v>
      </c>
      <c r="BW39" s="6">
        <f>SUMIF('Eredeti fejléccel'!$B:$B,'Felosztás eredménykim'!$B39,'Eredeti fejléccel'!$AW:$AW)</f>
        <v>0</v>
      </c>
      <c r="BX39" s="6">
        <f>SUMIF('Eredeti fejléccel'!$B:$B,'Felosztás eredménykim'!$B39,'Eredeti fejléccel'!$AX:$AX)</f>
        <v>0</v>
      </c>
      <c r="BY39" s="6">
        <f>SUMIF('Eredeti fejléccel'!$B:$B,'Felosztás eredménykim'!$B39,'Eredeti fejléccel'!$AY:$AY)</f>
        <v>0</v>
      </c>
      <c r="BZ39" s="6">
        <f>SUMIF('Eredeti fejléccel'!$B:$B,'Felosztás eredménykim'!$B39,'Eredeti fejléccel'!$AZ:$AZ)</f>
        <v>0</v>
      </c>
      <c r="CA39" s="6">
        <f>SUMIF('Eredeti fejléccel'!$B:$B,'Felosztás eredménykim'!$B39,'Eredeti fejléccel'!$BA:$BA)</f>
        <v>0</v>
      </c>
      <c r="CB39" s="6">
        <f t="shared" si="13"/>
        <v>0</v>
      </c>
      <c r="CC39" s="36">
        <f t="shared" si="66"/>
        <v>0</v>
      </c>
      <c r="CD39" s="8">
        <f t="shared" si="15"/>
        <v>0</v>
      </c>
      <c r="CE39" s="6">
        <f>SUMIF('Eredeti fejléccel'!$B:$B,'Felosztás eredménykim'!$B39,'Eredeti fejléccel'!$BC:$BC)</f>
        <v>0</v>
      </c>
      <c r="CF39" s="8">
        <f t="shared" si="42"/>
        <v>0</v>
      </c>
      <c r="CG39" s="6">
        <f>SUMIF('Eredeti fejléccel'!$B:$B,'Felosztás eredménykim'!$B39,'Eredeti fejléccel'!$H:$H)</f>
        <v>0</v>
      </c>
      <c r="CH39" s="6">
        <f>SUMIF('Eredeti fejléccel'!$B:$B,'Felosztás eredménykim'!$B39,'Eredeti fejléccel'!$BE:$BE)</f>
        <v>0</v>
      </c>
      <c r="CI39" s="6">
        <f t="shared" si="43"/>
        <v>0</v>
      </c>
      <c r="CJ39" s="36">
        <f t="shared" si="67"/>
        <v>0</v>
      </c>
      <c r="CK39" s="8">
        <f t="shared" si="17"/>
        <v>0</v>
      </c>
      <c r="CL39" s="8">
        <f t="shared" si="44"/>
        <v>0</v>
      </c>
      <c r="CM39" s="6">
        <f>SUMIF('Eredeti fejléccel'!$B:$B,'Felosztás eredménykim'!$B39,'Eredeti fejléccel'!$BD:$BD)</f>
        <v>0</v>
      </c>
      <c r="CN39" s="8">
        <f t="shared" si="45"/>
        <v>0</v>
      </c>
      <c r="CO39" s="8">
        <f t="shared" si="18"/>
        <v>0</v>
      </c>
      <c r="CR39" s="36">
        <f t="shared" si="19"/>
        <v>0</v>
      </c>
      <c r="CS39" s="6">
        <f>SUMIF('Eredeti fejléccel'!$B:$B,'Felosztás eredménykim'!$B39,'Eredeti fejléccel'!$I:$I)</f>
        <v>0</v>
      </c>
      <c r="CT39" s="6">
        <f>SUMIF('Eredeti fejléccel'!$B:$B,'Felosztás eredménykim'!$B39,'Eredeti fejléccel'!$BG:$BG)</f>
        <v>0</v>
      </c>
      <c r="CU39" s="6">
        <f>SUMIF('Eredeti fejléccel'!$B:$B,'Felosztás eredménykim'!$B39,'Eredeti fejléccel'!$BH:$BH)</f>
        <v>0</v>
      </c>
      <c r="CV39" s="6">
        <f>SUMIF('Eredeti fejléccel'!$B:$B,'Felosztás eredménykim'!$B39,'Eredeti fejléccel'!$BI:$BI)</f>
        <v>0</v>
      </c>
      <c r="CW39" s="6">
        <f>SUMIF('Eredeti fejléccel'!$B:$B,'Felosztás eredménykim'!$B39,'Eredeti fejléccel'!$BL:$BL)</f>
        <v>1284000</v>
      </c>
      <c r="CX39" s="6">
        <f t="shared" si="46"/>
        <v>1284000</v>
      </c>
      <c r="CY39" s="6">
        <f>SUMIF('Eredeti fejléccel'!$B:$B,'Felosztás eredménykim'!$B39,'Eredeti fejléccel'!$BJ:$BJ)</f>
        <v>2740000</v>
      </c>
      <c r="CZ39" s="6">
        <f>SUMIF('Eredeti fejléccel'!$B:$B,'Felosztás eredménykim'!$B39,'Eredeti fejléccel'!$BK:$BK)</f>
        <v>1120000</v>
      </c>
      <c r="DA39" s="99">
        <f t="shared" si="47"/>
        <v>5144000</v>
      </c>
      <c r="DC39" s="36">
        <f t="shared" si="20"/>
        <v>0</v>
      </c>
      <c r="DD39" s="6">
        <f>SUMIF('Eredeti fejléccel'!$B:$B,'Felosztás eredménykim'!$B39,'Eredeti fejléccel'!$J:$J)</f>
        <v>0</v>
      </c>
      <c r="DE39" s="6">
        <f>SUMIF('Eredeti fejléccel'!$B:$B,'Felosztás eredménykim'!$B39,'Eredeti fejléccel'!$BM:$BM)</f>
        <v>0</v>
      </c>
      <c r="DF39" s="6">
        <f t="shared" si="48"/>
        <v>0</v>
      </c>
      <c r="DG39" s="8">
        <f t="shared" si="21"/>
        <v>0</v>
      </c>
      <c r="DH39" s="8">
        <f t="shared" si="49"/>
        <v>0</v>
      </c>
      <c r="DJ39" s="6">
        <f>SUMIF('Eredeti fejléccel'!$B:$B,'Felosztás eredménykim'!$B39,'Eredeti fejléccel'!$BN:$BN)</f>
        <v>0</v>
      </c>
      <c r="DK39" s="6">
        <f>SUMIF('Eredeti fejléccel'!$B:$B,'Felosztás eredménykim'!$B39,'Eredeti fejléccel'!$BZ:$BZ)</f>
        <v>0</v>
      </c>
      <c r="DL39" s="8">
        <f t="shared" si="50"/>
        <v>0</v>
      </c>
      <c r="DM39" s="6">
        <f>SUMIF('Eredeti fejléccel'!$B:$B,'Felosztás eredménykim'!$B39,'Eredeti fejléccel'!$BR:$BR)</f>
        <v>0</v>
      </c>
      <c r="DN39" s="6">
        <f>SUMIF('Eredeti fejléccel'!$B:$B,'Felosztás eredménykim'!$B39,'Eredeti fejléccel'!$BS:$BS)</f>
        <v>0</v>
      </c>
      <c r="DO39" s="6">
        <f>SUMIF('Eredeti fejléccel'!$B:$B,'Felosztás eredménykim'!$B39,'Eredeti fejléccel'!$BO:$BO)</f>
        <v>0</v>
      </c>
      <c r="DP39" s="6">
        <f>SUMIF('Eredeti fejléccel'!$B:$B,'Felosztás eredménykim'!$B39,'Eredeti fejléccel'!$BP:$BP)</f>
        <v>0</v>
      </c>
      <c r="DQ39" s="6">
        <f>SUMIF('Eredeti fejléccel'!$B:$B,'Felosztás eredménykim'!$B39,'Eredeti fejléccel'!$BQ:$BQ)</f>
        <v>0</v>
      </c>
      <c r="DS39" s="8"/>
      <c r="DU39" s="6">
        <f>SUMIF('Eredeti fejléccel'!$B:$B,'Felosztás eredménykim'!$B39,'Eredeti fejléccel'!$BT:$BT)</f>
        <v>0</v>
      </c>
      <c r="DV39" s="6">
        <f>SUMIF('Eredeti fejléccel'!$B:$B,'Felosztás eredménykim'!$B39,'Eredeti fejléccel'!$BU:$BU)</f>
        <v>0</v>
      </c>
      <c r="DW39" s="6">
        <f>SUMIF('Eredeti fejléccel'!$B:$B,'Felosztás eredménykim'!$B39,'Eredeti fejléccel'!$BV:$BV)</f>
        <v>0</v>
      </c>
      <c r="DX39" s="6">
        <f>SUMIF('Eredeti fejléccel'!$B:$B,'Felosztás eredménykim'!$B39,'Eredeti fejléccel'!$BW:$BW)</f>
        <v>0</v>
      </c>
      <c r="DY39" s="6">
        <f>SUMIF('Eredeti fejléccel'!$B:$B,'Felosztás eredménykim'!$B39,'Eredeti fejléccel'!$BX:$BX)</f>
        <v>0</v>
      </c>
      <c r="EA39" s="6"/>
      <c r="EC39" s="6"/>
      <c r="EE39" s="6">
        <f>SUMIF('Eredeti fejléccel'!$B:$B,'Felosztás eredménykim'!$B39,'Eredeti fejléccel'!$CA:$CA)</f>
        <v>0</v>
      </c>
      <c r="EF39" s="6">
        <f>SUMIF('Eredeti fejléccel'!$B:$B,'Felosztás eredménykim'!$B39,'Eredeti fejléccel'!$CB:$CB)</f>
        <v>0</v>
      </c>
      <c r="EG39" s="6">
        <f>SUMIF('Eredeti fejléccel'!$B:$B,'Felosztás eredménykim'!$B39,'Eredeti fejléccel'!$CC:$CC)</f>
        <v>0</v>
      </c>
      <c r="EH39" s="6">
        <f>SUMIF('Eredeti fejléccel'!$B:$B,'Felosztás eredménykim'!$B39,'Eredeti fejléccel'!$CD:$CD)</f>
        <v>0</v>
      </c>
      <c r="EK39" s="6">
        <f>SUMIF('Eredeti fejléccel'!$B:$B,'Felosztás eredménykim'!$B39,'Eredeti fejléccel'!$CE:$CE)</f>
        <v>0</v>
      </c>
      <c r="EN39" s="6">
        <f>SUMIF('Eredeti fejléccel'!$B:$B,'Felosztás eredménykim'!$B39,'Eredeti fejléccel'!$CF:$CF)</f>
        <v>0</v>
      </c>
      <c r="EP39" s="6">
        <f>SUMIF('Eredeti fejléccel'!$B:$B,'Felosztás eredménykim'!$B39,'Eredeti fejléccel'!$CG:$CG)</f>
        <v>0</v>
      </c>
      <c r="ES39" s="6">
        <f>SUMIF('Eredeti fejléccel'!$B:$B,'Felosztás eredménykim'!$B39,'Eredeti fejléccel'!$CH:$CH)</f>
        <v>0</v>
      </c>
      <c r="ET39" s="6">
        <f>SUMIF('Eredeti fejléccel'!$B:$B,'Felosztás eredménykim'!$B39,'Eredeti fejléccel'!$CI:$CI)</f>
        <v>0</v>
      </c>
      <c r="EW39" s="8">
        <f t="shared" si="22"/>
        <v>0</v>
      </c>
      <c r="EX39" s="8">
        <f t="shared" si="51"/>
        <v>0</v>
      </c>
      <c r="EY39" s="8">
        <f t="shared" si="52"/>
        <v>0</v>
      </c>
      <c r="EZ39" s="8">
        <f t="shared" si="23"/>
        <v>0</v>
      </c>
      <c r="FA39" s="8">
        <f t="shared" si="24"/>
        <v>0</v>
      </c>
      <c r="FC39" s="6">
        <f>SUMIF('Eredeti fejléccel'!$B:$B,'Felosztás eredménykim'!$B39,'Eredeti fejléccel'!$L:$L)</f>
        <v>0</v>
      </c>
      <c r="FD39" s="6">
        <f>SUMIF('Eredeti fejléccel'!$B:$B,'Felosztás eredménykim'!$B39,'Eredeti fejléccel'!$CJ:$CJ)</f>
        <v>0</v>
      </c>
      <c r="FE39" s="6">
        <f>SUMIF('Eredeti fejléccel'!$B:$B,'Felosztás eredménykim'!$B39,'Eredeti fejléccel'!$CL:$CL)</f>
        <v>0</v>
      </c>
      <c r="FG39" s="99">
        <f t="shared" si="53"/>
        <v>0</v>
      </c>
      <c r="FH39" s="6">
        <f>SUMIF('Eredeti fejléccel'!$B:$B,'Felosztás eredménykim'!$B39,'Eredeti fejléccel'!$CK:$CK)</f>
        <v>0</v>
      </c>
      <c r="FI39" s="36">
        <f t="shared" si="68"/>
        <v>0</v>
      </c>
      <c r="FJ39" s="101">
        <f t="shared" si="26"/>
        <v>0</v>
      </c>
      <c r="FK39" s="6">
        <f>SUMIF('Eredeti fejléccel'!$B:$B,'Felosztás eredménykim'!$B39,'Eredeti fejléccel'!$CM:$CM)</f>
        <v>0</v>
      </c>
      <c r="FL39" s="6">
        <f>SUMIF('Eredeti fejléccel'!$B:$B,'Felosztás eredménykim'!$B39,'Eredeti fejléccel'!$CN:$CN)</f>
        <v>0</v>
      </c>
      <c r="FM39" s="8">
        <f t="shared" si="54"/>
        <v>0</v>
      </c>
      <c r="FN39" s="36">
        <f t="shared" si="69"/>
        <v>0</v>
      </c>
      <c r="FO39" s="101">
        <f t="shared" si="28"/>
        <v>0</v>
      </c>
      <c r="FP39" s="6">
        <f>SUMIF('Eredeti fejléccel'!$B:$B,'Felosztás eredménykim'!$B39,'Eredeti fejléccel'!$CO:$CO)</f>
        <v>0</v>
      </c>
      <c r="FQ39" s="6">
        <f>'Eredeti fejléccel'!CP39</f>
        <v>0</v>
      </c>
      <c r="FR39" s="6">
        <f>'Eredeti fejléccel'!CQ39</f>
        <v>0</v>
      </c>
      <c r="FS39" s="103">
        <f t="shared" si="55"/>
        <v>0</v>
      </c>
      <c r="FT39" s="36">
        <f t="shared" si="70"/>
        <v>0</v>
      </c>
      <c r="FU39" s="101">
        <f t="shared" si="30"/>
        <v>0</v>
      </c>
      <c r="FV39" s="101"/>
      <c r="FW39" s="6">
        <f>SUMIF('Eredeti fejléccel'!$B:$B,'Felosztás eredménykim'!$B39,'Eredeti fejléccel'!$CR:$CR)</f>
        <v>0</v>
      </c>
      <c r="FX39" s="6">
        <f>SUMIF('Eredeti fejléccel'!$B:$B,'Felosztás eredménykim'!$B39,'Eredeti fejléccel'!$CS:$CS)</f>
        <v>0</v>
      </c>
      <c r="FY39" s="6">
        <f>SUMIF('Eredeti fejléccel'!$B:$B,'Felosztás eredménykim'!$B39,'Eredeti fejléccel'!$CT:$CT)</f>
        <v>0</v>
      </c>
      <c r="FZ39" s="6">
        <f>SUMIF('Eredeti fejléccel'!$B:$B,'Felosztás eredménykim'!$B39,'Eredeti fejléccel'!$CU:$CU)</f>
        <v>0</v>
      </c>
      <c r="GA39" s="103">
        <f t="shared" si="56"/>
        <v>0</v>
      </c>
      <c r="GB39" s="36">
        <f t="shared" si="71"/>
        <v>0</v>
      </c>
      <c r="GC39" s="101">
        <f t="shared" si="32"/>
        <v>0</v>
      </c>
      <c r="GD39" s="6">
        <f>SUMIF('Eredeti fejléccel'!$B:$B,'Felosztás eredménykim'!$B39,'Eredeti fejléccel'!$CV:$CV)</f>
        <v>0</v>
      </c>
      <c r="GE39" s="6">
        <f>SUMIF('Eredeti fejléccel'!$B:$B,'Felosztás eredménykim'!$B39,'Eredeti fejléccel'!$CW:$CW)</f>
        <v>0</v>
      </c>
      <c r="GF39" s="103">
        <f t="shared" si="57"/>
        <v>0</v>
      </c>
      <c r="GG39" s="36">
        <f t="shared" si="33"/>
        <v>0</v>
      </c>
      <c r="GM39" s="6">
        <f>SUMIF('Eredeti fejléccel'!$B:$B,'Felosztás eredménykim'!$B39,'Eredeti fejléccel'!$CX:$CX)</f>
        <v>0</v>
      </c>
      <c r="GN39" s="6">
        <f>SUMIF('Eredeti fejléccel'!$B:$B,'Felosztás eredménykim'!$B39,'Eredeti fejléccel'!$CY:$CY)</f>
        <v>0</v>
      </c>
      <c r="GO39" s="6">
        <f>SUMIF('Eredeti fejléccel'!$B:$B,'Felosztás eredménykim'!$B39,'Eredeti fejléccel'!$CZ:$CZ)</f>
        <v>0</v>
      </c>
      <c r="GP39" s="6">
        <f>SUMIF('Eredeti fejléccel'!$B:$B,'Felosztás eredménykim'!$B39,'Eredeti fejléccel'!$DA:$DA)</f>
        <v>0</v>
      </c>
      <c r="GQ39" s="6">
        <f>SUMIF('Eredeti fejléccel'!$B:$B,'Felosztás eredménykim'!$B39,'Eredeti fejléccel'!$DB:$DB)</f>
        <v>0</v>
      </c>
      <c r="GR39" s="103">
        <f t="shared" si="58"/>
        <v>0</v>
      </c>
      <c r="GW39" s="36">
        <f t="shared" si="34"/>
        <v>0</v>
      </c>
      <c r="GX39" s="6">
        <f>SUMIF('Eredeti fejléccel'!$B:$B,'Felosztás eredménykim'!$B39,'Eredeti fejléccel'!$M:$M)</f>
        <v>0</v>
      </c>
      <c r="GY39" s="6">
        <f>SUMIF('Eredeti fejléccel'!$B:$B,'Felosztás eredménykim'!$B39,'Eredeti fejléccel'!$DC:$DC)</f>
        <v>0</v>
      </c>
      <c r="GZ39" s="6">
        <f>SUMIF('Eredeti fejléccel'!$B:$B,'Felosztás eredménykim'!$B39,'Eredeti fejléccel'!$DD:$DD)</f>
        <v>0</v>
      </c>
      <c r="HA39" s="6">
        <f>SUMIF('Eredeti fejléccel'!$B:$B,'Felosztás eredménykim'!$B39,'Eredeti fejléccel'!$DE:$DE)</f>
        <v>0</v>
      </c>
      <c r="HB39" s="103">
        <f t="shared" si="59"/>
        <v>0</v>
      </c>
      <c r="HD39" s="9">
        <f t="shared" si="72"/>
        <v>5144000</v>
      </c>
      <c r="HE39" s="9">
        <v>5144000</v>
      </c>
      <c r="HF39" s="476"/>
      <c r="HH39" s="34">
        <f t="shared" si="60"/>
        <v>0</v>
      </c>
    </row>
    <row r="40" spans="1:216" x14ac:dyDescent="0.25">
      <c r="A40" s="4" t="s">
        <v>851</v>
      </c>
      <c r="B40" s="4" t="s">
        <v>851</v>
      </c>
      <c r="C40" s="1" t="s">
        <v>910</v>
      </c>
      <c r="D40" s="6">
        <f>SUMIF('Eredeti fejléccel'!$B:$B,'Felosztás eredménykim'!$B40,'Eredeti fejléccel'!$D:$D)</f>
        <v>0</v>
      </c>
      <c r="E40" s="6">
        <f>SUMIF('Eredeti fejléccel'!$B:$B,'Felosztás eredménykim'!$B40,'Eredeti fejléccel'!$E:$E)</f>
        <v>0</v>
      </c>
      <c r="F40" s="6">
        <f>SUMIF('Eredeti fejléccel'!$B:$B,'Felosztás eredménykim'!$B40,'Eredeti fejléccel'!$F:$F)</f>
        <v>0</v>
      </c>
      <c r="G40" s="6">
        <f>SUMIF('Eredeti fejléccel'!$B:$B,'Felosztás eredménykim'!$B40,'Eredeti fejléccel'!$G:$G)</f>
        <v>0</v>
      </c>
      <c r="H40" s="6"/>
      <c r="I40" s="6">
        <f>SUMIF('Eredeti fejléccel'!$B:$B,'Felosztás eredménykim'!$B40,'Eredeti fejléccel'!$O:$O)</f>
        <v>0</v>
      </c>
      <c r="J40" s="6">
        <f>SUMIF('Eredeti fejléccel'!$B:$B,'Felosztás eredménykim'!$B40,'Eredeti fejléccel'!$P:$P)</f>
        <v>0</v>
      </c>
      <c r="K40" s="6">
        <f>SUMIF('Eredeti fejléccel'!$B:$B,'Felosztás eredménykim'!$B40,'Eredeti fejléccel'!$Q:$Q)</f>
        <v>0</v>
      </c>
      <c r="L40" s="6">
        <f>SUMIF('Eredeti fejléccel'!$B:$B,'Felosztás eredménykim'!$B40,'Eredeti fejléccel'!$R:$R)</f>
        <v>0</v>
      </c>
      <c r="M40" s="6">
        <f>SUMIF('Eredeti fejléccel'!$B:$B,'Felosztás eredménykim'!$B40,'Eredeti fejléccel'!$T:$T)</f>
        <v>0</v>
      </c>
      <c r="N40" s="6">
        <f>SUMIF('Eredeti fejléccel'!$B:$B,'Felosztás eredménykim'!$B40,'Eredeti fejléccel'!$U:$U)</f>
        <v>0</v>
      </c>
      <c r="O40" s="6">
        <f>SUMIF('Eredeti fejléccel'!$B:$B,'Felosztás eredménykim'!$B40,'Eredeti fejléccel'!$V:$V)</f>
        <v>0</v>
      </c>
      <c r="P40" s="6">
        <f>SUMIF('Eredeti fejléccel'!$B:$B,'Felosztás eredménykim'!$B40,'Eredeti fejléccel'!$W:$W)</f>
        <v>0</v>
      </c>
      <c r="Q40" s="6">
        <f>SUMIF('Eredeti fejléccel'!$B:$B,'Felosztás eredménykim'!$B40,'Eredeti fejléccel'!$X:$X)</f>
        <v>0</v>
      </c>
      <c r="R40" s="6">
        <f>SUMIF('Eredeti fejléccel'!$B:$B,'Felosztás eredménykim'!$B40,'Eredeti fejléccel'!$Y:$Y)</f>
        <v>0</v>
      </c>
      <c r="S40" s="6">
        <f>SUMIF('Eredeti fejléccel'!$B:$B,'Felosztás eredménykim'!$B40,'Eredeti fejléccel'!$Z:$Z)</f>
        <v>0</v>
      </c>
      <c r="T40" s="6">
        <f>SUMIF('Eredeti fejléccel'!$B:$B,'Felosztás eredménykim'!$B40,'Eredeti fejléccel'!$AA:$AA)</f>
        <v>0</v>
      </c>
      <c r="U40" s="6">
        <f>SUMIF('Eredeti fejléccel'!$B:$B,'Felosztás eredménykim'!$B40,'Eredeti fejléccel'!$D:$D)</f>
        <v>0</v>
      </c>
      <c r="V40" s="6">
        <f>SUMIF('Eredeti fejléccel'!$B:$B,'Felosztás eredménykim'!$B40,'Eredeti fejléccel'!$AT:$AT)</f>
        <v>0</v>
      </c>
      <c r="X40" s="36">
        <f t="shared" si="0"/>
        <v>0</v>
      </c>
      <c r="Z40" s="6">
        <f>SUMIF('Eredeti fejléccel'!$B:$B,'Felosztás eredménykim'!$B40,'Eredeti fejléccel'!$K:$K)</f>
        <v>0</v>
      </c>
      <c r="AB40" s="6">
        <f>SUMIF('Eredeti fejléccel'!$B:$B,'Felosztás eredménykim'!$B40,'Eredeti fejléccel'!$AB:$AB)</f>
        <v>0</v>
      </c>
      <c r="AC40" s="6">
        <f>SUMIF('Eredeti fejléccel'!$B:$B,'Felosztás eredménykim'!$B40,'Eredeti fejléccel'!$AQ:$AQ)</f>
        <v>0</v>
      </c>
      <c r="AE40" s="73">
        <f t="shared" si="1"/>
        <v>0</v>
      </c>
      <c r="AF40" s="36">
        <f t="shared" si="61"/>
        <v>0</v>
      </c>
      <c r="AG40" s="8">
        <f t="shared" si="3"/>
        <v>0</v>
      </c>
      <c r="AI40" s="6">
        <f>SUMIF('Eredeti fejléccel'!$B:$B,'Felosztás eredménykim'!$B40,'Eredeti fejléccel'!$BB:$BB)</f>
        <v>0</v>
      </c>
      <c r="AJ40" s="6">
        <f>SUMIF('Eredeti fejléccel'!$B:$B,'Felosztás eredménykim'!$B40,'Eredeti fejléccel'!$AF:$AF)</f>
        <v>0</v>
      </c>
      <c r="AK40" s="8">
        <f t="shared" si="4"/>
        <v>0</v>
      </c>
      <c r="AL40" s="36">
        <f t="shared" si="62"/>
        <v>0</v>
      </c>
      <c r="AM40" s="8">
        <f t="shared" si="6"/>
        <v>0</v>
      </c>
      <c r="AN40" s="6">
        <f t="shared" si="36"/>
        <v>0</v>
      </c>
      <c r="AO40" s="6">
        <f>SUMIF('Eredeti fejléccel'!$B:$B,'Felosztás eredménykim'!$B40,'Eredeti fejléccel'!$AC:$AC)</f>
        <v>0</v>
      </c>
      <c r="AP40" s="6">
        <f>SUMIF('Eredeti fejléccel'!$B:$B,'Felosztás eredménykim'!$B40,'Eredeti fejléccel'!$AD:$AD)</f>
        <v>0</v>
      </c>
      <c r="AQ40" s="6">
        <f>SUMIF('Eredeti fejléccel'!$B:$B,'Felosztás eredménykim'!$B40,'Eredeti fejléccel'!$AE:$AE)</f>
        <v>0</v>
      </c>
      <c r="AR40" s="6">
        <f>SUMIF('Eredeti fejléccel'!$B:$B,'Felosztás eredménykim'!$B40,'Eredeti fejléccel'!$AG:$AG)</f>
        <v>0</v>
      </c>
      <c r="AS40" s="6">
        <f t="shared" si="37"/>
        <v>0</v>
      </c>
      <c r="AT40" s="36">
        <f t="shared" si="63"/>
        <v>0</v>
      </c>
      <c r="AU40" s="8">
        <f t="shared" si="8"/>
        <v>0</v>
      </c>
      <c r="AV40" s="6">
        <f>SUMIF('Eredeti fejléccel'!$B:$B,'Felosztás eredménykim'!$B40,'Eredeti fejléccel'!$AI:$AI)</f>
        <v>0</v>
      </c>
      <c r="AW40" s="6">
        <f>SUMIF('Eredeti fejléccel'!$B:$B,'Felosztás eredménykim'!$B40,'Eredeti fejléccel'!$AJ:$AJ)</f>
        <v>0</v>
      </c>
      <c r="AX40" s="6">
        <f>SUMIF('Eredeti fejléccel'!$B:$B,'Felosztás eredménykim'!$B40,'Eredeti fejléccel'!$AK:$AK)</f>
        <v>0</v>
      </c>
      <c r="AY40" s="6">
        <f>SUMIF('Eredeti fejléccel'!$B:$B,'Felosztás eredménykim'!$B40,'Eredeti fejléccel'!$AL:$AL)</f>
        <v>0</v>
      </c>
      <c r="AZ40" s="6">
        <f>SUMIF('Eredeti fejléccel'!$B:$B,'Felosztás eredménykim'!$B40,'Eredeti fejléccel'!$AM:$AM)</f>
        <v>0</v>
      </c>
      <c r="BA40" s="6">
        <f>SUMIF('Eredeti fejléccel'!$B:$B,'Felosztás eredménykim'!$B40,'Eredeti fejléccel'!$AN:$AN)</f>
        <v>0</v>
      </c>
      <c r="BB40" s="6">
        <f>SUMIF('Eredeti fejléccel'!$B:$B,'Felosztás eredménykim'!$B40,'Eredeti fejléccel'!$AP:$AP)</f>
        <v>0</v>
      </c>
      <c r="BD40" s="6">
        <f>SUMIF('Eredeti fejléccel'!$B:$B,'Felosztás eredménykim'!$B40,'Eredeti fejléccel'!$AS:$AS)</f>
        <v>0</v>
      </c>
      <c r="BE40" s="8">
        <f t="shared" si="38"/>
        <v>0</v>
      </c>
      <c r="BF40" s="36">
        <f t="shared" si="64"/>
        <v>0</v>
      </c>
      <c r="BG40" s="8">
        <f t="shared" si="10"/>
        <v>0</v>
      </c>
      <c r="BH40" s="6">
        <f t="shared" si="39"/>
        <v>0</v>
      </c>
      <c r="BI40" s="6">
        <f>SUMIF('Eredeti fejléccel'!$B:$B,'Felosztás eredménykim'!$B40,'Eredeti fejléccel'!$AH:$AH)</f>
        <v>0</v>
      </c>
      <c r="BJ40" s="6">
        <f>SUMIF('Eredeti fejléccel'!$B:$B,'Felosztás eredménykim'!$B40,'Eredeti fejléccel'!$AO:$AO)</f>
        <v>0</v>
      </c>
      <c r="BK40" s="6">
        <f>SUMIF('Eredeti fejléccel'!$B:$B,'Felosztás eredménykim'!$B40,'Eredeti fejléccel'!$BF:$BF)</f>
        <v>0</v>
      </c>
      <c r="BL40" s="8">
        <f t="shared" si="40"/>
        <v>0</v>
      </c>
      <c r="BM40" s="36">
        <f t="shared" si="65"/>
        <v>0</v>
      </c>
      <c r="BN40" s="8">
        <f t="shared" si="12"/>
        <v>0</v>
      </c>
      <c r="BP40" s="8">
        <f t="shared" si="41"/>
        <v>0</v>
      </c>
      <c r="BQ40" s="6">
        <f>SUMIF('Eredeti fejléccel'!$B:$B,'Felosztás eredménykim'!$B40,'Eredeti fejléccel'!$N:$N)</f>
        <v>0</v>
      </c>
      <c r="BR40" s="6">
        <f>SUMIF('Eredeti fejléccel'!$B:$B,'Felosztás eredménykim'!$B40,'Eredeti fejléccel'!$S:$S)</f>
        <v>0</v>
      </c>
      <c r="BT40" s="6">
        <f>SUMIF('Eredeti fejléccel'!$B:$B,'Felosztás eredménykim'!$B40,'Eredeti fejléccel'!$AR:$AR)</f>
        <v>0</v>
      </c>
      <c r="BU40" s="6">
        <f>SUMIF('Eredeti fejléccel'!$B:$B,'Felosztás eredménykim'!$B40,'Eredeti fejléccel'!$AU:$AU)</f>
        <v>0</v>
      </c>
      <c r="BV40" s="6">
        <f>SUMIF('Eredeti fejléccel'!$B:$B,'Felosztás eredménykim'!$B40,'Eredeti fejléccel'!$AV:$AV)</f>
        <v>0</v>
      </c>
      <c r="BW40" s="6">
        <f>SUMIF('Eredeti fejléccel'!$B:$B,'Felosztás eredménykim'!$B40,'Eredeti fejléccel'!$AW:$AW)</f>
        <v>0</v>
      </c>
      <c r="BX40" s="6">
        <f>SUMIF('Eredeti fejléccel'!$B:$B,'Felosztás eredménykim'!$B40,'Eredeti fejléccel'!$AX:$AX)</f>
        <v>0</v>
      </c>
      <c r="BY40" s="6">
        <f>SUMIF('Eredeti fejléccel'!$B:$B,'Felosztás eredménykim'!$B40,'Eredeti fejléccel'!$AY:$AY)</f>
        <v>0</v>
      </c>
      <c r="BZ40" s="6">
        <f>SUMIF('Eredeti fejléccel'!$B:$B,'Felosztás eredménykim'!$B40,'Eredeti fejléccel'!$AZ:$AZ)</f>
        <v>0</v>
      </c>
      <c r="CA40" s="6">
        <f>SUMIF('Eredeti fejléccel'!$B:$B,'Felosztás eredménykim'!$B40,'Eredeti fejléccel'!$BA:$BA)</f>
        <v>0</v>
      </c>
      <c r="CB40" s="6">
        <f t="shared" si="13"/>
        <v>0</v>
      </c>
      <c r="CC40" s="36">
        <f t="shared" si="66"/>
        <v>0</v>
      </c>
      <c r="CD40" s="8">
        <f t="shared" si="15"/>
        <v>0</v>
      </c>
      <c r="CE40" s="6">
        <f>SUMIF('Eredeti fejléccel'!$B:$B,'Felosztás eredménykim'!$B40,'Eredeti fejléccel'!$BC:$BC)</f>
        <v>0</v>
      </c>
      <c r="CF40" s="8">
        <f t="shared" si="42"/>
        <v>0</v>
      </c>
      <c r="CG40" s="6">
        <f>SUMIF('Eredeti fejléccel'!$B:$B,'Felosztás eredménykim'!$B40,'Eredeti fejléccel'!$H:$H)</f>
        <v>0</v>
      </c>
      <c r="CH40" s="6">
        <f>SUMIF('Eredeti fejléccel'!$B:$B,'Felosztás eredménykim'!$B40,'Eredeti fejléccel'!$BE:$BE)</f>
        <v>0</v>
      </c>
      <c r="CI40" s="6">
        <f t="shared" si="43"/>
        <v>0</v>
      </c>
      <c r="CJ40" s="36">
        <f t="shared" si="67"/>
        <v>0</v>
      </c>
      <c r="CK40" s="8">
        <f t="shared" si="17"/>
        <v>0</v>
      </c>
      <c r="CL40" s="8">
        <f t="shared" si="44"/>
        <v>0</v>
      </c>
      <c r="CM40" s="6">
        <f>SUMIF('Eredeti fejléccel'!$B:$B,'Felosztás eredménykim'!$B40,'Eredeti fejléccel'!$BD:$BD)</f>
        <v>0</v>
      </c>
      <c r="CN40" s="8">
        <f t="shared" si="45"/>
        <v>0</v>
      </c>
      <c r="CO40" s="8">
        <f t="shared" si="18"/>
        <v>0</v>
      </c>
      <c r="CR40" s="36">
        <f t="shared" si="19"/>
        <v>0</v>
      </c>
      <c r="CS40" s="6">
        <f>SUMIF('Eredeti fejléccel'!$B:$B,'Felosztás eredménykim'!$B40,'Eredeti fejléccel'!$I:$I)</f>
        <v>0</v>
      </c>
      <c r="CT40" s="6">
        <f>SUMIF('Eredeti fejléccel'!$B:$B,'Felosztás eredménykim'!$B40,'Eredeti fejléccel'!$BG:$BG)</f>
        <v>0</v>
      </c>
      <c r="CU40" s="6">
        <f>SUMIF('Eredeti fejléccel'!$B:$B,'Felosztás eredménykim'!$B40,'Eredeti fejléccel'!$BH:$BH)</f>
        <v>0</v>
      </c>
      <c r="CV40" s="6">
        <f>SUMIF('Eredeti fejléccel'!$B:$B,'Felosztás eredménykim'!$B40,'Eredeti fejléccel'!$BI:$BI)</f>
        <v>0</v>
      </c>
      <c r="CW40" s="6">
        <f>SUMIF('Eredeti fejléccel'!$B:$B,'Felosztás eredménykim'!$B40,'Eredeti fejléccel'!$BL:$BL)</f>
        <v>22725563.34</v>
      </c>
      <c r="CX40" s="6">
        <f t="shared" si="46"/>
        <v>22725563.34</v>
      </c>
      <c r="CY40" s="6">
        <f>SUMIF('Eredeti fejléccel'!$B:$B,'Felosztás eredménykim'!$B40,'Eredeti fejléccel'!$BJ:$BJ)</f>
        <v>6531597.2599999998</v>
      </c>
      <c r="CZ40" s="6">
        <f>SUMIF('Eredeti fejléccel'!$B:$B,'Felosztás eredménykim'!$B40,'Eredeti fejléccel'!$BK:$BK)</f>
        <v>226554.4</v>
      </c>
      <c r="DA40" s="99">
        <f t="shared" si="47"/>
        <v>29483715</v>
      </c>
      <c r="DC40" s="36">
        <f t="shared" si="20"/>
        <v>0</v>
      </c>
      <c r="DD40" s="6">
        <f>SUMIF('Eredeti fejléccel'!$B:$B,'Felosztás eredménykim'!$B40,'Eredeti fejléccel'!$J:$J)</f>
        <v>0</v>
      </c>
      <c r="DE40" s="6">
        <f>SUMIF('Eredeti fejléccel'!$B:$B,'Felosztás eredménykim'!$B40,'Eredeti fejléccel'!$BM:$BM)</f>
        <v>0</v>
      </c>
      <c r="DF40" s="6">
        <f t="shared" si="48"/>
        <v>0</v>
      </c>
      <c r="DG40" s="8">
        <f t="shared" si="21"/>
        <v>0</v>
      </c>
      <c r="DH40" s="8">
        <f t="shared" si="49"/>
        <v>0</v>
      </c>
      <c r="DJ40" s="6">
        <f>SUMIF('Eredeti fejléccel'!$B:$B,'Felosztás eredménykim'!$B40,'Eredeti fejléccel'!$BN:$BN)</f>
        <v>0</v>
      </c>
      <c r="DK40" s="6">
        <f>SUMIF('Eredeti fejléccel'!$B:$B,'Felosztás eredménykim'!$B40,'Eredeti fejléccel'!$BZ:$BZ)</f>
        <v>0</v>
      </c>
      <c r="DL40" s="8">
        <f t="shared" si="50"/>
        <v>0</v>
      </c>
      <c r="DM40" s="6">
        <f>SUMIF('Eredeti fejléccel'!$B:$B,'Felosztás eredménykim'!$B40,'Eredeti fejléccel'!$BR:$BR)</f>
        <v>0</v>
      </c>
      <c r="DN40" s="6">
        <f>SUMIF('Eredeti fejléccel'!$B:$B,'Felosztás eredménykim'!$B40,'Eredeti fejléccel'!$BS:$BS)</f>
        <v>0</v>
      </c>
      <c r="DO40" s="6">
        <f>SUMIF('Eredeti fejléccel'!$B:$B,'Felosztás eredménykim'!$B40,'Eredeti fejléccel'!$BO:$BO)</f>
        <v>0</v>
      </c>
      <c r="DP40" s="6">
        <f>SUMIF('Eredeti fejléccel'!$B:$B,'Felosztás eredménykim'!$B40,'Eredeti fejléccel'!$BP:$BP)</f>
        <v>0</v>
      </c>
      <c r="DQ40" s="6">
        <f>SUMIF('Eredeti fejléccel'!$B:$B,'Felosztás eredménykim'!$B40,'Eredeti fejléccel'!$BQ:$BQ)</f>
        <v>0</v>
      </c>
      <c r="DS40" s="8"/>
      <c r="DU40" s="6">
        <f>SUMIF('Eredeti fejléccel'!$B:$B,'Felosztás eredménykim'!$B40,'Eredeti fejléccel'!$BT:$BT)</f>
        <v>0</v>
      </c>
      <c r="DV40" s="6">
        <f>SUMIF('Eredeti fejléccel'!$B:$B,'Felosztás eredménykim'!$B40,'Eredeti fejléccel'!$BU:$BU)</f>
        <v>0</v>
      </c>
      <c r="DW40" s="6">
        <f>SUMIF('Eredeti fejléccel'!$B:$B,'Felosztás eredménykim'!$B40,'Eredeti fejléccel'!$BV:$BV)</f>
        <v>0</v>
      </c>
      <c r="DX40" s="6">
        <f>SUMIF('Eredeti fejléccel'!$B:$B,'Felosztás eredménykim'!$B40,'Eredeti fejléccel'!$BW:$BW)</f>
        <v>0</v>
      </c>
      <c r="DY40" s="6">
        <f>SUMIF('Eredeti fejléccel'!$B:$B,'Felosztás eredménykim'!$B40,'Eredeti fejléccel'!$BX:$BX)</f>
        <v>0</v>
      </c>
      <c r="EA40" s="6"/>
      <c r="EC40" s="6"/>
      <c r="EE40" s="6">
        <f>SUMIF('Eredeti fejléccel'!$B:$B,'Felosztás eredménykim'!$B40,'Eredeti fejléccel'!$CA:$CA)</f>
        <v>0</v>
      </c>
      <c r="EF40" s="6">
        <f>SUMIF('Eredeti fejléccel'!$B:$B,'Felosztás eredménykim'!$B40,'Eredeti fejléccel'!$CB:$CB)</f>
        <v>0</v>
      </c>
      <c r="EG40" s="6">
        <f>SUMIF('Eredeti fejléccel'!$B:$B,'Felosztás eredménykim'!$B40,'Eredeti fejléccel'!$CC:$CC)</f>
        <v>0</v>
      </c>
      <c r="EH40" s="6">
        <f>SUMIF('Eredeti fejléccel'!$B:$B,'Felosztás eredménykim'!$B40,'Eredeti fejléccel'!$CD:$CD)</f>
        <v>0</v>
      </c>
      <c r="EK40" s="6">
        <f>SUMIF('Eredeti fejléccel'!$B:$B,'Felosztás eredménykim'!$B40,'Eredeti fejléccel'!$CE:$CE)</f>
        <v>0</v>
      </c>
      <c r="EN40" s="6">
        <f>SUMIF('Eredeti fejléccel'!$B:$B,'Felosztás eredménykim'!$B40,'Eredeti fejléccel'!$CF:$CF)</f>
        <v>0</v>
      </c>
      <c r="EP40" s="6">
        <f>SUMIF('Eredeti fejléccel'!$B:$B,'Felosztás eredménykim'!$B40,'Eredeti fejléccel'!$CG:$CG)</f>
        <v>0</v>
      </c>
      <c r="ES40" s="6">
        <f>SUMIF('Eredeti fejléccel'!$B:$B,'Felosztás eredménykim'!$B40,'Eredeti fejléccel'!$CH:$CH)</f>
        <v>0</v>
      </c>
      <c r="ET40" s="6">
        <f>SUMIF('Eredeti fejléccel'!$B:$B,'Felosztás eredménykim'!$B40,'Eredeti fejléccel'!$CI:$CI)</f>
        <v>0</v>
      </c>
      <c r="EW40" s="8">
        <f t="shared" si="22"/>
        <v>0</v>
      </c>
      <c r="EX40" s="8">
        <f t="shared" si="51"/>
        <v>0</v>
      </c>
      <c r="EY40" s="8">
        <f t="shared" si="52"/>
        <v>0</v>
      </c>
      <c r="EZ40" s="8">
        <f t="shared" si="23"/>
        <v>0</v>
      </c>
      <c r="FA40" s="8">
        <f t="shared" si="24"/>
        <v>0</v>
      </c>
      <c r="FC40" s="6">
        <f>SUMIF('Eredeti fejléccel'!$B:$B,'Felosztás eredménykim'!$B40,'Eredeti fejléccel'!$L:$L)</f>
        <v>0</v>
      </c>
      <c r="FD40" s="6">
        <f>SUMIF('Eredeti fejléccel'!$B:$B,'Felosztás eredménykim'!$B40,'Eredeti fejléccel'!$CJ:$CJ)</f>
        <v>0</v>
      </c>
      <c r="FE40" s="6">
        <f>SUMIF('Eredeti fejléccel'!$B:$B,'Felosztás eredménykim'!$B40,'Eredeti fejléccel'!$CL:$CL)</f>
        <v>0</v>
      </c>
      <c r="FG40" s="99">
        <f t="shared" si="53"/>
        <v>0</v>
      </c>
      <c r="FH40" s="6">
        <f>SUMIF('Eredeti fejléccel'!$B:$B,'Felosztás eredménykim'!$B40,'Eredeti fejléccel'!$CK:$CK)</f>
        <v>0</v>
      </c>
      <c r="FI40" s="36">
        <f t="shared" si="68"/>
        <v>0</v>
      </c>
      <c r="FJ40" s="101">
        <f t="shared" si="26"/>
        <v>0</v>
      </c>
      <c r="FK40" s="6">
        <f>SUMIF('Eredeti fejléccel'!$B:$B,'Felosztás eredménykim'!$B40,'Eredeti fejléccel'!$CM:$CM)</f>
        <v>0</v>
      </c>
      <c r="FL40" s="6">
        <f>SUMIF('Eredeti fejléccel'!$B:$B,'Felosztás eredménykim'!$B40,'Eredeti fejléccel'!$CN:$CN)</f>
        <v>0</v>
      </c>
      <c r="FM40" s="8">
        <f t="shared" si="54"/>
        <v>0</v>
      </c>
      <c r="FN40" s="36">
        <f t="shared" si="69"/>
        <v>0</v>
      </c>
      <c r="FO40" s="101">
        <f t="shared" si="28"/>
        <v>0</v>
      </c>
      <c r="FP40" s="6">
        <f>SUMIF('Eredeti fejléccel'!$B:$B,'Felosztás eredménykim'!$B40,'Eredeti fejléccel'!$CO:$CO)</f>
        <v>0</v>
      </c>
      <c r="FQ40" s="6">
        <f>'Eredeti fejléccel'!CP40</f>
        <v>0</v>
      </c>
      <c r="FR40" s="6">
        <f>'Eredeti fejléccel'!CQ40</f>
        <v>0</v>
      </c>
      <c r="FS40" s="103">
        <f t="shared" si="55"/>
        <v>0</v>
      </c>
      <c r="FT40" s="36">
        <f t="shared" si="70"/>
        <v>0</v>
      </c>
      <c r="FU40" s="101">
        <f t="shared" si="30"/>
        <v>0</v>
      </c>
      <c r="FV40" s="101"/>
      <c r="FW40" s="6">
        <f>SUMIF('Eredeti fejléccel'!$B:$B,'Felosztás eredménykim'!$B40,'Eredeti fejléccel'!$CR:$CR)</f>
        <v>0</v>
      </c>
      <c r="FX40" s="6">
        <f>SUMIF('Eredeti fejléccel'!$B:$B,'Felosztás eredménykim'!$B40,'Eredeti fejléccel'!$CS:$CS)</f>
        <v>0</v>
      </c>
      <c r="FY40" s="6">
        <f>SUMIF('Eredeti fejléccel'!$B:$B,'Felosztás eredménykim'!$B40,'Eredeti fejléccel'!$CT:$CT)</f>
        <v>0</v>
      </c>
      <c r="FZ40" s="6">
        <f>SUMIF('Eredeti fejléccel'!$B:$B,'Felosztás eredménykim'!$B40,'Eredeti fejléccel'!$CU:$CU)</f>
        <v>0</v>
      </c>
      <c r="GA40" s="103">
        <f t="shared" si="56"/>
        <v>0</v>
      </c>
      <c r="GB40" s="36">
        <f t="shared" si="71"/>
        <v>0</v>
      </c>
      <c r="GC40" s="101">
        <f t="shared" si="32"/>
        <v>0</v>
      </c>
      <c r="GD40" s="6">
        <f>SUMIF('Eredeti fejléccel'!$B:$B,'Felosztás eredménykim'!$B40,'Eredeti fejléccel'!$CV:$CV)</f>
        <v>0</v>
      </c>
      <c r="GE40" s="6">
        <f>SUMIF('Eredeti fejléccel'!$B:$B,'Felosztás eredménykim'!$B40,'Eredeti fejléccel'!$CW:$CW)</f>
        <v>0</v>
      </c>
      <c r="GF40" s="103">
        <f t="shared" si="57"/>
        <v>0</v>
      </c>
      <c r="GG40" s="36">
        <f t="shared" si="33"/>
        <v>0</v>
      </c>
      <c r="GM40" s="6">
        <f>SUMIF('Eredeti fejléccel'!$B:$B,'Felosztás eredménykim'!$B40,'Eredeti fejléccel'!$CX:$CX)</f>
        <v>0</v>
      </c>
      <c r="GN40" s="6">
        <f>SUMIF('Eredeti fejléccel'!$B:$B,'Felosztás eredménykim'!$B40,'Eredeti fejléccel'!$CY:$CY)</f>
        <v>0</v>
      </c>
      <c r="GO40" s="6">
        <f>SUMIF('Eredeti fejléccel'!$B:$B,'Felosztás eredménykim'!$B40,'Eredeti fejléccel'!$CZ:$CZ)</f>
        <v>0</v>
      </c>
      <c r="GP40" s="6">
        <f>SUMIF('Eredeti fejléccel'!$B:$B,'Felosztás eredménykim'!$B40,'Eredeti fejléccel'!$DA:$DA)</f>
        <v>0</v>
      </c>
      <c r="GQ40" s="6">
        <f>SUMIF('Eredeti fejléccel'!$B:$B,'Felosztás eredménykim'!$B40,'Eredeti fejléccel'!$DB:$DB)</f>
        <v>0</v>
      </c>
      <c r="GR40" s="103">
        <f t="shared" si="58"/>
        <v>0</v>
      </c>
      <c r="GW40" s="36">
        <f t="shared" si="34"/>
        <v>0</v>
      </c>
      <c r="GX40" s="6">
        <f>SUMIF('Eredeti fejléccel'!$B:$B,'Felosztás eredménykim'!$B40,'Eredeti fejléccel'!$M:$M)</f>
        <v>0</v>
      </c>
      <c r="GY40" s="6">
        <f>SUMIF('Eredeti fejléccel'!$B:$B,'Felosztás eredménykim'!$B40,'Eredeti fejléccel'!$DC:$DC)</f>
        <v>0</v>
      </c>
      <c r="GZ40" s="6">
        <f>SUMIF('Eredeti fejléccel'!$B:$B,'Felosztás eredménykim'!$B40,'Eredeti fejléccel'!$DD:$DD)</f>
        <v>0</v>
      </c>
      <c r="HA40" s="6">
        <f>SUMIF('Eredeti fejléccel'!$B:$B,'Felosztás eredménykim'!$B40,'Eredeti fejléccel'!$DE:$DE)</f>
        <v>0</v>
      </c>
      <c r="HB40" s="103">
        <f t="shared" si="59"/>
        <v>0</v>
      </c>
      <c r="HD40" s="9">
        <f t="shared" si="72"/>
        <v>29483715</v>
      </c>
      <c r="HE40" s="9">
        <v>29483715</v>
      </c>
      <c r="HF40" s="476"/>
      <c r="HH40" s="34">
        <f t="shared" si="60"/>
        <v>0</v>
      </c>
    </row>
    <row r="41" spans="1:216" x14ac:dyDescent="0.25">
      <c r="A41" s="4" t="s">
        <v>852</v>
      </c>
      <c r="B41" s="4" t="s">
        <v>852</v>
      </c>
      <c r="C41" s="1" t="s">
        <v>911</v>
      </c>
      <c r="D41" s="6">
        <f>SUMIF('Eredeti fejléccel'!$B:$B,'Felosztás eredménykim'!$B41,'Eredeti fejléccel'!$D:$D)</f>
        <v>0</v>
      </c>
      <c r="E41" s="6">
        <f>SUMIF('Eredeti fejléccel'!$B:$B,'Felosztás eredménykim'!$B41,'Eredeti fejléccel'!$E:$E)</f>
        <v>0</v>
      </c>
      <c r="F41" s="6">
        <f>SUMIF('Eredeti fejléccel'!$B:$B,'Felosztás eredménykim'!$B41,'Eredeti fejléccel'!$F:$F)</f>
        <v>0</v>
      </c>
      <c r="G41" s="6">
        <f>SUMIF('Eredeti fejléccel'!$B:$B,'Felosztás eredménykim'!$B41,'Eredeti fejléccel'!$G:$G)</f>
        <v>0</v>
      </c>
      <c r="H41" s="6"/>
      <c r="I41" s="6">
        <f>SUMIF('Eredeti fejléccel'!$B:$B,'Felosztás eredménykim'!$B41,'Eredeti fejléccel'!$O:$O)</f>
        <v>0</v>
      </c>
      <c r="J41" s="6">
        <f>SUMIF('Eredeti fejléccel'!$B:$B,'Felosztás eredménykim'!$B41,'Eredeti fejléccel'!$P:$P)</f>
        <v>0</v>
      </c>
      <c r="K41" s="6">
        <f>SUMIF('Eredeti fejléccel'!$B:$B,'Felosztás eredménykim'!$B41,'Eredeti fejléccel'!$Q:$Q)</f>
        <v>0</v>
      </c>
      <c r="L41" s="6">
        <f>SUMIF('Eredeti fejléccel'!$B:$B,'Felosztás eredménykim'!$B41,'Eredeti fejléccel'!$R:$R)</f>
        <v>0</v>
      </c>
      <c r="M41" s="6">
        <f>SUMIF('Eredeti fejléccel'!$B:$B,'Felosztás eredménykim'!$B41,'Eredeti fejléccel'!$T:$T)</f>
        <v>0</v>
      </c>
      <c r="N41" s="6">
        <f>SUMIF('Eredeti fejléccel'!$B:$B,'Felosztás eredménykim'!$B41,'Eredeti fejléccel'!$U:$U)</f>
        <v>0</v>
      </c>
      <c r="O41" s="6">
        <f>SUMIF('Eredeti fejléccel'!$B:$B,'Felosztás eredménykim'!$B41,'Eredeti fejléccel'!$V:$V)</f>
        <v>0</v>
      </c>
      <c r="P41" s="6">
        <f>SUMIF('Eredeti fejléccel'!$B:$B,'Felosztás eredménykim'!$B41,'Eredeti fejléccel'!$W:$W)</f>
        <v>0</v>
      </c>
      <c r="Q41" s="6">
        <f>SUMIF('Eredeti fejléccel'!$B:$B,'Felosztás eredménykim'!$B41,'Eredeti fejléccel'!$X:$X)</f>
        <v>0</v>
      </c>
      <c r="R41" s="6">
        <f>SUMIF('Eredeti fejléccel'!$B:$B,'Felosztás eredménykim'!$B41,'Eredeti fejléccel'!$Y:$Y)</f>
        <v>0</v>
      </c>
      <c r="S41" s="6">
        <f>SUMIF('Eredeti fejléccel'!$B:$B,'Felosztás eredménykim'!$B41,'Eredeti fejléccel'!$Z:$Z)</f>
        <v>0</v>
      </c>
      <c r="T41" s="6">
        <f>SUMIF('Eredeti fejléccel'!$B:$B,'Felosztás eredménykim'!$B41,'Eredeti fejléccel'!$AA:$AA)</f>
        <v>0</v>
      </c>
      <c r="U41" s="6">
        <f>SUMIF('Eredeti fejléccel'!$B:$B,'Felosztás eredménykim'!$B41,'Eredeti fejléccel'!$D:$D)</f>
        <v>0</v>
      </c>
      <c r="V41" s="6">
        <f>SUMIF('Eredeti fejléccel'!$B:$B,'Felosztás eredménykim'!$B41,'Eredeti fejléccel'!$AT:$AT)</f>
        <v>0</v>
      </c>
      <c r="X41" s="36">
        <f t="shared" si="0"/>
        <v>0</v>
      </c>
      <c r="Z41" s="6">
        <f>SUMIF('Eredeti fejléccel'!$B:$B,'Felosztás eredménykim'!$B41,'Eredeti fejléccel'!$K:$K)</f>
        <v>0</v>
      </c>
      <c r="AB41" s="6">
        <f>SUMIF('Eredeti fejléccel'!$B:$B,'Felosztás eredménykim'!$B41,'Eredeti fejléccel'!$AB:$AB)</f>
        <v>0</v>
      </c>
      <c r="AC41" s="6">
        <f>SUMIF('Eredeti fejléccel'!$B:$B,'Felosztás eredménykim'!$B41,'Eredeti fejléccel'!$AQ:$AQ)</f>
        <v>0</v>
      </c>
      <c r="AE41" s="73">
        <f t="shared" si="1"/>
        <v>0</v>
      </c>
      <c r="AF41" s="36">
        <f t="shared" si="61"/>
        <v>0</v>
      </c>
      <c r="AG41" s="8">
        <f t="shared" si="3"/>
        <v>0</v>
      </c>
      <c r="AI41" s="6">
        <f>SUMIF('Eredeti fejléccel'!$B:$B,'Felosztás eredménykim'!$B41,'Eredeti fejléccel'!$BB:$BB)</f>
        <v>0</v>
      </c>
      <c r="AJ41" s="6">
        <f>SUMIF('Eredeti fejléccel'!$B:$B,'Felosztás eredménykim'!$B41,'Eredeti fejléccel'!$AF:$AF)</f>
        <v>0</v>
      </c>
      <c r="AK41" s="8">
        <f t="shared" si="4"/>
        <v>0</v>
      </c>
      <c r="AL41" s="36">
        <f t="shared" si="62"/>
        <v>0</v>
      </c>
      <c r="AM41" s="8">
        <f t="shared" si="6"/>
        <v>0</v>
      </c>
      <c r="AN41" s="6">
        <f t="shared" si="36"/>
        <v>0</v>
      </c>
      <c r="AO41" s="6">
        <f>SUMIF('Eredeti fejléccel'!$B:$B,'Felosztás eredménykim'!$B41,'Eredeti fejléccel'!$AC:$AC)</f>
        <v>0</v>
      </c>
      <c r="AP41" s="6">
        <f>SUMIF('Eredeti fejléccel'!$B:$B,'Felosztás eredménykim'!$B41,'Eredeti fejléccel'!$AD:$AD)</f>
        <v>0</v>
      </c>
      <c r="AQ41" s="6">
        <f>SUMIF('Eredeti fejléccel'!$B:$B,'Felosztás eredménykim'!$B41,'Eredeti fejléccel'!$AE:$AE)</f>
        <v>0</v>
      </c>
      <c r="AR41" s="6">
        <f>SUMIF('Eredeti fejléccel'!$B:$B,'Felosztás eredménykim'!$B41,'Eredeti fejléccel'!$AG:$AG)</f>
        <v>0</v>
      </c>
      <c r="AS41" s="6">
        <f t="shared" si="37"/>
        <v>0</v>
      </c>
      <c r="AT41" s="36">
        <f t="shared" si="63"/>
        <v>0</v>
      </c>
      <c r="AU41" s="8">
        <f t="shared" si="8"/>
        <v>0</v>
      </c>
      <c r="AV41" s="6">
        <f>SUMIF('Eredeti fejléccel'!$B:$B,'Felosztás eredménykim'!$B41,'Eredeti fejléccel'!$AI:$AI)</f>
        <v>0</v>
      </c>
      <c r="AW41" s="6">
        <f>SUMIF('Eredeti fejléccel'!$B:$B,'Felosztás eredménykim'!$B41,'Eredeti fejléccel'!$AJ:$AJ)</f>
        <v>0</v>
      </c>
      <c r="AX41" s="6">
        <f>SUMIF('Eredeti fejléccel'!$B:$B,'Felosztás eredménykim'!$B41,'Eredeti fejléccel'!$AK:$AK)</f>
        <v>0</v>
      </c>
      <c r="AY41" s="6">
        <f>SUMIF('Eredeti fejléccel'!$B:$B,'Felosztás eredménykim'!$B41,'Eredeti fejléccel'!$AL:$AL)</f>
        <v>0</v>
      </c>
      <c r="AZ41" s="6">
        <f>SUMIF('Eredeti fejléccel'!$B:$B,'Felosztás eredménykim'!$B41,'Eredeti fejléccel'!$AM:$AM)</f>
        <v>0</v>
      </c>
      <c r="BA41" s="6">
        <f>SUMIF('Eredeti fejléccel'!$B:$B,'Felosztás eredménykim'!$B41,'Eredeti fejléccel'!$AN:$AN)</f>
        <v>0</v>
      </c>
      <c r="BB41" s="6">
        <f>SUMIF('Eredeti fejléccel'!$B:$B,'Felosztás eredménykim'!$B41,'Eredeti fejléccel'!$AP:$AP)</f>
        <v>0</v>
      </c>
      <c r="BD41" s="6">
        <f>SUMIF('Eredeti fejléccel'!$B:$B,'Felosztás eredménykim'!$B41,'Eredeti fejléccel'!$AS:$AS)</f>
        <v>0</v>
      </c>
      <c r="BE41" s="8">
        <f t="shared" si="38"/>
        <v>0</v>
      </c>
      <c r="BF41" s="36">
        <f t="shared" si="64"/>
        <v>0</v>
      </c>
      <c r="BG41" s="8">
        <f t="shared" si="10"/>
        <v>0</v>
      </c>
      <c r="BH41" s="6">
        <f t="shared" si="39"/>
        <v>0</v>
      </c>
      <c r="BI41" s="6">
        <f>SUMIF('Eredeti fejléccel'!$B:$B,'Felosztás eredménykim'!$B41,'Eredeti fejléccel'!$AH:$AH)</f>
        <v>0</v>
      </c>
      <c r="BJ41" s="6">
        <f>SUMIF('Eredeti fejléccel'!$B:$B,'Felosztás eredménykim'!$B41,'Eredeti fejléccel'!$AO:$AO)</f>
        <v>0</v>
      </c>
      <c r="BK41" s="6">
        <f>SUMIF('Eredeti fejléccel'!$B:$B,'Felosztás eredménykim'!$B41,'Eredeti fejléccel'!$BF:$BF)</f>
        <v>0</v>
      </c>
      <c r="BL41" s="8">
        <f t="shared" si="40"/>
        <v>0</v>
      </c>
      <c r="BM41" s="36">
        <f t="shared" si="65"/>
        <v>0</v>
      </c>
      <c r="BN41" s="8">
        <f t="shared" si="12"/>
        <v>0</v>
      </c>
      <c r="BP41" s="8">
        <f t="shared" si="41"/>
        <v>0</v>
      </c>
      <c r="BQ41" s="6">
        <f>SUMIF('Eredeti fejléccel'!$B:$B,'Felosztás eredménykim'!$B41,'Eredeti fejléccel'!$N:$N)</f>
        <v>0</v>
      </c>
      <c r="BR41" s="6">
        <f>SUMIF('Eredeti fejléccel'!$B:$B,'Felosztás eredménykim'!$B41,'Eredeti fejléccel'!$S:$S)</f>
        <v>0</v>
      </c>
      <c r="BT41" s="6">
        <f>SUMIF('Eredeti fejléccel'!$B:$B,'Felosztás eredménykim'!$B41,'Eredeti fejléccel'!$AR:$AR)</f>
        <v>0</v>
      </c>
      <c r="BU41" s="6">
        <f>SUMIF('Eredeti fejléccel'!$B:$B,'Felosztás eredménykim'!$B41,'Eredeti fejléccel'!$AU:$AU)</f>
        <v>0</v>
      </c>
      <c r="BV41" s="6">
        <f>SUMIF('Eredeti fejléccel'!$B:$B,'Felosztás eredménykim'!$B41,'Eredeti fejléccel'!$AV:$AV)</f>
        <v>0</v>
      </c>
      <c r="BW41" s="6">
        <f>SUMIF('Eredeti fejléccel'!$B:$B,'Felosztás eredménykim'!$B41,'Eredeti fejléccel'!$AW:$AW)</f>
        <v>0</v>
      </c>
      <c r="BX41" s="6">
        <f>SUMIF('Eredeti fejléccel'!$B:$B,'Felosztás eredménykim'!$B41,'Eredeti fejléccel'!$AX:$AX)</f>
        <v>0</v>
      </c>
      <c r="BY41" s="6">
        <f>SUMIF('Eredeti fejléccel'!$B:$B,'Felosztás eredménykim'!$B41,'Eredeti fejléccel'!$AY:$AY)</f>
        <v>0</v>
      </c>
      <c r="BZ41" s="6">
        <f>SUMIF('Eredeti fejléccel'!$B:$B,'Felosztás eredménykim'!$B41,'Eredeti fejléccel'!$AZ:$AZ)</f>
        <v>0</v>
      </c>
      <c r="CA41" s="6">
        <f>SUMIF('Eredeti fejléccel'!$B:$B,'Felosztás eredménykim'!$B41,'Eredeti fejléccel'!$BA:$BA)</f>
        <v>0</v>
      </c>
      <c r="CB41" s="6">
        <f t="shared" si="13"/>
        <v>0</v>
      </c>
      <c r="CC41" s="36">
        <f t="shared" si="66"/>
        <v>0</v>
      </c>
      <c r="CD41" s="8">
        <f t="shared" si="15"/>
        <v>0</v>
      </c>
      <c r="CE41" s="6">
        <f>SUMIF('Eredeti fejléccel'!$B:$B,'Felosztás eredménykim'!$B41,'Eredeti fejléccel'!$BC:$BC)</f>
        <v>0</v>
      </c>
      <c r="CF41" s="8">
        <f t="shared" si="42"/>
        <v>0</v>
      </c>
      <c r="CG41" s="6">
        <f>SUMIF('Eredeti fejléccel'!$B:$B,'Felosztás eredménykim'!$B41,'Eredeti fejléccel'!$H:$H)</f>
        <v>0</v>
      </c>
      <c r="CH41" s="6">
        <f>SUMIF('Eredeti fejléccel'!$B:$B,'Felosztás eredménykim'!$B41,'Eredeti fejléccel'!$BE:$BE)</f>
        <v>0</v>
      </c>
      <c r="CI41" s="6">
        <f t="shared" si="43"/>
        <v>0</v>
      </c>
      <c r="CJ41" s="36">
        <f t="shared" si="67"/>
        <v>0</v>
      </c>
      <c r="CK41" s="8">
        <f t="shared" si="17"/>
        <v>0</v>
      </c>
      <c r="CL41" s="8">
        <f t="shared" si="44"/>
        <v>0</v>
      </c>
      <c r="CM41" s="6">
        <f>SUMIF('Eredeti fejléccel'!$B:$B,'Felosztás eredménykim'!$B41,'Eredeti fejléccel'!$BD:$BD)</f>
        <v>0</v>
      </c>
      <c r="CN41" s="8">
        <f t="shared" si="45"/>
        <v>0</v>
      </c>
      <c r="CO41" s="8">
        <f t="shared" si="18"/>
        <v>0</v>
      </c>
      <c r="CR41" s="36">
        <f t="shared" si="19"/>
        <v>0</v>
      </c>
      <c r="CS41" s="6">
        <f>SUMIF('Eredeti fejléccel'!$B:$B,'Felosztás eredménykim'!$B41,'Eredeti fejléccel'!$I:$I)</f>
        <v>0</v>
      </c>
      <c r="CT41" s="6">
        <f>SUMIF('Eredeti fejléccel'!$B:$B,'Felosztás eredménykim'!$B41,'Eredeti fejléccel'!$BG:$BG)</f>
        <v>0</v>
      </c>
      <c r="CU41" s="6">
        <f>SUMIF('Eredeti fejléccel'!$B:$B,'Felosztás eredménykim'!$B41,'Eredeti fejléccel'!$BH:$BH)</f>
        <v>0</v>
      </c>
      <c r="CV41" s="6">
        <f>SUMIF('Eredeti fejléccel'!$B:$B,'Felosztás eredménykim'!$B41,'Eredeti fejléccel'!$BI:$BI)</f>
        <v>0</v>
      </c>
      <c r="CW41" s="6">
        <f>SUMIF('Eredeti fejléccel'!$B:$B,'Felosztás eredménykim'!$B41,'Eredeti fejléccel'!$BL:$BL)</f>
        <v>72656044</v>
      </c>
      <c r="CX41" s="6">
        <f t="shared" si="46"/>
        <v>72656044</v>
      </c>
      <c r="CY41" s="6">
        <f>SUMIF('Eredeti fejléccel'!$B:$B,'Felosztás eredménykim'!$B41,'Eredeti fejléccel'!$BJ:$BJ)</f>
        <v>14631080</v>
      </c>
      <c r="CZ41" s="6">
        <f>SUMIF('Eredeti fejléccel'!$B:$B,'Felosztás eredménykim'!$B41,'Eredeti fejléccel'!$BK:$BK)</f>
        <v>1543076</v>
      </c>
      <c r="DA41" s="99">
        <f t="shared" si="47"/>
        <v>88830200</v>
      </c>
      <c r="DC41" s="36">
        <f t="shared" si="20"/>
        <v>0</v>
      </c>
      <c r="DD41" s="6">
        <f>SUMIF('Eredeti fejléccel'!$B:$B,'Felosztás eredménykim'!$B41,'Eredeti fejléccel'!$J:$J)</f>
        <v>0</v>
      </c>
      <c r="DE41" s="6">
        <f>SUMIF('Eredeti fejléccel'!$B:$B,'Felosztás eredménykim'!$B41,'Eredeti fejléccel'!$BM:$BM)</f>
        <v>0</v>
      </c>
      <c r="DF41" s="6">
        <f t="shared" si="48"/>
        <v>0</v>
      </c>
      <c r="DG41" s="8">
        <f t="shared" si="21"/>
        <v>0</v>
      </c>
      <c r="DH41" s="8">
        <f t="shared" si="49"/>
        <v>0</v>
      </c>
      <c r="DJ41" s="6">
        <f>SUMIF('Eredeti fejléccel'!$B:$B,'Felosztás eredménykim'!$B41,'Eredeti fejléccel'!$BN:$BN)</f>
        <v>0</v>
      </c>
      <c r="DK41" s="6">
        <f>SUMIF('Eredeti fejléccel'!$B:$B,'Felosztás eredménykim'!$B41,'Eredeti fejléccel'!$BZ:$BZ)</f>
        <v>0</v>
      </c>
      <c r="DL41" s="8">
        <f t="shared" si="50"/>
        <v>0</v>
      </c>
      <c r="DM41" s="6">
        <f>SUMIF('Eredeti fejléccel'!$B:$B,'Felosztás eredménykim'!$B41,'Eredeti fejléccel'!$BR:$BR)</f>
        <v>0</v>
      </c>
      <c r="DN41" s="6">
        <f>SUMIF('Eredeti fejléccel'!$B:$B,'Felosztás eredménykim'!$B41,'Eredeti fejléccel'!$BS:$BS)</f>
        <v>0</v>
      </c>
      <c r="DO41" s="6">
        <f>SUMIF('Eredeti fejléccel'!$B:$B,'Felosztás eredménykim'!$B41,'Eredeti fejléccel'!$BO:$BO)</f>
        <v>0</v>
      </c>
      <c r="DP41" s="6">
        <f>SUMIF('Eredeti fejléccel'!$B:$B,'Felosztás eredménykim'!$B41,'Eredeti fejléccel'!$BP:$BP)</f>
        <v>0</v>
      </c>
      <c r="DQ41" s="6">
        <f>SUMIF('Eredeti fejléccel'!$B:$B,'Felosztás eredménykim'!$B41,'Eredeti fejléccel'!$BQ:$BQ)</f>
        <v>0</v>
      </c>
      <c r="DS41" s="8"/>
      <c r="DU41" s="6">
        <f>SUMIF('Eredeti fejléccel'!$B:$B,'Felosztás eredménykim'!$B41,'Eredeti fejléccel'!$BT:$BT)</f>
        <v>0</v>
      </c>
      <c r="DV41" s="6">
        <f>SUMIF('Eredeti fejléccel'!$B:$B,'Felosztás eredménykim'!$B41,'Eredeti fejléccel'!$BU:$BU)</f>
        <v>0</v>
      </c>
      <c r="DW41" s="6">
        <f>SUMIF('Eredeti fejléccel'!$B:$B,'Felosztás eredménykim'!$B41,'Eredeti fejléccel'!$BV:$BV)</f>
        <v>0</v>
      </c>
      <c r="DX41" s="6">
        <f>SUMIF('Eredeti fejléccel'!$B:$B,'Felosztás eredménykim'!$B41,'Eredeti fejléccel'!$BW:$BW)</f>
        <v>0</v>
      </c>
      <c r="DY41" s="6">
        <f>SUMIF('Eredeti fejléccel'!$B:$B,'Felosztás eredménykim'!$B41,'Eredeti fejléccel'!$BX:$BX)</f>
        <v>0</v>
      </c>
      <c r="EA41" s="6"/>
      <c r="EC41" s="6"/>
      <c r="EE41" s="6">
        <f>SUMIF('Eredeti fejléccel'!$B:$B,'Felosztás eredménykim'!$B41,'Eredeti fejléccel'!$CA:$CA)</f>
        <v>0</v>
      </c>
      <c r="EF41" s="6">
        <f>SUMIF('Eredeti fejléccel'!$B:$B,'Felosztás eredménykim'!$B41,'Eredeti fejléccel'!$CB:$CB)</f>
        <v>0</v>
      </c>
      <c r="EG41" s="6">
        <f>SUMIF('Eredeti fejléccel'!$B:$B,'Felosztás eredménykim'!$B41,'Eredeti fejléccel'!$CC:$CC)</f>
        <v>0</v>
      </c>
      <c r="EH41" s="6">
        <f>SUMIF('Eredeti fejléccel'!$B:$B,'Felosztás eredménykim'!$B41,'Eredeti fejléccel'!$CD:$CD)</f>
        <v>0</v>
      </c>
      <c r="EK41" s="6">
        <f>SUMIF('Eredeti fejléccel'!$B:$B,'Felosztás eredménykim'!$B41,'Eredeti fejléccel'!$CE:$CE)</f>
        <v>0</v>
      </c>
      <c r="EN41" s="6">
        <f>SUMIF('Eredeti fejléccel'!$B:$B,'Felosztás eredménykim'!$B41,'Eredeti fejléccel'!$CF:$CF)</f>
        <v>0</v>
      </c>
      <c r="EP41" s="6">
        <f>SUMIF('Eredeti fejléccel'!$B:$B,'Felosztás eredménykim'!$B41,'Eredeti fejléccel'!$CG:$CG)</f>
        <v>0</v>
      </c>
      <c r="ES41" s="6">
        <f>SUMIF('Eredeti fejléccel'!$B:$B,'Felosztás eredménykim'!$B41,'Eredeti fejléccel'!$CH:$CH)</f>
        <v>0</v>
      </c>
      <c r="ET41" s="6">
        <f>SUMIF('Eredeti fejléccel'!$B:$B,'Felosztás eredménykim'!$B41,'Eredeti fejléccel'!$CI:$CI)</f>
        <v>0</v>
      </c>
      <c r="EW41" s="8">
        <f t="shared" si="22"/>
        <v>0</v>
      </c>
      <c r="EX41" s="8">
        <f t="shared" si="51"/>
        <v>0</v>
      </c>
      <c r="EY41" s="8">
        <f t="shared" si="52"/>
        <v>0</v>
      </c>
      <c r="EZ41" s="8">
        <f t="shared" si="23"/>
        <v>0</v>
      </c>
      <c r="FA41" s="8">
        <f t="shared" si="24"/>
        <v>0</v>
      </c>
      <c r="FC41" s="6">
        <f>SUMIF('Eredeti fejléccel'!$B:$B,'Felosztás eredménykim'!$B41,'Eredeti fejléccel'!$L:$L)</f>
        <v>0</v>
      </c>
      <c r="FD41" s="6">
        <f>SUMIF('Eredeti fejléccel'!$B:$B,'Felosztás eredménykim'!$B41,'Eredeti fejléccel'!$CJ:$CJ)</f>
        <v>0</v>
      </c>
      <c r="FE41" s="6">
        <f>SUMIF('Eredeti fejléccel'!$B:$B,'Felosztás eredménykim'!$B41,'Eredeti fejléccel'!$CL:$CL)</f>
        <v>0</v>
      </c>
      <c r="FG41" s="99">
        <f t="shared" si="53"/>
        <v>0</v>
      </c>
      <c r="FH41" s="6">
        <f>SUMIF('Eredeti fejléccel'!$B:$B,'Felosztás eredménykim'!$B41,'Eredeti fejléccel'!$CK:$CK)</f>
        <v>0</v>
      </c>
      <c r="FI41" s="36">
        <f t="shared" si="68"/>
        <v>0</v>
      </c>
      <c r="FJ41" s="101">
        <f t="shared" si="26"/>
        <v>0</v>
      </c>
      <c r="FK41" s="6">
        <f>SUMIF('Eredeti fejléccel'!$B:$B,'Felosztás eredménykim'!$B41,'Eredeti fejléccel'!$CM:$CM)</f>
        <v>0</v>
      </c>
      <c r="FL41" s="6">
        <f>SUMIF('Eredeti fejléccel'!$B:$B,'Felosztás eredménykim'!$B41,'Eredeti fejléccel'!$CN:$CN)</f>
        <v>0</v>
      </c>
      <c r="FM41" s="8">
        <f t="shared" si="54"/>
        <v>0</v>
      </c>
      <c r="FN41" s="36">
        <f t="shared" si="69"/>
        <v>0</v>
      </c>
      <c r="FO41" s="101">
        <f t="shared" si="28"/>
        <v>0</v>
      </c>
      <c r="FP41" s="6">
        <f>SUMIF('Eredeti fejléccel'!$B:$B,'Felosztás eredménykim'!$B41,'Eredeti fejléccel'!$CO:$CO)</f>
        <v>0</v>
      </c>
      <c r="FQ41" s="6">
        <f>'Eredeti fejléccel'!CP41</f>
        <v>0</v>
      </c>
      <c r="FR41" s="6">
        <f>'Eredeti fejléccel'!CQ41</f>
        <v>0</v>
      </c>
      <c r="FS41" s="103">
        <f t="shared" si="55"/>
        <v>0</v>
      </c>
      <c r="FT41" s="36">
        <f t="shared" si="70"/>
        <v>0</v>
      </c>
      <c r="FU41" s="101">
        <f t="shared" si="30"/>
        <v>0</v>
      </c>
      <c r="FV41" s="101"/>
      <c r="FW41" s="6">
        <f>SUMIF('Eredeti fejléccel'!$B:$B,'Felosztás eredménykim'!$B41,'Eredeti fejléccel'!$CR:$CR)</f>
        <v>0</v>
      </c>
      <c r="FX41" s="6">
        <f>SUMIF('Eredeti fejléccel'!$B:$B,'Felosztás eredménykim'!$B41,'Eredeti fejléccel'!$CS:$CS)</f>
        <v>0</v>
      </c>
      <c r="FY41" s="6">
        <f>SUMIF('Eredeti fejléccel'!$B:$B,'Felosztás eredménykim'!$B41,'Eredeti fejléccel'!$CT:$CT)</f>
        <v>0</v>
      </c>
      <c r="FZ41" s="6">
        <f>SUMIF('Eredeti fejléccel'!$B:$B,'Felosztás eredménykim'!$B41,'Eredeti fejléccel'!$CU:$CU)</f>
        <v>0</v>
      </c>
      <c r="GA41" s="103">
        <f t="shared" si="56"/>
        <v>0</v>
      </c>
      <c r="GB41" s="36">
        <f t="shared" si="71"/>
        <v>0</v>
      </c>
      <c r="GC41" s="101">
        <f t="shared" si="32"/>
        <v>0</v>
      </c>
      <c r="GD41" s="6">
        <f>SUMIF('Eredeti fejléccel'!$B:$B,'Felosztás eredménykim'!$B41,'Eredeti fejléccel'!$CV:$CV)</f>
        <v>0</v>
      </c>
      <c r="GE41" s="6">
        <f>SUMIF('Eredeti fejléccel'!$B:$B,'Felosztás eredménykim'!$B41,'Eredeti fejléccel'!$CW:$CW)</f>
        <v>0</v>
      </c>
      <c r="GF41" s="103">
        <f t="shared" si="57"/>
        <v>0</v>
      </c>
      <c r="GG41" s="36">
        <f t="shared" si="33"/>
        <v>0</v>
      </c>
      <c r="GM41" s="6">
        <f>SUMIF('Eredeti fejléccel'!$B:$B,'Felosztás eredménykim'!$B41,'Eredeti fejléccel'!$CX:$CX)</f>
        <v>0</v>
      </c>
      <c r="GN41" s="6">
        <f>SUMIF('Eredeti fejléccel'!$B:$B,'Felosztás eredménykim'!$B41,'Eredeti fejléccel'!$CY:$CY)</f>
        <v>0</v>
      </c>
      <c r="GO41" s="6">
        <f>SUMIF('Eredeti fejléccel'!$B:$B,'Felosztás eredménykim'!$B41,'Eredeti fejléccel'!$CZ:$CZ)</f>
        <v>0</v>
      </c>
      <c r="GP41" s="6">
        <f>SUMIF('Eredeti fejléccel'!$B:$B,'Felosztás eredménykim'!$B41,'Eredeti fejléccel'!$DA:$DA)</f>
        <v>0</v>
      </c>
      <c r="GQ41" s="6">
        <f>SUMIF('Eredeti fejléccel'!$B:$B,'Felosztás eredménykim'!$B41,'Eredeti fejléccel'!$DB:$DB)</f>
        <v>0</v>
      </c>
      <c r="GR41" s="103">
        <f t="shared" si="58"/>
        <v>0</v>
      </c>
      <c r="GW41" s="36">
        <f t="shared" si="34"/>
        <v>0</v>
      </c>
      <c r="GX41" s="6">
        <f>SUMIF('Eredeti fejléccel'!$B:$B,'Felosztás eredménykim'!$B41,'Eredeti fejléccel'!$M:$M)</f>
        <v>0</v>
      </c>
      <c r="GY41" s="6">
        <f>SUMIF('Eredeti fejléccel'!$B:$B,'Felosztás eredménykim'!$B41,'Eredeti fejléccel'!$DC:$DC)</f>
        <v>0</v>
      </c>
      <c r="GZ41" s="6">
        <f>SUMIF('Eredeti fejléccel'!$B:$B,'Felosztás eredménykim'!$B41,'Eredeti fejléccel'!$DD:$DD)</f>
        <v>0</v>
      </c>
      <c r="HA41" s="6">
        <f>SUMIF('Eredeti fejléccel'!$B:$B,'Felosztás eredménykim'!$B41,'Eredeti fejléccel'!$DE:$DE)</f>
        <v>0</v>
      </c>
      <c r="HB41" s="103">
        <f t="shared" si="59"/>
        <v>0</v>
      </c>
      <c r="HD41" s="9">
        <f t="shared" si="72"/>
        <v>88830200</v>
      </c>
      <c r="HE41" s="9">
        <v>88830200</v>
      </c>
      <c r="HF41" s="476"/>
      <c r="HH41" s="34">
        <f t="shared" si="60"/>
        <v>0</v>
      </c>
    </row>
    <row r="42" spans="1:216" x14ac:dyDescent="0.25">
      <c r="A42" s="4" t="s">
        <v>853</v>
      </c>
      <c r="B42" s="4" t="s">
        <v>853</v>
      </c>
      <c r="C42" s="1" t="s">
        <v>912</v>
      </c>
      <c r="D42" s="6">
        <f>SUMIF('Eredeti fejléccel'!$B:$B,'Felosztás eredménykim'!$B42,'Eredeti fejléccel'!$D:$D)</f>
        <v>0</v>
      </c>
      <c r="E42" s="6">
        <f>SUMIF('Eredeti fejléccel'!$B:$B,'Felosztás eredménykim'!$B42,'Eredeti fejléccel'!$E:$E)</f>
        <v>0</v>
      </c>
      <c r="F42" s="6">
        <f>SUMIF('Eredeti fejléccel'!$B:$B,'Felosztás eredménykim'!$B42,'Eredeti fejléccel'!$F:$F)</f>
        <v>0</v>
      </c>
      <c r="G42" s="6">
        <f>SUMIF('Eredeti fejléccel'!$B:$B,'Felosztás eredménykim'!$B42,'Eredeti fejléccel'!$G:$G)</f>
        <v>0</v>
      </c>
      <c r="H42" s="6"/>
      <c r="I42" s="6">
        <f>SUMIF('Eredeti fejléccel'!$B:$B,'Felosztás eredménykim'!$B42,'Eredeti fejléccel'!$O:$O)</f>
        <v>0</v>
      </c>
      <c r="J42" s="6">
        <f>SUMIF('Eredeti fejléccel'!$B:$B,'Felosztás eredménykim'!$B42,'Eredeti fejléccel'!$P:$P)</f>
        <v>0</v>
      </c>
      <c r="K42" s="6">
        <f>SUMIF('Eredeti fejléccel'!$B:$B,'Felosztás eredménykim'!$B42,'Eredeti fejléccel'!$Q:$Q)</f>
        <v>0</v>
      </c>
      <c r="L42" s="6">
        <f>SUMIF('Eredeti fejléccel'!$B:$B,'Felosztás eredménykim'!$B42,'Eredeti fejléccel'!$R:$R)</f>
        <v>0</v>
      </c>
      <c r="M42" s="6">
        <f>SUMIF('Eredeti fejléccel'!$B:$B,'Felosztás eredménykim'!$B42,'Eredeti fejléccel'!$T:$T)</f>
        <v>0</v>
      </c>
      <c r="N42" s="6">
        <f>SUMIF('Eredeti fejléccel'!$B:$B,'Felosztás eredménykim'!$B42,'Eredeti fejléccel'!$U:$U)</f>
        <v>0</v>
      </c>
      <c r="O42" s="6">
        <f>SUMIF('Eredeti fejléccel'!$B:$B,'Felosztás eredménykim'!$B42,'Eredeti fejléccel'!$V:$V)</f>
        <v>0</v>
      </c>
      <c r="P42" s="6">
        <f>SUMIF('Eredeti fejléccel'!$B:$B,'Felosztás eredménykim'!$B42,'Eredeti fejléccel'!$W:$W)</f>
        <v>0</v>
      </c>
      <c r="Q42" s="6">
        <f>SUMIF('Eredeti fejléccel'!$B:$B,'Felosztás eredménykim'!$B42,'Eredeti fejléccel'!$X:$X)</f>
        <v>0</v>
      </c>
      <c r="R42" s="6">
        <f>SUMIF('Eredeti fejléccel'!$B:$B,'Felosztás eredménykim'!$B42,'Eredeti fejléccel'!$Y:$Y)</f>
        <v>0</v>
      </c>
      <c r="S42" s="6">
        <f>SUMIF('Eredeti fejléccel'!$B:$B,'Felosztás eredménykim'!$B42,'Eredeti fejléccel'!$Z:$Z)</f>
        <v>0</v>
      </c>
      <c r="T42" s="6">
        <f>SUMIF('Eredeti fejléccel'!$B:$B,'Felosztás eredménykim'!$B42,'Eredeti fejléccel'!$AA:$AA)</f>
        <v>0</v>
      </c>
      <c r="U42" s="6">
        <f>SUMIF('Eredeti fejléccel'!$B:$B,'Felosztás eredménykim'!$B42,'Eredeti fejléccel'!$D:$D)</f>
        <v>0</v>
      </c>
      <c r="V42" s="6">
        <f>SUMIF('Eredeti fejléccel'!$B:$B,'Felosztás eredménykim'!$B42,'Eredeti fejléccel'!$AT:$AT)</f>
        <v>0</v>
      </c>
      <c r="X42" s="36">
        <f t="shared" si="0"/>
        <v>0</v>
      </c>
      <c r="Z42" s="6">
        <f>SUMIF('Eredeti fejléccel'!$B:$B,'Felosztás eredménykim'!$B42,'Eredeti fejléccel'!$K:$K)</f>
        <v>0</v>
      </c>
      <c r="AB42" s="6">
        <f>SUMIF('Eredeti fejléccel'!$B:$B,'Felosztás eredménykim'!$B42,'Eredeti fejléccel'!$AB:$AB)</f>
        <v>0</v>
      </c>
      <c r="AC42" s="6">
        <f>SUMIF('Eredeti fejléccel'!$B:$B,'Felosztás eredménykim'!$B42,'Eredeti fejléccel'!$AQ:$AQ)</f>
        <v>0</v>
      </c>
      <c r="AE42" s="73">
        <f t="shared" si="1"/>
        <v>0</v>
      </c>
      <c r="AF42" s="36">
        <f t="shared" si="61"/>
        <v>0</v>
      </c>
      <c r="AG42" s="8">
        <f t="shared" si="3"/>
        <v>0</v>
      </c>
      <c r="AI42" s="6">
        <f>SUMIF('Eredeti fejléccel'!$B:$B,'Felosztás eredménykim'!$B42,'Eredeti fejléccel'!$BB:$BB)</f>
        <v>0</v>
      </c>
      <c r="AJ42" s="6">
        <f>SUMIF('Eredeti fejléccel'!$B:$B,'Felosztás eredménykim'!$B42,'Eredeti fejléccel'!$AF:$AF)</f>
        <v>0</v>
      </c>
      <c r="AK42" s="8">
        <f t="shared" si="4"/>
        <v>0</v>
      </c>
      <c r="AL42" s="36">
        <f t="shared" si="62"/>
        <v>0</v>
      </c>
      <c r="AM42" s="8">
        <f t="shared" si="6"/>
        <v>0</v>
      </c>
      <c r="AN42" s="6">
        <f t="shared" si="36"/>
        <v>0</v>
      </c>
      <c r="AO42" s="6">
        <f>SUMIF('Eredeti fejléccel'!$B:$B,'Felosztás eredménykim'!$B42,'Eredeti fejléccel'!$AC:$AC)</f>
        <v>0</v>
      </c>
      <c r="AP42" s="6">
        <f>SUMIF('Eredeti fejléccel'!$B:$B,'Felosztás eredménykim'!$B42,'Eredeti fejléccel'!$AD:$AD)</f>
        <v>0</v>
      </c>
      <c r="AQ42" s="6">
        <f>SUMIF('Eredeti fejléccel'!$B:$B,'Felosztás eredménykim'!$B42,'Eredeti fejléccel'!$AE:$AE)</f>
        <v>0</v>
      </c>
      <c r="AR42" s="6">
        <f>SUMIF('Eredeti fejléccel'!$B:$B,'Felosztás eredménykim'!$B42,'Eredeti fejléccel'!$AG:$AG)</f>
        <v>0</v>
      </c>
      <c r="AS42" s="6">
        <f t="shared" si="37"/>
        <v>0</v>
      </c>
      <c r="AT42" s="36">
        <f t="shared" si="63"/>
        <v>0</v>
      </c>
      <c r="AU42" s="8">
        <f t="shared" si="8"/>
        <v>0</v>
      </c>
      <c r="AV42" s="6">
        <f>SUMIF('Eredeti fejléccel'!$B:$B,'Felosztás eredménykim'!$B42,'Eredeti fejléccel'!$AI:$AI)</f>
        <v>0</v>
      </c>
      <c r="AW42" s="6">
        <f>SUMIF('Eredeti fejléccel'!$B:$B,'Felosztás eredménykim'!$B42,'Eredeti fejléccel'!$AJ:$AJ)</f>
        <v>0</v>
      </c>
      <c r="AX42" s="6">
        <f>SUMIF('Eredeti fejléccel'!$B:$B,'Felosztás eredménykim'!$B42,'Eredeti fejléccel'!$AK:$AK)</f>
        <v>0</v>
      </c>
      <c r="AY42" s="6">
        <f>SUMIF('Eredeti fejléccel'!$B:$B,'Felosztás eredménykim'!$B42,'Eredeti fejléccel'!$AL:$AL)</f>
        <v>0</v>
      </c>
      <c r="AZ42" s="6">
        <f>SUMIF('Eredeti fejléccel'!$B:$B,'Felosztás eredménykim'!$B42,'Eredeti fejléccel'!$AM:$AM)</f>
        <v>0</v>
      </c>
      <c r="BA42" s="6">
        <f>SUMIF('Eredeti fejléccel'!$B:$B,'Felosztás eredménykim'!$B42,'Eredeti fejléccel'!$AN:$AN)</f>
        <v>0</v>
      </c>
      <c r="BB42" s="6">
        <f>SUMIF('Eredeti fejléccel'!$B:$B,'Felosztás eredménykim'!$B42,'Eredeti fejléccel'!$AP:$AP)</f>
        <v>0</v>
      </c>
      <c r="BD42" s="6">
        <f>SUMIF('Eredeti fejléccel'!$B:$B,'Felosztás eredménykim'!$B42,'Eredeti fejléccel'!$AS:$AS)</f>
        <v>0</v>
      </c>
      <c r="BE42" s="8">
        <f t="shared" si="38"/>
        <v>0</v>
      </c>
      <c r="BF42" s="36">
        <f t="shared" si="64"/>
        <v>0</v>
      </c>
      <c r="BG42" s="8">
        <f t="shared" si="10"/>
        <v>0</v>
      </c>
      <c r="BH42" s="6">
        <f t="shared" si="39"/>
        <v>0</v>
      </c>
      <c r="BI42" s="6">
        <f>SUMIF('Eredeti fejléccel'!$B:$B,'Felosztás eredménykim'!$B42,'Eredeti fejléccel'!$AH:$AH)</f>
        <v>0</v>
      </c>
      <c r="BJ42" s="6">
        <f>SUMIF('Eredeti fejléccel'!$B:$B,'Felosztás eredménykim'!$B42,'Eredeti fejléccel'!$AO:$AO)</f>
        <v>0</v>
      </c>
      <c r="BK42" s="6">
        <f>SUMIF('Eredeti fejléccel'!$B:$B,'Felosztás eredménykim'!$B42,'Eredeti fejléccel'!$BF:$BF)</f>
        <v>0</v>
      </c>
      <c r="BL42" s="8">
        <f t="shared" si="40"/>
        <v>0</v>
      </c>
      <c r="BM42" s="36">
        <f t="shared" si="65"/>
        <v>0</v>
      </c>
      <c r="BN42" s="8">
        <f t="shared" si="12"/>
        <v>0</v>
      </c>
      <c r="BP42" s="8">
        <f t="shared" si="41"/>
        <v>0</v>
      </c>
      <c r="BQ42" s="6">
        <f>SUMIF('Eredeti fejléccel'!$B:$B,'Felosztás eredménykim'!$B42,'Eredeti fejléccel'!$N:$N)</f>
        <v>0</v>
      </c>
      <c r="BR42" s="6">
        <f>SUMIF('Eredeti fejléccel'!$B:$B,'Felosztás eredménykim'!$B42,'Eredeti fejléccel'!$S:$S)</f>
        <v>0</v>
      </c>
      <c r="BT42" s="6">
        <f>SUMIF('Eredeti fejléccel'!$B:$B,'Felosztás eredménykim'!$B42,'Eredeti fejléccel'!$AR:$AR)</f>
        <v>0</v>
      </c>
      <c r="BU42" s="6">
        <f>SUMIF('Eredeti fejléccel'!$B:$B,'Felosztás eredménykim'!$B42,'Eredeti fejléccel'!$AU:$AU)</f>
        <v>0</v>
      </c>
      <c r="BV42" s="6">
        <f>SUMIF('Eredeti fejléccel'!$B:$B,'Felosztás eredménykim'!$B42,'Eredeti fejléccel'!$AV:$AV)</f>
        <v>0</v>
      </c>
      <c r="BW42" s="6">
        <f>SUMIF('Eredeti fejléccel'!$B:$B,'Felosztás eredménykim'!$B42,'Eredeti fejléccel'!$AW:$AW)</f>
        <v>0</v>
      </c>
      <c r="BX42" s="6">
        <f>SUMIF('Eredeti fejléccel'!$B:$B,'Felosztás eredménykim'!$B42,'Eredeti fejléccel'!$AX:$AX)</f>
        <v>0</v>
      </c>
      <c r="BY42" s="6">
        <f>SUMIF('Eredeti fejléccel'!$B:$B,'Felosztás eredménykim'!$B42,'Eredeti fejléccel'!$AY:$AY)</f>
        <v>0</v>
      </c>
      <c r="BZ42" s="6">
        <f>SUMIF('Eredeti fejléccel'!$B:$B,'Felosztás eredménykim'!$B42,'Eredeti fejléccel'!$AZ:$AZ)</f>
        <v>0</v>
      </c>
      <c r="CA42" s="6">
        <f>SUMIF('Eredeti fejléccel'!$B:$B,'Felosztás eredménykim'!$B42,'Eredeti fejléccel'!$BA:$BA)</f>
        <v>0</v>
      </c>
      <c r="CB42" s="6">
        <f t="shared" si="13"/>
        <v>0</v>
      </c>
      <c r="CC42" s="36">
        <f t="shared" si="66"/>
        <v>0</v>
      </c>
      <c r="CD42" s="8">
        <f t="shared" si="15"/>
        <v>0</v>
      </c>
      <c r="CE42" s="6">
        <f>SUMIF('Eredeti fejléccel'!$B:$B,'Felosztás eredménykim'!$B42,'Eredeti fejléccel'!$BC:$BC)</f>
        <v>0</v>
      </c>
      <c r="CF42" s="8">
        <f t="shared" si="42"/>
        <v>0</v>
      </c>
      <c r="CG42" s="6">
        <f>SUMIF('Eredeti fejléccel'!$B:$B,'Felosztás eredménykim'!$B42,'Eredeti fejléccel'!$H:$H)</f>
        <v>0</v>
      </c>
      <c r="CH42" s="6">
        <f>SUMIF('Eredeti fejléccel'!$B:$B,'Felosztás eredménykim'!$B42,'Eredeti fejléccel'!$BE:$BE)</f>
        <v>0</v>
      </c>
      <c r="CI42" s="6">
        <f t="shared" si="43"/>
        <v>0</v>
      </c>
      <c r="CJ42" s="36">
        <f t="shared" si="67"/>
        <v>0</v>
      </c>
      <c r="CK42" s="8">
        <f t="shared" si="17"/>
        <v>0</v>
      </c>
      <c r="CL42" s="8">
        <f t="shared" si="44"/>
        <v>0</v>
      </c>
      <c r="CM42" s="6">
        <f>SUMIF('Eredeti fejléccel'!$B:$B,'Felosztás eredménykim'!$B42,'Eredeti fejléccel'!$BD:$BD)</f>
        <v>0</v>
      </c>
      <c r="CN42" s="8">
        <f t="shared" si="45"/>
        <v>0</v>
      </c>
      <c r="CO42" s="8">
        <f t="shared" si="18"/>
        <v>0</v>
      </c>
      <c r="CR42" s="36">
        <f t="shared" si="19"/>
        <v>0</v>
      </c>
      <c r="CS42" s="6">
        <f>SUMIF('Eredeti fejléccel'!$B:$B,'Felosztás eredménykim'!$B42,'Eredeti fejléccel'!$I:$I)</f>
        <v>0</v>
      </c>
      <c r="CT42" s="6">
        <f>SUMIF('Eredeti fejléccel'!$B:$B,'Felosztás eredménykim'!$B42,'Eredeti fejléccel'!$BG:$BG)</f>
        <v>0</v>
      </c>
      <c r="CU42" s="6">
        <f>SUMIF('Eredeti fejléccel'!$B:$B,'Felosztás eredménykim'!$B42,'Eredeti fejléccel'!$BH:$BH)</f>
        <v>0</v>
      </c>
      <c r="CV42" s="6">
        <f>SUMIF('Eredeti fejléccel'!$B:$B,'Felosztás eredménykim'!$B42,'Eredeti fejléccel'!$BI:$BI)</f>
        <v>0</v>
      </c>
      <c r="CW42" s="6">
        <f>SUMIF('Eredeti fejléccel'!$B:$B,'Felosztás eredménykim'!$B42,'Eredeti fejléccel'!$BL:$BL)</f>
        <v>58733906.189999998</v>
      </c>
      <c r="CX42" s="6">
        <f t="shared" si="46"/>
        <v>58733906.189999998</v>
      </c>
      <c r="CY42" s="6">
        <f>SUMIF('Eredeti fejléccel'!$B:$B,'Felosztás eredménykim'!$B42,'Eredeti fejléccel'!$BJ:$BJ)</f>
        <v>8776330.8099999987</v>
      </c>
      <c r="CZ42" s="6">
        <f>SUMIF('Eredeti fejléccel'!$B:$B,'Felosztás eredménykim'!$B42,'Eredeti fejléccel'!$BK:$BK)</f>
        <v>0</v>
      </c>
      <c r="DA42" s="99">
        <f t="shared" si="47"/>
        <v>67510237</v>
      </c>
      <c r="DC42" s="36">
        <f t="shared" si="20"/>
        <v>0</v>
      </c>
      <c r="DD42" s="6">
        <f>SUMIF('Eredeti fejléccel'!$B:$B,'Felosztás eredménykim'!$B42,'Eredeti fejléccel'!$J:$J)</f>
        <v>0</v>
      </c>
      <c r="DE42" s="6">
        <f>SUMIF('Eredeti fejléccel'!$B:$B,'Felosztás eredménykim'!$B42,'Eredeti fejléccel'!$BM:$BM)</f>
        <v>0</v>
      </c>
      <c r="DF42" s="6">
        <f t="shared" si="48"/>
        <v>0</v>
      </c>
      <c r="DG42" s="8">
        <f t="shared" si="21"/>
        <v>0</v>
      </c>
      <c r="DH42" s="8">
        <f t="shared" si="49"/>
        <v>0</v>
      </c>
      <c r="DJ42" s="6">
        <f>SUMIF('Eredeti fejléccel'!$B:$B,'Felosztás eredménykim'!$B42,'Eredeti fejléccel'!$BN:$BN)</f>
        <v>0</v>
      </c>
      <c r="DK42" s="6">
        <f>SUMIF('Eredeti fejléccel'!$B:$B,'Felosztás eredménykim'!$B42,'Eredeti fejléccel'!$BZ:$BZ)</f>
        <v>0</v>
      </c>
      <c r="DL42" s="8">
        <f t="shared" si="50"/>
        <v>0</v>
      </c>
      <c r="DM42" s="6">
        <f>SUMIF('Eredeti fejléccel'!$B:$B,'Felosztás eredménykim'!$B42,'Eredeti fejléccel'!$BR:$BR)</f>
        <v>0</v>
      </c>
      <c r="DN42" s="6">
        <f>SUMIF('Eredeti fejléccel'!$B:$B,'Felosztás eredménykim'!$B42,'Eredeti fejléccel'!$BS:$BS)</f>
        <v>0</v>
      </c>
      <c r="DO42" s="6">
        <f>SUMIF('Eredeti fejléccel'!$B:$B,'Felosztás eredménykim'!$B42,'Eredeti fejléccel'!$BO:$BO)</f>
        <v>0</v>
      </c>
      <c r="DP42" s="6">
        <f>SUMIF('Eredeti fejléccel'!$B:$B,'Felosztás eredménykim'!$B42,'Eredeti fejléccel'!$BP:$BP)</f>
        <v>0</v>
      </c>
      <c r="DQ42" s="6">
        <f>SUMIF('Eredeti fejléccel'!$B:$B,'Felosztás eredménykim'!$B42,'Eredeti fejléccel'!$BQ:$BQ)</f>
        <v>0</v>
      </c>
      <c r="DS42" s="8"/>
      <c r="DU42" s="6">
        <f>SUMIF('Eredeti fejléccel'!$B:$B,'Felosztás eredménykim'!$B42,'Eredeti fejléccel'!$BT:$BT)</f>
        <v>0</v>
      </c>
      <c r="DV42" s="6">
        <f>SUMIF('Eredeti fejléccel'!$B:$B,'Felosztás eredménykim'!$B42,'Eredeti fejléccel'!$BU:$BU)</f>
        <v>0</v>
      </c>
      <c r="DW42" s="6">
        <f>SUMIF('Eredeti fejléccel'!$B:$B,'Felosztás eredménykim'!$B42,'Eredeti fejléccel'!$BV:$BV)</f>
        <v>0</v>
      </c>
      <c r="DX42" s="6">
        <f>SUMIF('Eredeti fejléccel'!$B:$B,'Felosztás eredménykim'!$B42,'Eredeti fejléccel'!$BW:$BW)</f>
        <v>0</v>
      </c>
      <c r="DY42" s="6">
        <f>SUMIF('Eredeti fejléccel'!$B:$B,'Felosztás eredménykim'!$B42,'Eredeti fejléccel'!$BX:$BX)</f>
        <v>0</v>
      </c>
      <c r="EA42" s="6"/>
      <c r="EC42" s="6"/>
      <c r="EE42" s="6">
        <f>SUMIF('Eredeti fejléccel'!$B:$B,'Felosztás eredménykim'!$B42,'Eredeti fejléccel'!$CA:$CA)</f>
        <v>0</v>
      </c>
      <c r="EF42" s="6">
        <f>SUMIF('Eredeti fejléccel'!$B:$B,'Felosztás eredménykim'!$B42,'Eredeti fejléccel'!$CB:$CB)</f>
        <v>0</v>
      </c>
      <c r="EG42" s="6">
        <f>SUMIF('Eredeti fejléccel'!$B:$B,'Felosztás eredménykim'!$B42,'Eredeti fejléccel'!$CC:$CC)</f>
        <v>0</v>
      </c>
      <c r="EH42" s="6">
        <f>SUMIF('Eredeti fejléccel'!$B:$B,'Felosztás eredménykim'!$B42,'Eredeti fejléccel'!$CD:$CD)</f>
        <v>0</v>
      </c>
      <c r="EK42" s="6">
        <f>SUMIF('Eredeti fejléccel'!$B:$B,'Felosztás eredménykim'!$B42,'Eredeti fejléccel'!$CE:$CE)</f>
        <v>0</v>
      </c>
      <c r="EN42" s="6">
        <f>SUMIF('Eredeti fejléccel'!$B:$B,'Felosztás eredménykim'!$B42,'Eredeti fejléccel'!$CF:$CF)</f>
        <v>0</v>
      </c>
      <c r="EP42" s="6">
        <f>SUMIF('Eredeti fejléccel'!$B:$B,'Felosztás eredménykim'!$B42,'Eredeti fejléccel'!$CG:$CG)</f>
        <v>0</v>
      </c>
      <c r="ES42" s="6">
        <f>SUMIF('Eredeti fejléccel'!$B:$B,'Felosztás eredménykim'!$B42,'Eredeti fejléccel'!$CH:$CH)</f>
        <v>0</v>
      </c>
      <c r="ET42" s="6">
        <f>SUMIF('Eredeti fejléccel'!$B:$B,'Felosztás eredménykim'!$B42,'Eredeti fejléccel'!$CI:$CI)</f>
        <v>0</v>
      </c>
      <c r="EW42" s="8">
        <f t="shared" si="22"/>
        <v>0</v>
      </c>
      <c r="EX42" s="8">
        <f t="shared" si="51"/>
        <v>0</v>
      </c>
      <c r="EY42" s="8">
        <f t="shared" si="52"/>
        <v>0</v>
      </c>
      <c r="EZ42" s="8">
        <f t="shared" si="23"/>
        <v>0</v>
      </c>
      <c r="FA42" s="8">
        <f t="shared" si="24"/>
        <v>0</v>
      </c>
      <c r="FC42" s="6">
        <f>SUMIF('Eredeti fejléccel'!$B:$B,'Felosztás eredménykim'!$B42,'Eredeti fejléccel'!$L:$L)</f>
        <v>0</v>
      </c>
      <c r="FD42" s="6">
        <f>SUMIF('Eredeti fejléccel'!$B:$B,'Felosztás eredménykim'!$B42,'Eredeti fejléccel'!$CJ:$CJ)</f>
        <v>0</v>
      </c>
      <c r="FE42" s="6">
        <f>SUMIF('Eredeti fejléccel'!$B:$B,'Felosztás eredménykim'!$B42,'Eredeti fejléccel'!$CL:$CL)</f>
        <v>0</v>
      </c>
      <c r="FG42" s="99">
        <f t="shared" si="53"/>
        <v>0</v>
      </c>
      <c r="FH42" s="6">
        <f>SUMIF('Eredeti fejléccel'!$B:$B,'Felosztás eredménykim'!$B42,'Eredeti fejléccel'!$CK:$CK)</f>
        <v>0</v>
      </c>
      <c r="FI42" s="36">
        <f t="shared" si="68"/>
        <v>0</v>
      </c>
      <c r="FJ42" s="101">
        <f t="shared" si="26"/>
        <v>0</v>
      </c>
      <c r="FK42" s="6">
        <f>SUMIF('Eredeti fejléccel'!$B:$B,'Felosztás eredménykim'!$B42,'Eredeti fejléccel'!$CM:$CM)</f>
        <v>0</v>
      </c>
      <c r="FL42" s="6">
        <f>SUMIF('Eredeti fejléccel'!$B:$B,'Felosztás eredménykim'!$B42,'Eredeti fejléccel'!$CN:$CN)</f>
        <v>0</v>
      </c>
      <c r="FM42" s="8">
        <f t="shared" si="54"/>
        <v>0</v>
      </c>
      <c r="FN42" s="36">
        <f t="shared" si="69"/>
        <v>0</v>
      </c>
      <c r="FO42" s="101">
        <f t="shared" si="28"/>
        <v>0</v>
      </c>
      <c r="FP42" s="6">
        <f>SUMIF('Eredeti fejléccel'!$B:$B,'Felosztás eredménykim'!$B42,'Eredeti fejléccel'!$CO:$CO)</f>
        <v>0</v>
      </c>
      <c r="FQ42" s="6">
        <f>'Eredeti fejléccel'!CP42</f>
        <v>0</v>
      </c>
      <c r="FR42" s="6">
        <f>'Eredeti fejléccel'!CQ42</f>
        <v>0</v>
      </c>
      <c r="FS42" s="103">
        <f t="shared" si="55"/>
        <v>0</v>
      </c>
      <c r="FT42" s="36">
        <f t="shared" si="70"/>
        <v>0</v>
      </c>
      <c r="FU42" s="101">
        <f t="shared" si="30"/>
        <v>0</v>
      </c>
      <c r="FV42" s="101"/>
      <c r="FW42" s="6">
        <f>SUMIF('Eredeti fejléccel'!$B:$B,'Felosztás eredménykim'!$B42,'Eredeti fejléccel'!$CR:$CR)</f>
        <v>0</v>
      </c>
      <c r="FX42" s="6">
        <f>SUMIF('Eredeti fejléccel'!$B:$B,'Felosztás eredménykim'!$B42,'Eredeti fejléccel'!$CS:$CS)</f>
        <v>0</v>
      </c>
      <c r="FY42" s="6">
        <f>SUMIF('Eredeti fejléccel'!$B:$B,'Felosztás eredménykim'!$B42,'Eredeti fejléccel'!$CT:$CT)</f>
        <v>0</v>
      </c>
      <c r="FZ42" s="6">
        <f>SUMIF('Eredeti fejléccel'!$B:$B,'Felosztás eredménykim'!$B42,'Eredeti fejléccel'!$CU:$CU)</f>
        <v>0</v>
      </c>
      <c r="GA42" s="103">
        <f t="shared" si="56"/>
        <v>0</v>
      </c>
      <c r="GB42" s="36">
        <f t="shared" si="71"/>
        <v>0</v>
      </c>
      <c r="GC42" s="101">
        <f t="shared" si="32"/>
        <v>0</v>
      </c>
      <c r="GD42" s="6">
        <f>SUMIF('Eredeti fejléccel'!$B:$B,'Felosztás eredménykim'!$B42,'Eredeti fejléccel'!$CV:$CV)</f>
        <v>0</v>
      </c>
      <c r="GE42" s="6">
        <f>SUMIF('Eredeti fejléccel'!$B:$B,'Felosztás eredménykim'!$B42,'Eredeti fejléccel'!$CW:$CW)</f>
        <v>0</v>
      </c>
      <c r="GF42" s="103">
        <f t="shared" si="57"/>
        <v>0</v>
      </c>
      <c r="GG42" s="36">
        <f t="shared" si="33"/>
        <v>0</v>
      </c>
      <c r="GM42" s="6">
        <f>SUMIF('Eredeti fejléccel'!$B:$B,'Felosztás eredménykim'!$B42,'Eredeti fejléccel'!$CX:$CX)</f>
        <v>0</v>
      </c>
      <c r="GN42" s="6">
        <f>SUMIF('Eredeti fejléccel'!$B:$B,'Felosztás eredménykim'!$B42,'Eredeti fejléccel'!$CY:$CY)</f>
        <v>0</v>
      </c>
      <c r="GO42" s="6">
        <f>SUMIF('Eredeti fejléccel'!$B:$B,'Felosztás eredménykim'!$B42,'Eredeti fejléccel'!$CZ:$CZ)</f>
        <v>0</v>
      </c>
      <c r="GP42" s="6">
        <f>SUMIF('Eredeti fejléccel'!$B:$B,'Felosztás eredménykim'!$B42,'Eredeti fejléccel'!$DA:$DA)</f>
        <v>0</v>
      </c>
      <c r="GQ42" s="6">
        <f>SUMIF('Eredeti fejléccel'!$B:$B,'Felosztás eredménykim'!$B42,'Eredeti fejléccel'!$DB:$DB)</f>
        <v>0</v>
      </c>
      <c r="GR42" s="103">
        <f t="shared" si="58"/>
        <v>0</v>
      </c>
      <c r="GW42" s="36">
        <f t="shared" si="34"/>
        <v>0</v>
      </c>
      <c r="GX42" s="6">
        <f>SUMIF('Eredeti fejléccel'!$B:$B,'Felosztás eredménykim'!$B42,'Eredeti fejléccel'!$M:$M)</f>
        <v>0</v>
      </c>
      <c r="GY42" s="6">
        <f>SUMIF('Eredeti fejléccel'!$B:$B,'Felosztás eredménykim'!$B42,'Eredeti fejléccel'!$DC:$DC)</f>
        <v>0</v>
      </c>
      <c r="GZ42" s="6">
        <f>SUMIF('Eredeti fejléccel'!$B:$B,'Felosztás eredménykim'!$B42,'Eredeti fejléccel'!$DD:$DD)</f>
        <v>0</v>
      </c>
      <c r="HA42" s="6">
        <f>SUMIF('Eredeti fejléccel'!$B:$B,'Felosztás eredménykim'!$B42,'Eredeti fejléccel'!$DE:$DE)</f>
        <v>0</v>
      </c>
      <c r="HB42" s="103">
        <f t="shared" si="59"/>
        <v>0</v>
      </c>
      <c r="HD42" s="9">
        <f t="shared" si="72"/>
        <v>67510237</v>
      </c>
      <c r="HE42" s="9">
        <v>67510237</v>
      </c>
      <c r="HF42" s="476"/>
      <c r="HH42" s="34">
        <f t="shared" si="60"/>
        <v>0</v>
      </c>
    </row>
    <row r="43" spans="1:216" x14ac:dyDescent="0.25">
      <c r="A43" s="4" t="s">
        <v>854</v>
      </c>
      <c r="B43" s="4" t="s">
        <v>854</v>
      </c>
      <c r="C43" s="1" t="s">
        <v>109</v>
      </c>
      <c r="D43" s="6">
        <f>SUMIF('Eredeti fejléccel'!$B:$B,'Felosztás eredménykim'!$B43,'Eredeti fejléccel'!$D:$D)</f>
        <v>0</v>
      </c>
      <c r="E43" s="6">
        <f>SUMIF('Eredeti fejléccel'!$B:$B,'Felosztás eredménykim'!$B43,'Eredeti fejléccel'!$E:$E)</f>
        <v>0</v>
      </c>
      <c r="F43" s="6">
        <f>SUMIF('Eredeti fejléccel'!$B:$B,'Felosztás eredménykim'!$B43,'Eredeti fejléccel'!$F:$F)</f>
        <v>0</v>
      </c>
      <c r="G43" s="6">
        <f>SUMIF('Eredeti fejléccel'!$B:$B,'Felosztás eredménykim'!$B43,'Eredeti fejléccel'!$G:$G)</f>
        <v>0</v>
      </c>
      <c r="H43" s="6"/>
      <c r="I43" s="6">
        <f>SUMIF('Eredeti fejléccel'!$B:$B,'Felosztás eredménykim'!$B43,'Eredeti fejléccel'!$O:$O)</f>
        <v>0</v>
      </c>
      <c r="J43" s="6">
        <f>SUMIF('Eredeti fejléccel'!$B:$B,'Felosztás eredménykim'!$B43,'Eredeti fejléccel'!$P:$P)</f>
        <v>0</v>
      </c>
      <c r="K43" s="6">
        <f>SUMIF('Eredeti fejléccel'!$B:$B,'Felosztás eredménykim'!$B43,'Eredeti fejléccel'!$Q:$Q)</f>
        <v>0</v>
      </c>
      <c r="L43" s="6">
        <f>SUMIF('Eredeti fejléccel'!$B:$B,'Felosztás eredménykim'!$B43,'Eredeti fejléccel'!$R:$R)</f>
        <v>0</v>
      </c>
      <c r="M43" s="6">
        <f>SUMIF('Eredeti fejléccel'!$B:$B,'Felosztás eredménykim'!$B43,'Eredeti fejléccel'!$T:$T)</f>
        <v>0</v>
      </c>
      <c r="N43" s="6">
        <f>SUMIF('Eredeti fejléccel'!$B:$B,'Felosztás eredménykim'!$B43,'Eredeti fejléccel'!$U:$U)</f>
        <v>0</v>
      </c>
      <c r="O43" s="6">
        <f>SUMIF('Eredeti fejléccel'!$B:$B,'Felosztás eredménykim'!$B43,'Eredeti fejléccel'!$V:$V)</f>
        <v>0</v>
      </c>
      <c r="P43" s="6">
        <f>SUMIF('Eredeti fejléccel'!$B:$B,'Felosztás eredménykim'!$B43,'Eredeti fejléccel'!$W:$W)</f>
        <v>0</v>
      </c>
      <c r="Q43" s="6">
        <f>SUMIF('Eredeti fejléccel'!$B:$B,'Felosztás eredménykim'!$B43,'Eredeti fejléccel'!$X:$X)</f>
        <v>0</v>
      </c>
      <c r="R43" s="6">
        <f>SUMIF('Eredeti fejléccel'!$B:$B,'Felosztás eredménykim'!$B43,'Eredeti fejléccel'!$Y:$Y)</f>
        <v>0</v>
      </c>
      <c r="S43" s="6">
        <f>SUMIF('Eredeti fejléccel'!$B:$B,'Felosztás eredménykim'!$B43,'Eredeti fejléccel'!$Z:$Z)</f>
        <v>0</v>
      </c>
      <c r="T43" s="6">
        <f>SUMIF('Eredeti fejléccel'!$B:$B,'Felosztás eredménykim'!$B43,'Eredeti fejléccel'!$AA:$AA)</f>
        <v>0</v>
      </c>
      <c r="U43" s="6">
        <f>SUMIF('Eredeti fejléccel'!$B:$B,'Felosztás eredménykim'!$B43,'Eredeti fejléccel'!$D:$D)</f>
        <v>0</v>
      </c>
      <c r="V43" s="6">
        <f>SUMIF('Eredeti fejléccel'!$B:$B,'Felosztás eredménykim'!$B43,'Eredeti fejléccel'!$AT:$AT)</f>
        <v>0</v>
      </c>
      <c r="X43" s="36">
        <f t="shared" si="0"/>
        <v>0</v>
      </c>
      <c r="Z43" s="6">
        <f>SUMIF('Eredeti fejléccel'!$B:$B,'Felosztás eredménykim'!$B43,'Eredeti fejléccel'!$K:$K)</f>
        <v>0</v>
      </c>
      <c r="AB43" s="6">
        <f>SUMIF('Eredeti fejléccel'!$B:$B,'Felosztás eredménykim'!$B43,'Eredeti fejléccel'!$AB:$AB)</f>
        <v>0</v>
      </c>
      <c r="AC43" s="6">
        <f>SUMIF('Eredeti fejléccel'!$B:$B,'Felosztás eredménykim'!$B43,'Eredeti fejléccel'!$AQ:$AQ)</f>
        <v>0</v>
      </c>
      <c r="AE43" s="73">
        <f t="shared" si="1"/>
        <v>0</v>
      </c>
      <c r="AF43" s="36">
        <f t="shared" si="61"/>
        <v>0</v>
      </c>
      <c r="AG43" s="8">
        <f t="shared" si="3"/>
        <v>0</v>
      </c>
      <c r="AI43" s="6">
        <f>SUMIF('Eredeti fejléccel'!$B:$B,'Felosztás eredménykim'!$B43,'Eredeti fejléccel'!$BB:$BB)</f>
        <v>0</v>
      </c>
      <c r="AJ43" s="6">
        <f>SUMIF('Eredeti fejléccel'!$B:$B,'Felosztás eredménykim'!$B43,'Eredeti fejléccel'!$AF:$AF)</f>
        <v>0</v>
      </c>
      <c r="AK43" s="8">
        <f t="shared" si="4"/>
        <v>0</v>
      </c>
      <c r="AL43" s="36">
        <f t="shared" si="62"/>
        <v>0</v>
      </c>
      <c r="AM43" s="8">
        <f t="shared" si="6"/>
        <v>0</v>
      </c>
      <c r="AN43" s="6">
        <f t="shared" si="36"/>
        <v>0</v>
      </c>
      <c r="AO43" s="6">
        <f>SUMIF('Eredeti fejléccel'!$B:$B,'Felosztás eredménykim'!$B43,'Eredeti fejléccel'!$AC:$AC)</f>
        <v>0</v>
      </c>
      <c r="AP43" s="6">
        <f>SUMIF('Eredeti fejléccel'!$B:$B,'Felosztás eredménykim'!$B43,'Eredeti fejléccel'!$AD:$AD)</f>
        <v>0</v>
      </c>
      <c r="AQ43" s="6">
        <f>SUMIF('Eredeti fejléccel'!$B:$B,'Felosztás eredménykim'!$B43,'Eredeti fejléccel'!$AE:$AE)</f>
        <v>0</v>
      </c>
      <c r="AR43" s="6">
        <f>SUMIF('Eredeti fejléccel'!$B:$B,'Felosztás eredménykim'!$B43,'Eredeti fejléccel'!$AG:$AG)</f>
        <v>0</v>
      </c>
      <c r="AS43" s="6">
        <f t="shared" si="37"/>
        <v>0</v>
      </c>
      <c r="AT43" s="36">
        <f t="shared" si="63"/>
        <v>0</v>
      </c>
      <c r="AU43" s="8">
        <f t="shared" si="8"/>
        <v>0</v>
      </c>
      <c r="AV43" s="6">
        <f>SUMIF('Eredeti fejléccel'!$B:$B,'Felosztás eredménykim'!$B43,'Eredeti fejléccel'!$AI:$AI)</f>
        <v>0</v>
      </c>
      <c r="AW43" s="6">
        <f>SUMIF('Eredeti fejléccel'!$B:$B,'Felosztás eredménykim'!$B43,'Eredeti fejléccel'!$AJ:$AJ)</f>
        <v>0</v>
      </c>
      <c r="AX43" s="6">
        <f>SUMIF('Eredeti fejléccel'!$B:$B,'Felosztás eredménykim'!$B43,'Eredeti fejléccel'!$AK:$AK)</f>
        <v>0</v>
      </c>
      <c r="AY43" s="6">
        <f>SUMIF('Eredeti fejléccel'!$B:$B,'Felosztás eredménykim'!$B43,'Eredeti fejléccel'!$AL:$AL)</f>
        <v>0</v>
      </c>
      <c r="AZ43" s="6">
        <f>SUMIF('Eredeti fejléccel'!$B:$B,'Felosztás eredménykim'!$B43,'Eredeti fejléccel'!$AM:$AM)</f>
        <v>0</v>
      </c>
      <c r="BA43" s="6">
        <f>SUMIF('Eredeti fejléccel'!$B:$B,'Felosztás eredménykim'!$B43,'Eredeti fejléccel'!$AN:$AN)</f>
        <v>0</v>
      </c>
      <c r="BB43" s="6">
        <f>SUMIF('Eredeti fejléccel'!$B:$B,'Felosztás eredménykim'!$B43,'Eredeti fejléccel'!$AP:$AP)</f>
        <v>0</v>
      </c>
      <c r="BD43" s="6">
        <f>SUMIF('Eredeti fejléccel'!$B:$B,'Felosztás eredménykim'!$B43,'Eredeti fejléccel'!$AS:$AS)</f>
        <v>0</v>
      </c>
      <c r="BE43" s="8">
        <f t="shared" si="38"/>
        <v>0</v>
      </c>
      <c r="BF43" s="36">
        <f t="shared" si="64"/>
        <v>0</v>
      </c>
      <c r="BG43" s="8">
        <f t="shared" si="10"/>
        <v>0</v>
      </c>
      <c r="BH43" s="6">
        <f t="shared" si="39"/>
        <v>0</v>
      </c>
      <c r="BI43" s="6">
        <f>SUMIF('Eredeti fejléccel'!$B:$B,'Felosztás eredménykim'!$B43,'Eredeti fejléccel'!$AH:$AH)</f>
        <v>0</v>
      </c>
      <c r="BJ43" s="6">
        <f>SUMIF('Eredeti fejléccel'!$B:$B,'Felosztás eredménykim'!$B43,'Eredeti fejléccel'!$AO:$AO)</f>
        <v>0</v>
      </c>
      <c r="BK43" s="6">
        <f>SUMIF('Eredeti fejléccel'!$B:$B,'Felosztás eredménykim'!$B43,'Eredeti fejléccel'!$BF:$BF)</f>
        <v>0</v>
      </c>
      <c r="BL43" s="8">
        <f t="shared" si="40"/>
        <v>0</v>
      </c>
      <c r="BM43" s="36">
        <f t="shared" si="65"/>
        <v>0</v>
      </c>
      <c r="BN43" s="8">
        <f t="shared" si="12"/>
        <v>0</v>
      </c>
      <c r="BP43" s="8">
        <f t="shared" si="41"/>
        <v>0</v>
      </c>
      <c r="BQ43" s="6">
        <f>SUMIF('Eredeti fejléccel'!$B:$B,'Felosztás eredménykim'!$B43,'Eredeti fejléccel'!$N:$N)</f>
        <v>0</v>
      </c>
      <c r="BR43" s="6">
        <f>SUMIF('Eredeti fejléccel'!$B:$B,'Felosztás eredménykim'!$B43,'Eredeti fejléccel'!$S:$S)</f>
        <v>0</v>
      </c>
      <c r="BT43" s="6">
        <f>SUMIF('Eredeti fejléccel'!$B:$B,'Felosztás eredménykim'!$B43,'Eredeti fejléccel'!$AR:$AR)</f>
        <v>0</v>
      </c>
      <c r="BU43" s="6">
        <f>SUMIF('Eredeti fejléccel'!$B:$B,'Felosztás eredménykim'!$B43,'Eredeti fejléccel'!$AU:$AU)</f>
        <v>0</v>
      </c>
      <c r="BV43" s="6">
        <f>SUMIF('Eredeti fejléccel'!$B:$B,'Felosztás eredménykim'!$B43,'Eredeti fejléccel'!$AV:$AV)</f>
        <v>0</v>
      </c>
      <c r="BW43" s="6">
        <f>SUMIF('Eredeti fejléccel'!$B:$B,'Felosztás eredménykim'!$B43,'Eredeti fejléccel'!$AW:$AW)</f>
        <v>0</v>
      </c>
      <c r="BX43" s="6">
        <f>SUMIF('Eredeti fejléccel'!$B:$B,'Felosztás eredménykim'!$B43,'Eredeti fejléccel'!$AX:$AX)</f>
        <v>0</v>
      </c>
      <c r="BY43" s="6">
        <f>SUMIF('Eredeti fejléccel'!$B:$B,'Felosztás eredménykim'!$B43,'Eredeti fejléccel'!$AY:$AY)</f>
        <v>0</v>
      </c>
      <c r="BZ43" s="6">
        <f>SUMIF('Eredeti fejléccel'!$B:$B,'Felosztás eredménykim'!$B43,'Eredeti fejléccel'!$AZ:$AZ)</f>
        <v>0</v>
      </c>
      <c r="CA43" s="6">
        <f>SUMIF('Eredeti fejléccel'!$B:$B,'Felosztás eredménykim'!$B43,'Eredeti fejléccel'!$BA:$BA)</f>
        <v>0</v>
      </c>
      <c r="CB43" s="6">
        <f t="shared" si="13"/>
        <v>0</v>
      </c>
      <c r="CC43" s="36">
        <f t="shared" si="66"/>
        <v>0</v>
      </c>
      <c r="CD43" s="8">
        <f t="shared" si="15"/>
        <v>0</v>
      </c>
      <c r="CE43" s="6">
        <f>SUMIF('Eredeti fejléccel'!$B:$B,'Felosztás eredménykim'!$B43,'Eredeti fejléccel'!$BC:$BC)</f>
        <v>0</v>
      </c>
      <c r="CF43" s="8">
        <f t="shared" si="42"/>
        <v>0</v>
      </c>
      <c r="CG43" s="6">
        <f>SUMIF('Eredeti fejléccel'!$B:$B,'Felosztás eredménykim'!$B43,'Eredeti fejléccel'!$H:$H)</f>
        <v>0</v>
      </c>
      <c r="CH43" s="6">
        <f>SUMIF('Eredeti fejléccel'!$B:$B,'Felosztás eredménykim'!$B43,'Eredeti fejléccel'!$BE:$BE)</f>
        <v>0</v>
      </c>
      <c r="CI43" s="6">
        <f t="shared" si="43"/>
        <v>0</v>
      </c>
      <c r="CJ43" s="36">
        <f t="shared" si="67"/>
        <v>0</v>
      </c>
      <c r="CK43" s="8">
        <f t="shared" si="17"/>
        <v>0</v>
      </c>
      <c r="CL43" s="8">
        <f t="shared" si="44"/>
        <v>0</v>
      </c>
      <c r="CM43" s="6">
        <f>SUMIF('Eredeti fejléccel'!$B:$B,'Felosztás eredménykim'!$B43,'Eredeti fejléccel'!$BD:$BD)</f>
        <v>0</v>
      </c>
      <c r="CN43" s="8">
        <f t="shared" si="45"/>
        <v>0</v>
      </c>
      <c r="CO43" s="8">
        <f t="shared" si="18"/>
        <v>0</v>
      </c>
      <c r="CR43" s="36">
        <f t="shared" si="19"/>
        <v>0</v>
      </c>
      <c r="CS43" s="6">
        <f>SUMIF('Eredeti fejléccel'!$B:$B,'Felosztás eredménykim'!$B43,'Eredeti fejléccel'!$I:$I)</f>
        <v>0</v>
      </c>
      <c r="CT43" s="6">
        <f>SUMIF('Eredeti fejléccel'!$B:$B,'Felosztás eredménykim'!$B43,'Eredeti fejléccel'!$BG:$BG)</f>
        <v>0</v>
      </c>
      <c r="CU43" s="6">
        <f>SUMIF('Eredeti fejléccel'!$B:$B,'Felosztás eredménykim'!$B43,'Eredeti fejléccel'!$BH:$BH)</f>
        <v>0</v>
      </c>
      <c r="CV43" s="6">
        <f>SUMIF('Eredeti fejléccel'!$B:$B,'Felosztás eredménykim'!$B43,'Eredeti fejléccel'!$BI:$BI)</f>
        <v>0</v>
      </c>
      <c r="CW43" s="6">
        <f>SUMIF('Eredeti fejléccel'!$B:$B,'Felosztás eredménykim'!$B43,'Eredeti fejléccel'!$BL:$BL)</f>
        <v>-5695314</v>
      </c>
      <c r="CX43" s="6">
        <f t="shared" si="46"/>
        <v>-5695314</v>
      </c>
      <c r="CY43" s="6">
        <f>SUMIF('Eredeti fejléccel'!$B:$B,'Felosztás eredménykim'!$B43,'Eredeti fejléccel'!$BJ:$BJ)</f>
        <v>6380314</v>
      </c>
      <c r="CZ43" s="6">
        <f>SUMIF('Eredeti fejléccel'!$B:$B,'Felosztás eredménykim'!$B43,'Eredeti fejléccel'!$BK:$BK)</f>
        <v>0</v>
      </c>
      <c r="DA43" s="99">
        <f t="shared" si="47"/>
        <v>685000</v>
      </c>
      <c r="DC43" s="36">
        <f t="shared" si="20"/>
        <v>0</v>
      </c>
      <c r="DD43" s="6">
        <f>SUMIF('Eredeti fejléccel'!$B:$B,'Felosztás eredménykim'!$B43,'Eredeti fejléccel'!$J:$J)</f>
        <v>0</v>
      </c>
      <c r="DE43" s="6">
        <f>SUMIF('Eredeti fejléccel'!$B:$B,'Felosztás eredménykim'!$B43,'Eredeti fejléccel'!$BM:$BM)</f>
        <v>0</v>
      </c>
      <c r="DF43" s="6">
        <f t="shared" si="48"/>
        <v>0</v>
      </c>
      <c r="DG43" s="8">
        <f t="shared" si="21"/>
        <v>0</v>
      </c>
      <c r="DH43" s="8">
        <f t="shared" si="49"/>
        <v>0</v>
      </c>
      <c r="DJ43" s="6">
        <f>SUMIF('Eredeti fejléccel'!$B:$B,'Felosztás eredménykim'!$B43,'Eredeti fejléccel'!$BN:$BN)</f>
        <v>0</v>
      </c>
      <c r="DK43" s="6">
        <f>SUMIF('Eredeti fejléccel'!$B:$B,'Felosztás eredménykim'!$B43,'Eredeti fejléccel'!$BZ:$BZ)</f>
        <v>0</v>
      </c>
      <c r="DL43" s="8">
        <f t="shared" si="50"/>
        <v>0</v>
      </c>
      <c r="DM43" s="6">
        <f>SUMIF('Eredeti fejléccel'!$B:$B,'Felosztás eredménykim'!$B43,'Eredeti fejléccel'!$BR:$BR)</f>
        <v>0</v>
      </c>
      <c r="DN43" s="6">
        <f>SUMIF('Eredeti fejléccel'!$B:$B,'Felosztás eredménykim'!$B43,'Eredeti fejléccel'!$BS:$BS)</f>
        <v>0</v>
      </c>
      <c r="DO43" s="6">
        <f>SUMIF('Eredeti fejléccel'!$B:$B,'Felosztás eredménykim'!$B43,'Eredeti fejléccel'!$BO:$BO)</f>
        <v>0</v>
      </c>
      <c r="DP43" s="6">
        <f>SUMIF('Eredeti fejléccel'!$B:$B,'Felosztás eredménykim'!$B43,'Eredeti fejléccel'!$BP:$BP)</f>
        <v>0</v>
      </c>
      <c r="DQ43" s="6">
        <f>SUMIF('Eredeti fejléccel'!$B:$B,'Felosztás eredménykim'!$B43,'Eredeti fejléccel'!$BQ:$BQ)</f>
        <v>0</v>
      </c>
      <c r="DS43" s="8"/>
      <c r="DU43" s="6">
        <f>SUMIF('Eredeti fejléccel'!$B:$B,'Felosztás eredménykim'!$B43,'Eredeti fejléccel'!$BT:$BT)</f>
        <v>0</v>
      </c>
      <c r="DV43" s="6">
        <f>SUMIF('Eredeti fejléccel'!$B:$B,'Felosztás eredménykim'!$B43,'Eredeti fejléccel'!$BU:$BU)</f>
        <v>0</v>
      </c>
      <c r="DW43" s="6">
        <f>SUMIF('Eredeti fejléccel'!$B:$B,'Felosztás eredménykim'!$B43,'Eredeti fejléccel'!$BV:$BV)</f>
        <v>0</v>
      </c>
      <c r="DX43" s="6">
        <f>SUMIF('Eredeti fejléccel'!$B:$B,'Felosztás eredménykim'!$B43,'Eredeti fejléccel'!$BW:$BW)</f>
        <v>0</v>
      </c>
      <c r="DY43" s="6">
        <f>SUMIF('Eredeti fejléccel'!$B:$B,'Felosztás eredménykim'!$B43,'Eredeti fejléccel'!$BX:$BX)</f>
        <v>0</v>
      </c>
      <c r="EA43" s="6"/>
      <c r="EC43" s="6"/>
      <c r="EE43" s="6">
        <f>SUMIF('Eredeti fejléccel'!$B:$B,'Felosztás eredménykim'!$B43,'Eredeti fejléccel'!$CA:$CA)</f>
        <v>0</v>
      </c>
      <c r="EF43" s="6">
        <f>SUMIF('Eredeti fejléccel'!$B:$B,'Felosztás eredménykim'!$B43,'Eredeti fejléccel'!$CB:$CB)</f>
        <v>0</v>
      </c>
      <c r="EG43" s="6">
        <f>SUMIF('Eredeti fejléccel'!$B:$B,'Felosztás eredménykim'!$B43,'Eredeti fejléccel'!$CC:$CC)</f>
        <v>0</v>
      </c>
      <c r="EH43" s="6">
        <f>SUMIF('Eredeti fejléccel'!$B:$B,'Felosztás eredménykim'!$B43,'Eredeti fejléccel'!$CD:$CD)</f>
        <v>0</v>
      </c>
      <c r="EK43" s="6">
        <f>SUMIF('Eredeti fejléccel'!$B:$B,'Felosztás eredménykim'!$B43,'Eredeti fejléccel'!$CE:$CE)</f>
        <v>0</v>
      </c>
      <c r="EN43" s="6">
        <f>SUMIF('Eredeti fejléccel'!$B:$B,'Felosztás eredménykim'!$B43,'Eredeti fejléccel'!$CF:$CF)</f>
        <v>0</v>
      </c>
      <c r="EP43" s="6">
        <f>SUMIF('Eredeti fejléccel'!$B:$B,'Felosztás eredménykim'!$B43,'Eredeti fejléccel'!$CG:$CG)</f>
        <v>0</v>
      </c>
      <c r="ES43" s="6">
        <f>SUMIF('Eredeti fejléccel'!$B:$B,'Felosztás eredménykim'!$B43,'Eredeti fejléccel'!$CH:$CH)</f>
        <v>0</v>
      </c>
      <c r="ET43" s="6">
        <f>SUMIF('Eredeti fejléccel'!$B:$B,'Felosztás eredménykim'!$B43,'Eredeti fejléccel'!$CI:$CI)</f>
        <v>0</v>
      </c>
      <c r="EW43" s="8">
        <f t="shared" si="22"/>
        <v>0</v>
      </c>
      <c r="EX43" s="8">
        <f t="shared" si="51"/>
        <v>0</v>
      </c>
      <c r="EY43" s="8">
        <f t="shared" si="52"/>
        <v>0</v>
      </c>
      <c r="EZ43" s="8">
        <f t="shared" si="23"/>
        <v>0</v>
      </c>
      <c r="FA43" s="8">
        <f t="shared" si="24"/>
        <v>0</v>
      </c>
      <c r="FC43" s="6">
        <f>SUMIF('Eredeti fejléccel'!$B:$B,'Felosztás eredménykim'!$B43,'Eredeti fejléccel'!$L:$L)</f>
        <v>0</v>
      </c>
      <c r="FD43" s="6">
        <f>SUMIF('Eredeti fejléccel'!$B:$B,'Felosztás eredménykim'!$B43,'Eredeti fejléccel'!$CJ:$CJ)</f>
        <v>0</v>
      </c>
      <c r="FE43" s="6">
        <f>SUMIF('Eredeti fejléccel'!$B:$B,'Felosztás eredménykim'!$B43,'Eredeti fejléccel'!$CL:$CL)</f>
        <v>0</v>
      </c>
      <c r="FG43" s="99">
        <f t="shared" si="53"/>
        <v>0</v>
      </c>
      <c r="FH43" s="6">
        <f>SUMIF('Eredeti fejléccel'!$B:$B,'Felosztás eredménykim'!$B43,'Eredeti fejléccel'!$CK:$CK)</f>
        <v>0</v>
      </c>
      <c r="FI43" s="36">
        <f t="shared" si="68"/>
        <v>0</v>
      </c>
      <c r="FJ43" s="101">
        <f t="shared" si="26"/>
        <v>0</v>
      </c>
      <c r="FK43" s="6">
        <f>SUMIF('Eredeti fejléccel'!$B:$B,'Felosztás eredménykim'!$B43,'Eredeti fejléccel'!$CM:$CM)</f>
        <v>0</v>
      </c>
      <c r="FL43" s="6">
        <f>SUMIF('Eredeti fejléccel'!$B:$B,'Felosztás eredménykim'!$B43,'Eredeti fejléccel'!$CN:$CN)</f>
        <v>0</v>
      </c>
      <c r="FM43" s="8">
        <f t="shared" si="54"/>
        <v>0</v>
      </c>
      <c r="FN43" s="36">
        <f t="shared" si="69"/>
        <v>0</v>
      </c>
      <c r="FO43" s="101">
        <f t="shared" si="28"/>
        <v>0</v>
      </c>
      <c r="FP43" s="6">
        <f>SUMIF('Eredeti fejléccel'!$B:$B,'Felosztás eredménykim'!$B43,'Eredeti fejléccel'!$CO:$CO)</f>
        <v>0</v>
      </c>
      <c r="FQ43" s="6">
        <f>'Eredeti fejléccel'!CP43</f>
        <v>0</v>
      </c>
      <c r="FR43" s="6">
        <f>'Eredeti fejléccel'!CQ43</f>
        <v>0</v>
      </c>
      <c r="FS43" s="103">
        <f t="shared" si="55"/>
        <v>0</v>
      </c>
      <c r="FT43" s="36">
        <f t="shared" si="70"/>
        <v>0</v>
      </c>
      <c r="FU43" s="101">
        <f t="shared" si="30"/>
        <v>0</v>
      </c>
      <c r="FV43" s="101"/>
      <c r="FW43" s="6">
        <f>SUMIF('Eredeti fejléccel'!$B:$B,'Felosztás eredménykim'!$B43,'Eredeti fejléccel'!$CR:$CR)</f>
        <v>0</v>
      </c>
      <c r="FX43" s="6">
        <f>SUMIF('Eredeti fejléccel'!$B:$B,'Felosztás eredménykim'!$B43,'Eredeti fejléccel'!$CS:$CS)</f>
        <v>0</v>
      </c>
      <c r="FY43" s="6">
        <f>SUMIF('Eredeti fejléccel'!$B:$B,'Felosztás eredménykim'!$B43,'Eredeti fejléccel'!$CT:$CT)</f>
        <v>0</v>
      </c>
      <c r="FZ43" s="6">
        <f>SUMIF('Eredeti fejléccel'!$B:$B,'Felosztás eredménykim'!$B43,'Eredeti fejléccel'!$CU:$CU)</f>
        <v>0</v>
      </c>
      <c r="GA43" s="103">
        <f t="shared" si="56"/>
        <v>0</v>
      </c>
      <c r="GB43" s="36">
        <f t="shared" si="71"/>
        <v>0</v>
      </c>
      <c r="GC43" s="101">
        <f t="shared" si="32"/>
        <v>0</v>
      </c>
      <c r="GD43" s="6">
        <f>SUMIF('Eredeti fejléccel'!$B:$B,'Felosztás eredménykim'!$B43,'Eredeti fejléccel'!$CV:$CV)</f>
        <v>0</v>
      </c>
      <c r="GE43" s="6">
        <f>SUMIF('Eredeti fejléccel'!$B:$B,'Felosztás eredménykim'!$B43,'Eredeti fejléccel'!$CW:$CW)</f>
        <v>0</v>
      </c>
      <c r="GF43" s="103">
        <f t="shared" si="57"/>
        <v>0</v>
      </c>
      <c r="GG43" s="36">
        <f t="shared" si="33"/>
        <v>0</v>
      </c>
      <c r="GM43" s="6">
        <f>SUMIF('Eredeti fejléccel'!$B:$B,'Felosztás eredménykim'!$B43,'Eredeti fejléccel'!$CX:$CX)</f>
        <v>0</v>
      </c>
      <c r="GN43" s="6">
        <f>SUMIF('Eredeti fejléccel'!$B:$B,'Felosztás eredménykim'!$B43,'Eredeti fejléccel'!$CY:$CY)</f>
        <v>0</v>
      </c>
      <c r="GO43" s="6">
        <f>SUMIF('Eredeti fejléccel'!$B:$B,'Felosztás eredménykim'!$B43,'Eredeti fejléccel'!$CZ:$CZ)</f>
        <v>0</v>
      </c>
      <c r="GP43" s="6">
        <f>SUMIF('Eredeti fejléccel'!$B:$B,'Felosztás eredménykim'!$B43,'Eredeti fejléccel'!$DA:$DA)</f>
        <v>0</v>
      </c>
      <c r="GQ43" s="6">
        <f>SUMIF('Eredeti fejléccel'!$B:$B,'Felosztás eredménykim'!$B43,'Eredeti fejléccel'!$DB:$DB)</f>
        <v>0</v>
      </c>
      <c r="GR43" s="103">
        <f t="shared" si="58"/>
        <v>0</v>
      </c>
      <c r="GW43" s="36">
        <f t="shared" si="34"/>
        <v>0</v>
      </c>
      <c r="GX43" s="6">
        <f>SUMIF('Eredeti fejléccel'!$B:$B,'Felosztás eredménykim'!$B43,'Eredeti fejléccel'!$M:$M)</f>
        <v>0</v>
      </c>
      <c r="GY43" s="6">
        <f>SUMIF('Eredeti fejléccel'!$B:$B,'Felosztás eredménykim'!$B43,'Eredeti fejléccel'!$DC:$DC)</f>
        <v>0</v>
      </c>
      <c r="GZ43" s="6">
        <f>SUMIF('Eredeti fejléccel'!$B:$B,'Felosztás eredménykim'!$B43,'Eredeti fejléccel'!$DD:$DD)</f>
        <v>0</v>
      </c>
      <c r="HA43" s="6">
        <f>SUMIF('Eredeti fejléccel'!$B:$B,'Felosztás eredménykim'!$B43,'Eredeti fejléccel'!$DE:$DE)</f>
        <v>0</v>
      </c>
      <c r="HB43" s="103">
        <f t="shared" si="59"/>
        <v>0</v>
      </c>
      <c r="HD43" s="9">
        <f t="shared" si="72"/>
        <v>685000</v>
      </c>
      <c r="HE43" s="9">
        <v>685000</v>
      </c>
      <c r="HF43" s="476"/>
      <c r="HH43" s="34">
        <f t="shared" si="60"/>
        <v>0</v>
      </c>
    </row>
    <row r="44" spans="1:216" x14ac:dyDescent="0.25">
      <c r="A44" s="4" t="s">
        <v>110</v>
      </c>
      <c r="B44" s="4" t="s">
        <v>110</v>
      </c>
      <c r="C44" s="1" t="s">
        <v>111</v>
      </c>
      <c r="D44" s="6">
        <f>SUMIF('Eredeti fejléccel'!$B:$B,'Felosztás eredménykim'!$B44,'Eredeti fejléccel'!$D:$D)</f>
        <v>0</v>
      </c>
      <c r="E44" s="6">
        <f>SUMIF('Eredeti fejléccel'!$B:$B,'Felosztás eredménykim'!$B44,'Eredeti fejléccel'!$E:$E)</f>
        <v>13586138</v>
      </c>
      <c r="F44" s="6">
        <f>SUMIF('Eredeti fejléccel'!$B:$B,'Felosztás eredménykim'!$B44,'Eredeti fejléccel'!$F:$F)</f>
        <v>0</v>
      </c>
      <c r="G44" s="6">
        <f>SUMIF('Eredeti fejléccel'!$B:$B,'Felosztás eredménykim'!$B44,'Eredeti fejléccel'!$G:$G)</f>
        <v>0</v>
      </c>
      <c r="H44" s="6"/>
      <c r="I44" s="6">
        <f>SUMIF('Eredeti fejléccel'!$B:$B,'Felosztás eredménykim'!$B44,'Eredeti fejléccel'!$O:$O)</f>
        <v>216000</v>
      </c>
      <c r="J44" s="6">
        <f>SUMIF('Eredeti fejléccel'!$B:$B,'Felosztás eredménykim'!$B44,'Eredeti fejléccel'!$P:$P)</f>
        <v>0</v>
      </c>
      <c r="K44" s="6">
        <f>SUMIF('Eredeti fejléccel'!$B:$B,'Felosztás eredménykim'!$B44,'Eredeti fejléccel'!$Q:$Q)</f>
        <v>0</v>
      </c>
      <c r="L44" s="6">
        <f>SUMIF('Eredeti fejléccel'!$B:$B,'Felosztás eredménykim'!$B44,'Eredeti fejléccel'!$R:$R)</f>
        <v>0</v>
      </c>
      <c r="M44" s="6">
        <f>SUMIF('Eredeti fejléccel'!$B:$B,'Felosztás eredménykim'!$B44,'Eredeti fejléccel'!$T:$T)</f>
        <v>0</v>
      </c>
      <c r="N44" s="6">
        <f>SUMIF('Eredeti fejléccel'!$B:$B,'Felosztás eredménykim'!$B44,'Eredeti fejléccel'!$U:$U)</f>
        <v>0</v>
      </c>
      <c r="O44" s="6">
        <f>SUMIF('Eredeti fejléccel'!$B:$B,'Felosztás eredménykim'!$B44,'Eredeti fejléccel'!$V:$V)</f>
        <v>0</v>
      </c>
      <c r="P44" s="6">
        <f>SUMIF('Eredeti fejléccel'!$B:$B,'Felosztás eredménykim'!$B44,'Eredeti fejléccel'!$W:$W)</f>
        <v>29800</v>
      </c>
      <c r="Q44" s="6">
        <f>SUMIF('Eredeti fejléccel'!$B:$B,'Felosztás eredménykim'!$B44,'Eredeti fejléccel'!$X:$X)</f>
        <v>0</v>
      </c>
      <c r="R44" s="6">
        <f>SUMIF('Eredeti fejléccel'!$B:$B,'Felosztás eredménykim'!$B44,'Eredeti fejléccel'!$Y:$Y)</f>
        <v>1428000</v>
      </c>
      <c r="S44" s="6">
        <f>SUMIF('Eredeti fejléccel'!$B:$B,'Felosztás eredménykim'!$B44,'Eredeti fejléccel'!$Z:$Z)</f>
        <v>0</v>
      </c>
      <c r="T44" s="6">
        <f>SUMIF('Eredeti fejléccel'!$B:$B,'Felosztás eredménykim'!$B44,'Eredeti fejléccel'!$AA:$AA)</f>
        <v>0</v>
      </c>
      <c r="U44" s="6">
        <f>SUMIF('Eredeti fejléccel'!$B:$B,'Felosztás eredménykim'!$B44,'Eredeti fejléccel'!$D:$D)</f>
        <v>0</v>
      </c>
      <c r="V44" s="6">
        <f>SUMIF('Eredeti fejléccel'!$B:$B,'Felosztás eredménykim'!$B44,'Eredeti fejléccel'!$AT:$AT)</f>
        <v>0</v>
      </c>
      <c r="X44" s="36">
        <f t="shared" si="0"/>
        <v>15259938</v>
      </c>
      <c r="Z44" s="6">
        <f>SUMIF('Eredeti fejléccel'!$B:$B,'Felosztás eredménykim'!$B44,'Eredeti fejléccel'!$K:$K)</f>
        <v>3090000</v>
      </c>
      <c r="AB44" s="6">
        <f>SUMIF('Eredeti fejléccel'!$B:$B,'Felosztás eredménykim'!$B44,'Eredeti fejléccel'!$AB:$AB)</f>
        <v>0</v>
      </c>
      <c r="AC44" s="6">
        <f>SUMIF('Eredeti fejléccel'!$B:$B,'Felosztás eredménykim'!$B44,'Eredeti fejléccel'!$AQ:$AQ)</f>
        <v>0</v>
      </c>
      <c r="AE44" s="73">
        <f t="shared" si="1"/>
        <v>3090000</v>
      </c>
      <c r="AF44" s="36">
        <f t="shared" si="61"/>
        <v>1820428.8335427886</v>
      </c>
      <c r="AG44" s="8">
        <f t="shared" si="3"/>
        <v>985229.40702978254</v>
      </c>
      <c r="AI44" s="6">
        <f>SUMIF('Eredeti fejléccel'!$B:$B,'Felosztás eredménykim'!$B44,'Eredeti fejléccel'!$BB:$BB)</f>
        <v>0</v>
      </c>
      <c r="AJ44" s="6">
        <f>SUMIF('Eredeti fejléccel'!$B:$B,'Felosztás eredménykim'!$B44,'Eredeti fejléccel'!$AF:$AF)</f>
        <v>0</v>
      </c>
      <c r="AK44" s="8">
        <f t="shared" si="4"/>
        <v>985229.40702978254</v>
      </c>
      <c r="AL44" s="36">
        <f t="shared" si="62"/>
        <v>723065.14117716381</v>
      </c>
      <c r="AM44" s="8">
        <f t="shared" si="6"/>
        <v>391328.1459618996</v>
      </c>
      <c r="AN44" s="6">
        <f t="shared" si="36"/>
        <v>0</v>
      </c>
      <c r="AO44" s="6">
        <f>SUMIF('Eredeti fejléccel'!$B:$B,'Felosztás eredménykim'!$B44,'Eredeti fejléccel'!$AC:$AC)</f>
        <v>0</v>
      </c>
      <c r="AP44" s="6">
        <f>SUMIF('Eredeti fejléccel'!$B:$B,'Felosztás eredménykim'!$B44,'Eredeti fejléccel'!$AD:$AD)</f>
        <v>0</v>
      </c>
      <c r="AQ44" s="6">
        <f>SUMIF('Eredeti fejléccel'!$B:$B,'Felosztás eredménykim'!$B44,'Eredeti fejléccel'!$AE:$AE)</f>
        <v>0</v>
      </c>
      <c r="AR44" s="6">
        <f>SUMIF('Eredeti fejléccel'!$B:$B,'Felosztás eredménykim'!$B44,'Eredeti fejléccel'!$AG:$AG)</f>
        <v>756360</v>
      </c>
      <c r="AS44" s="6">
        <f t="shared" si="37"/>
        <v>1147688.1459618995</v>
      </c>
      <c r="AT44" s="36">
        <f t="shared" si="63"/>
        <v>1174470.2151888961</v>
      </c>
      <c r="AU44" s="8">
        <f t="shared" si="8"/>
        <v>635631.87550308555</v>
      </c>
      <c r="AV44" s="6">
        <f>SUMIF('Eredeti fejléccel'!$B:$B,'Felosztás eredménykim'!$B44,'Eredeti fejléccel'!$AI:$AI)</f>
        <v>0</v>
      </c>
      <c r="AW44" s="6">
        <f>SUMIF('Eredeti fejléccel'!$B:$B,'Felosztás eredménykim'!$B44,'Eredeti fejléccel'!$AJ:$AJ)</f>
        <v>0</v>
      </c>
      <c r="AX44" s="6">
        <f>SUMIF('Eredeti fejléccel'!$B:$B,'Felosztás eredménykim'!$B44,'Eredeti fejléccel'!$AK:$AK)</f>
        <v>0</v>
      </c>
      <c r="AY44" s="6">
        <f>SUMIF('Eredeti fejléccel'!$B:$B,'Felosztás eredménykim'!$B44,'Eredeti fejléccel'!$AL:$AL)</f>
        <v>0</v>
      </c>
      <c r="AZ44" s="6">
        <f>SUMIF('Eredeti fejléccel'!$B:$B,'Felosztás eredménykim'!$B44,'Eredeti fejléccel'!$AM:$AM)</f>
        <v>0</v>
      </c>
      <c r="BA44" s="6">
        <f>SUMIF('Eredeti fejléccel'!$B:$B,'Felosztás eredménykim'!$B44,'Eredeti fejléccel'!$AN:$AN)</f>
        <v>0</v>
      </c>
      <c r="BB44" s="6">
        <f>SUMIF('Eredeti fejléccel'!$B:$B,'Felosztás eredménykim'!$B44,'Eredeti fejléccel'!$AP:$AP)</f>
        <v>0</v>
      </c>
      <c r="BD44" s="6">
        <f>SUMIF('Eredeti fejléccel'!$B:$B,'Felosztás eredménykim'!$B44,'Eredeti fejléccel'!$AS:$AS)</f>
        <v>0</v>
      </c>
      <c r="BE44" s="8">
        <f t="shared" si="38"/>
        <v>635631.87550308555</v>
      </c>
      <c r="BF44" s="36">
        <f t="shared" si="64"/>
        <v>306383.5343971033</v>
      </c>
      <c r="BG44" s="8">
        <f t="shared" si="10"/>
        <v>165817.01100080492</v>
      </c>
      <c r="BH44" s="6">
        <f t="shared" si="39"/>
        <v>0</v>
      </c>
      <c r="BI44" s="6">
        <f>SUMIF('Eredeti fejléccel'!$B:$B,'Felosztás eredménykim'!$B44,'Eredeti fejléccel'!$AH:$AH)</f>
        <v>0</v>
      </c>
      <c r="BJ44" s="6">
        <f>SUMIF('Eredeti fejléccel'!$B:$B,'Felosztás eredménykim'!$B44,'Eredeti fejléccel'!$AO:$AO)</f>
        <v>0</v>
      </c>
      <c r="BK44" s="6">
        <f>SUMIF('Eredeti fejléccel'!$B:$B,'Felosztás eredménykim'!$B44,'Eredeti fejléccel'!$BF:$BF)</f>
        <v>0</v>
      </c>
      <c r="BL44" s="8">
        <f t="shared" si="40"/>
        <v>165817.01100080492</v>
      </c>
      <c r="BM44" s="36">
        <f t="shared" si="65"/>
        <v>1147916.9755411472</v>
      </c>
      <c r="BN44" s="8">
        <f t="shared" si="12"/>
        <v>621261.06788301584</v>
      </c>
      <c r="BP44" s="8">
        <f t="shared" si="41"/>
        <v>0</v>
      </c>
      <c r="BQ44" s="6">
        <f>SUMIF('Eredeti fejléccel'!$B:$B,'Felosztás eredménykim'!$B44,'Eredeti fejléccel'!$N:$N)</f>
        <v>0</v>
      </c>
      <c r="BR44" s="6">
        <f>SUMIF('Eredeti fejléccel'!$B:$B,'Felosztás eredménykim'!$B44,'Eredeti fejléccel'!$S:$S)</f>
        <v>0</v>
      </c>
      <c r="BT44" s="6">
        <f>SUMIF('Eredeti fejléccel'!$B:$B,'Felosztás eredménykim'!$B44,'Eredeti fejléccel'!$AR:$AR)</f>
        <v>0</v>
      </c>
      <c r="BU44" s="6">
        <f>SUMIF('Eredeti fejléccel'!$B:$B,'Felosztás eredménykim'!$B44,'Eredeti fejléccel'!$AU:$AU)</f>
        <v>0</v>
      </c>
      <c r="BV44" s="6">
        <f>SUMIF('Eredeti fejléccel'!$B:$B,'Felosztás eredménykim'!$B44,'Eredeti fejléccel'!$AV:$AV)</f>
        <v>0</v>
      </c>
      <c r="BW44" s="6">
        <f>SUMIF('Eredeti fejléccel'!$B:$B,'Felosztás eredménykim'!$B44,'Eredeti fejléccel'!$AW:$AW)</f>
        <v>0</v>
      </c>
      <c r="BX44" s="6">
        <f>SUMIF('Eredeti fejléccel'!$B:$B,'Felosztás eredménykim'!$B44,'Eredeti fejléccel'!$AX:$AX)</f>
        <v>0</v>
      </c>
      <c r="BY44" s="6">
        <f>SUMIF('Eredeti fejléccel'!$B:$B,'Felosztás eredménykim'!$B44,'Eredeti fejléccel'!$AY:$AY)</f>
        <v>0</v>
      </c>
      <c r="BZ44" s="6">
        <f>SUMIF('Eredeti fejléccel'!$B:$B,'Felosztás eredménykim'!$B44,'Eredeti fejléccel'!$AZ:$AZ)</f>
        <v>0</v>
      </c>
      <c r="CA44" s="6">
        <f>SUMIF('Eredeti fejléccel'!$B:$B,'Felosztás eredménykim'!$B44,'Eredeti fejléccel'!$BA:$BA)</f>
        <v>2809037</v>
      </c>
      <c r="CB44" s="6">
        <f t="shared" si="13"/>
        <v>3430298.0678830156</v>
      </c>
      <c r="CC44" s="36">
        <f t="shared" si="66"/>
        <v>312511.20508504537</v>
      </c>
      <c r="CD44" s="8">
        <f t="shared" si="15"/>
        <v>169133.35122082103</v>
      </c>
      <c r="CE44" s="6">
        <f>SUMIF('Eredeti fejléccel'!$B:$B,'Felosztás eredménykim'!$B44,'Eredeti fejléccel'!$BC:$BC)</f>
        <v>0</v>
      </c>
      <c r="CF44" s="8">
        <f t="shared" si="42"/>
        <v>0</v>
      </c>
      <c r="CG44" s="6">
        <f>SUMIF('Eredeti fejléccel'!$B:$B,'Felosztás eredménykim'!$B44,'Eredeti fejléccel'!$H:$H)</f>
        <v>0</v>
      </c>
      <c r="CH44" s="6">
        <f>SUMIF('Eredeti fejléccel'!$B:$B,'Felosztás eredménykim'!$B44,'Eredeti fejléccel'!$BE:$BE)</f>
        <v>0</v>
      </c>
      <c r="CI44" s="6">
        <f t="shared" si="43"/>
        <v>169133.35122082103</v>
      </c>
      <c r="CJ44" s="36">
        <f t="shared" si="67"/>
        <v>224681.25855787579</v>
      </c>
      <c r="CK44" s="8">
        <f t="shared" si="17"/>
        <v>121599.14140059029</v>
      </c>
      <c r="CL44" s="8">
        <f t="shared" si="44"/>
        <v>0</v>
      </c>
      <c r="CM44" s="6">
        <f>SUMIF('Eredeti fejléccel'!$B:$B,'Felosztás eredménykim'!$B44,'Eredeti fejléccel'!$BD:$BD)</f>
        <v>0</v>
      </c>
      <c r="CN44" s="8">
        <f t="shared" si="45"/>
        <v>121599.14140059029</v>
      </c>
      <c r="CO44" s="8">
        <f t="shared" si="18"/>
        <v>12364854.163490022</v>
      </c>
      <c r="CR44" s="36">
        <f t="shared" si="19"/>
        <v>1349615.2506761109</v>
      </c>
      <c r="CS44" s="6">
        <f>SUMIF('Eredeti fejléccel'!$B:$B,'Felosztás eredménykim'!$B44,'Eredeti fejléccel'!$I:$I)</f>
        <v>0</v>
      </c>
      <c r="CT44" s="6">
        <f>SUMIF('Eredeti fejléccel'!$B:$B,'Felosztás eredménykim'!$B44,'Eredeti fejléccel'!$BG:$BG)</f>
        <v>0</v>
      </c>
      <c r="CU44" s="6">
        <f>SUMIF('Eredeti fejléccel'!$B:$B,'Felosztás eredménykim'!$B44,'Eredeti fejléccel'!$BH:$BH)</f>
        <v>0</v>
      </c>
      <c r="CV44" s="6">
        <f>SUMIF('Eredeti fejléccel'!$B:$B,'Felosztás eredménykim'!$B44,'Eredeti fejléccel'!$BI:$BI)</f>
        <v>0</v>
      </c>
      <c r="CW44" s="6">
        <f>SUMIF('Eredeti fejléccel'!$B:$B,'Felosztás eredménykim'!$B44,'Eredeti fejléccel'!$BL:$BL)</f>
        <v>0</v>
      </c>
      <c r="CX44" s="6">
        <f t="shared" si="46"/>
        <v>0</v>
      </c>
      <c r="CY44" s="6">
        <f>SUMIF('Eredeti fejléccel'!$B:$B,'Felosztás eredménykim'!$B44,'Eredeti fejléccel'!$BJ:$BJ)</f>
        <v>0</v>
      </c>
      <c r="CZ44" s="6">
        <f>SUMIF('Eredeti fejléccel'!$B:$B,'Felosztás eredménykim'!$B44,'Eredeti fejléccel'!$BK:$BK)</f>
        <v>0</v>
      </c>
      <c r="DA44" s="99">
        <f t="shared" si="47"/>
        <v>0</v>
      </c>
      <c r="DC44" s="36">
        <f t="shared" si="20"/>
        <v>1182080.1940759823</v>
      </c>
      <c r="DD44" s="6">
        <f>SUMIF('Eredeti fejléccel'!$B:$B,'Felosztás eredménykim'!$B44,'Eredeti fejléccel'!$J:$J)</f>
        <v>0</v>
      </c>
      <c r="DE44" s="6">
        <f>SUMIF('Eredeti fejléccel'!$B:$B,'Felosztás eredménykim'!$B44,'Eredeti fejléccel'!$BM:$BM)</f>
        <v>54000</v>
      </c>
      <c r="DF44" s="6">
        <f t="shared" si="48"/>
        <v>0</v>
      </c>
      <c r="DG44" s="8">
        <f t="shared" si="21"/>
        <v>0</v>
      </c>
      <c r="DH44" s="8">
        <f t="shared" si="49"/>
        <v>54000</v>
      </c>
      <c r="DJ44" s="6">
        <f>SUMIF('Eredeti fejléccel'!$B:$B,'Felosztás eredménykim'!$B44,'Eredeti fejléccel'!$BN:$BN)</f>
        <v>0</v>
      </c>
      <c r="DK44" s="6">
        <f>SUMIF('Eredeti fejléccel'!$B:$B,'Felosztás eredménykim'!$B44,'Eredeti fejléccel'!$BZ:$BZ)</f>
        <v>0</v>
      </c>
      <c r="DL44" s="8">
        <f t="shared" si="50"/>
        <v>0</v>
      </c>
      <c r="DM44" s="6">
        <f>SUMIF('Eredeti fejléccel'!$B:$B,'Felosztás eredménykim'!$B44,'Eredeti fejléccel'!$BR:$BR)</f>
        <v>0</v>
      </c>
      <c r="DN44" s="6">
        <f>SUMIF('Eredeti fejléccel'!$B:$B,'Felosztás eredménykim'!$B44,'Eredeti fejléccel'!$BS:$BS)</f>
        <v>0</v>
      </c>
      <c r="DO44" s="6">
        <f>SUMIF('Eredeti fejléccel'!$B:$B,'Felosztás eredménykim'!$B44,'Eredeti fejléccel'!$BO:$BO)</f>
        <v>0</v>
      </c>
      <c r="DP44" s="6">
        <f>SUMIF('Eredeti fejléccel'!$B:$B,'Felosztás eredménykim'!$B44,'Eredeti fejléccel'!$BP:$BP)</f>
        <v>0</v>
      </c>
      <c r="DQ44" s="6">
        <f>SUMIF('Eredeti fejléccel'!$B:$B,'Felosztás eredménykim'!$B44,'Eredeti fejléccel'!$BQ:$BQ)</f>
        <v>0</v>
      </c>
      <c r="DS44" s="8"/>
      <c r="DU44" s="6">
        <f>SUMIF('Eredeti fejléccel'!$B:$B,'Felosztás eredménykim'!$B44,'Eredeti fejléccel'!$BT:$BT)</f>
        <v>0</v>
      </c>
      <c r="DV44" s="6">
        <f>SUMIF('Eredeti fejléccel'!$B:$B,'Felosztás eredménykim'!$B44,'Eredeti fejléccel'!$BU:$BU)</f>
        <v>0</v>
      </c>
      <c r="DW44" s="6">
        <f>SUMIF('Eredeti fejléccel'!$B:$B,'Felosztás eredménykim'!$B44,'Eredeti fejléccel'!$BV:$BV)</f>
        <v>0</v>
      </c>
      <c r="DX44" s="6">
        <f>SUMIF('Eredeti fejléccel'!$B:$B,'Felosztás eredménykim'!$B44,'Eredeti fejléccel'!$BW:$BW)</f>
        <v>0</v>
      </c>
      <c r="DY44" s="6">
        <f>SUMIF('Eredeti fejléccel'!$B:$B,'Felosztás eredménykim'!$B44,'Eredeti fejléccel'!$BX:$BX)</f>
        <v>0</v>
      </c>
      <c r="EA44" s="6"/>
      <c r="EC44" s="6"/>
      <c r="EE44" s="6">
        <f>SUMIF('Eredeti fejléccel'!$B:$B,'Felosztás eredménykim'!$B44,'Eredeti fejléccel'!$CA:$CA)</f>
        <v>0</v>
      </c>
      <c r="EF44" s="6">
        <f>SUMIF('Eredeti fejléccel'!$B:$B,'Felosztás eredménykim'!$B44,'Eredeti fejléccel'!$CB:$CB)</f>
        <v>0</v>
      </c>
      <c r="EG44" s="6">
        <f>SUMIF('Eredeti fejléccel'!$B:$B,'Felosztás eredménykim'!$B44,'Eredeti fejléccel'!$CC:$CC)</f>
        <v>0</v>
      </c>
      <c r="EH44" s="6">
        <f>SUMIF('Eredeti fejléccel'!$B:$B,'Felosztás eredménykim'!$B44,'Eredeti fejléccel'!$CD:$CD)</f>
        <v>0</v>
      </c>
      <c r="EK44" s="6">
        <f>SUMIF('Eredeti fejléccel'!$B:$B,'Felosztás eredménykim'!$B44,'Eredeti fejléccel'!$CE:$CE)</f>
        <v>0</v>
      </c>
      <c r="EN44" s="6">
        <f>SUMIF('Eredeti fejléccel'!$B:$B,'Felosztás eredménykim'!$B44,'Eredeti fejléccel'!$CF:$CF)</f>
        <v>0</v>
      </c>
      <c r="EP44" s="6">
        <f>SUMIF('Eredeti fejléccel'!$B:$B,'Felosztás eredménykim'!$B44,'Eredeti fejléccel'!$CG:$CG)</f>
        <v>0</v>
      </c>
      <c r="ES44" s="6">
        <f>SUMIF('Eredeti fejléccel'!$B:$B,'Felosztás eredménykim'!$B44,'Eredeti fejléccel'!$CH:$CH)</f>
        <v>0</v>
      </c>
      <c r="ET44" s="6">
        <f>SUMIF('Eredeti fejléccel'!$B:$B,'Felosztás eredménykim'!$B44,'Eredeti fejléccel'!$CI:$CI)</f>
        <v>0</v>
      </c>
      <c r="EW44" s="8">
        <f t="shared" si="22"/>
        <v>0</v>
      </c>
      <c r="EX44" s="8">
        <f t="shared" si="51"/>
        <v>0</v>
      </c>
      <c r="EY44" s="8">
        <f t="shared" si="52"/>
        <v>54000</v>
      </c>
      <c r="EZ44" s="8">
        <f t="shared" si="23"/>
        <v>54000</v>
      </c>
      <c r="FA44" s="8">
        <f t="shared" si="24"/>
        <v>54000</v>
      </c>
      <c r="FC44" s="6">
        <f>SUMIF('Eredeti fejléccel'!$B:$B,'Felosztás eredménykim'!$B44,'Eredeti fejléccel'!$L:$L)</f>
        <v>0</v>
      </c>
      <c r="FD44" s="6">
        <f>SUMIF('Eredeti fejléccel'!$B:$B,'Felosztás eredménykim'!$B44,'Eredeti fejléccel'!$CJ:$CJ)</f>
        <v>1824000</v>
      </c>
      <c r="FE44" s="6">
        <f>SUMIF('Eredeti fejléccel'!$B:$B,'Felosztás eredménykim'!$B44,'Eredeti fejléccel'!$CL:$CL)</f>
        <v>0</v>
      </c>
      <c r="FG44" s="99">
        <f t="shared" si="53"/>
        <v>1824000</v>
      </c>
      <c r="FH44" s="6">
        <f>SUMIF('Eredeti fejléccel'!$B:$B,'Felosztás eredménykim'!$B44,'Eredeti fejléccel'!$CK:$CK)</f>
        <v>0</v>
      </c>
      <c r="FI44" s="36">
        <f t="shared" si="68"/>
        <v>1390792.2622380133</v>
      </c>
      <c r="FJ44" s="101">
        <f t="shared" si="26"/>
        <v>404464.99595796276</v>
      </c>
      <c r="FK44" s="6">
        <f>SUMIF('Eredeti fejléccel'!$B:$B,'Felosztás eredménykim'!$B44,'Eredeti fejléccel'!$CM:$CM)</f>
        <v>0</v>
      </c>
      <c r="FL44" s="6">
        <f>SUMIF('Eredeti fejléccel'!$B:$B,'Felosztás eredménykim'!$B44,'Eredeti fejléccel'!$CN:$CN)</f>
        <v>0</v>
      </c>
      <c r="FM44" s="8">
        <f t="shared" si="54"/>
        <v>404464.99595796276</v>
      </c>
      <c r="FN44" s="36">
        <f t="shared" si="69"/>
        <v>1182401.5878742426</v>
      </c>
      <c r="FO44" s="101">
        <f t="shared" si="28"/>
        <v>343861.60064672591</v>
      </c>
      <c r="FP44" s="6">
        <f>SUMIF('Eredeti fejléccel'!$B:$B,'Felosztás eredménykim'!$B44,'Eredeti fejléccel'!$CO:$CO)</f>
        <v>0</v>
      </c>
      <c r="FQ44" s="6">
        <f>'Eredeti fejléccel'!CP44</f>
        <v>0</v>
      </c>
      <c r="FR44" s="6">
        <f>'Eredeti fejléccel'!CQ44</f>
        <v>0</v>
      </c>
      <c r="FS44" s="103">
        <f t="shared" si="55"/>
        <v>343861.60064672591</v>
      </c>
      <c r="FT44" s="36">
        <f t="shared" si="70"/>
        <v>3263773.1651571617</v>
      </c>
      <c r="FU44" s="101">
        <f t="shared" si="30"/>
        <v>949158.28617623285</v>
      </c>
      <c r="FV44" s="101"/>
      <c r="FW44" s="6">
        <f>SUMIF('Eredeti fejléccel'!$B:$B,'Felosztás eredménykim'!$B44,'Eredeti fejléccel'!$CR:$CR)</f>
        <v>0</v>
      </c>
      <c r="FX44" s="6">
        <f>SUMIF('Eredeti fejléccel'!$B:$B,'Felosztás eredménykim'!$B44,'Eredeti fejléccel'!$CS:$CS)</f>
        <v>0</v>
      </c>
      <c r="FY44" s="6">
        <f>SUMIF('Eredeti fejléccel'!$B:$B,'Felosztás eredménykim'!$B44,'Eredeti fejléccel'!$CT:$CT)</f>
        <v>0</v>
      </c>
      <c r="FZ44" s="6">
        <f>SUMIF('Eredeti fejléccel'!$B:$B,'Felosztás eredménykim'!$B44,'Eredeti fejléccel'!$CU:$CU)</f>
        <v>0</v>
      </c>
      <c r="GA44" s="103">
        <f t="shared" si="56"/>
        <v>949158.28617623285</v>
      </c>
      <c r="GB44" s="36">
        <f t="shared" si="71"/>
        <v>435034.54648203263</v>
      </c>
      <c r="GC44" s="101">
        <f t="shared" si="32"/>
        <v>126515.11721907841</v>
      </c>
      <c r="GD44" s="6">
        <f>SUMIF('Eredeti fejléccel'!$B:$B,'Felosztás eredménykim'!$B44,'Eredeti fejléccel'!$CV:$CV)</f>
        <v>0</v>
      </c>
      <c r="GE44" s="6">
        <f>SUMIF('Eredeti fejléccel'!$B:$B,'Felosztás eredménykim'!$B44,'Eredeti fejléccel'!$CW:$CW)</f>
        <v>0</v>
      </c>
      <c r="GF44" s="103">
        <f t="shared" si="57"/>
        <v>126515.11721907841</v>
      </c>
      <c r="GG44" s="36">
        <f t="shared" si="33"/>
        <v>0</v>
      </c>
      <c r="GM44" s="6">
        <f>SUMIF('Eredeti fejléccel'!$B:$B,'Felosztás eredménykim'!$B44,'Eredeti fejléccel'!$CX:$CX)</f>
        <v>0</v>
      </c>
      <c r="GN44" s="6">
        <f>SUMIF('Eredeti fejléccel'!$B:$B,'Felosztás eredménykim'!$B44,'Eredeti fejléccel'!$CY:$CY)</f>
        <v>0</v>
      </c>
      <c r="GO44" s="6">
        <f>SUMIF('Eredeti fejléccel'!$B:$B,'Felosztás eredménykim'!$B44,'Eredeti fejléccel'!$CZ:$CZ)</f>
        <v>0</v>
      </c>
      <c r="GP44" s="6">
        <f>SUMIF('Eredeti fejléccel'!$B:$B,'Felosztás eredménykim'!$B44,'Eredeti fejléccel'!$DA:$DA)</f>
        <v>0</v>
      </c>
      <c r="GQ44" s="6">
        <f>SUMIF('Eredeti fejléccel'!$B:$B,'Felosztás eredménykim'!$B44,'Eredeti fejléccel'!$DB:$DB)</f>
        <v>0</v>
      </c>
      <c r="GR44" s="103">
        <f t="shared" si="58"/>
        <v>0</v>
      </c>
      <c r="GW44" s="36">
        <f t="shared" si="34"/>
        <v>746783.83000643924</v>
      </c>
      <c r="GX44" s="6">
        <f>SUMIF('Eredeti fejléccel'!$B:$B,'Felosztás eredménykim'!$B44,'Eredeti fejléccel'!$M:$M)</f>
        <v>0</v>
      </c>
      <c r="GY44" s="6">
        <f>SUMIF('Eredeti fejléccel'!$B:$B,'Felosztás eredménykim'!$B44,'Eredeti fejléccel'!$DC:$DC)</f>
        <v>0</v>
      </c>
      <c r="GZ44" s="6">
        <f>SUMIF('Eredeti fejléccel'!$B:$B,'Felosztás eredménykim'!$B44,'Eredeti fejléccel'!$DD:$DD)</f>
        <v>0</v>
      </c>
      <c r="HA44" s="6">
        <f>SUMIF('Eredeti fejléccel'!$B:$B,'Felosztás eredménykim'!$B44,'Eredeti fejléccel'!$DE:$DE)</f>
        <v>0</v>
      </c>
      <c r="HB44" s="103">
        <f t="shared" si="59"/>
        <v>0</v>
      </c>
      <c r="HD44" s="9">
        <f t="shared" si="72"/>
        <v>23793334.99999997</v>
      </c>
      <c r="HE44" s="9">
        <v>23793335</v>
      </c>
      <c r="HF44" s="476"/>
      <c r="HH44" s="34">
        <f t="shared" si="60"/>
        <v>-2.9802322387695313E-8</v>
      </c>
    </row>
    <row r="45" spans="1:216" x14ac:dyDescent="0.25">
      <c r="A45" s="4" t="s">
        <v>112</v>
      </c>
      <c r="B45" s="4" t="s">
        <v>112</v>
      </c>
      <c r="C45" s="1" t="s">
        <v>113</v>
      </c>
      <c r="D45" s="6">
        <f>SUMIF('Eredeti fejléccel'!$B:$B,'Felosztás eredménykim'!$B45,'Eredeti fejléccel'!$D:$D)</f>
        <v>0</v>
      </c>
      <c r="E45" s="6">
        <f>SUMIF('Eredeti fejléccel'!$B:$B,'Felosztás eredménykim'!$B45,'Eredeti fejléccel'!$E:$E)</f>
        <v>2409648</v>
      </c>
      <c r="F45" s="6">
        <f>SUMIF('Eredeti fejléccel'!$B:$B,'Felosztás eredménykim'!$B45,'Eredeti fejléccel'!$F:$F)</f>
        <v>0</v>
      </c>
      <c r="G45" s="6">
        <f>SUMIF('Eredeti fejléccel'!$B:$B,'Felosztás eredménykim'!$B45,'Eredeti fejléccel'!$G:$G)</f>
        <v>0</v>
      </c>
      <c r="H45" s="6"/>
      <c r="I45" s="6">
        <f>SUMIF('Eredeti fejléccel'!$B:$B,'Felosztás eredménykim'!$B45,'Eredeti fejléccel'!$O:$O)</f>
        <v>95000</v>
      </c>
      <c r="J45" s="6">
        <f>SUMIF('Eredeti fejléccel'!$B:$B,'Felosztás eredménykim'!$B45,'Eredeti fejléccel'!$P:$P)</f>
        <v>0</v>
      </c>
      <c r="K45" s="6">
        <f>SUMIF('Eredeti fejléccel'!$B:$B,'Felosztás eredménykim'!$B45,'Eredeti fejléccel'!$Q:$Q)</f>
        <v>0</v>
      </c>
      <c r="L45" s="6">
        <f>SUMIF('Eredeti fejléccel'!$B:$B,'Felosztás eredménykim'!$B45,'Eredeti fejléccel'!$R:$R)</f>
        <v>0</v>
      </c>
      <c r="M45" s="6">
        <f>SUMIF('Eredeti fejléccel'!$B:$B,'Felosztás eredménykim'!$B45,'Eredeti fejléccel'!$T:$T)</f>
        <v>430000</v>
      </c>
      <c r="N45" s="6">
        <f>SUMIF('Eredeti fejléccel'!$B:$B,'Felosztás eredménykim'!$B45,'Eredeti fejléccel'!$U:$U)</f>
        <v>0</v>
      </c>
      <c r="O45" s="6">
        <f>SUMIF('Eredeti fejléccel'!$B:$B,'Felosztás eredménykim'!$B45,'Eredeti fejléccel'!$V:$V)</f>
        <v>369816</v>
      </c>
      <c r="P45" s="6">
        <f>SUMIF('Eredeti fejléccel'!$B:$B,'Felosztás eredménykim'!$B45,'Eredeti fejléccel'!$W:$W)</f>
        <v>699310</v>
      </c>
      <c r="Q45" s="6">
        <f>SUMIF('Eredeti fejléccel'!$B:$B,'Felosztás eredménykim'!$B45,'Eredeti fejléccel'!$X:$X)</f>
        <v>120000</v>
      </c>
      <c r="R45" s="6">
        <f>SUMIF('Eredeti fejléccel'!$B:$B,'Felosztás eredménykim'!$B45,'Eredeti fejléccel'!$Y:$Y)</f>
        <v>129900</v>
      </c>
      <c r="S45" s="6">
        <f>SUMIF('Eredeti fejléccel'!$B:$B,'Felosztás eredménykim'!$B45,'Eredeti fejléccel'!$Z:$Z)</f>
        <v>0</v>
      </c>
      <c r="T45" s="6">
        <f>SUMIF('Eredeti fejléccel'!$B:$B,'Felosztás eredménykim'!$B45,'Eredeti fejléccel'!$AA:$AA)</f>
        <v>0</v>
      </c>
      <c r="U45" s="6">
        <f>SUMIF('Eredeti fejléccel'!$B:$B,'Felosztás eredménykim'!$B45,'Eredeti fejléccel'!$D:$D)</f>
        <v>0</v>
      </c>
      <c r="V45" s="6">
        <f>SUMIF('Eredeti fejléccel'!$B:$B,'Felosztás eredménykim'!$B45,'Eredeti fejléccel'!$AT:$AT)</f>
        <v>0</v>
      </c>
      <c r="X45" s="36">
        <f t="shared" si="0"/>
        <v>4253674</v>
      </c>
      <c r="Z45" s="6">
        <f>SUMIF('Eredeti fejléccel'!$B:$B,'Felosztás eredménykim'!$B45,'Eredeti fejléccel'!$K:$K)</f>
        <v>310000</v>
      </c>
      <c r="AB45" s="6">
        <f>SUMIF('Eredeti fejléccel'!$B:$B,'Felosztás eredménykim'!$B45,'Eredeti fejléccel'!$AB:$AB)</f>
        <v>0</v>
      </c>
      <c r="AC45" s="6">
        <f>SUMIF('Eredeti fejléccel'!$B:$B,'Felosztás eredménykim'!$B45,'Eredeti fejléccel'!$AQ:$AQ)</f>
        <v>0</v>
      </c>
      <c r="AE45" s="73">
        <f t="shared" si="1"/>
        <v>310000</v>
      </c>
      <c r="AF45" s="36">
        <f t="shared" si="61"/>
        <v>507440.51503297634</v>
      </c>
      <c r="AG45" s="8">
        <f t="shared" si="3"/>
        <v>98841.78517127267</v>
      </c>
      <c r="AI45" s="6">
        <f>SUMIF('Eredeti fejléccel'!$B:$B,'Felosztás eredménykim'!$B45,'Eredeti fejléccel'!$BB:$BB)</f>
        <v>84816</v>
      </c>
      <c r="AJ45" s="6">
        <f>SUMIF('Eredeti fejléccel'!$B:$B,'Felosztás eredménykim'!$B45,'Eredeti fejléccel'!$AF:$AF)</f>
        <v>0</v>
      </c>
      <c r="AK45" s="8">
        <f t="shared" si="4"/>
        <v>183657.78517127267</v>
      </c>
      <c r="AL45" s="36">
        <f t="shared" si="62"/>
        <v>201552.81045910087</v>
      </c>
      <c r="AM45" s="8">
        <f t="shared" si="6"/>
        <v>39259.458009122616</v>
      </c>
      <c r="AN45" s="6">
        <f t="shared" si="36"/>
        <v>0</v>
      </c>
      <c r="AO45" s="6">
        <f>SUMIF('Eredeti fejléccel'!$B:$B,'Felosztás eredménykim'!$B45,'Eredeti fejléccel'!$AC:$AC)</f>
        <v>0</v>
      </c>
      <c r="AP45" s="6">
        <f>SUMIF('Eredeti fejléccel'!$B:$B,'Felosztás eredménykim'!$B45,'Eredeti fejléccel'!$AD:$AD)</f>
        <v>0</v>
      </c>
      <c r="AQ45" s="6">
        <f>SUMIF('Eredeti fejléccel'!$B:$B,'Felosztás eredménykim'!$B45,'Eredeti fejléccel'!$AE:$AE)</f>
        <v>0</v>
      </c>
      <c r="AR45" s="6">
        <f>SUMIF('Eredeti fejléccel'!$B:$B,'Felosztás eredménykim'!$B45,'Eredeti fejléccel'!$AG:$AG)</f>
        <v>399299</v>
      </c>
      <c r="AS45" s="6">
        <f t="shared" si="37"/>
        <v>438558.45800912264</v>
      </c>
      <c r="AT45" s="36">
        <f t="shared" si="63"/>
        <v>327380.97744062997</v>
      </c>
      <c r="AU45" s="8">
        <f t="shared" si="8"/>
        <v>63768.893658885601</v>
      </c>
      <c r="AV45" s="6">
        <f>SUMIF('Eredeti fejléccel'!$B:$B,'Felosztás eredménykim'!$B45,'Eredeti fejléccel'!$AI:$AI)</f>
        <v>0</v>
      </c>
      <c r="AW45" s="6">
        <f>SUMIF('Eredeti fejléccel'!$B:$B,'Felosztás eredménykim'!$B45,'Eredeti fejléccel'!$AJ:$AJ)</f>
        <v>0</v>
      </c>
      <c r="AX45" s="6">
        <f>SUMIF('Eredeti fejléccel'!$B:$B,'Felosztás eredménykim'!$B45,'Eredeti fejléccel'!$AK:$AK)</f>
        <v>190000</v>
      </c>
      <c r="AY45" s="6">
        <f>SUMIF('Eredeti fejléccel'!$B:$B,'Felosztás eredménykim'!$B45,'Eredeti fejléccel'!$AL:$AL)</f>
        <v>285000</v>
      </c>
      <c r="AZ45" s="6">
        <f>SUMIF('Eredeti fejléccel'!$B:$B,'Felosztás eredménykim'!$B45,'Eredeti fejléccel'!$AM:$AM)</f>
        <v>405000</v>
      </c>
      <c r="BA45" s="6">
        <f>SUMIF('Eredeti fejléccel'!$B:$B,'Felosztás eredménykim'!$B45,'Eredeti fejléccel'!$AN:$AN)</f>
        <v>0</v>
      </c>
      <c r="BB45" s="6">
        <f>SUMIF('Eredeti fejléccel'!$B:$B,'Felosztás eredménykim'!$B45,'Eredeti fejléccel'!$AP:$AP)</f>
        <v>500000</v>
      </c>
      <c r="BD45" s="6">
        <f>SUMIF('Eredeti fejléccel'!$B:$B,'Felosztás eredménykim'!$B45,'Eredeti fejléccel'!$AS:$AS)</f>
        <v>190000</v>
      </c>
      <c r="BE45" s="8">
        <f t="shared" si="38"/>
        <v>1633768.8936588857</v>
      </c>
      <c r="BF45" s="36">
        <f t="shared" si="64"/>
        <v>85403.733245381722</v>
      </c>
      <c r="BG45" s="8">
        <f t="shared" si="10"/>
        <v>16635.363563187548</v>
      </c>
      <c r="BH45" s="6">
        <f t="shared" si="39"/>
        <v>0</v>
      </c>
      <c r="BI45" s="6">
        <f>SUMIF('Eredeti fejléccel'!$B:$B,'Felosztás eredménykim'!$B45,'Eredeti fejléccel'!$AH:$AH)</f>
        <v>285000</v>
      </c>
      <c r="BJ45" s="6">
        <f>SUMIF('Eredeti fejléccel'!$B:$B,'Felosztás eredménykim'!$B45,'Eredeti fejléccel'!$AO:$AO)</f>
        <v>0</v>
      </c>
      <c r="BK45" s="6">
        <f>SUMIF('Eredeti fejléccel'!$B:$B,'Felosztás eredménykim'!$B45,'Eredeti fejléccel'!$BF:$BF)</f>
        <v>0</v>
      </c>
      <c r="BL45" s="8">
        <f t="shared" si="40"/>
        <v>301635.36356318754</v>
      </c>
      <c r="BM45" s="36">
        <f t="shared" si="65"/>
        <v>319979.32055936358</v>
      </c>
      <c r="BN45" s="8">
        <f t="shared" si="12"/>
        <v>62327.162150076016</v>
      </c>
      <c r="BP45" s="8">
        <f t="shared" si="41"/>
        <v>0</v>
      </c>
      <c r="BQ45" s="6">
        <f>SUMIF('Eredeti fejléccel'!$B:$B,'Felosztás eredménykim'!$B45,'Eredeti fejléccel'!$N:$N)</f>
        <v>0</v>
      </c>
      <c r="BR45" s="6">
        <f>SUMIF('Eredeti fejléccel'!$B:$B,'Felosztás eredménykim'!$B45,'Eredeti fejléccel'!$S:$S)</f>
        <v>0</v>
      </c>
      <c r="BT45" s="6">
        <f>SUMIF('Eredeti fejléccel'!$B:$B,'Felosztás eredménykim'!$B45,'Eredeti fejléccel'!$AR:$AR)</f>
        <v>0</v>
      </c>
      <c r="BU45" s="6">
        <f>SUMIF('Eredeti fejléccel'!$B:$B,'Felosztás eredménykim'!$B45,'Eredeti fejléccel'!$AU:$AU)</f>
        <v>0</v>
      </c>
      <c r="BV45" s="6">
        <f>SUMIF('Eredeti fejléccel'!$B:$B,'Felosztás eredménykim'!$B45,'Eredeti fejléccel'!$AV:$AV)</f>
        <v>405000</v>
      </c>
      <c r="BW45" s="6">
        <f>SUMIF('Eredeti fejléccel'!$B:$B,'Felosztás eredménykim'!$B45,'Eredeti fejléccel'!$AW:$AW)</f>
        <v>0</v>
      </c>
      <c r="BX45" s="6">
        <f>SUMIF('Eredeti fejléccel'!$B:$B,'Felosztás eredménykim'!$B45,'Eredeti fejléccel'!$AX:$AX)</f>
        <v>0</v>
      </c>
      <c r="BY45" s="6">
        <f>SUMIF('Eredeti fejléccel'!$B:$B,'Felosztás eredménykim'!$B45,'Eredeti fejléccel'!$AY:$AY)</f>
        <v>0</v>
      </c>
      <c r="BZ45" s="6">
        <f>SUMIF('Eredeti fejléccel'!$B:$B,'Felosztás eredménykim'!$B45,'Eredeti fejléccel'!$AZ:$AZ)</f>
        <v>0</v>
      </c>
      <c r="CA45" s="6">
        <f>SUMIF('Eredeti fejléccel'!$B:$B,'Felosztás eredménykim'!$B45,'Eredeti fejléccel'!$BA:$BA)</f>
        <v>923816</v>
      </c>
      <c r="CB45" s="6">
        <f t="shared" si="13"/>
        <v>1391143.1621500761</v>
      </c>
      <c r="CC45" s="36">
        <f t="shared" si="66"/>
        <v>87111.807910289353</v>
      </c>
      <c r="CD45" s="8">
        <f t="shared" si="15"/>
        <v>16968.0708344513</v>
      </c>
      <c r="CE45" s="6">
        <f>SUMIF('Eredeti fejléccel'!$B:$B,'Felosztás eredménykim'!$B45,'Eredeti fejléccel'!$BC:$BC)</f>
        <v>0</v>
      </c>
      <c r="CF45" s="8">
        <f t="shared" si="42"/>
        <v>0</v>
      </c>
      <c r="CG45" s="6">
        <f>SUMIF('Eredeti fejléccel'!$B:$B,'Felosztás eredménykim'!$B45,'Eredeti fejléccel'!$H:$H)</f>
        <v>0</v>
      </c>
      <c r="CH45" s="6">
        <f>SUMIF('Eredeti fejléccel'!$B:$B,'Felosztás eredménykim'!$B45,'Eredeti fejléccel'!$BE:$BE)</f>
        <v>542586</v>
      </c>
      <c r="CI45" s="6">
        <f t="shared" si="43"/>
        <v>559554.07083445136</v>
      </c>
      <c r="CJ45" s="36">
        <f t="shared" si="67"/>
        <v>62629.404379946609</v>
      </c>
      <c r="CK45" s="8">
        <f t="shared" si="17"/>
        <v>12199.266613004203</v>
      </c>
      <c r="CL45" s="8">
        <f t="shared" si="44"/>
        <v>0</v>
      </c>
      <c r="CM45" s="6">
        <f>SUMIF('Eredeti fejléccel'!$B:$B,'Felosztás eredménykim'!$B45,'Eredeti fejléccel'!$BD:$BD)</f>
        <v>987850</v>
      </c>
      <c r="CN45" s="8">
        <f t="shared" si="45"/>
        <v>1000049.2666130041</v>
      </c>
      <c r="CO45" s="8">
        <f t="shared" si="18"/>
        <v>7099865.5690276874</v>
      </c>
      <c r="CR45" s="36">
        <f t="shared" si="19"/>
        <v>376202.26909207983</v>
      </c>
      <c r="CS45" s="6">
        <f>SUMIF('Eredeti fejléccel'!$B:$B,'Felosztás eredménykim'!$B45,'Eredeti fejléccel'!$I:$I)</f>
        <v>0</v>
      </c>
      <c r="CT45" s="6">
        <f>SUMIF('Eredeti fejléccel'!$B:$B,'Felosztás eredménykim'!$B45,'Eredeti fejléccel'!$BG:$BG)</f>
        <v>0</v>
      </c>
      <c r="CU45" s="6">
        <f>SUMIF('Eredeti fejléccel'!$B:$B,'Felosztás eredménykim'!$B45,'Eredeti fejléccel'!$BH:$BH)</f>
        <v>0</v>
      </c>
      <c r="CV45" s="6">
        <f>SUMIF('Eredeti fejléccel'!$B:$B,'Felosztás eredménykim'!$B45,'Eredeti fejléccel'!$BI:$BI)</f>
        <v>0</v>
      </c>
      <c r="CW45" s="6">
        <f>SUMIF('Eredeti fejléccel'!$B:$B,'Felosztás eredménykim'!$B45,'Eredeti fejléccel'!$BL:$BL)</f>
        <v>566930.37</v>
      </c>
      <c r="CX45" s="6">
        <f t="shared" si="46"/>
        <v>566930.37</v>
      </c>
      <c r="CY45" s="6">
        <f>SUMIF('Eredeti fejléccel'!$B:$B,'Felosztás eredménykim'!$B45,'Eredeti fejléccel'!$BJ:$BJ)</f>
        <v>82290</v>
      </c>
      <c r="CZ45" s="6">
        <f>SUMIF('Eredeti fejléccel'!$B:$B,'Felosztás eredménykim'!$B45,'Eredeti fejléccel'!$BK:$BK)</f>
        <v>3770</v>
      </c>
      <c r="DA45" s="99">
        <f t="shared" si="47"/>
        <v>652990.37</v>
      </c>
      <c r="DC45" s="36">
        <f t="shared" si="20"/>
        <v>329502.24224082427</v>
      </c>
      <c r="DD45" s="6">
        <f>SUMIF('Eredeti fejléccel'!$B:$B,'Felosztás eredménykim'!$B45,'Eredeti fejléccel'!$J:$J)</f>
        <v>0</v>
      </c>
      <c r="DE45" s="6">
        <f>SUMIF('Eredeti fejléccel'!$B:$B,'Felosztás eredménykim'!$B45,'Eredeti fejléccel'!$BM:$BM)</f>
        <v>87000</v>
      </c>
      <c r="DF45" s="6">
        <f t="shared" si="48"/>
        <v>0</v>
      </c>
      <c r="DG45" s="8">
        <f t="shared" si="21"/>
        <v>0</v>
      </c>
      <c r="DH45" s="8">
        <f t="shared" si="49"/>
        <v>87000</v>
      </c>
      <c r="DJ45" s="6">
        <f>SUMIF('Eredeti fejléccel'!$B:$B,'Felosztás eredménykim'!$B45,'Eredeti fejléccel'!$BN:$BN)</f>
        <v>0</v>
      </c>
      <c r="DK45" s="6">
        <f>SUMIF('Eredeti fejléccel'!$B:$B,'Felosztás eredménykim'!$B45,'Eredeti fejléccel'!$BZ:$BZ)</f>
        <v>0</v>
      </c>
      <c r="DL45" s="8">
        <f t="shared" si="50"/>
        <v>0</v>
      </c>
      <c r="DM45" s="6">
        <f>SUMIF('Eredeti fejléccel'!$B:$B,'Felosztás eredménykim'!$B45,'Eredeti fejléccel'!$BR:$BR)</f>
        <v>0</v>
      </c>
      <c r="DN45" s="6">
        <f>SUMIF('Eredeti fejléccel'!$B:$B,'Felosztás eredménykim'!$B45,'Eredeti fejléccel'!$BS:$BS)</f>
        <v>102847.48999999999</v>
      </c>
      <c r="DO45" s="6">
        <f>SUMIF('Eredeti fejléccel'!$B:$B,'Felosztás eredménykim'!$B45,'Eredeti fejléccel'!$BO:$BO)</f>
        <v>0</v>
      </c>
      <c r="DP45" s="6">
        <f>SUMIF('Eredeti fejléccel'!$B:$B,'Felosztás eredménykim'!$B45,'Eredeti fejléccel'!$BP:$BP)</f>
        <v>0</v>
      </c>
      <c r="DQ45" s="6">
        <f>SUMIF('Eredeti fejléccel'!$B:$B,'Felosztás eredménykim'!$B45,'Eredeti fejléccel'!$BQ:$BQ)</f>
        <v>0</v>
      </c>
      <c r="DS45" s="8"/>
      <c r="DU45" s="6">
        <f>SUMIF('Eredeti fejléccel'!$B:$B,'Felosztás eredménykim'!$B45,'Eredeti fejléccel'!$BT:$BT)</f>
        <v>0</v>
      </c>
      <c r="DV45" s="6">
        <f>SUMIF('Eredeti fejléccel'!$B:$B,'Felosztás eredménykim'!$B45,'Eredeti fejléccel'!$BU:$BU)</f>
        <v>0</v>
      </c>
      <c r="DW45" s="6">
        <f>SUMIF('Eredeti fejléccel'!$B:$B,'Felosztás eredménykim'!$B45,'Eredeti fejléccel'!$BV:$BV)</f>
        <v>0</v>
      </c>
      <c r="DX45" s="6">
        <f>SUMIF('Eredeti fejléccel'!$B:$B,'Felosztás eredménykim'!$B45,'Eredeti fejléccel'!$BW:$BW)</f>
        <v>0</v>
      </c>
      <c r="DY45" s="6">
        <f>SUMIF('Eredeti fejléccel'!$B:$B,'Felosztás eredménykim'!$B45,'Eredeti fejléccel'!$BX:$BX)</f>
        <v>0</v>
      </c>
      <c r="EA45" s="6"/>
      <c r="EC45" s="6"/>
      <c r="EE45" s="6">
        <f>SUMIF('Eredeti fejléccel'!$B:$B,'Felosztás eredménykim'!$B45,'Eredeti fejléccel'!$CA:$CA)</f>
        <v>0</v>
      </c>
      <c r="EF45" s="6">
        <f>SUMIF('Eredeti fejléccel'!$B:$B,'Felosztás eredménykim'!$B45,'Eredeti fejléccel'!$CB:$CB)</f>
        <v>0</v>
      </c>
      <c r="EG45" s="6">
        <f>SUMIF('Eredeti fejléccel'!$B:$B,'Felosztás eredménykim'!$B45,'Eredeti fejléccel'!$CC:$CC)</f>
        <v>0</v>
      </c>
      <c r="EH45" s="6">
        <f>SUMIF('Eredeti fejléccel'!$B:$B,'Felosztás eredménykim'!$B45,'Eredeti fejléccel'!$CD:$CD)</f>
        <v>0</v>
      </c>
      <c r="EK45" s="6">
        <f>SUMIF('Eredeti fejléccel'!$B:$B,'Felosztás eredménykim'!$B45,'Eredeti fejléccel'!$CE:$CE)</f>
        <v>0</v>
      </c>
      <c r="EN45" s="6">
        <f>SUMIF('Eredeti fejléccel'!$B:$B,'Felosztás eredménykim'!$B45,'Eredeti fejléccel'!$CF:$CF)</f>
        <v>0</v>
      </c>
      <c r="EP45" s="6">
        <f>SUMIF('Eredeti fejléccel'!$B:$B,'Felosztás eredménykim'!$B45,'Eredeti fejléccel'!$CG:$CG)</f>
        <v>0</v>
      </c>
      <c r="ES45" s="6">
        <f>SUMIF('Eredeti fejléccel'!$B:$B,'Felosztás eredménykim'!$B45,'Eredeti fejléccel'!$CH:$CH)</f>
        <v>0</v>
      </c>
      <c r="ET45" s="6">
        <f>SUMIF('Eredeti fejléccel'!$B:$B,'Felosztás eredménykim'!$B45,'Eredeti fejléccel'!$CI:$CI)</f>
        <v>0</v>
      </c>
      <c r="EW45" s="8">
        <f t="shared" si="22"/>
        <v>0</v>
      </c>
      <c r="EX45" s="8">
        <f t="shared" si="51"/>
        <v>0</v>
      </c>
      <c r="EY45" s="8">
        <f t="shared" si="52"/>
        <v>189847.49</v>
      </c>
      <c r="EZ45" s="8">
        <f t="shared" si="23"/>
        <v>292694.98</v>
      </c>
      <c r="FA45" s="8">
        <f t="shared" si="24"/>
        <v>292694.98</v>
      </c>
      <c r="FC45" s="6">
        <f>SUMIF('Eredeti fejléccel'!$B:$B,'Felosztás eredménykim'!$B45,'Eredeti fejléccel'!$L:$L)</f>
        <v>0</v>
      </c>
      <c r="FD45" s="6">
        <f>SUMIF('Eredeti fejléccel'!$B:$B,'Felosztás eredménykim'!$B45,'Eredeti fejléccel'!$CJ:$CJ)</f>
        <v>219000</v>
      </c>
      <c r="FE45" s="6">
        <f>SUMIF('Eredeti fejléccel'!$B:$B,'Felosztás eredménykim'!$B45,'Eredeti fejléccel'!$CL:$CL)</f>
        <v>0</v>
      </c>
      <c r="FG45" s="99">
        <f t="shared" si="53"/>
        <v>219000</v>
      </c>
      <c r="FH45" s="6">
        <f>SUMIF('Eredeti fejléccel'!$B:$B,'Felosztás eredménykim'!$B45,'Eredeti fejléccel'!$CK:$CK)</f>
        <v>0</v>
      </c>
      <c r="FI45" s="36">
        <f t="shared" si="68"/>
        <v>387680.27008255332</v>
      </c>
      <c r="FJ45" s="101">
        <f t="shared" si="26"/>
        <v>48562.409054163298</v>
      </c>
      <c r="FK45" s="6">
        <f>SUMIF('Eredeti fejléccel'!$B:$B,'Felosztás eredménykim'!$B45,'Eredeti fejléccel'!$CM:$CM)</f>
        <v>0</v>
      </c>
      <c r="FL45" s="6">
        <f>SUMIF('Eredeti fejléccel'!$B:$B,'Felosztás eredménykim'!$B45,'Eredeti fejléccel'!$CN:$CN)</f>
        <v>0</v>
      </c>
      <c r="FM45" s="8">
        <f t="shared" si="54"/>
        <v>48562.409054163298</v>
      </c>
      <c r="FN45" s="36">
        <f t="shared" si="69"/>
        <v>329591.83005195571</v>
      </c>
      <c r="FO45" s="101">
        <f t="shared" si="28"/>
        <v>41286.014551333872</v>
      </c>
      <c r="FP45" s="6">
        <f>SUMIF('Eredeti fejléccel'!$B:$B,'Felosztás eredménykim'!$B45,'Eredeti fejléccel'!$CO:$CO)</f>
        <v>58000</v>
      </c>
      <c r="FQ45" s="6">
        <f>'Eredeti fejléccel'!CP45</f>
        <v>0</v>
      </c>
      <c r="FR45" s="6">
        <f>'Eredeti fejléccel'!CQ45</f>
        <v>0</v>
      </c>
      <c r="FS45" s="103">
        <f t="shared" si="55"/>
        <v>99286.014551333879</v>
      </c>
      <c r="FT45" s="36">
        <f t="shared" si="70"/>
        <v>909769.55833809567</v>
      </c>
      <c r="FU45" s="101">
        <f t="shared" si="30"/>
        <v>113961.43896523849</v>
      </c>
      <c r="FV45" s="101"/>
      <c r="FW45" s="6">
        <f>SUMIF('Eredeti fejléccel'!$B:$B,'Felosztás eredménykim'!$B45,'Eredeti fejléccel'!$CR:$CR)</f>
        <v>70000</v>
      </c>
      <c r="FX45" s="6">
        <f>SUMIF('Eredeti fejléccel'!$B:$B,'Felosztás eredménykim'!$B45,'Eredeti fejléccel'!$CS:$CS)</f>
        <v>0</v>
      </c>
      <c r="FY45" s="6">
        <f>SUMIF('Eredeti fejléccel'!$B:$B,'Felosztás eredménykim'!$B45,'Eredeti fejléccel'!$CT:$CT)</f>
        <v>0</v>
      </c>
      <c r="FZ45" s="6">
        <f>SUMIF('Eredeti fejléccel'!$B:$B,'Felosztás eredménykim'!$B45,'Eredeti fejléccel'!$CU:$CU)</f>
        <v>0</v>
      </c>
      <c r="GA45" s="103">
        <f t="shared" si="56"/>
        <v>183961.43896523849</v>
      </c>
      <c r="GB45" s="36">
        <f t="shared" si="71"/>
        <v>121264.91860402143</v>
      </c>
      <c r="GC45" s="101">
        <f t="shared" si="32"/>
        <v>15190.137429264349</v>
      </c>
      <c r="GD45" s="6">
        <f>SUMIF('Eredeti fejléccel'!$B:$B,'Felosztás eredménykim'!$B45,'Eredeti fejléccel'!$CV:$CV)</f>
        <v>0</v>
      </c>
      <c r="GE45" s="6">
        <f>SUMIF('Eredeti fejléccel'!$B:$B,'Felosztás eredménykim'!$B45,'Eredeti fejléccel'!$CW:$CW)</f>
        <v>0</v>
      </c>
      <c r="GF45" s="103">
        <f t="shared" si="57"/>
        <v>15190.137429264349</v>
      </c>
      <c r="GG45" s="36">
        <f t="shared" si="33"/>
        <v>0</v>
      </c>
      <c r="GM45" s="6">
        <f>SUMIF('Eredeti fejléccel'!$B:$B,'Felosztás eredménykim'!$B45,'Eredeti fejléccel'!$CX:$CX)</f>
        <v>0</v>
      </c>
      <c r="GN45" s="6">
        <f>SUMIF('Eredeti fejléccel'!$B:$B,'Felosztás eredménykim'!$B45,'Eredeti fejléccel'!$CY:$CY)</f>
        <v>0</v>
      </c>
      <c r="GO45" s="6">
        <f>SUMIF('Eredeti fejléccel'!$B:$B,'Felosztás eredménykim'!$B45,'Eredeti fejléccel'!$CZ:$CZ)</f>
        <v>0</v>
      </c>
      <c r="GP45" s="6">
        <f>SUMIF('Eredeti fejléccel'!$B:$B,'Felosztás eredménykim'!$B45,'Eredeti fejléccel'!$DA:$DA)</f>
        <v>0</v>
      </c>
      <c r="GQ45" s="6">
        <f>SUMIF('Eredeti fejléccel'!$B:$B,'Felosztás eredménykim'!$B45,'Eredeti fejléccel'!$DB:$DB)</f>
        <v>0</v>
      </c>
      <c r="GR45" s="103">
        <f t="shared" si="58"/>
        <v>0</v>
      </c>
      <c r="GW45" s="36">
        <f t="shared" si="34"/>
        <v>208164.34256278171</v>
      </c>
      <c r="GX45" s="6">
        <f>SUMIF('Eredeti fejléccel'!$B:$B,'Felosztás eredménykim'!$B45,'Eredeti fejléccel'!$M:$M)</f>
        <v>0</v>
      </c>
      <c r="GY45" s="6">
        <f>SUMIF('Eredeti fejléccel'!$B:$B,'Felosztás eredménykim'!$B45,'Eredeti fejléccel'!$DC:$DC)</f>
        <v>0</v>
      </c>
      <c r="GZ45" s="6">
        <f>SUMIF('Eredeti fejléccel'!$B:$B,'Felosztás eredménykim'!$B45,'Eredeti fejléccel'!$DD:$DD)</f>
        <v>0</v>
      </c>
      <c r="HA45" s="6">
        <f>SUMIF('Eredeti fejléccel'!$B:$B,'Felosztás eredménykim'!$B45,'Eredeti fejléccel'!$DE:$DE)</f>
        <v>58000</v>
      </c>
      <c r="HB45" s="103">
        <f t="shared" si="59"/>
        <v>58000</v>
      </c>
      <c r="HD45" s="9">
        <f t="shared" si="72"/>
        <v>11009878.860000009</v>
      </c>
      <c r="HE45" s="9">
        <v>11009878.859999999</v>
      </c>
      <c r="HF45" s="476"/>
      <c r="HH45" s="34">
        <f t="shared" si="60"/>
        <v>0</v>
      </c>
    </row>
    <row r="46" spans="1:216" x14ac:dyDescent="0.25">
      <c r="A46" s="4" t="s">
        <v>114</v>
      </c>
      <c r="B46" s="4" t="s">
        <v>114</v>
      </c>
      <c r="C46" s="1" t="s">
        <v>115</v>
      </c>
      <c r="D46" s="6">
        <f>SUMIF('Eredeti fejléccel'!$B:$B,'Felosztás eredménykim'!$B46,'Eredeti fejléccel'!$D:$D)</f>
        <v>0</v>
      </c>
      <c r="E46" s="6">
        <f>SUMIF('Eredeti fejléccel'!$B:$B,'Felosztás eredménykim'!$B46,'Eredeti fejléccel'!$E:$E)</f>
        <v>265000</v>
      </c>
      <c r="F46" s="6">
        <f>SUMIF('Eredeti fejléccel'!$B:$B,'Felosztás eredménykim'!$B46,'Eredeti fejléccel'!$F:$F)</f>
        <v>0</v>
      </c>
      <c r="G46" s="6">
        <f>SUMIF('Eredeti fejléccel'!$B:$B,'Felosztás eredménykim'!$B46,'Eredeti fejléccel'!$G:$G)</f>
        <v>0</v>
      </c>
      <c r="H46" s="6"/>
      <c r="I46" s="6">
        <f>SUMIF('Eredeti fejléccel'!$B:$B,'Felosztás eredménykim'!$B46,'Eredeti fejléccel'!$O:$O)</f>
        <v>200000</v>
      </c>
      <c r="J46" s="6">
        <f>SUMIF('Eredeti fejléccel'!$B:$B,'Felosztás eredménykim'!$B46,'Eredeti fejléccel'!$P:$P)</f>
        <v>0</v>
      </c>
      <c r="K46" s="6">
        <f>SUMIF('Eredeti fejléccel'!$B:$B,'Felosztás eredménykim'!$B46,'Eredeti fejléccel'!$Q:$Q)</f>
        <v>0</v>
      </c>
      <c r="L46" s="6">
        <f>SUMIF('Eredeti fejléccel'!$B:$B,'Felosztás eredménykim'!$B46,'Eredeti fejléccel'!$R:$R)</f>
        <v>370000</v>
      </c>
      <c r="M46" s="6">
        <f>SUMIF('Eredeti fejléccel'!$B:$B,'Felosztás eredménykim'!$B46,'Eredeti fejléccel'!$T:$T)</f>
        <v>0</v>
      </c>
      <c r="N46" s="6">
        <f>SUMIF('Eredeti fejléccel'!$B:$B,'Felosztás eredménykim'!$B46,'Eredeti fejléccel'!$U:$U)</f>
        <v>0</v>
      </c>
      <c r="O46" s="6">
        <f>SUMIF('Eredeti fejléccel'!$B:$B,'Felosztás eredménykim'!$B46,'Eredeti fejléccel'!$V:$V)</f>
        <v>0</v>
      </c>
      <c r="P46" s="6">
        <f>SUMIF('Eredeti fejléccel'!$B:$B,'Felosztás eredménykim'!$B46,'Eredeti fejléccel'!$W:$W)</f>
        <v>190830</v>
      </c>
      <c r="Q46" s="6">
        <f>SUMIF('Eredeti fejléccel'!$B:$B,'Felosztás eredménykim'!$B46,'Eredeti fejléccel'!$X:$X)</f>
        <v>0</v>
      </c>
      <c r="R46" s="6">
        <f>SUMIF('Eredeti fejléccel'!$B:$B,'Felosztás eredménykim'!$B46,'Eredeti fejléccel'!$Y:$Y)</f>
        <v>0</v>
      </c>
      <c r="S46" s="6">
        <f>SUMIF('Eredeti fejléccel'!$B:$B,'Felosztás eredménykim'!$B46,'Eredeti fejléccel'!$Z:$Z)</f>
        <v>0</v>
      </c>
      <c r="T46" s="6">
        <f>SUMIF('Eredeti fejléccel'!$B:$B,'Felosztás eredménykim'!$B46,'Eredeti fejléccel'!$AA:$AA)</f>
        <v>0</v>
      </c>
      <c r="U46" s="6">
        <f>SUMIF('Eredeti fejléccel'!$B:$B,'Felosztás eredménykim'!$B46,'Eredeti fejléccel'!$D:$D)</f>
        <v>0</v>
      </c>
      <c r="V46" s="6">
        <f>SUMIF('Eredeti fejléccel'!$B:$B,'Felosztás eredménykim'!$B46,'Eredeti fejléccel'!$AT:$AT)</f>
        <v>0</v>
      </c>
      <c r="X46" s="36">
        <f t="shared" si="0"/>
        <v>1025830</v>
      </c>
      <c r="Z46" s="6">
        <f>SUMIF('Eredeti fejléccel'!$B:$B,'Felosztás eredménykim'!$B46,'Eredeti fejléccel'!$K:$K)</f>
        <v>0</v>
      </c>
      <c r="AB46" s="6">
        <f>SUMIF('Eredeti fejléccel'!$B:$B,'Felosztás eredménykim'!$B46,'Eredeti fejléccel'!$AB:$AB)</f>
        <v>0</v>
      </c>
      <c r="AC46" s="6">
        <f>SUMIF('Eredeti fejléccel'!$B:$B,'Felosztás eredménykim'!$B46,'Eredeti fejléccel'!$AQ:$AQ)</f>
        <v>0</v>
      </c>
      <c r="AE46" s="73">
        <f t="shared" si="1"/>
        <v>0</v>
      </c>
      <c r="AF46" s="36">
        <f t="shared" si="61"/>
        <v>122376.02212493909</v>
      </c>
      <c r="AG46" s="8">
        <f t="shared" si="3"/>
        <v>0</v>
      </c>
      <c r="AI46" s="6">
        <f>SUMIF('Eredeti fejléccel'!$B:$B,'Felosztás eredménykim'!$B46,'Eredeti fejléccel'!$BB:$BB)</f>
        <v>23933.3</v>
      </c>
      <c r="AJ46" s="6">
        <f>SUMIF('Eredeti fejléccel'!$B:$B,'Felosztás eredménykim'!$B46,'Eredeti fejléccel'!$AF:$AF)</f>
        <v>0</v>
      </c>
      <c r="AK46" s="8">
        <f t="shared" si="4"/>
        <v>23933.3</v>
      </c>
      <c r="AL46" s="36">
        <f t="shared" si="62"/>
        <v>48607.138100677075</v>
      </c>
      <c r="AM46" s="8">
        <f t="shared" si="6"/>
        <v>0</v>
      </c>
      <c r="AN46" s="6">
        <f t="shared" si="36"/>
        <v>0</v>
      </c>
      <c r="AO46" s="6">
        <f>SUMIF('Eredeti fejléccel'!$B:$B,'Felosztás eredménykim'!$B46,'Eredeti fejléccel'!$AC:$AC)</f>
        <v>0</v>
      </c>
      <c r="AP46" s="6">
        <f>SUMIF('Eredeti fejléccel'!$B:$B,'Felosztás eredménykim'!$B46,'Eredeti fejléccel'!$AD:$AD)</f>
        <v>0</v>
      </c>
      <c r="AQ46" s="6">
        <f>SUMIF('Eredeti fejléccel'!$B:$B,'Felosztás eredménykim'!$B46,'Eredeti fejléccel'!$AE:$AE)</f>
        <v>0</v>
      </c>
      <c r="AR46" s="6">
        <f>SUMIF('Eredeti fejléccel'!$B:$B,'Felosztás eredménykim'!$B46,'Eredeti fejléccel'!$AG:$AG)</f>
        <v>601050.70000000007</v>
      </c>
      <c r="AS46" s="6">
        <f t="shared" si="37"/>
        <v>601050.70000000007</v>
      </c>
      <c r="AT46" s="36">
        <f t="shared" si="63"/>
        <v>78952.272338670387</v>
      </c>
      <c r="AU46" s="8">
        <f t="shared" si="8"/>
        <v>0</v>
      </c>
      <c r="AV46" s="6">
        <f>SUMIF('Eredeti fejléccel'!$B:$B,'Felosztás eredménykim'!$B46,'Eredeti fejléccel'!$AI:$AI)</f>
        <v>0</v>
      </c>
      <c r="AW46" s="6">
        <f>SUMIF('Eredeti fejléccel'!$B:$B,'Felosztás eredménykim'!$B46,'Eredeti fejléccel'!$AJ:$AJ)</f>
        <v>0</v>
      </c>
      <c r="AX46" s="6">
        <f>SUMIF('Eredeti fejléccel'!$B:$B,'Felosztás eredménykim'!$B46,'Eredeti fejléccel'!$AK:$AK)</f>
        <v>138076.96</v>
      </c>
      <c r="AY46" s="6">
        <f>SUMIF('Eredeti fejléccel'!$B:$B,'Felosztás eredménykim'!$B46,'Eredeti fejléccel'!$AL:$AL)</f>
        <v>110461.52</v>
      </c>
      <c r="AZ46" s="6">
        <f>SUMIF('Eredeti fejléccel'!$B:$B,'Felosztás eredménykim'!$B46,'Eredeti fejléccel'!$AM:$AM)</f>
        <v>130449.78000000001</v>
      </c>
      <c r="BA46" s="6">
        <f>SUMIF('Eredeti fejléccel'!$B:$B,'Felosztás eredménykim'!$B46,'Eredeti fejléccel'!$AN:$AN)</f>
        <v>0</v>
      </c>
      <c r="BB46" s="6">
        <f>SUMIF('Eredeti fejléccel'!$B:$B,'Felosztás eredménykim'!$B46,'Eredeti fejléccel'!$AP:$AP)</f>
        <v>55230.76</v>
      </c>
      <c r="BD46" s="6">
        <f>SUMIF('Eredeti fejléccel'!$B:$B,'Felosztás eredménykim'!$B46,'Eredeti fejléccel'!$AS:$AS)</f>
        <v>0</v>
      </c>
      <c r="BE46" s="8">
        <f t="shared" si="38"/>
        <v>434219.02</v>
      </c>
      <c r="BF46" s="36">
        <f t="shared" si="64"/>
        <v>20596.244957914012</v>
      </c>
      <c r="BG46" s="8">
        <f t="shared" si="10"/>
        <v>0</v>
      </c>
      <c r="BH46" s="6">
        <f t="shared" si="39"/>
        <v>0</v>
      </c>
      <c r="BI46" s="6">
        <f>SUMIF('Eredeti fejléccel'!$B:$B,'Felosztás eredménykim'!$B46,'Eredeti fejléccel'!$AH:$AH)</f>
        <v>59900</v>
      </c>
      <c r="BJ46" s="6">
        <f>SUMIF('Eredeti fejléccel'!$B:$B,'Felosztás eredménykim'!$B46,'Eredeti fejléccel'!$AO:$AO)</f>
        <v>0</v>
      </c>
      <c r="BK46" s="6">
        <f>SUMIF('Eredeti fejléccel'!$B:$B,'Felosztás eredménykim'!$B46,'Eredeti fejléccel'!$BF:$BF)</f>
        <v>0</v>
      </c>
      <c r="BL46" s="8">
        <f t="shared" si="40"/>
        <v>59900</v>
      </c>
      <c r="BM46" s="36">
        <f t="shared" si="65"/>
        <v>77167.264442317843</v>
      </c>
      <c r="BN46" s="8">
        <f t="shared" si="12"/>
        <v>0</v>
      </c>
      <c r="BP46" s="8">
        <f t="shared" si="41"/>
        <v>0</v>
      </c>
      <c r="BQ46" s="6">
        <f>SUMIF('Eredeti fejléccel'!$B:$B,'Felosztás eredménykim'!$B46,'Eredeti fejléccel'!$N:$N)</f>
        <v>0</v>
      </c>
      <c r="BR46" s="6">
        <f>SUMIF('Eredeti fejléccel'!$B:$B,'Felosztás eredménykim'!$B46,'Eredeti fejléccel'!$S:$S)</f>
        <v>120000</v>
      </c>
      <c r="BT46" s="6">
        <f>SUMIF('Eredeti fejléccel'!$B:$B,'Felosztás eredménykim'!$B46,'Eredeti fejléccel'!$AR:$AR)</f>
        <v>0</v>
      </c>
      <c r="BU46" s="6">
        <f>SUMIF('Eredeti fejléccel'!$B:$B,'Felosztás eredménykim'!$B46,'Eredeti fejléccel'!$AU:$AU)</f>
        <v>0</v>
      </c>
      <c r="BV46" s="6">
        <f>SUMIF('Eredeti fejléccel'!$B:$B,'Felosztás eredménykim'!$B46,'Eredeti fejléccel'!$AV:$AV)</f>
        <v>10000</v>
      </c>
      <c r="BW46" s="6">
        <f>SUMIF('Eredeti fejléccel'!$B:$B,'Felosztás eredménykim'!$B46,'Eredeti fejléccel'!$AW:$AW)</f>
        <v>0</v>
      </c>
      <c r="BX46" s="6">
        <f>SUMIF('Eredeti fejléccel'!$B:$B,'Felosztás eredménykim'!$B46,'Eredeti fejléccel'!$AX:$AX)</f>
        <v>0</v>
      </c>
      <c r="BY46" s="6">
        <f>SUMIF('Eredeti fejléccel'!$B:$B,'Felosztás eredménykim'!$B46,'Eredeti fejléccel'!$AY:$AY)</f>
        <v>0</v>
      </c>
      <c r="BZ46" s="6">
        <f>SUMIF('Eredeti fejléccel'!$B:$B,'Felosztás eredménykim'!$B46,'Eredeti fejléccel'!$AZ:$AZ)</f>
        <v>0</v>
      </c>
      <c r="CA46" s="6">
        <f>SUMIF('Eredeti fejléccel'!$B:$B,'Felosztás eredménykim'!$B46,'Eredeti fejléccel'!$BA:$BA)</f>
        <v>310322.50000000006</v>
      </c>
      <c r="CB46" s="6">
        <f t="shared" si="13"/>
        <v>440322.50000000006</v>
      </c>
      <c r="CC46" s="36">
        <f t="shared" si="66"/>
        <v>21008.169857072295</v>
      </c>
      <c r="CD46" s="8">
        <f t="shared" si="15"/>
        <v>0</v>
      </c>
      <c r="CE46" s="6">
        <f>SUMIF('Eredeti fejléccel'!$B:$B,'Felosztás eredménykim'!$B46,'Eredeti fejléccel'!$BC:$BC)</f>
        <v>0</v>
      </c>
      <c r="CF46" s="8">
        <f t="shared" si="42"/>
        <v>0</v>
      </c>
      <c r="CG46" s="6">
        <f>SUMIF('Eredeti fejléccel'!$B:$B,'Felosztás eredménykim'!$B46,'Eredeti fejléccel'!$H:$H)</f>
        <v>0</v>
      </c>
      <c r="CH46" s="6">
        <f>SUMIF('Eredeti fejléccel'!$B:$B,'Felosztás eredménykim'!$B46,'Eredeti fejléccel'!$BE:$BE)</f>
        <v>76928.58</v>
      </c>
      <c r="CI46" s="6">
        <f t="shared" si="43"/>
        <v>76928.58</v>
      </c>
      <c r="CJ46" s="36">
        <f t="shared" si="67"/>
        <v>15103.912969136945</v>
      </c>
      <c r="CK46" s="8">
        <f t="shared" si="17"/>
        <v>0</v>
      </c>
      <c r="CL46" s="8">
        <f t="shared" si="44"/>
        <v>0</v>
      </c>
      <c r="CM46" s="6">
        <f>SUMIF('Eredeti fejléccel'!$B:$B,'Felosztás eredménykim'!$B46,'Eredeti fejléccel'!$BD:$BD)</f>
        <v>102571.40999999992</v>
      </c>
      <c r="CN46" s="8">
        <f t="shared" si="45"/>
        <v>102571.40999999992</v>
      </c>
      <c r="CO46" s="8">
        <f t="shared" si="18"/>
        <v>2122736.5347907278</v>
      </c>
      <c r="CR46" s="36">
        <f t="shared" si="19"/>
        <v>90726.17546683838</v>
      </c>
      <c r="CS46" s="6">
        <f>SUMIF('Eredeti fejléccel'!$B:$B,'Felosztás eredménykim'!$B46,'Eredeti fejléccel'!$I:$I)</f>
        <v>0</v>
      </c>
      <c r="CT46" s="6">
        <f>SUMIF('Eredeti fejléccel'!$B:$B,'Felosztás eredménykim'!$B46,'Eredeti fejléccel'!$BG:$BG)</f>
        <v>0</v>
      </c>
      <c r="CU46" s="6">
        <f>SUMIF('Eredeti fejléccel'!$B:$B,'Felosztás eredménykim'!$B46,'Eredeti fejléccel'!$BH:$BH)</f>
        <v>0</v>
      </c>
      <c r="CV46" s="6">
        <f>SUMIF('Eredeti fejléccel'!$B:$B,'Felosztás eredménykim'!$B46,'Eredeti fejléccel'!$BI:$BI)</f>
        <v>71799.899999999994</v>
      </c>
      <c r="CW46" s="6">
        <f>SUMIF('Eredeti fejléccel'!$B:$B,'Felosztás eredménykim'!$B46,'Eredeti fejléccel'!$BL:$BL)</f>
        <v>79321.899999999994</v>
      </c>
      <c r="CX46" s="6">
        <f t="shared" si="46"/>
        <v>151121.79999999999</v>
      </c>
      <c r="CY46" s="6">
        <f>SUMIF('Eredeti fejléccel'!$B:$B,'Felosztás eredménykim'!$B46,'Eredeti fejléccel'!$BJ:$BJ)</f>
        <v>11852.69</v>
      </c>
      <c r="CZ46" s="6">
        <f>SUMIF('Eredeti fejléccel'!$B:$B,'Felosztás eredménykim'!$B46,'Eredeti fejléccel'!$BK:$BK)</f>
        <v>0</v>
      </c>
      <c r="DA46" s="99">
        <f t="shared" si="47"/>
        <v>162974.49</v>
      </c>
      <c r="DC46" s="36">
        <f t="shared" si="20"/>
        <v>79463.843528654237</v>
      </c>
      <c r="DD46" s="6">
        <f>SUMIF('Eredeti fejléccel'!$B:$B,'Felosztás eredménykim'!$B46,'Eredeti fejléccel'!$J:$J)</f>
        <v>0</v>
      </c>
      <c r="DE46" s="6">
        <f>SUMIF('Eredeti fejléccel'!$B:$B,'Felosztás eredménykim'!$B46,'Eredeti fejléccel'!$BM:$BM)</f>
        <v>48000</v>
      </c>
      <c r="DF46" s="6">
        <f t="shared" si="48"/>
        <v>0</v>
      </c>
      <c r="DG46" s="8">
        <f t="shared" si="21"/>
        <v>0</v>
      </c>
      <c r="DH46" s="8">
        <f t="shared" si="49"/>
        <v>48000</v>
      </c>
      <c r="DJ46" s="6">
        <f>SUMIF('Eredeti fejléccel'!$B:$B,'Felosztás eredménykim'!$B46,'Eredeti fejléccel'!$BN:$BN)</f>
        <v>0</v>
      </c>
      <c r="DK46" s="6">
        <f>SUMIF('Eredeti fejléccel'!$B:$B,'Felosztás eredménykim'!$B46,'Eredeti fejléccel'!$BZ:$BZ)</f>
        <v>0</v>
      </c>
      <c r="DL46" s="8">
        <f t="shared" si="50"/>
        <v>0</v>
      </c>
      <c r="DM46" s="6">
        <f>SUMIF('Eredeti fejléccel'!$B:$B,'Felosztás eredménykim'!$B46,'Eredeti fejléccel'!$BR:$BR)</f>
        <v>0</v>
      </c>
      <c r="DN46" s="6">
        <f>SUMIF('Eredeti fejléccel'!$B:$B,'Felosztás eredménykim'!$B46,'Eredeti fejléccel'!$BS:$BS)</f>
        <v>0</v>
      </c>
      <c r="DO46" s="6">
        <f>SUMIF('Eredeti fejléccel'!$B:$B,'Felosztás eredménykim'!$B46,'Eredeti fejléccel'!$BO:$BO)</f>
        <v>0</v>
      </c>
      <c r="DP46" s="6">
        <f>SUMIF('Eredeti fejléccel'!$B:$B,'Felosztás eredménykim'!$B46,'Eredeti fejléccel'!$BP:$BP)</f>
        <v>0</v>
      </c>
      <c r="DQ46" s="6">
        <f>SUMIF('Eredeti fejléccel'!$B:$B,'Felosztás eredménykim'!$B46,'Eredeti fejléccel'!$BQ:$BQ)</f>
        <v>0</v>
      </c>
      <c r="DS46" s="8"/>
      <c r="DU46" s="6">
        <f>SUMIF('Eredeti fejléccel'!$B:$B,'Felosztás eredménykim'!$B46,'Eredeti fejléccel'!$BT:$BT)</f>
        <v>0</v>
      </c>
      <c r="DV46" s="6">
        <f>SUMIF('Eredeti fejléccel'!$B:$B,'Felosztás eredménykim'!$B46,'Eredeti fejléccel'!$BU:$BU)</f>
        <v>0</v>
      </c>
      <c r="DW46" s="6">
        <f>SUMIF('Eredeti fejléccel'!$B:$B,'Felosztás eredménykim'!$B46,'Eredeti fejléccel'!$BV:$BV)</f>
        <v>0</v>
      </c>
      <c r="DX46" s="6">
        <f>SUMIF('Eredeti fejléccel'!$B:$B,'Felosztás eredménykim'!$B46,'Eredeti fejléccel'!$BW:$BW)</f>
        <v>0</v>
      </c>
      <c r="DY46" s="6">
        <f>SUMIF('Eredeti fejléccel'!$B:$B,'Felosztás eredménykim'!$B46,'Eredeti fejléccel'!$BX:$BX)</f>
        <v>0</v>
      </c>
      <c r="EA46" s="6"/>
      <c r="EC46" s="6"/>
      <c r="EE46" s="6">
        <f>SUMIF('Eredeti fejléccel'!$B:$B,'Felosztás eredménykim'!$B46,'Eredeti fejléccel'!$CA:$CA)</f>
        <v>0</v>
      </c>
      <c r="EF46" s="6">
        <f>SUMIF('Eredeti fejléccel'!$B:$B,'Felosztás eredménykim'!$B46,'Eredeti fejléccel'!$CB:$CB)</f>
        <v>0</v>
      </c>
      <c r="EG46" s="6">
        <f>SUMIF('Eredeti fejléccel'!$B:$B,'Felosztás eredménykim'!$B46,'Eredeti fejléccel'!$CC:$CC)</f>
        <v>0</v>
      </c>
      <c r="EH46" s="6">
        <f>SUMIF('Eredeti fejléccel'!$B:$B,'Felosztás eredménykim'!$B46,'Eredeti fejléccel'!$CD:$CD)</f>
        <v>0</v>
      </c>
      <c r="EK46" s="6">
        <f>SUMIF('Eredeti fejléccel'!$B:$B,'Felosztás eredménykim'!$B46,'Eredeti fejléccel'!$CE:$CE)</f>
        <v>0</v>
      </c>
      <c r="EN46" s="6">
        <f>SUMIF('Eredeti fejléccel'!$B:$B,'Felosztás eredménykim'!$B46,'Eredeti fejléccel'!$CF:$CF)</f>
        <v>0</v>
      </c>
      <c r="EP46" s="6">
        <f>SUMIF('Eredeti fejléccel'!$B:$B,'Felosztás eredménykim'!$B46,'Eredeti fejléccel'!$CG:$CG)</f>
        <v>0</v>
      </c>
      <c r="ES46" s="6">
        <f>SUMIF('Eredeti fejléccel'!$B:$B,'Felosztás eredménykim'!$B46,'Eredeti fejléccel'!$CH:$CH)</f>
        <v>0</v>
      </c>
      <c r="ET46" s="6">
        <f>SUMIF('Eredeti fejléccel'!$B:$B,'Felosztás eredménykim'!$B46,'Eredeti fejléccel'!$CI:$CI)</f>
        <v>0</v>
      </c>
      <c r="EW46" s="8">
        <f t="shared" si="22"/>
        <v>0</v>
      </c>
      <c r="EX46" s="8">
        <f t="shared" si="51"/>
        <v>0</v>
      </c>
      <c r="EY46" s="8">
        <f t="shared" si="52"/>
        <v>48000</v>
      </c>
      <c r="EZ46" s="8">
        <f t="shared" si="23"/>
        <v>48000</v>
      </c>
      <c r="FA46" s="8">
        <f t="shared" si="24"/>
        <v>48000</v>
      </c>
      <c r="FC46" s="6">
        <f>SUMIF('Eredeti fejléccel'!$B:$B,'Felosztás eredménykim'!$B46,'Eredeti fejléccel'!$L:$L)</f>
        <v>0</v>
      </c>
      <c r="FD46" s="6">
        <f>SUMIF('Eredeti fejléccel'!$B:$B,'Felosztás eredménykim'!$B46,'Eredeti fejléccel'!$CJ:$CJ)</f>
        <v>32000</v>
      </c>
      <c r="FE46" s="6">
        <f>SUMIF('Eredeti fejléccel'!$B:$B,'Felosztás eredménykim'!$B46,'Eredeti fejléccel'!$CL:$CL)</f>
        <v>0</v>
      </c>
      <c r="FG46" s="99">
        <f t="shared" si="53"/>
        <v>32000</v>
      </c>
      <c r="FH46" s="6">
        <f>SUMIF('Eredeti fejléccel'!$B:$B,'Felosztás eredménykim'!$B46,'Eredeti fejléccel'!$CK:$CK)</f>
        <v>0</v>
      </c>
      <c r="FI46" s="36">
        <f t="shared" si="68"/>
        <v>93494.247903996802</v>
      </c>
      <c r="FJ46" s="101">
        <f t="shared" si="26"/>
        <v>7095.8771220695235</v>
      </c>
      <c r="FK46" s="6">
        <f>SUMIF('Eredeti fejléccel'!$B:$B,'Felosztás eredménykim'!$B46,'Eredeti fejléccel'!$CM:$CM)</f>
        <v>0</v>
      </c>
      <c r="FL46" s="6">
        <f>SUMIF('Eredeti fejléccel'!$B:$B,'Felosztás eredménykim'!$B46,'Eredeti fejléccel'!$CN:$CN)</f>
        <v>0</v>
      </c>
      <c r="FM46" s="8">
        <f t="shared" si="54"/>
        <v>7095.8771220695235</v>
      </c>
      <c r="FN46" s="36">
        <f t="shared" si="69"/>
        <v>79485.448819584606</v>
      </c>
      <c r="FO46" s="101">
        <f t="shared" si="28"/>
        <v>6032.6596604688766</v>
      </c>
      <c r="FP46" s="6">
        <f>SUMIF('Eredeti fejléccel'!$B:$B,'Felosztás eredménykim'!$B46,'Eredeti fejléccel'!$CO:$CO)</f>
        <v>93300</v>
      </c>
      <c r="FQ46" s="6">
        <f>'Eredeti fejléccel'!CP46</f>
        <v>0</v>
      </c>
      <c r="FR46" s="6">
        <f>'Eredeti fejléccel'!CQ46</f>
        <v>0</v>
      </c>
      <c r="FS46" s="103">
        <f t="shared" si="55"/>
        <v>99332.659660468882</v>
      </c>
      <c r="FT46" s="36">
        <f t="shared" si="70"/>
        <v>219403.01631718103</v>
      </c>
      <c r="FU46" s="101">
        <f t="shared" si="30"/>
        <v>16651.899757477771</v>
      </c>
      <c r="FV46" s="101"/>
      <c r="FW46" s="6">
        <f>SUMIF('Eredeti fejléccel'!$B:$B,'Felosztás eredménykim'!$B46,'Eredeti fejléccel'!$CR:$CR)</f>
        <v>0</v>
      </c>
      <c r="FX46" s="6">
        <f>SUMIF('Eredeti fejléccel'!$B:$B,'Felosztás eredménykim'!$B46,'Eredeti fejléccel'!$CS:$CS)</f>
        <v>0</v>
      </c>
      <c r="FY46" s="6">
        <f>SUMIF('Eredeti fejléccel'!$B:$B,'Felosztás eredménykim'!$B46,'Eredeti fejléccel'!$CT:$CT)</f>
        <v>0</v>
      </c>
      <c r="FZ46" s="6">
        <f>SUMIF('Eredeti fejléccel'!$B:$B,'Felosztás eredménykim'!$B46,'Eredeti fejléccel'!$CU:$CU)</f>
        <v>0</v>
      </c>
      <c r="GA46" s="103">
        <f t="shared" si="56"/>
        <v>16651.899757477771</v>
      </c>
      <c r="GB46" s="36">
        <f t="shared" si="71"/>
        <v>29244.646263809427</v>
      </c>
      <c r="GC46" s="101">
        <f t="shared" si="32"/>
        <v>2219.5634599838322</v>
      </c>
      <c r="GD46" s="6">
        <f>SUMIF('Eredeti fejléccel'!$B:$B,'Felosztás eredménykim'!$B46,'Eredeti fejléccel'!$CV:$CV)</f>
        <v>0</v>
      </c>
      <c r="GE46" s="6">
        <f>SUMIF('Eredeti fejléccel'!$B:$B,'Felosztás eredménykim'!$B46,'Eredeti fejléccel'!$CW:$CW)</f>
        <v>0</v>
      </c>
      <c r="GF46" s="103">
        <f t="shared" si="57"/>
        <v>2219.5634599838322</v>
      </c>
      <c r="GG46" s="36">
        <f t="shared" si="33"/>
        <v>0</v>
      </c>
      <c r="GM46" s="6">
        <f>SUMIF('Eredeti fejléccel'!$B:$B,'Felosztás eredménykim'!$B46,'Eredeti fejléccel'!$CX:$CX)</f>
        <v>0</v>
      </c>
      <c r="GN46" s="6">
        <f>SUMIF('Eredeti fejléccel'!$B:$B,'Felosztás eredménykim'!$B46,'Eredeti fejléccel'!$CY:$CY)</f>
        <v>0</v>
      </c>
      <c r="GO46" s="6">
        <f>SUMIF('Eredeti fejléccel'!$B:$B,'Felosztás eredménykim'!$B46,'Eredeti fejléccel'!$CZ:$CZ)</f>
        <v>0</v>
      </c>
      <c r="GP46" s="6">
        <f>SUMIF('Eredeti fejléccel'!$B:$B,'Felosztás eredménykim'!$B46,'Eredeti fejléccel'!$DA:$DA)</f>
        <v>0</v>
      </c>
      <c r="GQ46" s="6">
        <f>SUMIF('Eredeti fejléccel'!$B:$B,'Felosztás eredménykim'!$B46,'Eredeti fejléccel'!$DB:$DB)</f>
        <v>0</v>
      </c>
      <c r="GR46" s="103">
        <f t="shared" si="58"/>
        <v>0</v>
      </c>
      <c r="GW46" s="36">
        <f t="shared" si="34"/>
        <v>50201.596909207983</v>
      </c>
      <c r="GX46" s="6">
        <f>SUMIF('Eredeti fejléccel'!$B:$B,'Felosztás eredménykim'!$B46,'Eredeti fejléccel'!$M:$M)</f>
        <v>0</v>
      </c>
      <c r="GY46" s="6">
        <f>SUMIF('Eredeti fejléccel'!$B:$B,'Felosztás eredménykim'!$B46,'Eredeti fejléccel'!$DC:$DC)</f>
        <v>0</v>
      </c>
      <c r="GZ46" s="6">
        <f>SUMIF('Eredeti fejléccel'!$B:$B,'Felosztás eredménykim'!$B46,'Eredeti fejléccel'!$DD:$DD)</f>
        <v>0</v>
      </c>
      <c r="HA46" s="6">
        <f>SUMIF('Eredeti fejléccel'!$B:$B,'Felosztás eredménykim'!$B46,'Eredeti fejléccel'!$DE:$DE)</f>
        <v>0</v>
      </c>
      <c r="HB46" s="103">
        <f t="shared" si="59"/>
        <v>0</v>
      </c>
      <c r="HD46" s="9">
        <f t="shared" si="72"/>
        <v>3101030.0000000014</v>
      </c>
      <c r="HE46" s="9">
        <v>3101030</v>
      </c>
      <c r="HF46" s="476"/>
      <c r="HH46" s="34">
        <f t="shared" si="60"/>
        <v>0</v>
      </c>
    </row>
    <row r="47" spans="1:216" x14ac:dyDescent="0.25">
      <c r="A47" s="325" t="s">
        <v>988</v>
      </c>
      <c r="B47" s="4" t="s">
        <v>988</v>
      </c>
      <c r="C47" s="1" t="s">
        <v>989</v>
      </c>
      <c r="D47" s="6">
        <f>SUMIF('Eredeti fejléccel'!$B:$B,'Felosztás eredménykim'!$B47,'Eredeti fejléccel'!$D:$D)</f>
        <v>0</v>
      </c>
      <c r="E47" s="6">
        <f>SUMIF('Eredeti fejléccel'!$B:$B,'Felosztás eredménykim'!$B47,'Eredeti fejléccel'!$E:$E)</f>
        <v>0</v>
      </c>
      <c r="F47" s="6">
        <f>SUMIF('Eredeti fejléccel'!$B:$B,'Felosztás eredménykim'!$B47,'Eredeti fejléccel'!$F:$F)</f>
        <v>0</v>
      </c>
      <c r="G47" s="6">
        <f>SUMIF('Eredeti fejléccel'!$B:$B,'Felosztás eredménykim'!$B47,'Eredeti fejléccel'!$G:$G)</f>
        <v>0</v>
      </c>
      <c r="H47" s="6"/>
      <c r="I47" s="6">
        <f>SUMIF('Eredeti fejléccel'!$B:$B,'Felosztás eredménykim'!$B47,'Eredeti fejléccel'!$O:$O)</f>
        <v>0</v>
      </c>
      <c r="J47" s="6">
        <f>SUMIF('Eredeti fejléccel'!$B:$B,'Felosztás eredménykim'!$B47,'Eredeti fejléccel'!$P:$P)</f>
        <v>0</v>
      </c>
      <c r="K47" s="6">
        <f>SUMIF('Eredeti fejléccel'!$B:$B,'Felosztás eredménykim'!$B47,'Eredeti fejléccel'!$Q:$Q)</f>
        <v>0</v>
      </c>
      <c r="L47" s="6">
        <f>SUMIF('Eredeti fejléccel'!$B:$B,'Felosztás eredménykim'!$B47,'Eredeti fejléccel'!$R:$R)</f>
        <v>0</v>
      </c>
      <c r="M47" s="6">
        <f>SUMIF('Eredeti fejléccel'!$B:$B,'Felosztás eredménykim'!$B47,'Eredeti fejléccel'!$T:$T)</f>
        <v>0</v>
      </c>
      <c r="N47" s="6">
        <f>SUMIF('Eredeti fejléccel'!$B:$B,'Felosztás eredménykim'!$B47,'Eredeti fejléccel'!$U:$U)</f>
        <v>0</v>
      </c>
      <c r="O47" s="6">
        <f>SUMIF('Eredeti fejléccel'!$B:$B,'Felosztás eredménykim'!$B47,'Eredeti fejléccel'!$V:$V)</f>
        <v>0</v>
      </c>
      <c r="P47" s="6">
        <f>SUMIF('Eredeti fejléccel'!$B:$B,'Felosztás eredménykim'!$B47,'Eredeti fejléccel'!$W:$W)</f>
        <v>0</v>
      </c>
      <c r="Q47" s="6">
        <f>SUMIF('Eredeti fejléccel'!$B:$B,'Felosztás eredménykim'!$B47,'Eredeti fejléccel'!$X:$X)</f>
        <v>0</v>
      </c>
      <c r="R47" s="6">
        <f>SUMIF('Eredeti fejléccel'!$B:$B,'Felosztás eredménykim'!$B47,'Eredeti fejléccel'!$Y:$Y)</f>
        <v>0</v>
      </c>
      <c r="S47" s="6">
        <f>SUMIF('Eredeti fejléccel'!$B:$B,'Felosztás eredménykim'!$B47,'Eredeti fejléccel'!$Z:$Z)</f>
        <v>0</v>
      </c>
      <c r="T47" s="6">
        <f>SUMIF('Eredeti fejléccel'!$B:$B,'Felosztás eredménykim'!$B47,'Eredeti fejléccel'!$AA:$AA)</f>
        <v>0</v>
      </c>
      <c r="U47" s="6">
        <f>SUMIF('Eredeti fejléccel'!$B:$B,'Felosztás eredménykim'!$B47,'Eredeti fejléccel'!$D:$D)</f>
        <v>0</v>
      </c>
      <c r="V47" s="6">
        <f>SUMIF('Eredeti fejléccel'!$B:$B,'Felosztás eredménykim'!$B47,'Eredeti fejléccel'!$AT:$AT)</f>
        <v>0</v>
      </c>
      <c r="X47" s="36">
        <f t="shared" si="0"/>
        <v>0</v>
      </c>
      <c r="Z47" s="6">
        <f>SUMIF('Eredeti fejléccel'!$B:$B,'Felosztás eredménykim'!$B47,'Eredeti fejléccel'!$K:$K)</f>
        <v>0</v>
      </c>
      <c r="AB47" s="6">
        <f>SUMIF('Eredeti fejléccel'!$B:$B,'Felosztás eredménykim'!$B47,'Eredeti fejléccel'!$AB:$AB)</f>
        <v>0</v>
      </c>
      <c r="AC47" s="6">
        <f>SUMIF('Eredeti fejléccel'!$B:$B,'Felosztás eredménykim'!$B47,'Eredeti fejléccel'!$AQ:$AQ)</f>
        <v>0</v>
      </c>
      <c r="AE47" s="73">
        <f t="shared" si="1"/>
        <v>0</v>
      </c>
      <c r="AF47" s="36">
        <f t="shared" si="61"/>
        <v>0</v>
      </c>
      <c r="AG47" s="8">
        <f t="shared" si="3"/>
        <v>0</v>
      </c>
      <c r="AI47" s="6">
        <f>SUMIF('Eredeti fejléccel'!$B:$B,'Felosztás eredménykim'!$B47,'Eredeti fejléccel'!$BB:$BB)</f>
        <v>0</v>
      </c>
      <c r="AJ47" s="6">
        <f>SUMIF('Eredeti fejléccel'!$B:$B,'Felosztás eredménykim'!$B47,'Eredeti fejléccel'!$AF:$AF)</f>
        <v>0</v>
      </c>
      <c r="AK47" s="8">
        <f t="shared" si="4"/>
        <v>0</v>
      </c>
      <c r="AL47" s="36">
        <f t="shared" si="62"/>
        <v>0</v>
      </c>
      <c r="AM47" s="8">
        <f t="shared" si="6"/>
        <v>0</v>
      </c>
      <c r="AN47" s="6">
        <f t="shared" si="36"/>
        <v>0</v>
      </c>
      <c r="AO47" s="6">
        <f>SUMIF('Eredeti fejléccel'!$B:$B,'Felosztás eredménykim'!$B47,'Eredeti fejléccel'!$AC:$AC)</f>
        <v>0</v>
      </c>
      <c r="AP47" s="6">
        <f>SUMIF('Eredeti fejléccel'!$B:$B,'Felosztás eredménykim'!$B47,'Eredeti fejléccel'!$AD:$AD)</f>
        <v>0</v>
      </c>
      <c r="AQ47" s="6">
        <f>SUMIF('Eredeti fejléccel'!$B:$B,'Felosztás eredménykim'!$B47,'Eredeti fejléccel'!$AE:$AE)</f>
        <v>0</v>
      </c>
      <c r="AR47" s="6">
        <f>SUMIF('Eredeti fejléccel'!$B:$B,'Felosztás eredménykim'!$B47,'Eredeti fejléccel'!$AG:$AG)</f>
        <v>0</v>
      </c>
      <c r="AS47" s="6">
        <f t="shared" si="37"/>
        <v>0</v>
      </c>
      <c r="AT47" s="36">
        <f t="shared" si="63"/>
        <v>0</v>
      </c>
      <c r="AU47" s="8">
        <f t="shared" si="8"/>
        <v>0</v>
      </c>
      <c r="AV47" s="6">
        <f>SUMIF('Eredeti fejléccel'!$B:$B,'Felosztás eredménykim'!$B47,'Eredeti fejléccel'!$AI:$AI)</f>
        <v>0</v>
      </c>
      <c r="AW47" s="6">
        <f>SUMIF('Eredeti fejléccel'!$B:$B,'Felosztás eredménykim'!$B47,'Eredeti fejléccel'!$AJ:$AJ)</f>
        <v>0</v>
      </c>
      <c r="AX47" s="6">
        <f>SUMIF('Eredeti fejléccel'!$B:$B,'Felosztás eredménykim'!$B47,'Eredeti fejléccel'!$AK:$AK)</f>
        <v>0</v>
      </c>
      <c r="AY47" s="6">
        <f>SUMIF('Eredeti fejléccel'!$B:$B,'Felosztás eredménykim'!$B47,'Eredeti fejléccel'!$AL:$AL)</f>
        <v>0</v>
      </c>
      <c r="AZ47" s="6">
        <f>SUMIF('Eredeti fejléccel'!$B:$B,'Felosztás eredménykim'!$B47,'Eredeti fejléccel'!$AM:$AM)</f>
        <v>0</v>
      </c>
      <c r="BA47" s="6">
        <f>SUMIF('Eredeti fejléccel'!$B:$B,'Felosztás eredménykim'!$B47,'Eredeti fejléccel'!$AN:$AN)</f>
        <v>0</v>
      </c>
      <c r="BB47" s="6">
        <f>SUMIF('Eredeti fejléccel'!$B:$B,'Felosztás eredménykim'!$B47,'Eredeti fejléccel'!$AP:$AP)</f>
        <v>0</v>
      </c>
      <c r="BD47" s="6">
        <f>SUMIF('Eredeti fejléccel'!$B:$B,'Felosztás eredménykim'!$B47,'Eredeti fejléccel'!$AS:$AS)</f>
        <v>0</v>
      </c>
      <c r="BE47" s="8">
        <f t="shared" si="38"/>
        <v>0</v>
      </c>
      <c r="BF47" s="36">
        <f t="shared" si="64"/>
        <v>0</v>
      </c>
      <c r="BG47" s="8">
        <f t="shared" si="10"/>
        <v>0</v>
      </c>
      <c r="BH47" s="6">
        <f t="shared" si="39"/>
        <v>0</v>
      </c>
      <c r="BI47" s="6">
        <f>SUMIF('Eredeti fejléccel'!$B:$B,'Felosztás eredménykim'!$B47,'Eredeti fejléccel'!$AH:$AH)</f>
        <v>0</v>
      </c>
      <c r="BJ47" s="6">
        <f>SUMIF('Eredeti fejléccel'!$B:$B,'Felosztás eredménykim'!$B47,'Eredeti fejléccel'!$AO:$AO)</f>
        <v>0</v>
      </c>
      <c r="BK47" s="6">
        <f>SUMIF('Eredeti fejléccel'!$B:$B,'Felosztás eredménykim'!$B47,'Eredeti fejléccel'!$BF:$BF)</f>
        <v>0</v>
      </c>
      <c r="BL47" s="8">
        <f t="shared" si="40"/>
        <v>0</v>
      </c>
      <c r="BM47" s="36">
        <f t="shared" si="65"/>
        <v>0</v>
      </c>
      <c r="BN47" s="8">
        <f t="shared" si="12"/>
        <v>0</v>
      </c>
      <c r="BP47" s="8">
        <f t="shared" si="41"/>
        <v>0</v>
      </c>
      <c r="BQ47" s="6">
        <f>SUMIF('Eredeti fejléccel'!$B:$B,'Felosztás eredménykim'!$B47,'Eredeti fejléccel'!$N:$N)</f>
        <v>0</v>
      </c>
      <c r="BR47" s="6">
        <f>SUMIF('Eredeti fejléccel'!$B:$B,'Felosztás eredménykim'!$B47,'Eredeti fejléccel'!$S:$S)</f>
        <v>0</v>
      </c>
      <c r="BT47" s="6">
        <f>SUMIF('Eredeti fejléccel'!$B:$B,'Felosztás eredménykim'!$B47,'Eredeti fejléccel'!$AR:$AR)</f>
        <v>0</v>
      </c>
      <c r="BU47" s="6">
        <f>SUMIF('Eredeti fejléccel'!$B:$B,'Felosztás eredménykim'!$B47,'Eredeti fejléccel'!$AU:$AU)</f>
        <v>0</v>
      </c>
      <c r="BV47" s="6">
        <f>SUMIF('Eredeti fejléccel'!$B:$B,'Felosztás eredménykim'!$B47,'Eredeti fejléccel'!$AV:$AV)</f>
        <v>0</v>
      </c>
      <c r="BW47" s="6">
        <f>SUMIF('Eredeti fejléccel'!$B:$B,'Felosztás eredménykim'!$B47,'Eredeti fejléccel'!$AW:$AW)</f>
        <v>0</v>
      </c>
      <c r="BX47" s="6">
        <f>SUMIF('Eredeti fejléccel'!$B:$B,'Felosztás eredménykim'!$B47,'Eredeti fejléccel'!$AX:$AX)</f>
        <v>0</v>
      </c>
      <c r="BY47" s="6">
        <f>SUMIF('Eredeti fejléccel'!$B:$B,'Felosztás eredménykim'!$B47,'Eredeti fejléccel'!$AY:$AY)</f>
        <v>0</v>
      </c>
      <c r="BZ47" s="6">
        <f>SUMIF('Eredeti fejléccel'!$B:$B,'Felosztás eredménykim'!$B47,'Eredeti fejléccel'!$AZ:$AZ)</f>
        <v>0</v>
      </c>
      <c r="CA47" s="6">
        <f>SUMIF('Eredeti fejléccel'!$B:$B,'Felosztás eredménykim'!$B47,'Eredeti fejléccel'!$BA:$BA)</f>
        <v>0</v>
      </c>
      <c r="CB47" s="6">
        <f t="shared" si="13"/>
        <v>0</v>
      </c>
      <c r="CC47" s="36">
        <f t="shared" si="66"/>
        <v>0</v>
      </c>
      <c r="CD47" s="8">
        <f t="shared" si="15"/>
        <v>0</v>
      </c>
      <c r="CE47" s="6">
        <f>SUMIF('Eredeti fejléccel'!$B:$B,'Felosztás eredménykim'!$B47,'Eredeti fejléccel'!$BC:$BC)</f>
        <v>0</v>
      </c>
      <c r="CF47" s="8">
        <f t="shared" si="42"/>
        <v>0</v>
      </c>
      <c r="CG47" s="6">
        <f>SUMIF('Eredeti fejléccel'!$B:$B,'Felosztás eredménykim'!$B47,'Eredeti fejléccel'!$H:$H)</f>
        <v>0</v>
      </c>
      <c r="CH47" s="6">
        <f>SUMIF('Eredeti fejléccel'!$B:$B,'Felosztás eredménykim'!$B47,'Eredeti fejléccel'!$BE:$BE)</f>
        <v>0</v>
      </c>
      <c r="CI47" s="6">
        <f t="shared" si="43"/>
        <v>0</v>
      </c>
      <c r="CJ47" s="36">
        <f t="shared" si="67"/>
        <v>0</v>
      </c>
      <c r="CK47" s="8">
        <f t="shared" si="17"/>
        <v>0</v>
      </c>
      <c r="CL47" s="8">
        <f t="shared" si="44"/>
        <v>0</v>
      </c>
      <c r="CM47" s="6">
        <f>SUMIF('Eredeti fejléccel'!$B:$B,'Felosztás eredménykim'!$B47,'Eredeti fejléccel'!$BD:$BD)</f>
        <v>0</v>
      </c>
      <c r="CN47" s="8">
        <f t="shared" si="45"/>
        <v>0</v>
      </c>
      <c r="CO47" s="8">
        <f t="shared" si="18"/>
        <v>0</v>
      </c>
      <c r="CR47" s="36">
        <f t="shared" si="19"/>
        <v>0</v>
      </c>
      <c r="CS47" s="6">
        <f>SUMIF('Eredeti fejléccel'!$B:$B,'Felosztás eredménykim'!$B47,'Eredeti fejléccel'!$I:$I)</f>
        <v>0</v>
      </c>
      <c r="CT47" s="6">
        <f>SUMIF('Eredeti fejléccel'!$B:$B,'Felosztás eredménykim'!$B47,'Eredeti fejléccel'!$BG:$BG)</f>
        <v>0</v>
      </c>
      <c r="CU47" s="6">
        <f>SUMIF('Eredeti fejléccel'!$B:$B,'Felosztás eredménykim'!$B47,'Eredeti fejléccel'!$BH:$BH)</f>
        <v>0</v>
      </c>
      <c r="CV47" s="6">
        <f>SUMIF('Eredeti fejléccel'!$B:$B,'Felosztás eredménykim'!$B47,'Eredeti fejléccel'!$BI:$BI)</f>
        <v>0</v>
      </c>
      <c r="CW47" s="6">
        <f>SUMIF('Eredeti fejléccel'!$B:$B,'Felosztás eredménykim'!$B47,'Eredeti fejléccel'!$BL:$BL)</f>
        <v>0</v>
      </c>
      <c r="CX47" s="6">
        <f t="shared" si="46"/>
        <v>0</v>
      </c>
      <c r="CY47" s="6">
        <f>SUMIF('Eredeti fejléccel'!$B:$B,'Felosztás eredménykim'!$B47,'Eredeti fejléccel'!$BJ:$BJ)</f>
        <v>0</v>
      </c>
      <c r="CZ47" s="6">
        <f>SUMIF('Eredeti fejléccel'!$B:$B,'Felosztás eredménykim'!$B47,'Eredeti fejléccel'!$BK:$BK)</f>
        <v>0</v>
      </c>
      <c r="DA47" s="99">
        <f t="shared" si="47"/>
        <v>0</v>
      </c>
      <c r="DC47" s="36">
        <f t="shared" si="20"/>
        <v>0</v>
      </c>
      <c r="DD47" s="6">
        <f>SUMIF('Eredeti fejléccel'!$B:$B,'Felosztás eredménykim'!$B47,'Eredeti fejléccel'!$J:$J)</f>
        <v>0</v>
      </c>
      <c r="DE47" s="6">
        <f>SUMIF('Eredeti fejléccel'!$B:$B,'Felosztás eredménykim'!$B47,'Eredeti fejléccel'!$BM:$BM)</f>
        <v>0</v>
      </c>
      <c r="DF47" s="6">
        <f t="shared" si="48"/>
        <v>0</v>
      </c>
      <c r="DG47" s="8">
        <f t="shared" si="21"/>
        <v>0</v>
      </c>
      <c r="DH47" s="8">
        <f t="shared" si="49"/>
        <v>0</v>
      </c>
      <c r="DJ47" s="6">
        <f>SUMIF('Eredeti fejléccel'!$B:$B,'Felosztás eredménykim'!$B47,'Eredeti fejléccel'!$BN:$BN)</f>
        <v>0</v>
      </c>
      <c r="DK47" s="6">
        <f>SUMIF('Eredeti fejléccel'!$B:$B,'Felosztás eredménykim'!$B47,'Eredeti fejléccel'!$BZ:$BZ)</f>
        <v>0</v>
      </c>
      <c r="DL47" s="8">
        <f t="shared" si="50"/>
        <v>0</v>
      </c>
      <c r="DM47" s="6">
        <f>SUMIF('Eredeti fejléccel'!$B:$B,'Felosztás eredménykim'!$B47,'Eredeti fejléccel'!$BR:$BR)</f>
        <v>0</v>
      </c>
      <c r="DN47" s="6">
        <f>SUMIF('Eredeti fejléccel'!$B:$B,'Felosztás eredménykim'!$B47,'Eredeti fejléccel'!$BS:$BS)</f>
        <v>0</v>
      </c>
      <c r="DO47" s="6">
        <f>SUMIF('Eredeti fejléccel'!$B:$B,'Felosztás eredménykim'!$B47,'Eredeti fejléccel'!$BO:$BO)</f>
        <v>0</v>
      </c>
      <c r="DP47" s="6">
        <f>SUMIF('Eredeti fejléccel'!$B:$B,'Felosztás eredménykim'!$B47,'Eredeti fejléccel'!$BP:$BP)</f>
        <v>0</v>
      </c>
      <c r="DQ47" s="6">
        <f>SUMIF('Eredeti fejléccel'!$B:$B,'Felosztás eredménykim'!$B47,'Eredeti fejléccel'!$BQ:$BQ)</f>
        <v>0</v>
      </c>
      <c r="DS47" s="8"/>
      <c r="DU47" s="6">
        <f>SUMIF('Eredeti fejléccel'!$B:$B,'Felosztás eredménykim'!$B47,'Eredeti fejléccel'!$BT:$BT)</f>
        <v>0</v>
      </c>
      <c r="DV47" s="6">
        <f>SUMIF('Eredeti fejléccel'!$B:$B,'Felosztás eredménykim'!$B47,'Eredeti fejléccel'!$BU:$BU)</f>
        <v>0</v>
      </c>
      <c r="DW47" s="6">
        <f>SUMIF('Eredeti fejléccel'!$B:$B,'Felosztás eredménykim'!$B47,'Eredeti fejléccel'!$BV:$BV)</f>
        <v>0</v>
      </c>
      <c r="DX47" s="6">
        <f>SUMIF('Eredeti fejléccel'!$B:$B,'Felosztás eredménykim'!$B47,'Eredeti fejléccel'!$BW:$BW)</f>
        <v>0</v>
      </c>
      <c r="DY47" s="6">
        <f>SUMIF('Eredeti fejléccel'!$B:$B,'Felosztás eredménykim'!$B47,'Eredeti fejléccel'!$BX:$BX)</f>
        <v>0</v>
      </c>
      <c r="EA47" s="6"/>
      <c r="EC47" s="6"/>
      <c r="EE47" s="6">
        <f>SUMIF('Eredeti fejléccel'!$B:$B,'Felosztás eredménykim'!$B47,'Eredeti fejléccel'!$CA:$CA)</f>
        <v>0</v>
      </c>
      <c r="EF47" s="6">
        <f>SUMIF('Eredeti fejléccel'!$B:$B,'Felosztás eredménykim'!$B47,'Eredeti fejléccel'!$CB:$CB)</f>
        <v>0</v>
      </c>
      <c r="EG47" s="6">
        <f>SUMIF('Eredeti fejléccel'!$B:$B,'Felosztás eredménykim'!$B47,'Eredeti fejléccel'!$CC:$CC)</f>
        <v>0</v>
      </c>
      <c r="EH47" s="6">
        <f>SUMIF('Eredeti fejléccel'!$B:$B,'Felosztás eredménykim'!$B47,'Eredeti fejléccel'!$CD:$CD)</f>
        <v>0</v>
      </c>
      <c r="EK47" s="6">
        <f>SUMIF('Eredeti fejléccel'!$B:$B,'Felosztás eredménykim'!$B47,'Eredeti fejléccel'!$CE:$CE)</f>
        <v>0</v>
      </c>
      <c r="EN47" s="6">
        <f>SUMIF('Eredeti fejléccel'!$B:$B,'Felosztás eredménykim'!$B47,'Eredeti fejléccel'!$CF:$CF)</f>
        <v>0</v>
      </c>
      <c r="EP47" s="6">
        <f>SUMIF('Eredeti fejléccel'!$B:$B,'Felosztás eredménykim'!$B47,'Eredeti fejléccel'!$CG:$CG)</f>
        <v>0</v>
      </c>
      <c r="ES47" s="6">
        <f>SUMIF('Eredeti fejléccel'!$B:$B,'Felosztás eredménykim'!$B47,'Eredeti fejléccel'!$CH:$CH)</f>
        <v>0</v>
      </c>
      <c r="ET47" s="6">
        <f>SUMIF('Eredeti fejléccel'!$B:$B,'Felosztás eredménykim'!$B47,'Eredeti fejléccel'!$CI:$CI)</f>
        <v>0</v>
      </c>
      <c r="EW47" s="8">
        <f t="shared" si="22"/>
        <v>0</v>
      </c>
      <c r="EX47" s="8">
        <f t="shared" si="51"/>
        <v>0</v>
      </c>
      <c r="EY47" s="8">
        <f t="shared" si="52"/>
        <v>0</v>
      </c>
      <c r="EZ47" s="8">
        <f t="shared" si="23"/>
        <v>0</v>
      </c>
      <c r="FA47" s="8">
        <f t="shared" si="24"/>
        <v>0</v>
      </c>
      <c r="FC47" s="6">
        <f>SUMIF('Eredeti fejléccel'!$B:$B,'Felosztás eredménykim'!$B47,'Eredeti fejléccel'!$L:$L)</f>
        <v>0</v>
      </c>
      <c r="FD47" s="6">
        <f>SUMIF('Eredeti fejléccel'!$B:$B,'Felosztás eredménykim'!$B47,'Eredeti fejléccel'!$CJ:$CJ)</f>
        <v>0</v>
      </c>
      <c r="FE47" s="6">
        <f>SUMIF('Eredeti fejléccel'!$B:$B,'Felosztás eredménykim'!$B47,'Eredeti fejléccel'!$CL:$CL)</f>
        <v>0</v>
      </c>
      <c r="FG47" s="99">
        <f t="shared" si="53"/>
        <v>0</v>
      </c>
      <c r="FH47" s="6">
        <f>SUMIF('Eredeti fejléccel'!$B:$B,'Felosztás eredménykim'!$B47,'Eredeti fejléccel'!$CK:$CK)</f>
        <v>0</v>
      </c>
      <c r="FI47" s="36">
        <f t="shared" si="68"/>
        <v>0</v>
      </c>
      <c r="FJ47" s="101">
        <f t="shared" si="26"/>
        <v>0</v>
      </c>
      <c r="FK47" s="6">
        <f>SUMIF('Eredeti fejléccel'!$B:$B,'Felosztás eredménykim'!$B47,'Eredeti fejléccel'!$CM:$CM)</f>
        <v>0</v>
      </c>
      <c r="FL47" s="6">
        <f>SUMIF('Eredeti fejléccel'!$B:$B,'Felosztás eredménykim'!$B47,'Eredeti fejléccel'!$CN:$CN)</f>
        <v>0</v>
      </c>
      <c r="FM47" s="8">
        <f t="shared" si="54"/>
        <v>0</v>
      </c>
      <c r="FN47" s="36">
        <f t="shared" si="69"/>
        <v>0</v>
      </c>
      <c r="FO47" s="101">
        <f t="shared" si="28"/>
        <v>0</v>
      </c>
      <c r="FP47" s="6">
        <f>SUMIF('Eredeti fejléccel'!$B:$B,'Felosztás eredménykim'!$B47,'Eredeti fejléccel'!$CO:$CO)</f>
        <v>0</v>
      </c>
      <c r="FQ47" s="6">
        <f>'Eredeti fejléccel'!CP47</f>
        <v>0</v>
      </c>
      <c r="FR47" s="6">
        <f>'Eredeti fejléccel'!CQ47</f>
        <v>0</v>
      </c>
      <c r="FS47" s="103">
        <f t="shared" si="55"/>
        <v>0</v>
      </c>
      <c r="FT47" s="36">
        <f t="shared" si="70"/>
        <v>0</v>
      </c>
      <c r="FU47" s="101">
        <f t="shared" si="30"/>
        <v>0</v>
      </c>
      <c r="FV47" s="101"/>
      <c r="FW47" s="6">
        <f>SUMIF('Eredeti fejléccel'!$B:$B,'Felosztás eredménykim'!$B47,'Eredeti fejléccel'!$CR:$CR)</f>
        <v>0</v>
      </c>
      <c r="FX47" s="6">
        <f>SUMIF('Eredeti fejléccel'!$B:$B,'Felosztás eredménykim'!$B47,'Eredeti fejléccel'!$CS:$CS)</f>
        <v>0</v>
      </c>
      <c r="FY47" s="6">
        <f>SUMIF('Eredeti fejléccel'!$B:$B,'Felosztás eredménykim'!$B47,'Eredeti fejléccel'!$CT:$CT)</f>
        <v>0</v>
      </c>
      <c r="FZ47" s="6">
        <f>SUMIF('Eredeti fejléccel'!$B:$B,'Felosztás eredménykim'!$B47,'Eredeti fejléccel'!$CU:$CU)</f>
        <v>0</v>
      </c>
      <c r="GA47" s="103">
        <f t="shared" si="56"/>
        <v>0</v>
      </c>
      <c r="GB47" s="36">
        <f t="shared" si="71"/>
        <v>0</v>
      </c>
      <c r="GC47" s="101">
        <f t="shared" si="32"/>
        <v>0</v>
      </c>
      <c r="GD47" s="6">
        <f>SUMIF('Eredeti fejléccel'!$B:$B,'Felosztás eredménykim'!$B47,'Eredeti fejléccel'!$CV:$CV)</f>
        <v>0</v>
      </c>
      <c r="GE47" s="6">
        <f>SUMIF('Eredeti fejléccel'!$B:$B,'Felosztás eredménykim'!$B47,'Eredeti fejléccel'!$CW:$CW)</f>
        <v>0</v>
      </c>
      <c r="GF47" s="103">
        <f t="shared" si="57"/>
        <v>0</v>
      </c>
      <c r="GG47" s="36">
        <f t="shared" si="33"/>
        <v>0</v>
      </c>
      <c r="GM47" s="6">
        <f>SUMIF('Eredeti fejléccel'!$B:$B,'Felosztás eredménykim'!$B47,'Eredeti fejléccel'!$CX:$CX)</f>
        <v>0</v>
      </c>
      <c r="GN47" s="6">
        <f>SUMIF('Eredeti fejléccel'!$B:$B,'Felosztás eredménykim'!$B47,'Eredeti fejléccel'!$CY:$CY)</f>
        <v>0</v>
      </c>
      <c r="GO47" s="6">
        <f>SUMIF('Eredeti fejléccel'!$B:$B,'Felosztás eredménykim'!$B47,'Eredeti fejléccel'!$CZ:$CZ)</f>
        <v>0</v>
      </c>
      <c r="GP47" s="6">
        <f>SUMIF('Eredeti fejléccel'!$B:$B,'Felosztás eredménykim'!$B47,'Eredeti fejléccel'!$DA:$DA)</f>
        <v>0</v>
      </c>
      <c r="GQ47" s="6">
        <f>SUMIF('Eredeti fejléccel'!$B:$B,'Felosztás eredménykim'!$B47,'Eredeti fejléccel'!$DB:$DB)</f>
        <v>0</v>
      </c>
      <c r="GR47" s="103">
        <f t="shared" si="58"/>
        <v>0</v>
      </c>
      <c r="GW47" s="36">
        <f t="shared" si="34"/>
        <v>0</v>
      </c>
      <c r="GX47" s="6">
        <f>SUMIF('Eredeti fejléccel'!$B:$B,'Felosztás eredménykim'!$B47,'Eredeti fejléccel'!$M:$M)</f>
        <v>0</v>
      </c>
      <c r="GY47" s="6">
        <f>SUMIF('Eredeti fejléccel'!$B:$B,'Felosztás eredménykim'!$B47,'Eredeti fejléccel'!$DC:$DC)</f>
        <v>0</v>
      </c>
      <c r="GZ47" s="6">
        <f>SUMIF('Eredeti fejléccel'!$B:$B,'Felosztás eredménykim'!$B47,'Eredeti fejléccel'!$DD:$DD)</f>
        <v>0</v>
      </c>
      <c r="HA47" s="6">
        <f>SUMIF('Eredeti fejléccel'!$B:$B,'Felosztás eredménykim'!$B47,'Eredeti fejléccel'!$DE:$DE)</f>
        <v>0</v>
      </c>
      <c r="HB47" s="103">
        <f t="shared" si="59"/>
        <v>0</v>
      </c>
      <c r="HD47" s="9">
        <f t="shared" si="72"/>
        <v>0</v>
      </c>
      <c r="HE47" s="9"/>
      <c r="HF47" s="476"/>
      <c r="HH47" s="34">
        <f t="shared" si="60"/>
        <v>0</v>
      </c>
    </row>
    <row r="48" spans="1:216" x14ac:dyDescent="0.25">
      <c r="A48" s="4" t="s">
        <v>116</v>
      </c>
      <c r="B48" s="4" t="s">
        <v>116</v>
      </c>
      <c r="C48" s="1" t="s">
        <v>117</v>
      </c>
      <c r="D48" s="6">
        <f>SUMIF('Eredeti fejléccel'!$B:$B,'Felosztás eredménykim'!$B48,'Eredeti fejléccel'!$D:$D)</f>
        <v>0</v>
      </c>
      <c r="E48" s="6">
        <f>SUMIF('Eredeti fejléccel'!$B:$B,'Felosztás eredménykim'!$B48,'Eredeti fejléccel'!$E:$E)</f>
        <v>0</v>
      </c>
      <c r="F48" s="6">
        <f>SUMIF('Eredeti fejléccel'!$B:$B,'Felosztás eredménykim'!$B48,'Eredeti fejléccel'!$F:$F)</f>
        <v>0</v>
      </c>
      <c r="G48" s="6">
        <f>SUMIF('Eredeti fejléccel'!$B:$B,'Felosztás eredménykim'!$B48,'Eredeti fejléccel'!$G:$G)</f>
        <v>0</v>
      </c>
      <c r="H48" s="6"/>
      <c r="I48" s="6">
        <f>SUMIF('Eredeti fejléccel'!$B:$B,'Felosztás eredménykim'!$B48,'Eredeti fejléccel'!$O:$O)</f>
        <v>0</v>
      </c>
      <c r="J48" s="6">
        <f>SUMIF('Eredeti fejléccel'!$B:$B,'Felosztás eredménykim'!$B48,'Eredeti fejléccel'!$P:$P)</f>
        <v>0</v>
      </c>
      <c r="K48" s="6">
        <f>SUMIF('Eredeti fejléccel'!$B:$B,'Felosztás eredménykim'!$B48,'Eredeti fejléccel'!$Q:$Q)</f>
        <v>0</v>
      </c>
      <c r="L48" s="6">
        <f>SUMIF('Eredeti fejléccel'!$B:$B,'Felosztás eredménykim'!$B48,'Eredeti fejléccel'!$R:$R)</f>
        <v>0</v>
      </c>
      <c r="M48" s="6">
        <f>SUMIF('Eredeti fejléccel'!$B:$B,'Felosztás eredménykim'!$B48,'Eredeti fejléccel'!$T:$T)</f>
        <v>0</v>
      </c>
      <c r="N48" s="6">
        <f>SUMIF('Eredeti fejléccel'!$B:$B,'Felosztás eredménykim'!$B48,'Eredeti fejléccel'!$U:$U)</f>
        <v>0</v>
      </c>
      <c r="O48" s="6">
        <f>SUMIF('Eredeti fejléccel'!$B:$B,'Felosztás eredménykim'!$B48,'Eredeti fejléccel'!$V:$V)</f>
        <v>0</v>
      </c>
      <c r="P48" s="6">
        <f>SUMIF('Eredeti fejléccel'!$B:$B,'Felosztás eredménykim'!$B48,'Eredeti fejléccel'!$W:$W)</f>
        <v>0</v>
      </c>
      <c r="Q48" s="6">
        <f>SUMIF('Eredeti fejléccel'!$B:$B,'Felosztás eredménykim'!$B48,'Eredeti fejléccel'!$X:$X)</f>
        <v>0</v>
      </c>
      <c r="R48" s="6">
        <f>SUMIF('Eredeti fejléccel'!$B:$B,'Felosztás eredménykim'!$B48,'Eredeti fejléccel'!$Y:$Y)</f>
        <v>0</v>
      </c>
      <c r="S48" s="6">
        <f>SUMIF('Eredeti fejléccel'!$B:$B,'Felosztás eredménykim'!$B48,'Eredeti fejléccel'!$Z:$Z)</f>
        <v>0</v>
      </c>
      <c r="T48" s="6">
        <f>SUMIF('Eredeti fejléccel'!$B:$B,'Felosztás eredménykim'!$B48,'Eredeti fejléccel'!$AA:$AA)</f>
        <v>0</v>
      </c>
      <c r="U48" s="6">
        <f>SUMIF('Eredeti fejléccel'!$B:$B,'Felosztás eredménykim'!$B48,'Eredeti fejléccel'!$D:$D)</f>
        <v>0</v>
      </c>
      <c r="V48" s="6">
        <f>SUMIF('Eredeti fejléccel'!$B:$B,'Felosztás eredménykim'!$B48,'Eredeti fejléccel'!$AT:$AT)</f>
        <v>0</v>
      </c>
      <c r="W48" s="36">
        <v>0</v>
      </c>
      <c r="X48" s="36">
        <f t="shared" si="0"/>
        <v>0</v>
      </c>
      <c r="Z48" s="6">
        <f>SUMIF('Eredeti fejléccel'!$B:$B,'Felosztás eredménykim'!$B48,'Eredeti fejléccel'!$K:$K)</f>
        <v>0</v>
      </c>
      <c r="AB48" s="6">
        <f>SUMIF('Eredeti fejléccel'!$B:$B,'Felosztás eredménykim'!$B48,'Eredeti fejléccel'!$AB:$AB)</f>
        <v>0</v>
      </c>
      <c r="AC48" s="6">
        <f>SUMIF('Eredeti fejléccel'!$B:$B,'Felosztás eredménykim'!$B48,'Eredeti fejléccel'!$AQ:$AQ)</f>
        <v>0</v>
      </c>
      <c r="AE48" s="73">
        <f t="shared" si="1"/>
        <v>0</v>
      </c>
      <c r="AF48" s="36">
        <f t="shared" si="61"/>
        <v>0</v>
      </c>
      <c r="AG48" s="8">
        <f t="shared" si="3"/>
        <v>0</v>
      </c>
      <c r="AI48" s="6">
        <f>SUMIF('Eredeti fejléccel'!$B:$B,'Felosztás eredménykim'!$B48,'Eredeti fejléccel'!$BB:$BB)</f>
        <v>0</v>
      </c>
      <c r="AJ48" s="6">
        <f>SUMIF('Eredeti fejléccel'!$B:$B,'Felosztás eredménykim'!$B48,'Eredeti fejléccel'!$AF:$AF)</f>
        <v>0</v>
      </c>
      <c r="AK48" s="8">
        <f t="shared" si="4"/>
        <v>0</v>
      </c>
      <c r="AL48" s="36">
        <f t="shared" si="62"/>
        <v>0</v>
      </c>
      <c r="AM48" s="8">
        <f t="shared" si="6"/>
        <v>0</v>
      </c>
      <c r="AN48" s="6">
        <f t="shared" si="36"/>
        <v>0</v>
      </c>
      <c r="AO48" s="6">
        <f>SUMIF('Eredeti fejléccel'!$B:$B,'Felosztás eredménykim'!$B48,'Eredeti fejléccel'!$AC:$AC)</f>
        <v>0</v>
      </c>
      <c r="AP48" s="6">
        <f>SUMIF('Eredeti fejléccel'!$B:$B,'Felosztás eredménykim'!$B48,'Eredeti fejléccel'!$AD:$AD)</f>
        <v>0</v>
      </c>
      <c r="AQ48" s="6">
        <f>SUMIF('Eredeti fejléccel'!$B:$B,'Felosztás eredménykim'!$B48,'Eredeti fejléccel'!$AE:$AE)</f>
        <v>0</v>
      </c>
      <c r="AR48" s="6">
        <f>SUMIF('Eredeti fejléccel'!$B:$B,'Felosztás eredménykim'!$B48,'Eredeti fejléccel'!$AG:$AG)</f>
        <v>0</v>
      </c>
      <c r="AS48" s="6">
        <f t="shared" si="37"/>
        <v>0</v>
      </c>
      <c r="AT48" s="36">
        <f t="shared" si="63"/>
        <v>0</v>
      </c>
      <c r="AU48" s="8">
        <f t="shared" si="8"/>
        <v>0</v>
      </c>
      <c r="AV48" s="6">
        <f>SUMIF('Eredeti fejléccel'!$B:$B,'Felosztás eredménykim'!$B48,'Eredeti fejléccel'!$AI:$AI)</f>
        <v>0</v>
      </c>
      <c r="AW48" s="6">
        <f>SUMIF('Eredeti fejléccel'!$B:$B,'Felosztás eredménykim'!$B48,'Eredeti fejléccel'!$AJ:$AJ)</f>
        <v>0</v>
      </c>
      <c r="AX48" s="6">
        <f>SUMIF('Eredeti fejléccel'!$B:$B,'Felosztás eredménykim'!$B48,'Eredeti fejléccel'!$AK:$AK)</f>
        <v>0</v>
      </c>
      <c r="AY48" s="6">
        <f>SUMIF('Eredeti fejléccel'!$B:$B,'Felosztás eredménykim'!$B48,'Eredeti fejléccel'!$AL:$AL)</f>
        <v>0</v>
      </c>
      <c r="AZ48" s="6">
        <f>SUMIF('Eredeti fejléccel'!$B:$B,'Felosztás eredménykim'!$B48,'Eredeti fejléccel'!$AM:$AM)</f>
        <v>0</v>
      </c>
      <c r="BA48" s="6">
        <f>SUMIF('Eredeti fejléccel'!$B:$B,'Felosztás eredménykim'!$B48,'Eredeti fejléccel'!$AN:$AN)</f>
        <v>0</v>
      </c>
      <c r="BB48" s="6">
        <f>SUMIF('Eredeti fejléccel'!$B:$B,'Felosztás eredménykim'!$B48,'Eredeti fejléccel'!$AP:$AP)</f>
        <v>0</v>
      </c>
      <c r="BD48" s="6">
        <f>SUMIF('Eredeti fejléccel'!$B:$B,'Felosztás eredménykim'!$B48,'Eredeti fejléccel'!$AS:$AS)</f>
        <v>0</v>
      </c>
      <c r="BE48" s="8">
        <f t="shared" si="38"/>
        <v>0</v>
      </c>
      <c r="BF48" s="36">
        <f t="shared" si="64"/>
        <v>0</v>
      </c>
      <c r="BG48" s="8">
        <f t="shared" si="10"/>
        <v>0</v>
      </c>
      <c r="BH48" s="6">
        <f t="shared" si="39"/>
        <v>0</v>
      </c>
      <c r="BI48" s="6">
        <f>SUMIF('Eredeti fejléccel'!$B:$B,'Felosztás eredménykim'!$B48,'Eredeti fejléccel'!$AH:$AH)</f>
        <v>0</v>
      </c>
      <c r="BJ48" s="6">
        <f>SUMIF('Eredeti fejléccel'!$B:$B,'Felosztás eredménykim'!$B48,'Eredeti fejléccel'!$AO:$AO)</f>
        <v>0</v>
      </c>
      <c r="BK48" s="6">
        <f>SUMIF('Eredeti fejléccel'!$B:$B,'Felosztás eredménykim'!$B48,'Eredeti fejléccel'!$BF:$BF)</f>
        <v>0</v>
      </c>
      <c r="BL48" s="8">
        <f t="shared" si="40"/>
        <v>0</v>
      </c>
      <c r="BM48" s="36">
        <f t="shared" si="65"/>
        <v>0</v>
      </c>
      <c r="BN48" s="8">
        <f t="shared" si="12"/>
        <v>0</v>
      </c>
      <c r="BP48" s="8">
        <f t="shared" si="41"/>
        <v>0</v>
      </c>
      <c r="BQ48" s="6">
        <f>SUMIF('Eredeti fejléccel'!$B:$B,'Felosztás eredménykim'!$B48,'Eredeti fejléccel'!$N:$N)</f>
        <v>0</v>
      </c>
      <c r="BR48" s="6">
        <f>SUMIF('Eredeti fejléccel'!$B:$B,'Felosztás eredménykim'!$B48,'Eredeti fejléccel'!$S:$S)</f>
        <v>0</v>
      </c>
      <c r="BT48" s="6">
        <f>SUMIF('Eredeti fejléccel'!$B:$B,'Felosztás eredménykim'!$B48,'Eredeti fejléccel'!$AR:$AR)</f>
        <v>0</v>
      </c>
      <c r="BU48" s="6">
        <f>SUMIF('Eredeti fejléccel'!$B:$B,'Felosztás eredménykim'!$B48,'Eredeti fejléccel'!$AU:$AU)</f>
        <v>0</v>
      </c>
      <c r="BV48" s="6">
        <f>SUMIF('Eredeti fejléccel'!$B:$B,'Felosztás eredménykim'!$B48,'Eredeti fejléccel'!$AV:$AV)</f>
        <v>0</v>
      </c>
      <c r="BW48" s="6">
        <f>SUMIF('Eredeti fejléccel'!$B:$B,'Felosztás eredménykim'!$B48,'Eredeti fejléccel'!$AW:$AW)</f>
        <v>0</v>
      </c>
      <c r="BX48" s="6">
        <f>SUMIF('Eredeti fejléccel'!$B:$B,'Felosztás eredménykim'!$B48,'Eredeti fejléccel'!$AX:$AX)</f>
        <v>0</v>
      </c>
      <c r="BY48" s="6">
        <f>SUMIF('Eredeti fejléccel'!$B:$B,'Felosztás eredménykim'!$B48,'Eredeti fejléccel'!$AY:$AY)</f>
        <v>0</v>
      </c>
      <c r="BZ48" s="6">
        <f>SUMIF('Eredeti fejléccel'!$B:$B,'Felosztás eredménykim'!$B48,'Eredeti fejléccel'!$AZ:$AZ)</f>
        <v>0</v>
      </c>
      <c r="CA48" s="6">
        <f>SUMIF('Eredeti fejléccel'!$B:$B,'Felosztás eredménykim'!$B48,'Eredeti fejléccel'!$BA:$BA)</f>
        <v>1047296</v>
      </c>
      <c r="CB48" s="6">
        <f t="shared" si="13"/>
        <v>1047296</v>
      </c>
      <c r="CC48" s="36">
        <f t="shared" si="66"/>
        <v>0</v>
      </c>
      <c r="CD48" s="8">
        <f t="shared" si="15"/>
        <v>0</v>
      </c>
      <c r="CE48" s="6">
        <f>SUMIF('Eredeti fejléccel'!$B:$B,'Felosztás eredménykim'!$B48,'Eredeti fejléccel'!$BC:$BC)</f>
        <v>0</v>
      </c>
      <c r="CF48" s="8">
        <f t="shared" si="42"/>
        <v>0</v>
      </c>
      <c r="CG48" s="6">
        <f>SUMIF('Eredeti fejléccel'!$B:$B,'Felosztás eredménykim'!$B48,'Eredeti fejléccel'!$H:$H)</f>
        <v>0</v>
      </c>
      <c r="CH48" s="6">
        <f>SUMIF('Eredeti fejléccel'!$B:$B,'Felosztás eredménykim'!$B48,'Eredeti fejléccel'!$BE:$BE)</f>
        <v>0</v>
      </c>
      <c r="CI48" s="6">
        <f t="shared" si="43"/>
        <v>0</v>
      </c>
      <c r="CJ48" s="36">
        <f t="shared" si="67"/>
        <v>0</v>
      </c>
      <c r="CK48" s="8">
        <f t="shared" si="17"/>
        <v>0</v>
      </c>
      <c r="CL48" s="8">
        <f t="shared" si="44"/>
        <v>0</v>
      </c>
      <c r="CM48" s="6">
        <f>SUMIF('Eredeti fejléccel'!$B:$B,'Felosztás eredménykim'!$B48,'Eredeti fejléccel'!$BD:$BD)</f>
        <v>0</v>
      </c>
      <c r="CN48" s="8">
        <f t="shared" si="45"/>
        <v>0</v>
      </c>
      <c r="CO48" s="8">
        <f t="shared" si="18"/>
        <v>1047296</v>
      </c>
      <c r="CR48" s="36">
        <f t="shared" si="19"/>
        <v>0</v>
      </c>
      <c r="CS48" s="6">
        <f>SUMIF('Eredeti fejléccel'!$B:$B,'Felosztás eredménykim'!$B48,'Eredeti fejléccel'!$I:$I)</f>
        <v>0</v>
      </c>
      <c r="CT48" s="6">
        <f>SUMIF('Eredeti fejléccel'!$B:$B,'Felosztás eredménykim'!$B48,'Eredeti fejléccel'!$BG:$BG)</f>
        <v>0</v>
      </c>
      <c r="CU48" s="6">
        <f>SUMIF('Eredeti fejléccel'!$B:$B,'Felosztás eredménykim'!$B48,'Eredeti fejléccel'!$BH:$BH)</f>
        <v>0</v>
      </c>
      <c r="CV48" s="6">
        <f>SUMIF('Eredeti fejléccel'!$B:$B,'Felosztás eredménykim'!$B48,'Eredeti fejléccel'!$BI:$BI)</f>
        <v>0</v>
      </c>
      <c r="CW48" s="6">
        <f>SUMIF('Eredeti fejléccel'!$B:$B,'Felosztás eredménykim'!$B48,'Eredeti fejléccel'!$BL:$BL)</f>
        <v>0</v>
      </c>
      <c r="CX48" s="6">
        <f t="shared" si="46"/>
        <v>0</v>
      </c>
      <c r="CY48" s="6">
        <f>SUMIF('Eredeti fejléccel'!$B:$B,'Felosztás eredménykim'!$B48,'Eredeti fejléccel'!$BJ:$BJ)</f>
        <v>0</v>
      </c>
      <c r="CZ48" s="6">
        <f>SUMIF('Eredeti fejléccel'!$B:$B,'Felosztás eredménykim'!$B48,'Eredeti fejléccel'!$BK:$BK)</f>
        <v>0</v>
      </c>
      <c r="DA48" s="99">
        <f t="shared" si="47"/>
        <v>0</v>
      </c>
      <c r="DC48" s="36">
        <f t="shared" si="20"/>
        <v>0</v>
      </c>
      <c r="DD48" s="6">
        <f>SUMIF('Eredeti fejléccel'!$B:$B,'Felosztás eredménykim'!$B48,'Eredeti fejléccel'!$J:$J)</f>
        <v>0</v>
      </c>
      <c r="DE48" s="6">
        <f>SUMIF('Eredeti fejléccel'!$B:$B,'Felosztás eredménykim'!$B48,'Eredeti fejléccel'!$BM:$BM)</f>
        <v>0</v>
      </c>
      <c r="DF48" s="6">
        <f t="shared" si="48"/>
        <v>0</v>
      </c>
      <c r="DG48" s="8">
        <f t="shared" si="21"/>
        <v>0</v>
      </c>
      <c r="DH48" s="8">
        <f t="shared" si="49"/>
        <v>0</v>
      </c>
      <c r="DJ48" s="6">
        <f>SUMIF('Eredeti fejléccel'!$B:$B,'Felosztás eredménykim'!$B48,'Eredeti fejléccel'!$BN:$BN)</f>
        <v>0</v>
      </c>
      <c r="DK48" s="6">
        <f>SUMIF('Eredeti fejléccel'!$B:$B,'Felosztás eredménykim'!$B48,'Eredeti fejléccel'!$BZ:$BZ)</f>
        <v>0</v>
      </c>
      <c r="DL48" s="8">
        <f t="shared" si="50"/>
        <v>0</v>
      </c>
      <c r="DM48" s="6">
        <f>SUMIF('Eredeti fejléccel'!$B:$B,'Felosztás eredménykim'!$B48,'Eredeti fejléccel'!$BR:$BR)</f>
        <v>0</v>
      </c>
      <c r="DN48" s="6">
        <f>SUMIF('Eredeti fejléccel'!$B:$B,'Felosztás eredménykim'!$B48,'Eredeti fejléccel'!$BS:$BS)</f>
        <v>0</v>
      </c>
      <c r="DO48" s="6">
        <f>SUMIF('Eredeti fejléccel'!$B:$B,'Felosztás eredménykim'!$B48,'Eredeti fejléccel'!$BO:$BO)</f>
        <v>0</v>
      </c>
      <c r="DP48" s="6">
        <f>SUMIF('Eredeti fejléccel'!$B:$B,'Felosztás eredménykim'!$B48,'Eredeti fejléccel'!$BP:$BP)</f>
        <v>0</v>
      </c>
      <c r="DQ48" s="6">
        <f>SUMIF('Eredeti fejléccel'!$B:$B,'Felosztás eredménykim'!$B48,'Eredeti fejléccel'!$BQ:$BQ)</f>
        <v>0</v>
      </c>
      <c r="DS48" s="8"/>
      <c r="DU48" s="6">
        <f>SUMIF('Eredeti fejléccel'!$B:$B,'Felosztás eredménykim'!$B48,'Eredeti fejléccel'!$BT:$BT)</f>
        <v>0</v>
      </c>
      <c r="DV48" s="6">
        <f>SUMIF('Eredeti fejléccel'!$B:$B,'Felosztás eredménykim'!$B48,'Eredeti fejléccel'!$BU:$BU)</f>
        <v>0</v>
      </c>
      <c r="DW48" s="6">
        <f>SUMIF('Eredeti fejléccel'!$B:$B,'Felosztás eredménykim'!$B48,'Eredeti fejléccel'!$BV:$BV)</f>
        <v>0</v>
      </c>
      <c r="DX48" s="6">
        <f>SUMIF('Eredeti fejléccel'!$B:$B,'Felosztás eredménykim'!$B48,'Eredeti fejléccel'!$BW:$BW)</f>
        <v>0</v>
      </c>
      <c r="DY48" s="6">
        <f>SUMIF('Eredeti fejléccel'!$B:$B,'Felosztás eredménykim'!$B48,'Eredeti fejléccel'!$BX:$BX)</f>
        <v>0</v>
      </c>
      <c r="EA48" s="6"/>
      <c r="EC48" s="6"/>
      <c r="EE48" s="6">
        <f>SUMIF('Eredeti fejléccel'!$B:$B,'Felosztás eredménykim'!$B48,'Eredeti fejléccel'!$CA:$CA)</f>
        <v>0</v>
      </c>
      <c r="EF48" s="6">
        <f>SUMIF('Eredeti fejléccel'!$B:$B,'Felosztás eredménykim'!$B48,'Eredeti fejléccel'!$CB:$CB)</f>
        <v>0</v>
      </c>
      <c r="EG48" s="6">
        <f>SUMIF('Eredeti fejléccel'!$B:$B,'Felosztás eredménykim'!$B48,'Eredeti fejléccel'!$CC:$CC)</f>
        <v>0</v>
      </c>
      <c r="EH48" s="6">
        <f>SUMIF('Eredeti fejléccel'!$B:$B,'Felosztás eredménykim'!$B48,'Eredeti fejléccel'!$CD:$CD)</f>
        <v>0</v>
      </c>
      <c r="EK48" s="6">
        <f>SUMIF('Eredeti fejléccel'!$B:$B,'Felosztás eredménykim'!$B48,'Eredeti fejléccel'!$CE:$CE)</f>
        <v>0</v>
      </c>
      <c r="EN48" s="6">
        <f>SUMIF('Eredeti fejléccel'!$B:$B,'Felosztás eredménykim'!$B48,'Eredeti fejléccel'!$CF:$CF)</f>
        <v>0</v>
      </c>
      <c r="EP48" s="6">
        <f>SUMIF('Eredeti fejléccel'!$B:$B,'Felosztás eredménykim'!$B48,'Eredeti fejléccel'!$CG:$CG)</f>
        <v>0</v>
      </c>
      <c r="ES48" s="6">
        <f>SUMIF('Eredeti fejléccel'!$B:$B,'Felosztás eredménykim'!$B48,'Eredeti fejléccel'!$CH:$CH)</f>
        <v>0</v>
      </c>
      <c r="ET48" s="6">
        <f>SUMIF('Eredeti fejléccel'!$B:$B,'Felosztás eredménykim'!$B48,'Eredeti fejléccel'!$CI:$CI)</f>
        <v>0</v>
      </c>
      <c r="EW48" s="8">
        <f t="shared" si="22"/>
        <v>0</v>
      </c>
      <c r="EX48" s="8">
        <f t="shared" si="51"/>
        <v>0</v>
      </c>
      <c r="EY48" s="8">
        <f t="shared" si="52"/>
        <v>0</v>
      </c>
      <c r="EZ48" s="8">
        <f t="shared" si="23"/>
        <v>0</v>
      </c>
      <c r="FA48" s="8">
        <f t="shared" si="24"/>
        <v>0</v>
      </c>
      <c r="FC48" s="6">
        <f>SUMIF('Eredeti fejléccel'!$B:$B,'Felosztás eredménykim'!$B48,'Eredeti fejléccel'!$L:$L)</f>
        <v>0</v>
      </c>
      <c r="FD48" s="6">
        <f>SUMIF('Eredeti fejléccel'!$B:$B,'Felosztás eredménykim'!$B48,'Eredeti fejléccel'!$CJ:$CJ)</f>
        <v>0</v>
      </c>
      <c r="FE48" s="6">
        <f>SUMIF('Eredeti fejléccel'!$B:$B,'Felosztás eredménykim'!$B48,'Eredeti fejléccel'!$CL:$CL)</f>
        <v>0</v>
      </c>
      <c r="FG48" s="99">
        <f t="shared" si="53"/>
        <v>0</v>
      </c>
      <c r="FH48" s="6">
        <f>SUMIF('Eredeti fejléccel'!$B:$B,'Felosztás eredménykim'!$B48,'Eredeti fejléccel'!$CK:$CK)</f>
        <v>0</v>
      </c>
      <c r="FI48" s="36">
        <f t="shared" si="68"/>
        <v>0</v>
      </c>
      <c r="FJ48" s="101">
        <f t="shared" si="26"/>
        <v>0</v>
      </c>
      <c r="FK48" s="6">
        <f>SUMIF('Eredeti fejléccel'!$B:$B,'Felosztás eredménykim'!$B48,'Eredeti fejléccel'!$CM:$CM)</f>
        <v>0</v>
      </c>
      <c r="FL48" s="6">
        <f>SUMIF('Eredeti fejléccel'!$B:$B,'Felosztás eredménykim'!$B48,'Eredeti fejléccel'!$CN:$CN)</f>
        <v>0</v>
      </c>
      <c r="FM48" s="8">
        <f t="shared" si="54"/>
        <v>0</v>
      </c>
      <c r="FN48" s="36">
        <f t="shared" si="69"/>
        <v>0</v>
      </c>
      <c r="FO48" s="101">
        <f t="shared" si="28"/>
        <v>0</v>
      </c>
      <c r="FP48" s="6">
        <f>SUMIF('Eredeti fejléccel'!$B:$B,'Felosztás eredménykim'!$B48,'Eredeti fejléccel'!$CO:$CO)</f>
        <v>0</v>
      </c>
      <c r="FQ48" s="6">
        <f>'Eredeti fejléccel'!CP48</f>
        <v>0</v>
      </c>
      <c r="FR48" s="6">
        <f>'Eredeti fejléccel'!CQ48</f>
        <v>0</v>
      </c>
      <c r="FS48" s="103">
        <f t="shared" si="55"/>
        <v>0</v>
      </c>
      <c r="FT48" s="36">
        <f t="shared" si="70"/>
        <v>0</v>
      </c>
      <c r="FU48" s="101">
        <f t="shared" si="30"/>
        <v>0</v>
      </c>
      <c r="FV48" s="101"/>
      <c r="FW48" s="6">
        <f>SUMIF('Eredeti fejléccel'!$B:$B,'Felosztás eredménykim'!$B48,'Eredeti fejléccel'!$CR:$CR)</f>
        <v>0</v>
      </c>
      <c r="FX48" s="6">
        <f>SUMIF('Eredeti fejléccel'!$B:$B,'Felosztás eredménykim'!$B48,'Eredeti fejléccel'!$CS:$CS)</f>
        <v>0</v>
      </c>
      <c r="FY48" s="6">
        <f>SUMIF('Eredeti fejléccel'!$B:$B,'Felosztás eredménykim'!$B48,'Eredeti fejléccel'!$CT:$CT)</f>
        <v>0</v>
      </c>
      <c r="FZ48" s="6">
        <f>SUMIF('Eredeti fejléccel'!$B:$B,'Felosztás eredménykim'!$B48,'Eredeti fejléccel'!$CU:$CU)</f>
        <v>0</v>
      </c>
      <c r="GA48" s="103">
        <f t="shared" si="56"/>
        <v>0</v>
      </c>
      <c r="GB48" s="36">
        <f t="shared" si="71"/>
        <v>0</v>
      </c>
      <c r="GC48" s="101">
        <f t="shared" si="32"/>
        <v>0</v>
      </c>
      <c r="GD48" s="6">
        <f>SUMIF('Eredeti fejléccel'!$B:$B,'Felosztás eredménykim'!$B48,'Eredeti fejléccel'!$CV:$CV)</f>
        <v>0</v>
      </c>
      <c r="GE48" s="6">
        <f>SUMIF('Eredeti fejléccel'!$B:$B,'Felosztás eredménykim'!$B48,'Eredeti fejléccel'!$CW:$CW)</f>
        <v>0</v>
      </c>
      <c r="GF48" s="103">
        <f t="shared" si="57"/>
        <v>0</v>
      </c>
      <c r="GG48" s="36">
        <f t="shared" si="33"/>
        <v>0</v>
      </c>
      <c r="GM48" s="6">
        <f>SUMIF('Eredeti fejléccel'!$B:$B,'Felosztás eredménykim'!$B48,'Eredeti fejléccel'!$CX:$CX)</f>
        <v>0</v>
      </c>
      <c r="GN48" s="6">
        <f>SUMIF('Eredeti fejléccel'!$B:$B,'Felosztás eredménykim'!$B48,'Eredeti fejléccel'!$CY:$CY)</f>
        <v>0</v>
      </c>
      <c r="GO48" s="6">
        <f>SUMIF('Eredeti fejléccel'!$B:$B,'Felosztás eredménykim'!$B48,'Eredeti fejléccel'!$CZ:$CZ)</f>
        <v>0</v>
      </c>
      <c r="GP48" s="6">
        <f>SUMIF('Eredeti fejléccel'!$B:$B,'Felosztás eredménykim'!$B48,'Eredeti fejléccel'!$DA:$DA)</f>
        <v>0</v>
      </c>
      <c r="GQ48" s="6">
        <f>SUMIF('Eredeti fejléccel'!$B:$B,'Felosztás eredménykim'!$B48,'Eredeti fejléccel'!$DB:$DB)</f>
        <v>0</v>
      </c>
      <c r="GR48" s="103">
        <f t="shared" si="58"/>
        <v>0</v>
      </c>
      <c r="GW48" s="36">
        <f t="shared" si="34"/>
        <v>0</v>
      </c>
      <c r="GX48" s="6">
        <f>SUMIF('Eredeti fejléccel'!$B:$B,'Felosztás eredménykim'!$B48,'Eredeti fejléccel'!$M:$M)</f>
        <v>0</v>
      </c>
      <c r="GY48" s="6">
        <f>SUMIF('Eredeti fejléccel'!$B:$B,'Felosztás eredménykim'!$B48,'Eredeti fejléccel'!$DC:$DC)</f>
        <v>0</v>
      </c>
      <c r="GZ48" s="6">
        <f>SUMIF('Eredeti fejléccel'!$B:$B,'Felosztás eredménykim'!$B48,'Eredeti fejléccel'!$DD:$DD)</f>
        <v>0</v>
      </c>
      <c r="HA48" s="6">
        <f>SUMIF('Eredeti fejléccel'!$B:$B,'Felosztás eredménykim'!$B48,'Eredeti fejléccel'!$DE:$DE)</f>
        <v>0</v>
      </c>
      <c r="HB48" s="103">
        <f t="shared" si="59"/>
        <v>0</v>
      </c>
      <c r="HD48" s="9">
        <f t="shared" si="72"/>
        <v>1047296</v>
      </c>
      <c r="HE48" s="9">
        <v>1047296</v>
      </c>
      <c r="HF48" s="476"/>
      <c r="HH48" s="34">
        <f t="shared" si="60"/>
        <v>0</v>
      </c>
    </row>
    <row r="49" spans="1:216" x14ac:dyDescent="0.25">
      <c r="A49" s="4" t="s">
        <v>118</v>
      </c>
      <c r="B49" s="4" t="s">
        <v>118</v>
      </c>
      <c r="C49" s="1" t="s">
        <v>119</v>
      </c>
      <c r="D49" s="6">
        <f>SUMIF('Eredeti fejléccel'!$B:$B,'Felosztás eredménykim'!$B49,'Eredeti fejléccel'!$D:$D)</f>
        <v>0</v>
      </c>
      <c r="E49" s="6">
        <f>SUMIF('Eredeti fejléccel'!$B:$B,'Felosztás eredménykim'!$B49,'Eredeti fejléccel'!$E:$E)</f>
        <v>9600000</v>
      </c>
      <c r="F49" s="6">
        <f>SUMIF('Eredeti fejléccel'!$B:$B,'Felosztás eredménykim'!$B49,'Eredeti fejléccel'!$F:$F)</f>
        <v>0</v>
      </c>
      <c r="G49" s="6">
        <f>SUMIF('Eredeti fejléccel'!$B:$B,'Felosztás eredménykim'!$B49,'Eredeti fejléccel'!$G:$G)</f>
        <v>0</v>
      </c>
      <c r="H49" s="6"/>
      <c r="I49" s="6">
        <f>SUMIF('Eredeti fejléccel'!$B:$B,'Felosztás eredménykim'!$B49,'Eredeti fejléccel'!$O:$O)</f>
        <v>0</v>
      </c>
      <c r="J49" s="6">
        <f>SUMIF('Eredeti fejléccel'!$B:$B,'Felosztás eredménykim'!$B49,'Eredeti fejléccel'!$P:$P)</f>
        <v>0</v>
      </c>
      <c r="K49" s="6">
        <f>SUMIF('Eredeti fejléccel'!$B:$B,'Felosztás eredménykim'!$B49,'Eredeti fejléccel'!$Q:$Q)</f>
        <v>0</v>
      </c>
      <c r="L49" s="6">
        <f>SUMIF('Eredeti fejléccel'!$B:$B,'Felosztás eredménykim'!$B49,'Eredeti fejléccel'!$R:$R)</f>
        <v>0</v>
      </c>
      <c r="M49" s="6">
        <f>SUMIF('Eredeti fejléccel'!$B:$B,'Felosztás eredménykim'!$B49,'Eredeti fejléccel'!$T:$T)</f>
        <v>0</v>
      </c>
      <c r="N49" s="6">
        <f>SUMIF('Eredeti fejléccel'!$B:$B,'Felosztás eredménykim'!$B49,'Eredeti fejléccel'!$U:$U)</f>
        <v>0</v>
      </c>
      <c r="O49" s="6">
        <f>SUMIF('Eredeti fejléccel'!$B:$B,'Felosztás eredménykim'!$B49,'Eredeti fejléccel'!$V:$V)</f>
        <v>0</v>
      </c>
      <c r="P49" s="6">
        <f>SUMIF('Eredeti fejléccel'!$B:$B,'Felosztás eredménykim'!$B49,'Eredeti fejléccel'!$W:$W)</f>
        <v>0</v>
      </c>
      <c r="Q49" s="6">
        <f>SUMIF('Eredeti fejléccel'!$B:$B,'Felosztás eredménykim'!$B49,'Eredeti fejléccel'!$X:$X)</f>
        <v>0</v>
      </c>
      <c r="R49" s="6">
        <f>SUMIF('Eredeti fejléccel'!$B:$B,'Felosztás eredménykim'!$B49,'Eredeti fejléccel'!$Y:$Y)</f>
        <v>0</v>
      </c>
      <c r="S49" s="6">
        <f>SUMIF('Eredeti fejléccel'!$B:$B,'Felosztás eredménykim'!$B49,'Eredeti fejléccel'!$Z:$Z)</f>
        <v>0</v>
      </c>
      <c r="T49" s="6">
        <f>SUMIF('Eredeti fejléccel'!$B:$B,'Felosztás eredménykim'!$B49,'Eredeti fejléccel'!$AA:$AA)</f>
        <v>0</v>
      </c>
      <c r="U49" s="6">
        <f>SUMIF('Eredeti fejléccel'!$B:$B,'Felosztás eredménykim'!$B49,'Eredeti fejléccel'!$D:$D)</f>
        <v>0</v>
      </c>
      <c r="V49" s="6">
        <f>SUMIF('Eredeti fejléccel'!$B:$B,'Felosztás eredménykim'!$B49,'Eredeti fejléccel'!$AT:$AT)</f>
        <v>0</v>
      </c>
      <c r="X49" s="36">
        <f t="shared" si="0"/>
        <v>9600000</v>
      </c>
      <c r="Z49" s="6">
        <f>SUMIF('Eredeti fejléccel'!$B:$B,'Felosztás eredménykim'!$B49,'Eredeti fejléccel'!$K:$K)</f>
        <v>0</v>
      </c>
      <c r="AB49" s="6">
        <f>SUMIF('Eredeti fejléccel'!$B:$B,'Felosztás eredménykim'!$B49,'Eredeti fejléccel'!$AB:$AB)</f>
        <v>0</v>
      </c>
      <c r="AC49" s="6">
        <f>SUMIF('Eredeti fejléccel'!$B:$B,'Felosztás eredménykim'!$B49,'Eredeti fejléccel'!$AQ:$AQ)</f>
        <v>0</v>
      </c>
      <c r="AE49" s="73">
        <f t="shared" si="1"/>
        <v>0</v>
      </c>
      <c r="AF49" s="36">
        <f t="shared" si="61"/>
        <v>1145228.5587274842</v>
      </c>
      <c r="AG49" s="8">
        <f t="shared" si="3"/>
        <v>0</v>
      </c>
      <c r="AI49" s="6">
        <f>SUMIF('Eredeti fejléccel'!$B:$B,'Felosztás eredménykim'!$B49,'Eredeti fejléccel'!$BB:$BB)</f>
        <v>0</v>
      </c>
      <c r="AJ49" s="6">
        <f>SUMIF('Eredeti fejléccel'!$B:$B,'Felosztás eredménykim'!$B49,'Eredeti fejléccel'!$AF:$AF)</f>
        <v>0</v>
      </c>
      <c r="AK49" s="8">
        <f t="shared" si="4"/>
        <v>0</v>
      </c>
      <c r="AL49" s="36">
        <f t="shared" si="62"/>
        <v>454879.0011663725</v>
      </c>
      <c r="AM49" s="8">
        <f t="shared" si="6"/>
        <v>0</v>
      </c>
      <c r="AN49" s="6">
        <f t="shared" si="36"/>
        <v>0</v>
      </c>
      <c r="AO49" s="6">
        <f>SUMIF('Eredeti fejléccel'!$B:$B,'Felosztás eredménykim'!$B49,'Eredeti fejléccel'!$AC:$AC)</f>
        <v>0</v>
      </c>
      <c r="AP49" s="6">
        <f>SUMIF('Eredeti fejléccel'!$B:$B,'Felosztás eredménykim'!$B49,'Eredeti fejléccel'!$AD:$AD)</f>
        <v>0</v>
      </c>
      <c r="AQ49" s="6">
        <f>SUMIF('Eredeti fejléccel'!$B:$B,'Felosztás eredménykim'!$B49,'Eredeti fejléccel'!$AE:$AE)</f>
        <v>0</v>
      </c>
      <c r="AR49" s="6">
        <f>SUMIF('Eredeti fejléccel'!$B:$B,'Felosztás eredménykim'!$B49,'Eredeti fejléccel'!$AG:$AG)</f>
        <v>0</v>
      </c>
      <c r="AS49" s="6">
        <f t="shared" si="37"/>
        <v>0</v>
      </c>
      <c r="AT49" s="36">
        <f t="shared" si="63"/>
        <v>738857.13466289325</v>
      </c>
      <c r="AU49" s="8">
        <f t="shared" si="8"/>
        <v>0</v>
      </c>
      <c r="AV49" s="6">
        <f>SUMIF('Eredeti fejléccel'!$B:$B,'Felosztás eredménykim'!$B49,'Eredeti fejléccel'!$AI:$AI)</f>
        <v>0</v>
      </c>
      <c r="AW49" s="6">
        <f>SUMIF('Eredeti fejléccel'!$B:$B,'Felosztás eredménykim'!$B49,'Eredeti fejléccel'!$AJ:$AJ)</f>
        <v>0</v>
      </c>
      <c r="AX49" s="6">
        <f>SUMIF('Eredeti fejléccel'!$B:$B,'Felosztás eredménykim'!$B49,'Eredeti fejléccel'!$AK:$AK)</f>
        <v>0</v>
      </c>
      <c r="AY49" s="6">
        <f>SUMIF('Eredeti fejléccel'!$B:$B,'Felosztás eredménykim'!$B49,'Eredeti fejléccel'!$AL:$AL)</f>
        <v>0</v>
      </c>
      <c r="AZ49" s="6">
        <f>SUMIF('Eredeti fejléccel'!$B:$B,'Felosztás eredménykim'!$B49,'Eredeti fejléccel'!$AM:$AM)</f>
        <v>0</v>
      </c>
      <c r="BA49" s="6">
        <f>SUMIF('Eredeti fejléccel'!$B:$B,'Felosztás eredménykim'!$B49,'Eredeti fejléccel'!$AN:$AN)</f>
        <v>0</v>
      </c>
      <c r="BB49" s="6">
        <f>SUMIF('Eredeti fejléccel'!$B:$B,'Felosztás eredménykim'!$B49,'Eredeti fejléccel'!$AP:$AP)</f>
        <v>0</v>
      </c>
      <c r="BD49" s="6">
        <f>SUMIF('Eredeti fejléccel'!$B:$B,'Felosztás eredménykim'!$B49,'Eredeti fejléccel'!$AS:$AS)</f>
        <v>0</v>
      </c>
      <c r="BE49" s="8">
        <f t="shared" si="38"/>
        <v>0</v>
      </c>
      <c r="BF49" s="36">
        <f t="shared" si="64"/>
        <v>192745.33947727646</v>
      </c>
      <c r="BG49" s="8">
        <f t="shared" si="10"/>
        <v>0</v>
      </c>
      <c r="BH49" s="6">
        <f t="shared" si="39"/>
        <v>0</v>
      </c>
      <c r="BI49" s="6">
        <f>SUMIF('Eredeti fejléccel'!$B:$B,'Felosztás eredménykim'!$B49,'Eredeti fejléccel'!$AH:$AH)</f>
        <v>0</v>
      </c>
      <c r="BJ49" s="6">
        <f>SUMIF('Eredeti fejléccel'!$B:$B,'Felosztás eredménykim'!$B49,'Eredeti fejléccel'!$AO:$AO)</f>
        <v>0</v>
      </c>
      <c r="BK49" s="6">
        <f>SUMIF('Eredeti fejléccel'!$B:$B,'Felosztás eredménykim'!$B49,'Eredeti fejléccel'!$BF:$BF)</f>
        <v>0</v>
      </c>
      <c r="BL49" s="8">
        <f t="shared" si="40"/>
        <v>0</v>
      </c>
      <c r="BM49" s="36">
        <f t="shared" si="65"/>
        <v>722152.53857486264</v>
      </c>
      <c r="BN49" s="8">
        <f t="shared" si="12"/>
        <v>0</v>
      </c>
      <c r="BP49" s="8">
        <f t="shared" si="41"/>
        <v>0</v>
      </c>
      <c r="BQ49" s="6">
        <f>SUMIF('Eredeti fejléccel'!$B:$B,'Felosztás eredménykim'!$B49,'Eredeti fejléccel'!$N:$N)</f>
        <v>0</v>
      </c>
      <c r="BR49" s="6">
        <f>SUMIF('Eredeti fejléccel'!$B:$B,'Felosztás eredménykim'!$B49,'Eredeti fejléccel'!$S:$S)</f>
        <v>0</v>
      </c>
      <c r="BT49" s="6">
        <f>SUMIF('Eredeti fejléccel'!$B:$B,'Felosztás eredménykim'!$B49,'Eredeti fejléccel'!$AR:$AR)</f>
        <v>0</v>
      </c>
      <c r="BU49" s="6">
        <f>SUMIF('Eredeti fejléccel'!$B:$B,'Felosztás eredménykim'!$B49,'Eredeti fejléccel'!$AU:$AU)</f>
        <v>0</v>
      </c>
      <c r="BV49" s="6">
        <f>SUMIF('Eredeti fejléccel'!$B:$B,'Felosztás eredménykim'!$B49,'Eredeti fejléccel'!$AV:$AV)</f>
        <v>0</v>
      </c>
      <c r="BW49" s="6">
        <f>SUMIF('Eredeti fejléccel'!$B:$B,'Felosztás eredménykim'!$B49,'Eredeti fejléccel'!$AW:$AW)</f>
        <v>0</v>
      </c>
      <c r="BX49" s="6">
        <f>SUMIF('Eredeti fejléccel'!$B:$B,'Felosztás eredménykim'!$B49,'Eredeti fejléccel'!$AX:$AX)</f>
        <v>0</v>
      </c>
      <c r="BY49" s="6">
        <f>SUMIF('Eredeti fejléccel'!$B:$B,'Felosztás eredménykim'!$B49,'Eredeti fejléccel'!$AY:$AY)</f>
        <v>0</v>
      </c>
      <c r="BZ49" s="6">
        <f>SUMIF('Eredeti fejléccel'!$B:$B,'Felosztás eredménykim'!$B49,'Eredeti fejléccel'!$AZ:$AZ)</f>
        <v>0</v>
      </c>
      <c r="CA49" s="6">
        <f>SUMIF('Eredeti fejléccel'!$B:$B,'Felosztás eredménykim'!$B49,'Eredeti fejléccel'!$BA:$BA)</f>
        <v>0</v>
      </c>
      <c r="CB49" s="6">
        <f t="shared" si="13"/>
        <v>0</v>
      </c>
      <c r="CC49" s="36">
        <f t="shared" si="66"/>
        <v>196600.24626682201</v>
      </c>
      <c r="CD49" s="8">
        <f t="shared" si="15"/>
        <v>0</v>
      </c>
      <c r="CE49" s="6">
        <f>SUMIF('Eredeti fejléccel'!$B:$B,'Felosztás eredménykim'!$B49,'Eredeti fejléccel'!$BC:$BC)</f>
        <v>0</v>
      </c>
      <c r="CF49" s="8">
        <f t="shared" si="42"/>
        <v>0</v>
      </c>
      <c r="CG49" s="6">
        <f>SUMIF('Eredeti fejléccel'!$B:$B,'Felosztás eredménykim'!$B49,'Eredeti fejléccel'!$H:$H)</f>
        <v>0</v>
      </c>
      <c r="CH49" s="6">
        <f>SUMIF('Eredeti fejléccel'!$B:$B,'Felosztás eredménykim'!$B49,'Eredeti fejléccel'!$BE:$BE)</f>
        <v>0</v>
      </c>
      <c r="CI49" s="6">
        <f t="shared" si="43"/>
        <v>0</v>
      </c>
      <c r="CJ49" s="36">
        <f t="shared" si="67"/>
        <v>141346.58228333612</v>
      </c>
      <c r="CK49" s="8">
        <f t="shared" si="17"/>
        <v>0</v>
      </c>
      <c r="CL49" s="8">
        <f t="shared" si="44"/>
        <v>0</v>
      </c>
      <c r="CM49" s="6">
        <f>SUMIF('Eredeti fejléccel'!$B:$B,'Felosztás eredménykim'!$B49,'Eredeti fejléccel'!$BD:$BD)</f>
        <v>0</v>
      </c>
      <c r="CN49" s="8">
        <f t="shared" si="45"/>
        <v>0</v>
      </c>
      <c r="CO49" s="8">
        <f t="shared" si="18"/>
        <v>3591809.4011590471</v>
      </c>
      <c r="CR49" s="36">
        <f t="shared" si="19"/>
        <v>849040.56664520281</v>
      </c>
      <c r="CS49" s="6">
        <f>SUMIF('Eredeti fejléccel'!$B:$B,'Felosztás eredménykim'!$B49,'Eredeti fejléccel'!$I:$I)</f>
        <v>0</v>
      </c>
      <c r="CT49" s="6">
        <f>SUMIF('Eredeti fejléccel'!$B:$B,'Felosztás eredménykim'!$B49,'Eredeti fejléccel'!$BG:$BG)</f>
        <v>0</v>
      </c>
      <c r="CU49" s="6">
        <f>SUMIF('Eredeti fejléccel'!$B:$B,'Felosztás eredménykim'!$B49,'Eredeti fejléccel'!$BH:$BH)</f>
        <v>0</v>
      </c>
      <c r="CV49" s="6">
        <f>SUMIF('Eredeti fejléccel'!$B:$B,'Felosztás eredménykim'!$B49,'Eredeti fejléccel'!$BI:$BI)</f>
        <v>0</v>
      </c>
      <c r="CW49" s="6">
        <f>SUMIF('Eredeti fejléccel'!$B:$B,'Felosztás eredménykim'!$B49,'Eredeti fejléccel'!$BL:$BL)</f>
        <v>0</v>
      </c>
      <c r="CX49" s="6">
        <f t="shared" si="46"/>
        <v>0</v>
      </c>
      <c r="CY49" s="6">
        <f>SUMIF('Eredeti fejléccel'!$B:$B,'Felosztás eredménykim'!$B49,'Eredeti fejléccel'!$BJ:$BJ)</f>
        <v>0</v>
      </c>
      <c r="CZ49" s="6">
        <f>SUMIF('Eredeti fejléccel'!$B:$B,'Felosztás eredménykim'!$B49,'Eredeti fejléccel'!$BK:$BK)</f>
        <v>0</v>
      </c>
      <c r="DA49" s="99">
        <f t="shared" si="47"/>
        <v>0</v>
      </c>
      <c r="DC49" s="36">
        <f t="shared" si="20"/>
        <v>743644.5589182229</v>
      </c>
      <c r="DD49" s="6">
        <f>SUMIF('Eredeti fejléccel'!$B:$B,'Felosztás eredménykim'!$B49,'Eredeti fejléccel'!$J:$J)</f>
        <v>0</v>
      </c>
      <c r="DE49" s="6">
        <f>SUMIF('Eredeti fejléccel'!$B:$B,'Felosztás eredménykim'!$B49,'Eredeti fejléccel'!$BM:$BM)</f>
        <v>0</v>
      </c>
      <c r="DF49" s="6">
        <f t="shared" si="48"/>
        <v>0</v>
      </c>
      <c r="DG49" s="8">
        <f t="shared" si="21"/>
        <v>0</v>
      </c>
      <c r="DH49" s="8">
        <f t="shared" si="49"/>
        <v>0</v>
      </c>
      <c r="DJ49" s="6">
        <f>SUMIF('Eredeti fejléccel'!$B:$B,'Felosztás eredménykim'!$B49,'Eredeti fejléccel'!$BN:$BN)</f>
        <v>0</v>
      </c>
      <c r="DK49" s="6">
        <f>SUMIF('Eredeti fejléccel'!$B:$B,'Felosztás eredménykim'!$B49,'Eredeti fejléccel'!$BZ:$BZ)</f>
        <v>0</v>
      </c>
      <c r="DL49" s="8">
        <f t="shared" si="50"/>
        <v>0</v>
      </c>
      <c r="DM49" s="6">
        <f>SUMIF('Eredeti fejléccel'!$B:$B,'Felosztás eredménykim'!$B49,'Eredeti fejléccel'!$BR:$BR)</f>
        <v>0</v>
      </c>
      <c r="DN49" s="6">
        <f>SUMIF('Eredeti fejléccel'!$B:$B,'Felosztás eredménykim'!$B49,'Eredeti fejléccel'!$BS:$BS)</f>
        <v>0</v>
      </c>
      <c r="DO49" s="6">
        <f>SUMIF('Eredeti fejléccel'!$B:$B,'Felosztás eredménykim'!$B49,'Eredeti fejléccel'!$BO:$BO)</f>
        <v>0</v>
      </c>
      <c r="DP49" s="6">
        <f>SUMIF('Eredeti fejléccel'!$B:$B,'Felosztás eredménykim'!$B49,'Eredeti fejléccel'!$BP:$BP)</f>
        <v>0</v>
      </c>
      <c r="DQ49" s="6">
        <f>SUMIF('Eredeti fejléccel'!$B:$B,'Felosztás eredménykim'!$B49,'Eredeti fejléccel'!$BQ:$BQ)</f>
        <v>0</v>
      </c>
      <c r="DS49" s="8"/>
      <c r="DU49" s="6">
        <f>SUMIF('Eredeti fejléccel'!$B:$B,'Felosztás eredménykim'!$B49,'Eredeti fejléccel'!$BT:$BT)</f>
        <v>0</v>
      </c>
      <c r="DV49" s="6">
        <f>SUMIF('Eredeti fejléccel'!$B:$B,'Felosztás eredménykim'!$B49,'Eredeti fejléccel'!$BU:$BU)</f>
        <v>0</v>
      </c>
      <c r="DW49" s="6">
        <f>SUMIF('Eredeti fejléccel'!$B:$B,'Felosztás eredménykim'!$B49,'Eredeti fejléccel'!$BV:$BV)</f>
        <v>0</v>
      </c>
      <c r="DX49" s="6">
        <f>SUMIF('Eredeti fejléccel'!$B:$B,'Felosztás eredménykim'!$B49,'Eredeti fejléccel'!$BW:$BW)</f>
        <v>0</v>
      </c>
      <c r="DY49" s="6">
        <f>SUMIF('Eredeti fejléccel'!$B:$B,'Felosztás eredménykim'!$B49,'Eredeti fejléccel'!$BX:$BX)</f>
        <v>0</v>
      </c>
      <c r="EA49" s="6"/>
      <c r="EC49" s="6"/>
      <c r="EE49" s="6">
        <f>SUMIF('Eredeti fejléccel'!$B:$B,'Felosztás eredménykim'!$B49,'Eredeti fejléccel'!$CA:$CA)</f>
        <v>0</v>
      </c>
      <c r="EF49" s="6">
        <f>SUMIF('Eredeti fejléccel'!$B:$B,'Felosztás eredménykim'!$B49,'Eredeti fejléccel'!$CB:$CB)</f>
        <v>0</v>
      </c>
      <c r="EG49" s="6">
        <f>SUMIF('Eredeti fejléccel'!$B:$B,'Felosztás eredménykim'!$B49,'Eredeti fejléccel'!$CC:$CC)</f>
        <v>0</v>
      </c>
      <c r="EH49" s="6">
        <f>SUMIF('Eredeti fejléccel'!$B:$B,'Felosztás eredménykim'!$B49,'Eredeti fejléccel'!$CD:$CD)</f>
        <v>0</v>
      </c>
      <c r="EK49" s="6">
        <f>SUMIF('Eredeti fejléccel'!$B:$B,'Felosztás eredménykim'!$B49,'Eredeti fejléccel'!$CE:$CE)</f>
        <v>0</v>
      </c>
      <c r="EN49" s="6">
        <f>SUMIF('Eredeti fejléccel'!$B:$B,'Felosztás eredménykim'!$B49,'Eredeti fejléccel'!$CF:$CF)</f>
        <v>0</v>
      </c>
      <c r="EP49" s="6">
        <f>SUMIF('Eredeti fejléccel'!$B:$B,'Felosztás eredménykim'!$B49,'Eredeti fejléccel'!$CG:$CG)</f>
        <v>0</v>
      </c>
      <c r="ES49" s="6">
        <f>SUMIF('Eredeti fejléccel'!$B:$B,'Felosztás eredménykim'!$B49,'Eredeti fejléccel'!$CH:$CH)</f>
        <v>0</v>
      </c>
      <c r="ET49" s="6">
        <f>SUMIF('Eredeti fejléccel'!$B:$B,'Felosztás eredménykim'!$B49,'Eredeti fejléccel'!$CI:$CI)</f>
        <v>0</v>
      </c>
      <c r="EW49" s="8">
        <f t="shared" si="22"/>
        <v>0</v>
      </c>
      <c r="EX49" s="8">
        <f t="shared" si="51"/>
        <v>0</v>
      </c>
      <c r="EY49" s="8">
        <f t="shared" si="52"/>
        <v>0</v>
      </c>
      <c r="EZ49" s="8">
        <f t="shared" si="23"/>
        <v>0</v>
      </c>
      <c r="FA49" s="8">
        <f t="shared" si="24"/>
        <v>0</v>
      </c>
      <c r="FC49" s="6">
        <f>SUMIF('Eredeti fejléccel'!$B:$B,'Felosztás eredménykim'!$B49,'Eredeti fejléccel'!$L:$L)</f>
        <v>0</v>
      </c>
      <c r="FD49" s="6">
        <f>SUMIF('Eredeti fejléccel'!$B:$B,'Felosztás eredménykim'!$B49,'Eredeti fejléccel'!$CJ:$CJ)</f>
        <v>0</v>
      </c>
      <c r="FE49" s="6">
        <f>SUMIF('Eredeti fejléccel'!$B:$B,'Felosztás eredménykim'!$B49,'Eredeti fejléccel'!$CL:$CL)</f>
        <v>0</v>
      </c>
      <c r="FG49" s="99">
        <f t="shared" si="53"/>
        <v>0</v>
      </c>
      <c r="FH49" s="6">
        <f>SUMIF('Eredeti fejléccel'!$B:$B,'Felosztás eredménykim'!$B49,'Eredeti fejléccel'!$CK:$CK)</f>
        <v>0</v>
      </c>
      <c r="FI49" s="36">
        <f t="shared" si="68"/>
        <v>874944.95177404571</v>
      </c>
      <c r="FJ49" s="101">
        <f t="shared" si="26"/>
        <v>0</v>
      </c>
      <c r="FK49" s="6">
        <f>SUMIF('Eredeti fejléccel'!$B:$B,'Felosztás eredménykim'!$B49,'Eredeti fejléccel'!$CM:$CM)</f>
        <v>0</v>
      </c>
      <c r="FL49" s="6">
        <f>SUMIF('Eredeti fejléccel'!$B:$B,'Felosztás eredménykim'!$B49,'Eredeti fejléccel'!$CN:$CN)</f>
        <v>0</v>
      </c>
      <c r="FM49" s="8">
        <f t="shared" si="54"/>
        <v>0</v>
      </c>
      <c r="FN49" s="36">
        <f t="shared" si="69"/>
        <v>743846.7471881425</v>
      </c>
      <c r="FO49" s="101">
        <f t="shared" si="28"/>
        <v>0</v>
      </c>
      <c r="FP49" s="6">
        <f>SUMIF('Eredeti fejléccel'!$B:$B,'Felosztás eredménykim'!$B49,'Eredeti fejléccel'!$CO:$CO)</f>
        <v>0</v>
      </c>
      <c r="FQ49" s="6">
        <f>'Eredeti fejléccel'!CP49</f>
        <v>0</v>
      </c>
      <c r="FR49" s="6">
        <f>'Eredeti fejléccel'!CQ49</f>
        <v>0</v>
      </c>
      <c r="FS49" s="103">
        <f t="shared" si="55"/>
        <v>0</v>
      </c>
      <c r="FT49" s="36">
        <f t="shared" si="70"/>
        <v>2053233.9243782477</v>
      </c>
      <c r="FU49" s="101">
        <f t="shared" si="30"/>
        <v>0</v>
      </c>
      <c r="FV49" s="101"/>
      <c r="FW49" s="6">
        <f>SUMIF('Eredeti fejléccel'!$B:$B,'Felosztás eredménykim'!$B49,'Eredeti fejléccel'!$CR:$CR)</f>
        <v>0</v>
      </c>
      <c r="FX49" s="6">
        <f>SUMIF('Eredeti fejléccel'!$B:$B,'Felosztás eredménykim'!$B49,'Eredeti fejléccel'!$CS:$CS)</f>
        <v>0</v>
      </c>
      <c r="FY49" s="6">
        <f>SUMIF('Eredeti fejléccel'!$B:$B,'Felosztás eredménykim'!$B49,'Eredeti fejléccel'!$CT:$CT)</f>
        <v>0</v>
      </c>
      <c r="FZ49" s="6">
        <f>SUMIF('Eredeti fejléccel'!$B:$B,'Felosztás eredménykim'!$B49,'Eredeti fejléccel'!$CU:$CU)</f>
        <v>0</v>
      </c>
      <c r="GA49" s="103">
        <f t="shared" si="56"/>
        <v>0</v>
      </c>
      <c r="GB49" s="36">
        <f t="shared" si="71"/>
        <v>273679.46358809015</v>
      </c>
      <c r="GC49" s="101">
        <f t="shared" si="32"/>
        <v>0</v>
      </c>
      <c r="GD49" s="6">
        <f>SUMIF('Eredeti fejléccel'!$B:$B,'Felosztás eredménykim'!$B49,'Eredeti fejléccel'!$CV:$CV)</f>
        <v>0</v>
      </c>
      <c r="GE49" s="6">
        <f>SUMIF('Eredeti fejléccel'!$B:$B,'Felosztás eredménykim'!$B49,'Eredeti fejléccel'!$CW:$CW)</f>
        <v>0</v>
      </c>
      <c r="GF49" s="103">
        <f t="shared" si="57"/>
        <v>0</v>
      </c>
      <c r="GG49" s="36">
        <f t="shared" si="33"/>
        <v>0</v>
      </c>
      <c r="GM49" s="6">
        <f>SUMIF('Eredeti fejléccel'!$B:$B,'Felosztás eredménykim'!$B49,'Eredeti fejléccel'!$CX:$CX)</f>
        <v>0</v>
      </c>
      <c r="GN49" s="6">
        <f>SUMIF('Eredeti fejléccel'!$B:$B,'Felosztás eredménykim'!$B49,'Eredeti fejléccel'!$CY:$CY)</f>
        <v>0</v>
      </c>
      <c r="GO49" s="6">
        <f>SUMIF('Eredeti fejléccel'!$B:$B,'Felosztás eredménykim'!$B49,'Eredeti fejléccel'!$CZ:$CZ)</f>
        <v>0</v>
      </c>
      <c r="GP49" s="6">
        <f>SUMIF('Eredeti fejléccel'!$B:$B,'Felosztás eredménykim'!$B49,'Eredeti fejléccel'!$DA:$DA)</f>
        <v>0</v>
      </c>
      <c r="GQ49" s="6">
        <f>SUMIF('Eredeti fejléccel'!$B:$B,'Felosztás eredménykim'!$B49,'Eredeti fejléccel'!$DB:$DB)</f>
        <v>0</v>
      </c>
      <c r="GR49" s="103">
        <f t="shared" si="58"/>
        <v>0</v>
      </c>
      <c r="GW49" s="36">
        <f t="shared" si="34"/>
        <v>469800.38634900196</v>
      </c>
      <c r="GX49" s="6">
        <f>SUMIF('Eredeti fejléccel'!$B:$B,'Felosztás eredménykim'!$B49,'Eredeti fejléccel'!$M:$M)</f>
        <v>0</v>
      </c>
      <c r="GY49" s="6">
        <f>SUMIF('Eredeti fejléccel'!$B:$B,'Felosztás eredménykim'!$B49,'Eredeti fejléccel'!$DC:$DC)</f>
        <v>0</v>
      </c>
      <c r="GZ49" s="6">
        <f>SUMIF('Eredeti fejléccel'!$B:$B,'Felosztás eredménykim'!$B49,'Eredeti fejléccel'!$DD:$DD)</f>
        <v>0</v>
      </c>
      <c r="HA49" s="6">
        <f>SUMIF('Eredeti fejléccel'!$B:$B,'Felosztás eredménykim'!$B49,'Eredeti fejléccel'!$DE:$DE)</f>
        <v>0</v>
      </c>
      <c r="HB49" s="103">
        <f t="shared" si="59"/>
        <v>0</v>
      </c>
      <c r="HD49" s="9">
        <f t="shared" si="72"/>
        <v>9599999.9999999981</v>
      </c>
      <c r="HE49" s="9">
        <v>9600000</v>
      </c>
      <c r="HF49" s="476"/>
      <c r="HH49" s="34">
        <f t="shared" si="60"/>
        <v>0</v>
      </c>
    </row>
    <row r="50" spans="1:216" x14ac:dyDescent="0.25">
      <c r="A50" s="4" t="s">
        <v>120</v>
      </c>
      <c r="B50" s="4" t="s">
        <v>120</v>
      </c>
      <c r="C50" s="1" t="s">
        <v>121</v>
      </c>
      <c r="D50" s="6">
        <f>SUMIF('Eredeti fejléccel'!$B:$B,'Felosztás eredménykim'!$B50,'Eredeti fejléccel'!$D:$D)</f>
        <v>0</v>
      </c>
      <c r="E50" s="6">
        <f>SUMIF('Eredeti fejléccel'!$B:$B,'Felosztás eredménykim'!$B50,'Eredeti fejléccel'!$E:$E)</f>
        <v>0</v>
      </c>
      <c r="F50" s="6">
        <f>SUMIF('Eredeti fejléccel'!$B:$B,'Felosztás eredménykim'!$B50,'Eredeti fejléccel'!$F:$F)</f>
        <v>0</v>
      </c>
      <c r="G50" s="6">
        <f>SUMIF('Eredeti fejléccel'!$B:$B,'Felosztás eredménykim'!$B50,'Eredeti fejléccel'!$G:$G)</f>
        <v>0</v>
      </c>
      <c r="H50" s="6"/>
      <c r="I50" s="6">
        <f>SUMIF('Eredeti fejléccel'!$B:$B,'Felosztás eredménykim'!$B50,'Eredeti fejléccel'!$O:$O)</f>
        <v>0</v>
      </c>
      <c r="J50" s="6">
        <f>SUMIF('Eredeti fejléccel'!$B:$B,'Felosztás eredménykim'!$B50,'Eredeti fejléccel'!$P:$P)</f>
        <v>0</v>
      </c>
      <c r="K50" s="6">
        <f>SUMIF('Eredeti fejléccel'!$B:$B,'Felosztás eredménykim'!$B50,'Eredeti fejléccel'!$Q:$Q)</f>
        <v>0</v>
      </c>
      <c r="L50" s="6">
        <f>SUMIF('Eredeti fejléccel'!$B:$B,'Felosztás eredménykim'!$B50,'Eredeti fejléccel'!$R:$R)</f>
        <v>0</v>
      </c>
      <c r="M50" s="6">
        <f>SUMIF('Eredeti fejléccel'!$B:$B,'Felosztás eredménykim'!$B50,'Eredeti fejléccel'!$T:$T)</f>
        <v>0</v>
      </c>
      <c r="N50" s="6">
        <f>SUMIF('Eredeti fejléccel'!$B:$B,'Felosztás eredménykim'!$B50,'Eredeti fejléccel'!$U:$U)</f>
        <v>0</v>
      </c>
      <c r="O50" s="6">
        <f>SUMIF('Eredeti fejléccel'!$B:$B,'Felosztás eredménykim'!$B50,'Eredeti fejléccel'!$V:$V)</f>
        <v>0</v>
      </c>
      <c r="P50" s="6">
        <f>SUMIF('Eredeti fejléccel'!$B:$B,'Felosztás eredménykim'!$B50,'Eredeti fejléccel'!$W:$W)</f>
        <v>0</v>
      </c>
      <c r="Q50" s="6">
        <f>SUMIF('Eredeti fejléccel'!$B:$B,'Felosztás eredménykim'!$B50,'Eredeti fejléccel'!$X:$X)</f>
        <v>0</v>
      </c>
      <c r="R50" s="6">
        <f>SUMIF('Eredeti fejléccel'!$B:$B,'Felosztás eredménykim'!$B50,'Eredeti fejléccel'!$Y:$Y)</f>
        <v>0</v>
      </c>
      <c r="S50" s="6">
        <f>SUMIF('Eredeti fejléccel'!$B:$B,'Felosztás eredménykim'!$B50,'Eredeti fejléccel'!$Z:$Z)</f>
        <v>0</v>
      </c>
      <c r="T50" s="6">
        <f>SUMIF('Eredeti fejléccel'!$B:$B,'Felosztás eredménykim'!$B50,'Eredeti fejléccel'!$AA:$AA)</f>
        <v>0</v>
      </c>
      <c r="U50" s="6">
        <f>SUMIF('Eredeti fejléccel'!$B:$B,'Felosztás eredménykim'!$B50,'Eredeti fejléccel'!$D:$D)</f>
        <v>0</v>
      </c>
      <c r="V50" s="6">
        <f>SUMIF('Eredeti fejléccel'!$B:$B,'Felosztás eredménykim'!$B50,'Eredeti fejléccel'!$AT:$AT)</f>
        <v>0</v>
      </c>
      <c r="X50" s="36">
        <f t="shared" si="0"/>
        <v>0</v>
      </c>
      <c r="Z50" s="6">
        <f>SUMIF('Eredeti fejléccel'!$B:$B,'Felosztás eredménykim'!$B50,'Eredeti fejléccel'!$K:$K)</f>
        <v>0</v>
      </c>
      <c r="AB50" s="6">
        <f>SUMIF('Eredeti fejléccel'!$B:$B,'Felosztás eredménykim'!$B50,'Eredeti fejléccel'!$AB:$AB)</f>
        <v>0</v>
      </c>
      <c r="AC50" s="6">
        <f>SUMIF('Eredeti fejléccel'!$B:$B,'Felosztás eredménykim'!$B50,'Eredeti fejléccel'!$AQ:$AQ)</f>
        <v>0</v>
      </c>
      <c r="AE50" s="73">
        <f t="shared" si="1"/>
        <v>0</v>
      </c>
      <c r="AF50" s="36">
        <f t="shared" si="61"/>
        <v>0</v>
      </c>
      <c r="AG50" s="8">
        <f t="shared" si="3"/>
        <v>0</v>
      </c>
      <c r="AI50" s="6">
        <f>SUMIF('Eredeti fejléccel'!$B:$B,'Felosztás eredménykim'!$B50,'Eredeti fejléccel'!$BB:$BB)</f>
        <v>0</v>
      </c>
      <c r="AJ50" s="6">
        <f>SUMIF('Eredeti fejléccel'!$B:$B,'Felosztás eredménykim'!$B50,'Eredeti fejléccel'!$AF:$AF)</f>
        <v>0</v>
      </c>
      <c r="AK50" s="8">
        <f t="shared" si="4"/>
        <v>0</v>
      </c>
      <c r="AL50" s="36">
        <f t="shared" si="62"/>
        <v>0</v>
      </c>
      <c r="AM50" s="8">
        <f t="shared" si="6"/>
        <v>0</v>
      </c>
      <c r="AN50" s="6">
        <f t="shared" si="36"/>
        <v>0</v>
      </c>
      <c r="AO50" s="6">
        <f>SUMIF('Eredeti fejléccel'!$B:$B,'Felosztás eredménykim'!$B50,'Eredeti fejléccel'!$AC:$AC)</f>
        <v>0</v>
      </c>
      <c r="AP50" s="6">
        <f>SUMIF('Eredeti fejléccel'!$B:$B,'Felosztás eredménykim'!$B50,'Eredeti fejléccel'!$AD:$AD)</f>
        <v>0</v>
      </c>
      <c r="AQ50" s="6">
        <f>SUMIF('Eredeti fejléccel'!$B:$B,'Felosztás eredménykim'!$B50,'Eredeti fejléccel'!$AE:$AE)</f>
        <v>0</v>
      </c>
      <c r="AR50" s="6">
        <f>SUMIF('Eredeti fejléccel'!$B:$B,'Felosztás eredménykim'!$B50,'Eredeti fejléccel'!$AG:$AG)</f>
        <v>0</v>
      </c>
      <c r="AS50" s="6">
        <f t="shared" si="37"/>
        <v>0</v>
      </c>
      <c r="AT50" s="36">
        <f t="shared" si="63"/>
        <v>0</v>
      </c>
      <c r="AU50" s="8">
        <f t="shared" si="8"/>
        <v>0</v>
      </c>
      <c r="AV50" s="6">
        <f>SUMIF('Eredeti fejléccel'!$B:$B,'Felosztás eredménykim'!$B50,'Eredeti fejléccel'!$AI:$AI)</f>
        <v>0</v>
      </c>
      <c r="AW50" s="6">
        <f>SUMIF('Eredeti fejléccel'!$B:$B,'Felosztás eredménykim'!$B50,'Eredeti fejléccel'!$AJ:$AJ)</f>
        <v>0</v>
      </c>
      <c r="AX50" s="6">
        <f>SUMIF('Eredeti fejléccel'!$B:$B,'Felosztás eredménykim'!$B50,'Eredeti fejléccel'!$AK:$AK)</f>
        <v>0</v>
      </c>
      <c r="AY50" s="6">
        <f>SUMIF('Eredeti fejléccel'!$B:$B,'Felosztás eredménykim'!$B50,'Eredeti fejléccel'!$AL:$AL)</f>
        <v>0</v>
      </c>
      <c r="AZ50" s="6">
        <f>SUMIF('Eredeti fejléccel'!$B:$B,'Felosztás eredménykim'!$B50,'Eredeti fejléccel'!$AM:$AM)</f>
        <v>3498310.9599999995</v>
      </c>
      <c r="BA50" s="6">
        <f>SUMIF('Eredeti fejléccel'!$B:$B,'Felosztás eredménykim'!$B50,'Eredeti fejléccel'!$AN:$AN)</f>
        <v>0</v>
      </c>
      <c r="BB50" s="6">
        <f>SUMIF('Eredeti fejléccel'!$B:$B,'Felosztás eredménykim'!$B50,'Eredeti fejléccel'!$AP:$AP)</f>
        <v>0</v>
      </c>
      <c r="BD50" s="6">
        <f>SUMIF('Eredeti fejléccel'!$B:$B,'Felosztás eredménykim'!$B50,'Eredeti fejléccel'!$AS:$AS)</f>
        <v>0</v>
      </c>
      <c r="BE50" s="8">
        <f t="shared" si="38"/>
        <v>3498310.9599999995</v>
      </c>
      <c r="BF50" s="36">
        <f t="shared" si="64"/>
        <v>0</v>
      </c>
      <c r="BG50" s="8">
        <f t="shared" si="10"/>
        <v>0</v>
      </c>
      <c r="BH50" s="6">
        <f t="shared" si="39"/>
        <v>0</v>
      </c>
      <c r="BI50" s="6">
        <f>SUMIF('Eredeti fejléccel'!$B:$B,'Felosztás eredménykim'!$B50,'Eredeti fejléccel'!$AH:$AH)</f>
        <v>0</v>
      </c>
      <c r="BJ50" s="6">
        <f>SUMIF('Eredeti fejléccel'!$B:$B,'Felosztás eredménykim'!$B50,'Eredeti fejléccel'!$AO:$AO)</f>
        <v>0</v>
      </c>
      <c r="BK50" s="6">
        <f>SUMIF('Eredeti fejléccel'!$B:$B,'Felosztás eredménykim'!$B50,'Eredeti fejléccel'!$BF:$BF)</f>
        <v>0</v>
      </c>
      <c r="BL50" s="8">
        <f t="shared" si="40"/>
        <v>0</v>
      </c>
      <c r="BM50" s="36">
        <f t="shared" si="65"/>
        <v>0</v>
      </c>
      <c r="BN50" s="8">
        <f t="shared" si="12"/>
        <v>0</v>
      </c>
      <c r="BP50" s="8">
        <f t="shared" si="41"/>
        <v>0</v>
      </c>
      <c r="BQ50" s="6">
        <f>SUMIF('Eredeti fejléccel'!$B:$B,'Felosztás eredménykim'!$B50,'Eredeti fejléccel'!$N:$N)</f>
        <v>0</v>
      </c>
      <c r="BR50" s="6">
        <f>SUMIF('Eredeti fejléccel'!$B:$B,'Felosztás eredménykim'!$B50,'Eredeti fejléccel'!$S:$S)</f>
        <v>0</v>
      </c>
      <c r="BT50" s="6">
        <f>SUMIF('Eredeti fejléccel'!$B:$B,'Felosztás eredménykim'!$B50,'Eredeti fejléccel'!$AR:$AR)</f>
        <v>0</v>
      </c>
      <c r="BU50" s="6">
        <f>SUMIF('Eredeti fejléccel'!$B:$B,'Felosztás eredménykim'!$B50,'Eredeti fejléccel'!$AU:$AU)</f>
        <v>0</v>
      </c>
      <c r="BV50" s="6">
        <f>SUMIF('Eredeti fejléccel'!$B:$B,'Felosztás eredménykim'!$B50,'Eredeti fejléccel'!$AV:$AV)</f>
        <v>0</v>
      </c>
      <c r="BW50" s="6">
        <f>SUMIF('Eredeti fejléccel'!$B:$B,'Felosztás eredménykim'!$B50,'Eredeti fejléccel'!$AW:$AW)</f>
        <v>0</v>
      </c>
      <c r="BX50" s="6">
        <f>SUMIF('Eredeti fejléccel'!$B:$B,'Felosztás eredménykim'!$B50,'Eredeti fejléccel'!$AX:$AX)</f>
        <v>0</v>
      </c>
      <c r="BY50" s="6">
        <f>SUMIF('Eredeti fejléccel'!$B:$B,'Felosztás eredménykim'!$B50,'Eredeti fejléccel'!$AY:$AY)</f>
        <v>0</v>
      </c>
      <c r="BZ50" s="6">
        <f>SUMIF('Eredeti fejléccel'!$B:$B,'Felosztás eredménykim'!$B50,'Eredeti fejléccel'!$AZ:$AZ)</f>
        <v>0</v>
      </c>
      <c r="CA50" s="6">
        <f>SUMIF('Eredeti fejléccel'!$B:$B,'Felosztás eredménykim'!$B50,'Eredeti fejléccel'!$BA:$BA)</f>
        <v>0</v>
      </c>
      <c r="CB50" s="6">
        <f t="shared" si="13"/>
        <v>0</v>
      </c>
      <c r="CC50" s="36">
        <f t="shared" si="66"/>
        <v>0</v>
      </c>
      <c r="CD50" s="8">
        <f t="shared" si="15"/>
        <v>0</v>
      </c>
      <c r="CE50" s="6">
        <f>SUMIF('Eredeti fejléccel'!$B:$B,'Felosztás eredménykim'!$B50,'Eredeti fejléccel'!$BC:$BC)</f>
        <v>0</v>
      </c>
      <c r="CF50" s="8">
        <f t="shared" si="42"/>
        <v>0</v>
      </c>
      <c r="CG50" s="6">
        <f>SUMIF('Eredeti fejléccel'!$B:$B,'Felosztás eredménykim'!$B50,'Eredeti fejléccel'!$H:$H)</f>
        <v>0</v>
      </c>
      <c r="CH50" s="6">
        <f>SUMIF('Eredeti fejléccel'!$B:$B,'Felosztás eredménykim'!$B50,'Eredeti fejléccel'!$BE:$BE)</f>
        <v>613592.02</v>
      </c>
      <c r="CI50" s="6">
        <f t="shared" si="43"/>
        <v>613592.02</v>
      </c>
      <c r="CJ50" s="36">
        <f t="shared" si="67"/>
        <v>0</v>
      </c>
      <c r="CK50" s="8">
        <f t="shared" si="17"/>
        <v>0</v>
      </c>
      <c r="CL50" s="8">
        <f t="shared" si="44"/>
        <v>0</v>
      </c>
      <c r="CM50" s="6">
        <f>SUMIF('Eredeti fejléccel'!$B:$B,'Felosztás eredménykim'!$B50,'Eredeti fejléccel'!$BD:$BD)</f>
        <v>172618.02000000002</v>
      </c>
      <c r="CN50" s="8">
        <f t="shared" si="45"/>
        <v>172618.02000000002</v>
      </c>
      <c r="CO50" s="8">
        <f t="shared" si="18"/>
        <v>4284521</v>
      </c>
      <c r="CR50" s="36">
        <f t="shared" si="19"/>
        <v>0</v>
      </c>
      <c r="CS50" s="6">
        <f>SUMIF('Eredeti fejléccel'!$B:$B,'Felosztás eredménykim'!$B50,'Eredeti fejléccel'!$I:$I)</f>
        <v>0</v>
      </c>
      <c r="CT50" s="6">
        <f>SUMIF('Eredeti fejléccel'!$B:$B,'Felosztás eredménykim'!$B50,'Eredeti fejléccel'!$BG:$BG)</f>
        <v>0</v>
      </c>
      <c r="CU50" s="6">
        <f>SUMIF('Eredeti fejléccel'!$B:$B,'Felosztás eredménykim'!$B50,'Eredeti fejléccel'!$BH:$BH)</f>
        <v>0</v>
      </c>
      <c r="CV50" s="6">
        <f>SUMIF('Eredeti fejléccel'!$B:$B,'Felosztás eredménykim'!$B50,'Eredeti fejléccel'!$BI:$BI)</f>
        <v>0</v>
      </c>
      <c r="CW50" s="6">
        <f>SUMIF('Eredeti fejléccel'!$B:$B,'Felosztás eredménykim'!$B50,'Eredeti fejléccel'!$BL:$BL)</f>
        <v>0</v>
      </c>
      <c r="CX50" s="6">
        <f t="shared" si="46"/>
        <v>0</v>
      </c>
      <c r="CY50" s="6">
        <f>SUMIF('Eredeti fejléccel'!$B:$B,'Felosztás eredménykim'!$B50,'Eredeti fejléccel'!$BJ:$BJ)</f>
        <v>0</v>
      </c>
      <c r="CZ50" s="6">
        <f>SUMIF('Eredeti fejléccel'!$B:$B,'Felosztás eredménykim'!$B50,'Eredeti fejléccel'!$BK:$BK)</f>
        <v>0</v>
      </c>
      <c r="DA50" s="99">
        <f t="shared" si="47"/>
        <v>0</v>
      </c>
      <c r="DC50" s="36">
        <f t="shared" si="20"/>
        <v>0</v>
      </c>
      <c r="DD50" s="6">
        <f>SUMIF('Eredeti fejléccel'!$B:$B,'Felosztás eredménykim'!$B50,'Eredeti fejléccel'!$J:$J)</f>
        <v>0</v>
      </c>
      <c r="DE50" s="6">
        <f>SUMIF('Eredeti fejléccel'!$B:$B,'Felosztás eredménykim'!$B50,'Eredeti fejléccel'!$BM:$BM)</f>
        <v>0</v>
      </c>
      <c r="DF50" s="6">
        <f t="shared" si="48"/>
        <v>0</v>
      </c>
      <c r="DG50" s="8">
        <f t="shared" si="21"/>
        <v>0</v>
      </c>
      <c r="DH50" s="8">
        <f t="shared" si="49"/>
        <v>0</v>
      </c>
      <c r="DJ50" s="6">
        <f>SUMIF('Eredeti fejléccel'!$B:$B,'Felosztás eredménykim'!$B50,'Eredeti fejléccel'!$BN:$BN)</f>
        <v>0</v>
      </c>
      <c r="DK50" s="6">
        <f>SUMIF('Eredeti fejléccel'!$B:$B,'Felosztás eredménykim'!$B50,'Eredeti fejléccel'!$BZ:$BZ)</f>
        <v>0</v>
      </c>
      <c r="DL50" s="8">
        <f t="shared" si="50"/>
        <v>0</v>
      </c>
      <c r="DM50" s="6">
        <f>SUMIF('Eredeti fejléccel'!$B:$B,'Felosztás eredménykim'!$B50,'Eredeti fejléccel'!$BR:$BR)</f>
        <v>0</v>
      </c>
      <c r="DN50" s="6">
        <f>SUMIF('Eredeti fejléccel'!$B:$B,'Felosztás eredménykim'!$B50,'Eredeti fejléccel'!$BS:$BS)</f>
        <v>0</v>
      </c>
      <c r="DO50" s="6">
        <f>SUMIF('Eredeti fejléccel'!$B:$B,'Felosztás eredménykim'!$B50,'Eredeti fejléccel'!$BO:$BO)</f>
        <v>0</v>
      </c>
      <c r="DP50" s="6">
        <f>SUMIF('Eredeti fejléccel'!$B:$B,'Felosztás eredménykim'!$B50,'Eredeti fejléccel'!$BP:$BP)</f>
        <v>0</v>
      </c>
      <c r="DQ50" s="6">
        <f>SUMIF('Eredeti fejléccel'!$B:$B,'Felosztás eredménykim'!$B50,'Eredeti fejléccel'!$BQ:$BQ)</f>
        <v>0</v>
      </c>
      <c r="DS50" s="8"/>
      <c r="DU50" s="6">
        <f>SUMIF('Eredeti fejléccel'!$B:$B,'Felosztás eredménykim'!$B50,'Eredeti fejléccel'!$BT:$BT)</f>
        <v>0</v>
      </c>
      <c r="DV50" s="6">
        <f>SUMIF('Eredeti fejléccel'!$B:$B,'Felosztás eredménykim'!$B50,'Eredeti fejléccel'!$BU:$BU)</f>
        <v>0</v>
      </c>
      <c r="DW50" s="6">
        <f>SUMIF('Eredeti fejléccel'!$B:$B,'Felosztás eredménykim'!$B50,'Eredeti fejléccel'!$BV:$BV)</f>
        <v>0</v>
      </c>
      <c r="DX50" s="6">
        <f>SUMIF('Eredeti fejléccel'!$B:$B,'Felosztás eredménykim'!$B50,'Eredeti fejléccel'!$BW:$BW)</f>
        <v>0</v>
      </c>
      <c r="DY50" s="6">
        <f>SUMIF('Eredeti fejléccel'!$B:$B,'Felosztás eredménykim'!$B50,'Eredeti fejléccel'!$BX:$BX)</f>
        <v>0</v>
      </c>
      <c r="EA50" s="6"/>
      <c r="EC50" s="6"/>
      <c r="EE50" s="6">
        <f>SUMIF('Eredeti fejléccel'!$B:$B,'Felosztás eredménykim'!$B50,'Eredeti fejléccel'!$CA:$CA)</f>
        <v>0</v>
      </c>
      <c r="EF50" s="6">
        <f>SUMIF('Eredeti fejléccel'!$B:$B,'Felosztás eredménykim'!$B50,'Eredeti fejléccel'!$CB:$CB)</f>
        <v>0</v>
      </c>
      <c r="EG50" s="6">
        <f>SUMIF('Eredeti fejléccel'!$B:$B,'Felosztás eredménykim'!$B50,'Eredeti fejléccel'!$CC:$CC)</f>
        <v>0</v>
      </c>
      <c r="EH50" s="6">
        <f>SUMIF('Eredeti fejléccel'!$B:$B,'Felosztás eredménykim'!$B50,'Eredeti fejléccel'!$CD:$CD)</f>
        <v>0</v>
      </c>
      <c r="EK50" s="6">
        <f>SUMIF('Eredeti fejléccel'!$B:$B,'Felosztás eredménykim'!$B50,'Eredeti fejléccel'!$CE:$CE)</f>
        <v>0</v>
      </c>
      <c r="EN50" s="6">
        <f>SUMIF('Eredeti fejléccel'!$B:$B,'Felosztás eredménykim'!$B50,'Eredeti fejléccel'!$CF:$CF)</f>
        <v>0</v>
      </c>
      <c r="EP50" s="6">
        <f>SUMIF('Eredeti fejléccel'!$B:$B,'Felosztás eredménykim'!$B50,'Eredeti fejléccel'!$CG:$CG)</f>
        <v>0</v>
      </c>
      <c r="ES50" s="6">
        <f>SUMIF('Eredeti fejléccel'!$B:$B,'Felosztás eredménykim'!$B50,'Eredeti fejléccel'!$CH:$CH)</f>
        <v>0</v>
      </c>
      <c r="ET50" s="6">
        <f>SUMIF('Eredeti fejléccel'!$B:$B,'Felosztás eredménykim'!$B50,'Eredeti fejléccel'!$CI:$CI)</f>
        <v>0</v>
      </c>
      <c r="EW50" s="8">
        <f t="shared" si="22"/>
        <v>0</v>
      </c>
      <c r="EX50" s="8">
        <f t="shared" si="51"/>
        <v>0</v>
      </c>
      <c r="EY50" s="8">
        <f t="shared" si="52"/>
        <v>0</v>
      </c>
      <c r="EZ50" s="8">
        <f t="shared" si="23"/>
        <v>0</v>
      </c>
      <c r="FA50" s="8">
        <f t="shared" si="24"/>
        <v>0</v>
      </c>
      <c r="FC50" s="6">
        <f>SUMIF('Eredeti fejléccel'!$B:$B,'Felosztás eredménykim'!$B50,'Eredeti fejléccel'!$L:$L)</f>
        <v>0</v>
      </c>
      <c r="FD50" s="6">
        <f>SUMIF('Eredeti fejléccel'!$B:$B,'Felosztás eredménykim'!$B50,'Eredeti fejléccel'!$CJ:$CJ)</f>
        <v>0</v>
      </c>
      <c r="FE50" s="6">
        <f>SUMIF('Eredeti fejléccel'!$B:$B,'Felosztás eredménykim'!$B50,'Eredeti fejléccel'!$CL:$CL)</f>
        <v>0</v>
      </c>
      <c r="FG50" s="99">
        <f t="shared" si="53"/>
        <v>0</v>
      </c>
      <c r="FH50" s="6">
        <f>SUMIF('Eredeti fejléccel'!$B:$B,'Felosztás eredménykim'!$B50,'Eredeti fejléccel'!$CK:$CK)</f>
        <v>0</v>
      </c>
      <c r="FI50" s="36">
        <f t="shared" si="68"/>
        <v>0</v>
      </c>
      <c r="FJ50" s="101">
        <f t="shared" si="26"/>
        <v>0</v>
      </c>
      <c r="FK50" s="6">
        <f>SUMIF('Eredeti fejléccel'!$B:$B,'Felosztás eredménykim'!$B50,'Eredeti fejléccel'!$CM:$CM)</f>
        <v>0</v>
      </c>
      <c r="FL50" s="6">
        <f>SUMIF('Eredeti fejléccel'!$B:$B,'Felosztás eredménykim'!$B50,'Eredeti fejléccel'!$CN:$CN)</f>
        <v>0</v>
      </c>
      <c r="FM50" s="8">
        <f t="shared" si="54"/>
        <v>0</v>
      </c>
      <c r="FN50" s="36">
        <f t="shared" si="69"/>
        <v>0</v>
      </c>
      <c r="FO50" s="101">
        <f t="shared" si="28"/>
        <v>0</v>
      </c>
      <c r="FP50" s="6">
        <f>SUMIF('Eredeti fejléccel'!$B:$B,'Felosztás eredménykim'!$B50,'Eredeti fejléccel'!$CO:$CO)</f>
        <v>0</v>
      </c>
      <c r="FQ50" s="6">
        <f>'Eredeti fejléccel'!CP50</f>
        <v>0</v>
      </c>
      <c r="FR50" s="6">
        <f>'Eredeti fejléccel'!CQ50</f>
        <v>0</v>
      </c>
      <c r="FS50" s="103">
        <f t="shared" si="55"/>
        <v>0</v>
      </c>
      <c r="FT50" s="36">
        <f t="shared" si="70"/>
        <v>0</v>
      </c>
      <c r="FU50" s="101">
        <f t="shared" si="30"/>
        <v>0</v>
      </c>
      <c r="FV50" s="101"/>
      <c r="FW50" s="6">
        <f>SUMIF('Eredeti fejléccel'!$B:$B,'Felosztás eredménykim'!$B50,'Eredeti fejléccel'!$CR:$CR)</f>
        <v>0</v>
      </c>
      <c r="FX50" s="6">
        <f>SUMIF('Eredeti fejléccel'!$B:$B,'Felosztás eredménykim'!$B50,'Eredeti fejléccel'!$CS:$CS)</f>
        <v>0</v>
      </c>
      <c r="FY50" s="6">
        <f>SUMIF('Eredeti fejléccel'!$B:$B,'Felosztás eredménykim'!$B50,'Eredeti fejléccel'!$CT:$CT)</f>
        <v>0</v>
      </c>
      <c r="FZ50" s="6">
        <f>SUMIF('Eredeti fejléccel'!$B:$B,'Felosztás eredménykim'!$B50,'Eredeti fejléccel'!$CU:$CU)</f>
        <v>0</v>
      </c>
      <c r="GA50" s="103">
        <f t="shared" si="56"/>
        <v>0</v>
      </c>
      <c r="GB50" s="36">
        <f t="shared" si="71"/>
        <v>0</v>
      </c>
      <c r="GC50" s="101">
        <f t="shared" si="32"/>
        <v>0</v>
      </c>
      <c r="GD50" s="6">
        <f>SUMIF('Eredeti fejléccel'!$B:$B,'Felosztás eredménykim'!$B50,'Eredeti fejléccel'!$CV:$CV)</f>
        <v>0</v>
      </c>
      <c r="GE50" s="6">
        <f>SUMIF('Eredeti fejléccel'!$B:$B,'Felosztás eredménykim'!$B50,'Eredeti fejléccel'!$CW:$CW)</f>
        <v>0</v>
      </c>
      <c r="GF50" s="103">
        <f t="shared" si="57"/>
        <v>0</v>
      </c>
      <c r="GG50" s="36">
        <f t="shared" si="33"/>
        <v>0</v>
      </c>
      <c r="GM50" s="6">
        <f>SUMIF('Eredeti fejléccel'!$B:$B,'Felosztás eredménykim'!$B50,'Eredeti fejléccel'!$CX:$CX)</f>
        <v>0</v>
      </c>
      <c r="GN50" s="6">
        <f>SUMIF('Eredeti fejléccel'!$B:$B,'Felosztás eredménykim'!$B50,'Eredeti fejléccel'!$CY:$CY)</f>
        <v>0</v>
      </c>
      <c r="GO50" s="6">
        <f>SUMIF('Eredeti fejléccel'!$B:$B,'Felosztás eredménykim'!$B50,'Eredeti fejléccel'!$CZ:$CZ)</f>
        <v>0</v>
      </c>
      <c r="GP50" s="6">
        <f>SUMIF('Eredeti fejléccel'!$B:$B,'Felosztás eredménykim'!$B50,'Eredeti fejléccel'!$DA:$DA)</f>
        <v>0</v>
      </c>
      <c r="GQ50" s="6">
        <f>SUMIF('Eredeti fejléccel'!$B:$B,'Felosztás eredménykim'!$B50,'Eredeti fejléccel'!$DB:$DB)</f>
        <v>0</v>
      </c>
      <c r="GR50" s="103">
        <f t="shared" si="58"/>
        <v>0</v>
      </c>
      <c r="GW50" s="36">
        <f t="shared" si="34"/>
        <v>0</v>
      </c>
      <c r="GX50" s="6">
        <f>SUMIF('Eredeti fejléccel'!$B:$B,'Felosztás eredménykim'!$B50,'Eredeti fejléccel'!$M:$M)</f>
        <v>0</v>
      </c>
      <c r="GY50" s="6">
        <f>SUMIF('Eredeti fejléccel'!$B:$B,'Felosztás eredménykim'!$B50,'Eredeti fejléccel'!$DC:$DC)</f>
        <v>0</v>
      </c>
      <c r="GZ50" s="6">
        <f>SUMIF('Eredeti fejléccel'!$B:$B,'Felosztás eredménykim'!$B50,'Eredeti fejléccel'!$DD:$DD)</f>
        <v>0</v>
      </c>
      <c r="HA50" s="6">
        <f>SUMIF('Eredeti fejléccel'!$B:$B,'Felosztás eredménykim'!$B50,'Eredeti fejléccel'!$DE:$DE)</f>
        <v>0</v>
      </c>
      <c r="HB50" s="103">
        <f t="shared" si="59"/>
        <v>0</v>
      </c>
      <c r="HD50" s="9">
        <f t="shared" si="72"/>
        <v>4284521</v>
      </c>
      <c r="HE50" s="9">
        <v>4284521</v>
      </c>
      <c r="HF50" s="476"/>
      <c r="HH50" s="34">
        <f t="shared" si="60"/>
        <v>0</v>
      </c>
    </row>
    <row r="51" spans="1:216" x14ac:dyDescent="0.25">
      <c r="A51" s="4" t="s">
        <v>122</v>
      </c>
      <c r="B51" s="4" t="s">
        <v>122</v>
      </c>
      <c r="C51" s="1" t="s">
        <v>123</v>
      </c>
      <c r="D51" s="6">
        <f>SUMIF('Eredeti fejléccel'!$B:$B,'Felosztás eredménykim'!$B51,'Eredeti fejléccel'!$D:$D)</f>
        <v>0</v>
      </c>
      <c r="E51" s="6">
        <f>SUMIF('Eredeti fejléccel'!$B:$B,'Felosztás eredménykim'!$B51,'Eredeti fejléccel'!$E:$E)</f>
        <v>0</v>
      </c>
      <c r="F51" s="6">
        <f>SUMIF('Eredeti fejléccel'!$B:$B,'Felosztás eredménykim'!$B51,'Eredeti fejléccel'!$F:$F)</f>
        <v>0</v>
      </c>
      <c r="G51" s="6">
        <f>SUMIF('Eredeti fejléccel'!$B:$B,'Felosztás eredménykim'!$B51,'Eredeti fejléccel'!$G:$G)</f>
        <v>0</v>
      </c>
      <c r="H51" s="6"/>
      <c r="I51" s="6">
        <f>SUMIF('Eredeti fejléccel'!$B:$B,'Felosztás eredménykim'!$B51,'Eredeti fejléccel'!$O:$O)</f>
        <v>0</v>
      </c>
      <c r="J51" s="6">
        <f>SUMIF('Eredeti fejléccel'!$B:$B,'Felosztás eredménykim'!$B51,'Eredeti fejléccel'!$P:$P)</f>
        <v>0</v>
      </c>
      <c r="K51" s="6">
        <f>SUMIF('Eredeti fejléccel'!$B:$B,'Felosztás eredménykim'!$B51,'Eredeti fejléccel'!$Q:$Q)</f>
        <v>0</v>
      </c>
      <c r="L51" s="6">
        <f>SUMIF('Eredeti fejléccel'!$B:$B,'Felosztás eredménykim'!$B51,'Eredeti fejléccel'!$R:$R)</f>
        <v>0</v>
      </c>
      <c r="M51" s="6">
        <f>SUMIF('Eredeti fejléccel'!$B:$B,'Felosztás eredménykim'!$B51,'Eredeti fejléccel'!$T:$T)</f>
        <v>0</v>
      </c>
      <c r="N51" s="6">
        <f>SUMIF('Eredeti fejléccel'!$B:$B,'Felosztás eredménykim'!$B51,'Eredeti fejléccel'!$U:$U)</f>
        <v>0</v>
      </c>
      <c r="O51" s="6">
        <f>SUMIF('Eredeti fejléccel'!$B:$B,'Felosztás eredménykim'!$B51,'Eredeti fejléccel'!$V:$V)</f>
        <v>0</v>
      </c>
      <c r="P51" s="6">
        <f>SUMIF('Eredeti fejléccel'!$B:$B,'Felosztás eredménykim'!$B51,'Eredeti fejléccel'!$W:$W)</f>
        <v>0</v>
      </c>
      <c r="Q51" s="6">
        <f>SUMIF('Eredeti fejléccel'!$B:$B,'Felosztás eredménykim'!$B51,'Eredeti fejléccel'!$X:$X)</f>
        <v>0</v>
      </c>
      <c r="R51" s="6">
        <f>SUMIF('Eredeti fejléccel'!$B:$B,'Felosztás eredménykim'!$B51,'Eredeti fejléccel'!$Y:$Y)</f>
        <v>0</v>
      </c>
      <c r="S51" s="6">
        <f>SUMIF('Eredeti fejléccel'!$B:$B,'Felosztás eredménykim'!$B51,'Eredeti fejléccel'!$Z:$Z)</f>
        <v>0</v>
      </c>
      <c r="T51" s="6">
        <f>SUMIF('Eredeti fejléccel'!$B:$B,'Felosztás eredménykim'!$B51,'Eredeti fejléccel'!$AA:$AA)</f>
        <v>0</v>
      </c>
      <c r="U51" s="6">
        <f>SUMIF('Eredeti fejléccel'!$B:$B,'Felosztás eredménykim'!$B51,'Eredeti fejléccel'!$D:$D)</f>
        <v>0</v>
      </c>
      <c r="V51" s="6">
        <f>SUMIF('Eredeti fejléccel'!$B:$B,'Felosztás eredménykim'!$B51,'Eredeti fejléccel'!$AT:$AT)</f>
        <v>0</v>
      </c>
      <c r="X51" s="36">
        <f t="shared" si="0"/>
        <v>0</v>
      </c>
      <c r="Z51" s="6">
        <f>SUMIF('Eredeti fejléccel'!$B:$B,'Felosztás eredménykim'!$B51,'Eredeti fejléccel'!$K:$K)</f>
        <v>0</v>
      </c>
      <c r="AB51" s="6">
        <f>SUMIF('Eredeti fejléccel'!$B:$B,'Felosztás eredménykim'!$B51,'Eredeti fejléccel'!$AB:$AB)</f>
        <v>0</v>
      </c>
      <c r="AC51" s="6">
        <f>SUMIF('Eredeti fejléccel'!$B:$B,'Felosztás eredménykim'!$B51,'Eredeti fejléccel'!$AQ:$AQ)</f>
        <v>0</v>
      </c>
      <c r="AE51" s="73">
        <f t="shared" si="1"/>
        <v>0</v>
      </c>
      <c r="AF51" s="36">
        <f t="shared" si="61"/>
        <v>0</v>
      </c>
      <c r="AG51" s="8">
        <f t="shared" si="3"/>
        <v>0</v>
      </c>
      <c r="AI51" s="6">
        <f>SUMIF('Eredeti fejléccel'!$B:$B,'Felosztás eredménykim'!$B51,'Eredeti fejléccel'!$BB:$BB)</f>
        <v>0</v>
      </c>
      <c r="AJ51" s="6">
        <f>SUMIF('Eredeti fejléccel'!$B:$B,'Felosztás eredménykim'!$B51,'Eredeti fejléccel'!$AF:$AF)</f>
        <v>0</v>
      </c>
      <c r="AK51" s="8">
        <f t="shared" si="4"/>
        <v>0</v>
      </c>
      <c r="AL51" s="36">
        <f t="shared" si="62"/>
        <v>0</v>
      </c>
      <c r="AM51" s="8">
        <f t="shared" si="6"/>
        <v>0</v>
      </c>
      <c r="AN51" s="6">
        <f t="shared" si="36"/>
        <v>0</v>
      </c>
      <c r="AO51" s="6">
        <f>SUMIF('Eredeti fejléccel'!$B:$B,'Felosztás eredménykim'!$B51,'Eredeti fejléccel'!$AC:$AC)</f>
        <v>0</v>
      </c>
      <c r="AP51" s="6">
        <f>SUMIF('Eredeti fejléccel'!$B:$B,'Felosztás eredménykim'!$B51,'Eredeti fejléccel'!$AD:$AD)</f>
        <v>0</v>
      </c>
      <c r="AQ51" s="6">
        <f>SUMIF('Eredeti fejléccel'!$B:$B,'Felosztás eredménykim'!$B51,'Eredeti fejléccel'!$AE:$AE)</f>
        <v>0</v>
      </c>
      <c r="AR51" s="6">
        <f>SUMIF('Eredeti fejléccel'!$B:$B,'Felosztás eredménykim'!$B51,'Eredeti fejléccel'!$AG:$AG)</f>
        <v>0</v>
      </c>
      <c r="AS51" s="6">
        <f t="shared" si="37"/>
        <v>0</v>
      </c>
      <c r="AT51" s="36">
        <f t="shared" si="63"/>
        <v>0</v>
      </c>
      <c r="AU51" s="8">
        <f t="shared" si="8"/>
        <v>0</v>
      </c>
      <c r="AV51" s="6">
        <f>SUMIF('Eredeti fejléccel'!$B:$B,'Felosztás eredménykim'!$B51,'Eredeti fejléccel'!$AI:$AI)</f>
        <v>0</v>
      </c>
      <c r="AW51" s="6">
        <f>SUMIF('Eredeti fejléccel'!$B:$B,'Felosztás eredménykim'!$B51,'Eredeti fejléccel'!$AJ:$AJ)</f>
        <v>0</v>
      </c>
      <c r="AX51" s="6">
        <f>SUMIF('Eredeti fejléccel'!$B:$B,'Felosztás eredménykim'!$B51,'Eredeti fejléccel'!$AK:$AK)</f>
        <v>0</v>
      </c>
      <c r="AY51" s="6">
        <f>SUMIF('Eredeti fejléccel'!$B:$B,'Felosztás eredménykim'!$B51,'Eredeti fejléccel'!$AL:$AL)</f>
        <v>0</v>
      </c>
      <c r="AZ51" s="6">
        <f>SUMIF('Eredeti fejléccel'!$B:$B,'Felosztás eredménykim'!$B51,'Eredeti fejléccel'!$AM:$AM)</f>
        <v>0</v>
      </c>
      <c r="BA51" s="6">
        <f>SUMIF('Eredeti fejléccel'!$B:$B,'Felosztás eredménykim'!$B51,'Eredeti fejléccel'!$AN:$AN)</f>
        <v>0</v>
      </c>
      <c r="BB51" s="6">
        <f>SUMIF('Eredeti fejléccel'!$B:$B,'Felosztás eredménykim'!$B51,'Eredeti fejléccel'!$AP:$AP)</f>
        <v>0</v>
      </c>
      <c r="BD51" s="6">
        <f>SUMIF('Eredeti fejléccel'!$B:$B,'Felosztás eredménykim'!$B51,'Eredeti fejléccel'!$AS:$AS)</f>
        <v>0</v>
      </c>
      <c r="BE51" s="8">
        <f t="shared" si="38"/>
        <v>0</v>
      </c>
      <c r="BF51" s="36">
        <f t="shared" si="64"/>
        <v>0</v>
      </c>
      <c r="BG51" s="8">
        <f t="shared" si="10"/>
        <v>0</v>
      </c>
      <c r="BH51" s="6">
        <f t="shared" si="39"/>
        <v>0</v>
      </c>
      <c r="BI51" s="6">
        <f>SUMIF('Eredeti fejléccel'!$B:$B,'Felosztás eredménykim'!$B51,'Eredeti fejléccel'!$AH:$AH)</f>
        <v>0</v>
      </c>
      <c r="BJ51" s="6">
        <f>SUMIF('Eredeti fejléccel'!$B:$B,'Felosztás eredménykim'!$B51,'Eredeti fejléccel'!$AO:$AO)</f>
        <v>0</v>
      </c>
      <c r="BK51" s="6">
        <f>SUMIF('Eredeti fejléccel'!$B:$B,'Felosztás eredménykim'!$B51,'Eredeti fejléccel'!$BF:$BF)</f>
        <v>0</v>
      </c>
      <c r="BL51" s="8">
        <f t="shared" si="40"/>
        <v>0</v>
      </c>
      <c r="BM51" s="36">
        <f t="shared" si="65"/>
        <v>0</v>
      </c>
      <c r="BN51" s="8">
        <f t="shared" si="12"/>
        <v>0</v>
      </c>
      <c r="BP51" s="8">
        <f t="shared" si="41"/>
        <v>0</v>
      </c>
      <c r="BQ51" s="6">
        <f>SUMIF('Eredeti fejléccel'!$B:$B,'Felosztás eredménykim'!$B51,'Eredeti fejléccel'!$N:$N)</f>
        <v>0</v>
      </c>
      <c r="BR51" s="6">
        <f>SUMIF('Eredeti fejléccel'!$B:$B,'Felosztás eredménykim'!$B51,'Eredeti fejléccel'!$S:$S)</f>
        <v>0</v>
      </c>
      <c r="BT51" s="6">
        <f>SUMIF('Eredeti fejléccel'!$B:$B,'Felosztás eredménykim'!$B51,'Eredeti fejléccel'!$AR:$AR)</f>
        <v>0</v>
      </c>
      <c r="BU51" s="6">
        <f>SUMIF('Eredeti fejléccel'!$B:$B,'Felosztás eredménykim'!$B51,'Eredeti fejléccel'!$AU:$AU)</f>
        <v>0</v>
      </c>
      <c r="BV51" s="6">
        <f>SUMIF('Eredeti fejléccel'!$B:$B,'Felosztás eredménykim'!$B51,'Eredeti fejléccel'!$AV:$AV)</f>
        <v>0</v>
      </c>
      <c r="BW51" s="6">
        <f>SUMIF('Eredeti fejléccel'!$B:$B,'Felosztás eredménykim'!$B51,'Eredeti fejléccel'!$AW:$AW)</f>
        <v>0</v>
      </c>
      <c r="BX51" s="6">
        <f>SUMIF('Eredeti fejléccel'!$B:$B,'Felosztás eredménykim'!$B51,'Eredeti fejléccel'!$AX:$AX)</f>
        <v>0</v>
      </c>
      <c r="BY51" s="6">
        <f>SUMIF('Eredeti fejléccel'!$B:$B,'Felosztás eredménykim'!$B51,'Eredeti fejléccel'!$AY:$AY)</f>
        <v>0</v>
      </c>
      <c r="BZ51" s="6">
        <f>SUMIF('Eredeti fejléccel'!$B:$B,'Felosztás eredménykim'!$B51,'Eredeti fejléccel'!$AZ:$AZ)</f>
        <v>0</v>
      </c>
      <c r="CA51" s="6">
        <f>SUMIF('Eredeti fejléccel'!$B:$B,'Felosztás eredménykim'!$B51,'Eredeti fejléccel'!$BA:$BA)</f>
        <v>0</v>
      </c>
      <c r="CB51" s="6">
        <f t="shared" si="13"/>
        <v>0</v>
      </c>
      <c r="CC51" s="36">
        <f t="shared" si="66"/>
        <v>0</v>
      </c>
      <c r="CD51" s="8">
        <f t="shared" si="15"/>
        <v>0</v>
      </c>
      <c r="CE51" s="6">
        <f>SUMIF('Eredeti fejléccel'!$B:$B,'Felosztás eredménykim'!$B51,'Eredeti fejléccel'!$BC:$BC)</f>
        <v>0</v>
      </c>
      <c r="CF51" s="8">
        <f t="shared" si="42"/>
        <v>0</v>
      </c>
      <c r="CG51" s="6">
        <f>SUMIF('Eredeti fejléccel'!$B:$B,'Felosztás eredménykim'!$B51,'Eredeti fejléccel'!$H:$H)</f>
        <v>0</v>
      </c>
      <c r="CH51" s="6">
        <f>SUMIF('Eredeti fejléccel'!$B:$B,'Felosztás eredménykim'!$B51,'Eredeti fejléccel'!$BE:$BE)</f>
        <v>0</v>
      </c>
      <c r="CI51" s="6">
        <f t="shared" si="43"/>
        <v>0</v>
      </c>
      <c r="CJ51" s="36">
        <f t="shared" si="67"/>
        <v>0</v>
      </c>
      <c r="CK51" s="8">
        <f t="shared" si="17"/>
        <v>0</v>
      </c>
      <c r="CL51" s="8">
        <f t="shared" si="44"/>
        <v>0</v>
      </c>
      <c r="CM51" s="6">
        <f>SUMIF('Eredeti fejléccel'!$B:$B,'Felosztás eredménykim'!$B51,'Eredeti fejléccel'!$BD:$BD)</f>
        <v>0</v>
      </c>
      <c r="CN51" s="8">
        <f t="shared" si="45"/>
        <v>0</v>
      </c>
      <c r="CO51" s="8">
        <f t="shared" si="18"/>
        <v>0</v>
      </c>
      <c r="CR51" s="36">
        <f t="shared" si="19"/>
        <v>0</v>
      </c>
      <c r="CS51" s="6">
        <f>SUMIF('Eredeti fejléccel'!$B:$B,'Felosztás eredménykim'!$B51,'Eredeti fejléccel'!$I:$I)</f>
        <v>0</v>
      </c>
      <c r="CT51" s="6">
        <f>SUMIF('Eredeti fejléccel'!$B:$B,'Felosztás eredménykim'!$B51,'Eredeti fejléccel'!$BG:$BG)</f>
        <v>0</v>
      </c>
      <c r="CU51" s="6">
        <f>SUMIF('Eredeti fejléccel'!$B:$B,'Felosztás eredménykim'!$B51,'Eredeti fejléccel'!$BH:$BH)</f>
        <v>0</v>
      </c>
      <c r="CV51" s="6">
        <f>SUMIF('Eredeti fejléccel'!$B:$B,'Felosztás eredménykim'!$B51,'Eredeti fejléccel'!$BI:$BI)</f>
        <v>0</v>
      </c>
      <c r="CW51" s="6">
        <f>SUMIF('Eredeti fejléccel'!$B:$B,'Felosztás eredménykim'!$B51,'Eredeti fejléccel'!$BL:$BL)</f>
        <v>0</v>
      </c>
      <c r="CX51" s="6">
        <f t="shared" si="46"/>
        <v>0</v>
      </c>
      <c r="CY51" s="6">
        <f>SUMIF('Eredeti fejléccel'!$B:$B,'Felosztás eredménykim'!$B51,'Eredeti fejléccel'!$BJ:$BJ)</f>
        <v>0</v>
      </c>
      <c r="CZ51" s="6">
        <f>SUMIF('Eredeti fejléccel'!$B:$B,'Felosztás eredménykim'!$B51,'Eredeti fejléccel'!$BK:$BK)</f>
        <v>0</v>
      </c>
      <c r="DA51" s="99">
        <f t="shared" si="47"/>
        <v>0</v>
      </c>
      <c r="DC51" s="36">
        <f t="shared" si="20"/>
        <v>0</v>
      </c>
      <c r="DD51" s="6">
        <f>SUMIF('Eredeti fejléccel'!$B:$B,'Felosztás eredménykim'!$B51,'Eredeti fejléccel'!$J:$J)</f>
        <v>0</v>
      </c>
      <c r="DE51" s="6">
        <f>SUMIF('Eredeti fejléccel'!$B:$B,'Felosztás eredménykim'!$B51,'Eredeti fejléccel'!$BM:$BM)</f>
        <v>0</v>
      </c>
      <c r="DF51" s="6">
        <f t="shared" si="48"/>
        <v>0</v>
      </c>
      <c r="DG51" s="8">
        <f t="shared" si="21"/>
        <v>0</v>
      </c>
      <c r="DH51" s="8">
        <f t="shared" si="49"/>
        <v>0</v>
      </c>
      <c r="DJ51" s="6">
        <f>SUMIF('Eredeti fejléccel'!$B:$B,'Felosztás eredménykim'!$B51,'Eredeti fejléccel'!$BN:$BN)</f>
        <v>0</v>
      </c>
      <c r="DK51" s="6">
        <f>SUMIF('Eredeti fejléccel'!$B:$B,'Felosztás eredménykim'!$B51,'Eredeti fejléccel'!$BZ:$BZ)</f>
        <v>0</v>
      </c>
      <c r="DL51" s="8">
        <f t="shared" si="50"/>
        <v>0</v>
      </c>
      <c r="DM51" s="6">
        <f>SUMIF('Eredeti fejléccel'!$B:$B,'Felosztás eredménykim'!$B51,'Eredeti fejléccel'!$BR:$BR)</f>
        <v>0</v>
      </c>
      <c r="DN51" s="6">
        <f>SUMIF('Eredeti fejléccel'!$B:$B,'Felosztás eredménykim'!$B51,'Eredeti fejléccel'!$BS:$BS)</f>
        <v>0</v>
      </c>
      <c r="DO51" s="6">
        <f>SUMIF('Eredeti fejléccel'!$B:$B,'Felosztás eredménykim'!$B51,'Eredeti fejléccel'!$BO:$BO)</f>
        <v>0</v>
      </c>
      <c r="DP51" s="6">
        <f>SUMIF('Eredeti fejléccel'!$B:$B,'Felosztás eredménykim'!$B51,'Eredeti fejléccel'!$BP:$BP)</f>
        <v>0</v>
      </c>
      <c r="DQ51" s="6">
        <f>SUMIF('Eredeti fejléccel'!$B:$B,'Felosztás eredménykim'!$B51,'Eredeti fejléccel'!$BQ:$BQ)</f>
        <v>0</v>
      </c>
      <c r="DS51" s="8"/>
      <c r="DU51" s="6">
        <f>SUMIF('Eredeti fejléccel'!$B:$B,'Felosztás eredménykim'!$B51,'Eredeti fejléccel'!$BT:$BT)</f>
        <v>0</v>
      </c>
      <c r="DV51" s="6">
        <f>SUMIF('Eredeti fejléccel'!$B:$B,'Felosztás eredménykim'!$B51,'Eredeti fejléccel'!$BU:$BU)</f>
        <v>0</v>
      </c>
      <c r="DW51" s="6">
        <f>SUMIF('Eredeti fejléccel'!$B:$B,'Felosztás eredménykim'!$B51,'Eredeti fejléccel'!$BV:$BV)</f>
        <v>0</v>
      </c>
      <c r="DX51" s="6">
        <f>SUMIF('Eredeti fejléccel'!$B:$B,'Felosztás eredménykim'!$B51,'Eredeti fejléccel'!$BW:$BW)</f>
        <v>0</v>
      </c>
      <c r="DY51" s="6">
        <f>SUMIF('Eredeti fejléccel'!$B:$B,'Felosztás eredménykim'!$B51,'Eredeti fejléccel'!$BX:$BX)</f>
        <v>0</v>
      </c>
      <c r="EA51" s="6"/>
      <c r="EC51" s="6"/>
      <c r="EE51" s="6">
        <f>SUMIF('Eredeti fejléccel'!$B:$B,'Felosztás eredménykim'!$B51,'Eredeti fejléccel'!$CA:$CA)</f>
        <v>0</v>
      </c>
      <c r="EF51" s="6">
        <f>SUMIF('Eredeti fejléccel'!$B:$B,'Felosztás eredménykim'!$B51,'Eredeti fejléccel'!$CB:$CB)</f>
        <v>0</v>
      </c>
      <c r="EG51" s="6">
        <f>SUMIF('Eredeti fejléccel'!$B:$B,'Felosztás eredménykim'!$B51,'Eredeti fejléccel'!$CC:$CC)</f>
        <v>0</v>
      </c>
      <c r="EH51" s="6">
        <f>SUMIF('Eredeti fejléccel'!$B:$B,'Felosztás eredménykim'!$B51,'Eredeti fejléccel'!$CD:$CD)</f>
        <v>0</v>
      </c>
      <c r="EK51" s="6">
        <f>SUMIF('Eredeti fejléccel'!$B:$B,'Felosztás eredménykim'!$B51,'Eredeti fejléccel'!$CE:$CE)</f>
        <v>0</v>
      </c>
      <c r="EN51" s="6">
        <f>SUMIF('Eredeti fejléccel'!$B:$B,'Felosztás eredménykim'!$B51,'Eredeti fejléccel'!$CF:$CF)</f>
        <v>0</v>
      </c>
      <c r="EP51" s="6">
        <f>SUMIF('Eredeti fejléccel'!$B:$B,'Felosztás eredménykim'!$B51,'Eredeti fejléccel'!$CG:$CG)</f>
        <v>0</v>
      </c>
      <c r="ES51" s="6">
        <f>SUMIF('Eredeti fejléccel'!$B:$B,'Felosztás eredménykim'!$B51,'Eredeti fejléccel'!$CH:$CH)</f>
        <v>0</v>
      </c>
      <c r="ET51" s="6">
        <f>SUMIF('Eredeti fejléccel'!$B:$B,'Felosztás eredménykim'!$B51,'Eredeti fejléccel'!$CI:$CI)</f>
        <v>0</v>
      </c>
      <c r="EW51" s="8">
        <f t="shared" si="22"/>
        <v>0</v>
      </c>
      <c r="EX51" s="8">
        <f t="shared" si="51"/>
        <v>0</v>
      </c>
      <c r="EY51" s="8">
        <f t="shared" si="52"/>
        <v>0</v>
      </c>
      <c r="EZ51" s="8">
        <f t="shared" si="23"/>
        <v>0</v>
      </c>
      <c r="FA51" s="8">
        <f t="shared" si="24"/>
        <v>0</v>
      </c>
      <c r="FC51" s="6">
        <f>SUMIF('Eredeti fejléccel'!$B:$B,'Felosztás eredménykim'!$B51,'Eredeti fejléccel'!$L:$L)</f>
        <v>0</v>
      </c>
      <c r="FD51" s="6">
        <f>SUMIF('Eredeti fejléccel'!$B:$B,'Felosztás eredménykim'!$B51,'Eredeti fejléccel'!$CJ:$CJ)</f>
        <v>0</v>
      </c>
      <c r="FE51" s="6">
        <f>SUMIF('Eredeti fejléccel'!$B:$B,'Felosztás eredménykim'!$B51,'Eredeti fejléccel'!$CL:$CL)</f>
        <v>0</v>
      </c>
      <c r="FG51" s="99">
        <f t="shared" si="53"/>
        <v>0</v>
      </c>
      <c r="FH51" s="6">
        <f>SUMIF('Eredeti fejléccel'!$B:$B,'Felosztás eredménykim'!$B51,'Eredeti fejléccel'!$CK:$CK)</f>
        <v>0</v>
      </c>
      <c r="FI51" s="36">
        <f t="shared" si="68"/>
        <v>0</v>
      </c>
      <c r="FJ51" s="101">
        <f t="shared" si="26"/>
        <v>0</v>
      </c>
      <c r="FK51" s="6">
        <f>SUMIF('Eredeti fejléccel'!$B:$B,'Felosztás eredménykim'!$B51,'Eredeti fejléccel'!$CM:$CM)</f>
        <v>0</v>
      </c>
      <c r="FL51" s="6">
        <f>SUMIF('Eredeti fejléccel'!$B:$B,'Felosztás eredménykim'!$B51,'Eredeti fejléccel'!$CN:$CN)</f>
        <v>0</v>
      </c>
      <c r="FM51" s="8">
        <f t="shared" si="54"/>
        <v>0</v>
      </c>
      <c r="FN51" s="36">
        <f t="shared" si="69"/>
        <v>0</v>
      </c>
      <c r="FO51" s="101">
        <f t="shared" si="28"/>
        <v>0</v>
      </c>
      <c r="FP51" s="6">
        <f>SUMIF('Eredeti fejléccel'!$B:$B,'Felosztás eredménykim'!$B51,'Eredeti fejléccel'!$CO:$CO)</f>
        <v>0</v>
      </c>
      <c r="FQ51" s="6">
        <f>'Eredeti fejléccel'!CP51</f>
        <v>0</v>
      </c>
      <c r="FR51" s="6">
        <f>'Eredeti fejléccel'!CQ51</f>
        <v>0</v>
      </c>
      <c r="FS51" s="103">
        <f t="shared" si="55"/>
        <v>0</v>
      </c>
      <c r="FT51" s="36">
        <f t="shared" si="70"/>
        <v>0</v>
      </c>
      <c r="FU51" s="101">
        <f t="shared" si="30"/>
        <v>0</v>
      </c>
      <c r="FV51" s="101"/>
      <c r="FW51" s="6">
        <f>SUMIF('Eredeti fejléccel'!$B:$B,'Felosztás eredménykim'!$B51,'Eredeti fejléccel'!$CR:$CR)</f>
        <v>0</v>
      </c>
      <c r="FX51" s="6">
        <f>SUMIF('Eredeti fejléccel'!$B:$B,'Felosztás eredménykim'!$B51,'Eredeti fejléccel'!$CS:$CS)</f>
        <v>0</v>
      </c>
      <c r="FY51" s="6">
        <f>SUMIF('Eredeti fejléccel'!$B:$B,'Felosztás eredménykim'!$B51,'Eredeti fejléccel'!$CT:$CT)</f>
        <v>0</v>
      </c>
      <c r="FZ51" s="6">
        <f>SUMIF('Eredeti fejléccel'!$B:$B,'Felosztás eredménykim'!$B51,'Eredeti fejléccel'!$CU:$CU)</f>
        <v>0</v>
      </c>
      <c r="GA51" s="103">
        <f t="shared" si="56"/>
        <v>0</v>
      </c>
      <c r="GB51" s="36">
        <f t="shared" si="71"/>
        <v>0</v>
      </c>
      <c r="GC51" s="101">
        <f t="shared" si="32"/>
        <v>0</v>
      </c>
      <c r="GD51" s="6">
        <f>SUMIF('Eredeti fejléccel'!$B:$B,'Felosztás eredménykim'!$B51,'Eredeti fejléccel'!$CV:$CV)</f>
        <v>0</v>
      </c>
      <c r="GE51" s="6">
        <f>SUMIF('Eredeti fejléccel'!$B:$B,'Felosztás eredménykim'!$B51,'Eredeti fejléccel'!$CW:$CW)</f>
        <v>0</v>
      </c>
      <c r="GF51" s="103">
        <f t="shared" si="57"/>
        <v>0</v>
      </c>
      <c r="GG51" s="36">
        <f t="shared" si="33"/>
        <v>0</v>
      </c>
      <c r="GM51" s="6">
        <f>SUMIF('Eredeti fejléccel'!$B:$B,'Felosztás eredménykim'!$B51,'Eredeti fejléccel'!$CX:$CX)</f>
        <v>0</v>
      </c>
      <c r="GN51" s="6">
        <f>SUMIF('Eredeti fejléccel'!$B:$B,'Felosztás eredménykim'!$B51,'Eredeti fejléccel'!$CY:$CY)</f>
        <v>0</v>
      </c>
      <c r="GO51" s="6">
        <f>SUMIF('Eredeti fejléccel'!$B:$B,'Felosztás eredménykim'!$B51,'Eredeti fejléccel'!$CZ:$CZ)</f>
        <v>0</v>
      </c>
      <c r="GP51" s="6">
        <f>SUMIF('Eredeti fejléccel'!$B:$B,'Felosztás eredménykim'!$B51,'Eredeti fejléccel'!$DA:$DA)</f>
        <v>0</v>
      </c>
      <c r="GQ51" s="6">
        <f>SUMIF('Eredeti fejléccel'!$B:$B,'Felosztás eredménykim'!$B51,'Eredeti fejléccel'!$DB:$DB)</f>
        <v>0</v>
      </c>
      <c r="GR51" s="103">
        <f t="shared" si="58"/>
        <v>0</v>
      </c>
      <c r="GW51" s="36">
        <f t="shared" si="34"/>
        <v>0</v>
      </c>
      <c r="GX51" s="6">
        <f>SUMIF('Eredeti fejléccel'!$B:$B,'Felosztás eredménykim'!$B51,'Eredeti fejléccel'!$M:$M)</f>
        <v>0</v>
      </c>
      <c r="GY51" s="6">
        <f>SUMIF('Eredeti fejléccel'!$B:$B,'Felosztás eredménykim'!$B51,'Eredeti fejléccel'!$DC:$DC)</f>
        <v>0</v>
      </c>
      <c r="GZ51" s="6">
        <f>SUMIF('Eredeti fejléccel'!$B:$B,'Felosztás eredménykim'!$B51,'Eredeti fejléccel'!$DD:$DD)</f>
        <v>0</v>
      </c>
      <c r="HA51" s="6">
        <f>SUMIF('Eredeti fejléccel'!$B:$B,'Felosztás eredménykim'!$B51,'Eredeti fejléccel'!$DE:$DE)</f>
        <v>0</v>
      </c>
      <c r="HB51" s="103">
        <f t="shared" si="59"/>
        <v>0</v>
      </c>
      <c r="HD51" s="9">
        <f t="shared" si="72"/>
        <v>0</v>
      </c>
      <c r="HE51" s="9"/>
      <c r="HF51" s="476"/>
      <c r="HH51" s="34">
        <f t="shared" si="60"/>
        <v>0</v>
      </c>
    </row>
    <row r="52" spans="1:216" x14ac:dyDescent="0.25">
      <c r="A52" s="4" t="s">
        <v>124</v>
      </c>
      <c r="B52" s="4" t="s">
        <v>124</v>
      </c>
      <c r="C52" s="1" t="s">
        <v>125</v>
      </c>
      <c r="D52" s="6">
        <f>SUMIF('Eredeti fejléccel'!$B:$B,'Felosztás eredménykim'!$B52,'Eredeti fejléccel'!$D:$D)</f>
        <v>0</v>
      </c>
      <c r="E52" s="6">
        <f>SUMIF('Eredeti fejléccel'!$B:$B,'Felosztás eredménykim'!$B52,'Eredeti fejléccel'!$E:$E)</f>
        <v>0</v>
      </c>
      <c r="F52" s="6">
        <f>SUMIF('Eredeti fejléccel'!$B:$B,'Felosztás eredménykim'!$B52,'Eredeti fejléccel'!$F:$F)</f>
        <v>0</v>
      </c>
      <c r="G52" s="6">
        <f>SUMIF('Eredeti fejléccel'!$B:$B,'Felosztás eredménykim'!$B52,'Eredeti fejléccel'!$G:$G)</f>
        <v>0</v>
      </c>
      <c r="H52" s="6"/>
      <c r="I52" s="6">
        <f>SUMIF('Eredeti fejléccel'!$B:$B,'Felosztás eredménykim'!$B52,'Eredeti fejléccel'!$O:$O)</f>
        <v>0</v>
      </c>
      <c r="J52" s="6">
        <f>SUMIF('Eredeti fejléccel'!$B:$B,'Felosztás eredménykim'!$B52,'Eredeti fejléccel'!$P:$P)</f>
        <v>0</v>
      </c>
      <c r="K52" s="6">
        <f>SUMIF('Eredeti fejléccel'!$B:$B,'Felosztás eredménykim'!$B52,'Eredeti fejléccel'!$Q:$Q)</f>
        <v>0</v>
      </c>
      <c r="L52" s="6">
        <f>SUMIF('Eredeti fejléccel'!$B:$B,'Felosztás eredménykim'!$B52,'Eredeti fejléccel'!$R:$R)</f>
        <v>0</v>
      </c>
      <c r="M52" s="6">
        <f>SUMIF('Eredeti fejléccel'!$B:$B,'Felosztás eredménykim'!$B52,'Eredeti fejléccel'!$T:$T)</f>
        <v>0</v>
      </c>
      <c r="N52" s="6">
        <f>SUMIF('Eredeti fejléccel'!$B:$B,'Felosztás eredménykim'!$B52,'Eredeti fejléccel'!$U:$U)</f>
        <v>0</v>
      </c>
      <c r="O52" s="6">
        <f>SUMIF('Eredeti fejléccel'!$B:$B,'Felosztás eredménykim'!$B52,'Eredeti fejléccel'!$V:$V)</f>
        <v>0</v>
      </c>
      <c r="P52" s="6">
        <f>SUMIF('Eredeti fejléccel'!$B:$B,'Felosztás eredménykim'!$B52,'Eredeti fejléccel'!$W:$W)</f>
        <v>0</v>
      </c>
      <c r="Q52" s="6">
        <f>SUMIF('Eredeti fejléccel'!$B:$B,'Felosztás eredménykim'!$B52,'Eredeti fejléccel'!$X:$X)</f>
        <v>0</v>
      </c>
      <c r="R52" s="6">
        <f>SUMIF('Eredeti fejléccel'!$B:$B,'Felosztás eredménykim'!$B52,'Eredeti fejléccel'!$Y:$Y)</f>
        <v>0</v>
      </c>
      <c r="S52" s="6">
        <f>SUMIF('Eredeti fejléccel'!$B:$B,'Felosztás eredménykim'!$B52,'Eredeti fejléccel'!$Z:$Z)</f>
        <v>0</v>
      </c>
      <c r="T52" s="6">
        <f>SUMIF('Eredeti fejléccel'!$B:$B,'Felosztás eredménykim'!$B52,'Eredeti fejléccel'!$AA:$AA)</f>
        <v>0</v>
      </c>
      <c r="U52" s="6">
        <f>SUMIF('Eredeti fejléccel'!$B:$B,'Felosztás eredménykim'!$B52,'Eredeti fejléccel'!$D:$D)</f>
        <v>0</v>
      </c>
      <c r="V52" s="6">
        <f>SUMIF('Eredeti fejléccel'!$B:$B,'Felosztás eredménykim'!$B52,'Eredeti fejléccel'!$AT:$AT)</f>
        <v>0</v>
      </c>
      <c r="X52" s="36">
        <f t="shared" si="0"/>
        <v>0</v>
      </c>
      <c r="Z52" s="6">
        <f>SUMIF('Eredeti fejléccel'!$B:$B,'Felosztás eredménykim'!$B52,'Eredeti fejléccel'!$K:$K)</f>
        <v>0</v>
      </c>
      <c r="AB52" s="6">
        <f>SUMIF('Eredeti fejléccel'!$B:$B,'Felosztás eredménykim'!$B52,'Eredeti fejléccel'!$AB:$AB)</f>
        <v>0</v>
      </c>
      <c r="AC52" s="6">
        <f>SUMIF('Eredeti fejléccel'!$B:$B,'Felosztás eredménykim'!$B52,'Eredeti fejléccel'!$AQ:$AQ)</f>
        <v>0</v>
      </c>
      <c r="AE52" s="73">
        <f t="shared" si="1"/>
        <v>0</v>
      </c>
      <c r="AF52" s="36">
        <f t="shared" si="61"/>
        <v>0</v>
      </c>
      <c r="AG52" s="8">
        <f t="shared" si="3"/>
        <v>0</v>
      </c>
      <c r="AI52" s="6">
        <f>SUMIF('Eredeti fejléccel'!$B:$B,'Felosztás eredménykim'!$B52,'Eredeti fejléccel'!$BB:$BB)</f>
        <v>0</v>
      </c>
      <c r="AJ52" s="6">
        <f>SUMIF('Eredeti fejléccel'!$B:$B,'Felosztás eredménykim'!$B52,'Eredeti fejléccel'!$AF:$AF)</f>
        <v>0</v>
      </c>
      <c r="AK52" s="8">
        <f t="shared" si="4"/>
        <v>0</v>
      </c>
      <c r="AL52" s="36">
        <f t="shared" si="62"/>
        <v>0</v>
      </c>
      <c r="AM52" s="8">
        <f t="shared" si="6"/>
        <v>0</v>
      </c>
      <c r="AN52" s="6">
        <f t="shared" si="36"/>
        <v>0</v>
      </c>
      <c r="AO52" s="6">
        <f>SUMIF('Eredeti fejléccel'!$B:$B,'Felosztás eredménykim'!$B52,'Eredeti fejléccel'!$AC:$AC)</f>
        <v>0</v>
      </c>
      <c r="AP52" s="6">
        <f>SUMIF('Eredeti fejléccel'!$B:$B,'Felosztás eredménykim'!$B52,'Eredeti fejléccel'!$AD:$AD)</f>
        <v>0</v>
      </c>
      <c r="AQ52" s="6">
        <f>SUMIF('Eredeti fejléccel'!$B:$B,'Felosztás eredménykim'!$B52,'Eredeti fejléccel'!$AE:$AE)</f>
        <v>0</v>
      </c>
      <c r="AR52" s="6">
        <f>SUMIF('Eredeti fejléccel'!$B:$B,'Felosztás eredménykim'!$B52,'Eredeti fejléccel'!$AG:$AG)</f>
        <v>0</v>
      </c>
      <c r="AS52" s="6">
        <f t="shared" si="37"/>
        <v>0</v>
      </c>
      <c r="AT52" s="36">
        <f t="shared" si="63"/>
        <v>0</v>
      </c>
      <c r="AU52" s="8">
        <f t="shared" si="8"/>
        <v>0</v>
      </c>
      <c r="AV52" s="6">
        <f>SUMIF('Eredeti fejléccel'!$B:$B,'Felosztás eredménykim'!$B52,'Eredeti fejléccel'!$AI:$AI)</f>
        <v>0</v>
      </c>
      <c r="AW52" s="6">
        <f>SUMIF('Eredeti fejléccel'!$B:$B,'Felosztás eredménykim'!$B52,'Eredeti fejléccel'!$AJ:$AJ)</f>
        <v>0</v>
      </c>
      <c r="AX52" s="6">
        <f>SUMIF('Eredeti fejléccel'!$B:$B,'Felosztás eredménykim'!$B52,'Eredeti fejléccel'!$AK:$AK)</f>
        <v>0</v>
      </c>
      <c r="AY52" s="6">
        <f>SUMIF('Eredeti fejléccel'!$B:$B,'Felosztás eredménykim'!$B52,'Eredeti fejléccel'!$AL:$AL)</f>
        <v>0</v>
      </c>
      <c r="AZ52" s="6">
        <f>SUMIF('Eredeti fejléccel'!$B:$B,'Felosztás eredménykim'!$B52,'Eredeti fejléccel'!$AM:$AM)</f>
        <v>0</v>
      </c>
      <c r="BA52" s="6">
        <f>SUMIF('Eredeti fejléccel'!$B:$B,'Felosztás eredménykim'!$B52,'Eredeti fejléccel'!$AN:$AN)</f>
        <v>0</v>
      </c>
      <c r="BB52" s="6">
        <f>SUMIF('Eredeti fejléccel'!$B:$B,'Felosztás eredménykim'!$B52,'Eredeti fejléccel'!$AP:$AP)</f>
        <v>0</v>
      </c>
      <c r="BD52" s="6">
        <f>SUMIF('Eredeti fejléccel'!$B:$B,'Felosztás eredménykim'!$B52,'Eredeti fejléccel'!$AS:$AS)</f>
        <v>0</v>
      </c>
      <c r="BE52" s="8">
        <f t="shared" si="38"/>
        <v>0</v>
      </c>
      <c r="BF52" s="36">
        <f t="shared" si="64"/>
        <v>0</v>
      </c>
      <c r="BG52" s="8">
        <f t="shared" si="10"/>
        <v>0</v>
      </c>
      <c r="BH52" s="6">
        <f t="shared" si="39"/>
        <v>0</v>
      </c>
      <c r="BI52" s="6">
        <f>SUMIF('Eredeti fejléccel'!$B:$B,'Felosztás eredménykim'!$B52,'Eredeti fejléccel'!$AH:$AH)</f>
        <v>0</v>
      </c>
      <c r="BJ52" s="6">
        <f>SUMIF('Eredeti fejléccel'!$B:$B,'Felosztás eredménykim'!$B52,'Eredeti fejléccel'!$AO:$AO)</f>
        <v>0</v>
      </c>
      <c r="BK52" s="6">
        <f>SUMIF('Eredeti fejléccel'!$B:$B,'Felosztás eredménykim'!$B52,'Eredeti fejléccel'!$BF:$BF)</f>
        <v>0</v>
      </c>
      <c r="BL52" s="8">
        <f t="shared" si="40"/>
        <v>0</v>
      </c>
      <c r="BM52" s="36">
        <f t="shared" si="65"/>
        <v>0</v>
      </c>
      <c r="BN52" s="8">
        <f t="shared" si="12"/>
        <v>0</v>
      </c>
      <c r="BP52" s="8">
        <f t="shared" si="41"/>
        <v>0</v>
      </c>
      <c r="BQ52" s="6">
        <f>SUMIF('Eredeti fejléccel'!$B:$B,'Felosztás eredménykim'!$B52,'Eredeti fejléccel'!$N:$N)</f>
        <v>0</v>
      </c>
      <c r="BR52" s="6">
        <f>SUMIF('Eredeti fejléccel'!$B:$B,'Felosztás eredménykim'!$B52,'Eredeti fejléccel'!$S:$S)</f>
        <v>0</v>
      </c>
      <c r="BT52" s="6">
        <f>SUMIF('Eredeti fejléccel'!$B:$B,'Felosztás eredménykim'!$B52,'Eredeti fejléccel'!$AR:$AR)</f>
        <v>0</v>
      </c>
      <c r="BU52" s="6">
        <f>SUMIF('Eredeti fejléccel'!$B:$B,'Felosztás eredménykim'!$B52,'Eredeti fejléccel'!$AU:$AU)</f>
        <v>0</v>
      </c>
      <c r="BV52" s="6">
        <f>SUMIF('Eredeti fejléccel'!$B:$B,'Felosztás eredménykim'!$B52,'Eredeti fejléccel'!$AV:$AV)</f>
        <v>0</v>
      </c>
      <c r="BW52" s="6">
        <f>SUMIF('Eredeti fejléccel'!$B:$B,'Felosztás eredménykim'!$B52,'Eredeti fejléccel'!$AW:$AW)</f>
        <v>0</v>
      </c>
      <c r="BX52" s="6">
        <f>SUMIF('Eredeti fejléccel'!$B:$B,'Felosztás eredménykim'!$B52,'Eredeti fejléccel'!$AX:$AX)</f>
        <v>0</v>
      </c>
      <c r="BY52" s="6">
        <f>SUMIF('Eredeti fejléccel'!$B:$B,'Felosztás eredménykim'!$B52,'Eredeti fejléccel'!$AY:$AY)</f>
        <v>0</v>
      </c>
      <c r="BZ52" s="6">
        <f>SUMIF('Eredeti fejléccel'!$B:$B,'Felosztás eredménykim'!$B52,'Eredeti fejléccel'!$AZ:$AZ)</f>
        <v>0</v>
      </c>
      <c r="CA52" s="6">
        <f>SUMIF('Eredeti fejléccel'!$B:$B,'Felosztás eredménykim'!$B52,'Eredeti fejléccel'!$BA:$BA)</f>
        <v>0</v>
      </c>
      <c r="CB52" s="6">
        <f t="shared" si="13"/>
        <v>0</v>
      </c>
      <c r="CC52" s="36">
        <f t="shared" si="66"/>
        <v>0</v>
      </c>
      <c r="CD52" s="8">
        <f t="shared" si="15"/>
        <v>0</v>
      </c>
      <c r="CE52" s="6">
        <f>SUMIF('Eredeti fejléccel'!$B:$B,'Felosztás eredménykim'!$B52,'Eredeti fejléccel'!$BC:$BC)</f>
        <v>0</v>
      </c>
      <c r="CF52" s="8">
        <f t="shared" si="42"/>
        <v>0</v>
      </c>
      <c r="CG52" s="6">
        <f>SUMIF('Eredeti fejléccel'!$B:$B,'Felosztás eredménykim'!$B52,'Eredeti fejléccel'!$H:$H)</f>
        <v>0</v>
      </c>
      <c r="CH52" s="6">
        <f>SUMIF('Eredeti fejléccel'!$B:$B,'Felosztás eredménykim'!$B52,'Eredeti fejléccel'!$BE:$BE)</f>
        <v>0</v>
      </c>
      <c r="CI52" s="6">
        <f t="shared" si="43"/>
        <v>0</v>
      </c>
      <c r="CJ52" s="36">
        <f t="shared" si="67"/>
        <v>0</v>
      </c>
      <c r="CK52" s="8">
        <f t="shared" si="17"/>
        <v>0</v>
      </c>
      <c r="CL52" s="8">
        <f t="shared" si="44"/>
        <v>0</v>
      </c>
      <c r="CM52" s="6">
        <f>SUMIF('Eredeti fejléccel'!$B:$B,'Felosztás eredménykim'!$B52,'Eredeti fejléccel'!$BD:$BD)</f>
        <v>0</v>
      </c>
      <c r="CN52" s="8">
        <f t="shared" si="45"/>
        <v>0</v>
      </c>
      <c r="CO52" s="8">
        <f t="shared" si="18"/>
        <v>0</v>
      </c>
      <c r="CR52" s="36">
        <f t="shared" si="19"/>
        <v>0</v>
      </c>
      <c r="CS52" s="6">
        <f>SUMIF('Eredeti fejléccel'!$B:$B,'Felosztás eredménykim'!$B52,'Eredeti fejléccel'!$I:$I)</f>
        <v>0</v>
      </c>
      <c r="CT52" s="6">
        <f>SUMIF('Eredeti fejléccel'!$B:$B,'Felosztás eredménykim'!$B52,'Eredeti fejléccel'!$BG:$BG)</f>
        <v>0</v>
      </c>
      <c r="CU52" s="6">
        <f>SUMIF('Eredeti fejléccel'!$B:$B,'Felosztás eredménykim'!$B52,'Eredeti fejléccel'!$BH:$BH)</f>
        <v>0</v>
      </c>
      <c r="CV52" s="6">
        <f>SUMIF('Eredeti fejléccel'!$B:$B,'Felosztás eredménykim'!$B52,'Eredeti fejléccel'!$BI:$BI)</f>
        <v>0</v>
      </c>
      <c r="CW52" s="6">
        <f>SUMIF('Eredeti fejléccel'!$B:$B,'Felosztás eredménykim'!$B52,'Eredeti fejléccel'!$BL:$BL)</f>
        <v>0</v>
      </c>
      <c r="CX52" s="6">
        <f t="shared" si="46"/>
        <v>0</v>
      </c>
      <c r="CY52" s="6">
        <f>SUMIF('Eredeti fejléccel'!$B:$B,'Felosztás eredménykim'!$B52,'Eredeti fejléccel'!$BJ:$BJ)</f>
        <v>0</v>
      </c>
      <c r="CZ52" s="6">
        <f>SUMIF('Eredeti fejléccel'!$B:$B,'Felosztás eredménykim'!$B52,'Eredeti fejléccel'!$BK:$BK)</f>
        <v>0</v>
      </c>
      <c r="DA52" s="99">
        <f t="shared" si="47"/>
        <v>0</v>
      </c>
      <c r="DC52" s="36">
        <f t="shared" si="20"/>
        <v>0</v>
      </c>
      <c r="DD52" s="6">
        <f>SUMIF('Eredeti fejléccel'!$B:$B,'Felosztás eredménykim'!$B52,'Eredeti fejléccel'!$J:$J)</f>
        <v>0</v>
      </c>
      <c r="DE52" s="6">
        <f>SUMIF('Eredeti fejléccel'!$B:$B,'Felosztás eredménykim'!$B52,'Eredeti fejléccel'!$BM:$BM)</f>
        <v>0</v>
      </c>
      <c r="DF52" s="6">
        <f t="shared" si="48"/>
        <v>0</v>
      </c>
      <c r="DG52" s="8">
        <f t="shared" si="21"/>
        <v>0</v>
      </c>
      <c r="DH52" s="8">
        <f t="shared" si="49"/>
        <v>0</v>
      </c>
      <c r="DJ52" s="6">
        <f>SUMIF('Eredeti fejléccel'!$B:$B,'Felosztás eredménykim'!$B52,'Eredeti fejléccel'!$BN:$BN)</f>
        <v>0</v>
      </c>
      <c r="DK52" s="6">
        <f>SUMIF('Eredeti fejléccel'!$B:$B,'Felosztás eredménykim'!$B52,'Eredeti fejléccel'!$BZ:$BZ)</f>
        <v>0</v>
      </c>
      <c r="DL52" s="8">
        <f t="shared" si="50"/>
        <v>0</v>
      </c>
      <c r="DM52" s="6">
        <f>SUMIF('Eredeti fejléccel'!$B:$B,'Felosztás eredménykim'!$B52,'Eredeti fejléccel'!$BR:$BR)</f>
        <v>0</v>
      </c>
      <c r="DN52" s="6">
        <f>SUMIF('Eredeti fejléccel'!$B:$B,'Felosztás eredménykim'!$B52,'Eredeti fejléccel'!$BS:$BS)</f>
        <v>0</v>
      </c>
      <c r="DO52" s="6">
        <f>SUMIF('Eredeti fejléccel'!$B:$B,'Felosztás eredménykim'!$B52,'Eredeti fejléccel'!$BO:$BO)</f>
        <v>0</v>
      </c>
      <c r="DP52" s="6">
        <f>SUMIF('Eredeti fejléccel'!$B:$B,'Felosztás eredménykim'!$B52,'Eredeti fejléccel'!$BP:$BP)</f>
        <v>0</v>
      </c>
      <c r="DQ52" s="6">
        <f>SUMIF('Eredeti fejléccel'!$B:$B,'Felosztás eredménykim'!$B52,'Eredeti fejléccel'!$BQ:$BQ)</f>
        <v>0</v>
      </c>
      <c r="DS52" s="8"/>
      <c r="DU52" s="6">
        <f>SUMIF('Eredeti fejléccel'!$B:$B,'Felosztás eredménykim'!$B52,'Eredeti fejléccel'!$BT:$BT)</f>
        <v>0</v>
      </c>
      <c r="DV52" s="6">
        <f>SUMIF('Eredeti fejléccel'!$B:$B,'Felosztás eredménykim'!$B52,'Eredeti fejléccel'!$BU:$BU)</f>
        <v>0</v>
      </c>
      <c r="DW52" s="6">
        <f>SUMIF('Eredeti fejléccel'!$B:$B,'Felosztás eredménykim'!$B52,'Eredeti fejléccel'!$BV:$BV)</f>
        <v>0</v>
      </c>
      <c r="DX52" s="6">
        <f>SUMIF('Eredeti fejléccel'!$B:$B,'Felosztás eredménykim'!$B52,'Eredeti fejléccel'!$BW:$BW)</f>
        <v>0</v>
      </c>
      <c r="DY52" s="6">
        <f>SUMIF('Eredeti fejléccel'!$B:$B,'Felosztás eredménykim'!$B52,'Eredeti fejléccel'!$BX:$BX)</f>
        <v>0</v>
      </c>
      <c r="EA52" s="6"/>
      <c r="EC52" s="6"/>
      <c r="EE52" s="6">
        <f>SUMIF('Eredeti fejléccel'!$B:$B,'Felosztás eredménykim'!$B52,'Eredeti fejléccel'!$CA:$CA)</f>
        <v>0</v>
      </c>
      <c r="EF52" s="6">
        <f>SUMIF('Eredeti fejléccel'!$B:$B,'Felosztás eredménykim'!$B52,'Eredeti fejléccel'!$CB:$CB)</f>
        <v>0</v>
      </c>
      <c r="EG52" s="6">
        <f>SUMIF('Eredeti fejléccel'!$B:$B,'Felosztás eredménykim'!$B52,'Eredeti fejléccel'!$CC:$CC)</f>
        <v>0</v>
      </c>
      <c r="EH52" s="6">
        <f>SUMIF('Eredeti fejléccel'!$B:$B,'Felosztás eredménykim'!$B52,'Eredeti fejléccel'!$CD:$CD)</f>
        <v>0</v>
      </c>
      <c r="EK52" s="6">
        <f>SUMIF('Eredeti fejléccel'!$B:$B,'Felosztás eredménykim'!$B52,'Eredeti fejléccel'!$CE:$CE)</f>
        <v>0</v>
      </c>
      <c r="EN52" s="6">
        <f>SUMIF('Eredeti fejléccel'!$B:$B,'Felosztás eredménykim'!$B52,'Eredeti fejléccel'!$CF:$CF)</f>
        <v>0</v>
      </c>
      <c r="EP52" s="6">
        <f>SUMIF('Eredeti fejléccel'!$B:$B,'Felosztás eredménykim'!$B52,'Eredeti fejléccel'!$CG:$CG)</f>
        <v>0</v>
      </c>
      <c r="ES52" s="6">
        <f>SUMIF('Eredeti fejléccel'!$B:$B,'Felosztás eredménykim'!$B52,'Eredeti fejléccel'!$CH:$CH)</f>
        <v>0</v>
      </c>
      <c r="ET52" s="6">
        <f>SUMIF('Eredeti fejléccel'!$B:$B,'Felosztás eredménykim'!$B52,'Eredeti fejléccel'!$CI:$CI)</f>
        <v>0</v>
      </c>
      <c r="EW52" s="8">
        <f t="shared" si="22"/>
        <v>0</v>
      </c>
      <c r="EX52" s="8">
        <f t="shared" si="51"/>
        <v>0</v>
      </c>
      <c r="EY52" s="8">
        <f t="shared" si="52"/>
        <v>0</v>
      </c>
      <c r="EZ52" s="8">
        <f t="shared" si="23"/>
        <v>0</v>
      </c>
      <c r="FA52" s="8">
        <f t="shared" si="24"/>
        <v>0</v>
      </c>
      <c r="FC52" s="6">
        <f>SUMIF('Eredeti fejléccel'!$B:$B,'Felosztás eredménykim'!$B52,'Eredeti fejléccel'!$L:$L)</f>
        <v>0</v>
      </c>
      <c r="FD52" s="6">
        <f>SUMIF('Eredeti fejléccel'!$B:$B,'Felosztás eredménykim'!$B52,'Eredeti fejléccel'!$CJ:$CJ)</f>
        <v>0</v>
      </c>
      <c r="FE52" s="6">
        <f>SUMIF('Eredeti fejléccel'!$B:$B,'Felosztás eredménykim'!$B52,'Eredeti fejléccel'!$CL:$CL)</f>
        <v>0</v>
      </c>
      <c r="FG52" s="99">
        <f t="shared" si="53"/>
        <v>0</v>
      </c>
      <c r="FH52" s="6">
        <f>SUMIF('Eredeti fejléccel'!$B:$B,'Felosztás eredménykim'!$B52,'Eredeti fejléccel'!$CK:$CK)</f>
        <v>0</v>
      </c>
      <c r="FI52" s="36">
        <f t="shared" si="68"/>
        <v>0</v>
      </c>
      <c r="FJ52" s="101">
        <f t="shared" si="26"/>
        <v>0</v>
      </c>
      <c r="FK52" s="6">
        <f>SUMIF('Eredeti fejléccel'!$B:$B,'Felosztás eredménykim'!$B52,'Eredeti fejléccel'!$CM:$CM)</f>
        <v>0</v>
      </c>
      <c r="FL52" s="6">
        <f>SUMIF('Eredeti fejléccel'!$B:$B,'Felosztás eredménykim'!$B52,'Eredeti fejléccel'!$CN:$CN)</f>
        <v>0</v>
      </c>
      <c r="FM52" s="8">
        <f t="shared" si="54"/>
        <v>0</v>
      </c>
      <c r="FN52" s="36">
        <f t="shared" si="69"/>
        <v>0</v>
      </c>
      <c r="FO52" s="101">
        <f t="shared" si="28"/>
        <v>0</v>
      </c>
      <c r="FP52" s="6">
        <f>SUMIF('Eredeti fejléccel'!$B:$B,'Felosztás eredménykim'!$B52,'Eredeti fejléccel'!$CO:$CO)</f>
        <v>0</v>
      </c>
      <c r="FQ52" s="6">
        <f>'Eredeti fejléccel'!CP52</f>
        <v>0</v>
      </c>
      <c r="FR52" s="6">
        <f>'Eredeti fejléccel'!CQ52</f>
        <v>0</v>
      </c>
      <c r="FS52" s="103">
        <f t="shared" si="55"/>
        <v>0</v>
      </c>
      <c r="FT52" s="36">
        <f t="shared" si="70"/>
        <v>0</v>
      </c>
      <c r="FU52" s="101">
        <f t="shared" si="30"/>
        <v>0</v>
      </c>
      <c r="FV52" s="101"/>
      <c r="FW52" s="6">
        <f>SUMIF('Eredeti fejléccel'!$B:$B,'Felosztás eredménykim'!$B52,'Eredeti fejléccel'!$CR:$CR)</f>
        <v>0</v>
      </c>
      <c r="FX52" s="6">
        <f>SUMIF('Eredeti fejléccel'!$B:$B,'Felosztás eredménykim'!$B52,'Eredeti fejléccel'!$CS:$CS)</f>
        <v>0</v>
      </c>
      <c r="FY52" s="6">
        <f>SUMIF('Eredeti fejléccel'!$B:$B,'Felosztás eredménykim'!$B52,'Eredeti fejléccel'!$CT:$CT)</f>
        <v>0</v>
      </c>
      <c r="FZ52" s="6">
        <f>SUMIF('Eredeti fejléccel'!$B:$B,'Felosztás eredménykim'!$B52,'Eredeti fejléccel'!$CU:$CU)</f>
        <v>0</v>
      </c>
      <c r="GA52" s="103">
        <f t="shared" si="56"/>
        <v>0</v>
      </c>
      <c r="GB52" s="36">
        <f t="shared" si="71"/>
        <v>0</v>
      </c>
      <c r="GC52" s="101">
        <f t="shared" si="32"/>
        <v>0</v>
      </c>
      <c r="GD52" s="6">
        <f>SUMIF('Eredeti fejléccel'!$B:$B,'Felosztás eredménykim'!$B52,'Eredeti fejléccel'!$CV:$CV)</f>
        <v>0</v>
      </c>
      <c r="GE52" s="6">
        <f>SUMIF('Eredeti fejléccel'!$B:$B,'Felosztás eredménykim'!$B52,'Eredeti fejléccel'!$CW:$CW)</f>
        <v>0</v>
      </c>
      <c r="GF52" s="103">
        <f t="shared" si="57"/>
        <v>0</v>
      </c>
      <c r="GG52" s="36">
        <f t="shared" si="33"/>
        <v>0</v>
      </c>
      <c r="GM52" s="6">
        <f>SUMIF('Eredeti fejléccel'!$B:$B,'Felosztás eredménykim'!$B52,'Eredeti fejléccel'!$CX:$CX)</f>
        <v>0</v>
      </c>
      <c r="GN52" s="6">
        <f>SUMIF('Eredeti fejléccel'!$B:$B,'Felosztás eredménykim'!$B52,'Eredeti fejléccel'!$CY:$CY)</f>
        <v>0</v>
      </c>
      <c r="GO52" s="6">
        <f>SUMIF('Eredeti fejléccel'!$B:$B,'Felosztás eredménykim'!$B52,'Eredeti fejléccel'!$CZ:$CZ)</f>
        <v>0</v>
      </c>
      <c r="GP52" s="6">
        <f>SUMIF('Eredeti fejléccel'!$B:$B,'Felosztás eredménykim'!$B52,'Eredeti fejléccel'!$DA:$DA)</f>
        <v>0</v>
      </c>
      <c r="GQ52" s="6">
        <f>SUMIF('Eredeti fejléccel'!$B:$B,'Felosztás eredménykim'!$B52,'Eredeti fejléccel'!$DB:$DB)</f>
        <v>0</v>
      </c>
      <c r="GR52" s="103">
        <f t="shared" si="58"/>
        <v>0</v>
      </c>
      <c r="GW52" s="36">
        <f t="shared" si="34"/>
        <v>0</v>
      </c>
      <c r="GX52" s="6">
        <f>SUMIF('Eredeti fejléccel'!$B:$B,'Felosztás eredménykim'!$B52,'Eredeti fejléccel'!$M:$M)</f>
        <v>0</v>
      </c>
      <c r="GY52" s="6">
        <f>SUMIF('Eredeti fejléccel'!$B:$B,'Felosztás eredménykim'!$B52,'Eredeti fejléccel'!$DC:$DC)</f>
        <v>0</v>
      </c>
      <c r="GZ52" s="6">
        <f>SUMIF('Eredeti fejléccel'!$B:$B,'Felosztás eredménykim'!$B52,'Eredeti fejléccel'!$DD:$DD)</f>
        <v>0</v>
      </c>
      <c r="HA52" s="6">
        <f>SUMIF('Eredeti fejléccel'!$B:$B,'Felosztás eredménykim'!$B52,'Eredeti fejléccel'!$DE:$DE)</f>
        <v>0</v>
      </c>
      <c r="HB52" s="103">
        <f t="shared" si="59"/>
        <v>0</v>
      </c>
      <c r="HD52" s="9">
        <f t="shared" si="72"/>
        <v>0</v>
      </c>
      <c r="HE52" s="9"/>
      <c r="HF52" s="476"/>
      <c r="HH52" s="34">
        <f t="shared" si="60"/>
        <v>0</v>
      </c>
    </row>
    <row r="53" spans="1:216" x14ac:dyDescent="0.25">
      <c r="A53" s="4" t="s">
        <v>126</v>
      </c>
      <c r="B53" s="4" t="s">
        <v>126</v>
      </c>
      <c r="C53" s="1" t="s">
        <v>127</v>
      </c>
      <c r="D53" s="6">
        <f>SUMIF('Eredeti fejléccel'!$B:$B,'Felosztás eredménykim'!$B53,'Eredeti fejléccel'!$D:$D)</f>
        <v>0</v>
      </c>
      <c r="E53" s="6">
        <f>SUMIF('Eredeti fejléccel'!$B:$B,'Felosztás eredménykim'!$B53,'Eredeti fejléccel'!$E:$E)</f>
        <v>0</v>
      </c>
      <c r="F53" s="6">
        <f>SUMIF('Eredeti fejléccel'!$B:$B,'Felosztás eredménykim'!$B53,'Eredeti fejléccel'!$F:$F)</f>
        <v>0</v>
      </c>
      <c r="G53" s="6">
        <f>SUMIF('Eredeti fejléccel'!$B:$B,'Felosztás eredménykim'!$B53,'Eredeti fejléccel'!$G:$G)</f>
        <v>0</v>
      </c>
      <c r="H53" s="6"/>
      <c r="I53" s="6">
        <f>SUMIF('Eredeti fejléccel'!$B:$B,'Felosztás eredménykim'!$B53,'Eredeti fejléccel'!$O:$O)</f>
        <v>0</v>
      </c>
      <c r="J53" s="6">
        <f>SUMIF('Eredeti fejléccel'!$B:$B,'Felosztás eredménykim'!$B53,'Eredeti fejléccel'!$P:$P)</f>
        <v>0</v>
      </c>
      <c r="K53" s="6">
        <f>SUMIF('Eredeti fejléccel'!$B:$B,'Felosztás eredménykim'!$B53,'Eredeti fejléccel'!$Q:$Q)</f>
        <v>0</v>
      </c>
      <c r="L53" s="6">
        <f>SUMIF('Eredeti fejléccel'!$B:$B,'Felosztás eredménykim'!$B53,'Eredeti fejléccel'!$R:$R)</f>
        <v>0</v>
      </c>
      <c r="M53" s="6">
        <f>SUMIF('Eredeti fejléccel'!$B:$B,'Felosztás eredménykim'!$B53,'Eredeti fejléccel'!$T:$T)</f>
        <v>0</v>
      </c>
      <c r="N53" s="6">
        <f>SUMIF('Eredeti fejléccel'!$B:$B,'Felosztás eredménykim'!$B53,'Eredeti fejléccel'!$U:$U)</f>
        <v>0</v>
      </c>
      <c r="O53" s="6">
        <f>SUMIF('Eredeti fejléccel'!$B:$B,'Felosztás eredménykim'!$B53,'Eredeti fejléccel'!$V:$V)</f>
        <v>0</v>
      </c>
      <c r="P53" s="6">
        <f>SUMIF('Eredeti fejléccel'!$B:$B,'Felosztás eredménykim'!$B53,'Eredeti fejléccel'!$W:$W)</f>
        <v>0</v>
      </c>
      <c r="Q53" s="6">
        <f>SUMIF('Eredeti fejléccel'!$B:$B,'Felosztás eredménykim'!$B53,'Eredeti fejléccel'!$X:$X)</f>
        <v>0</v>
      </c>
      <c r="R53" s="6">
        <f>SUMIF('Eredeti fejléccel'!$B:$B,'Felosztás eredménykim'!$B53,'Eredeti fejléccel'!$Y:$Y)</f>
        <v>0</v>
      </c>
      <c r="S53" s="6">
        <f>SUMIF('Eredeti fejléccel'!$B:$B,'Felosztás eredménykim'!$B53,'Eredeti fejléccel'!$Z:$Z)</f>
        <v>0</v>
      </c>
      <c r="T53" s="6">
        <f>SUMIF('Eredeti fejléccel'!$B:$B,'Felosztás eredménykim'!$B53,'Eredeti fejléccel'!$AA:$AA)</f>
        <v>0</v>
      </c>
      <c r="U53" s="6">
        <f>SUMIF('Eredeti fejléccel'!$B:$B,'Felosztás eredménykim'!$B53,'Eredeti fejléccel'!$D:$D)</f>
        <v>0</v>
      </c>
      <c r="V53" s="6">
        <f>SUMIF('Eredeti fejléccel'!$B:$B,'Felosztás eredménykim'!$B53,'Eredeti fejléccel'!$AT:$AT)</f>
        <v>0</v>
      </c>
      <c r="X53" s="36">
        <f t="shared" si="0"/>
        <v>0</v>
      </c>
      <c r="Z53" s="6">
        <f>SUMIF('Eredeti fejléccel'!$B:$B,'Felosztás eredménykim'!$B53,'Eredeti fejléccel'!$K:$K)</f>
        <v>0</v>
      </c>
      <c r="AB53" s="6">
        <f>SUMIF('Eredeti fejléccel'!$B:$B,'Felosztás eredménykim'!$B53,'Eredeti fejléccel'!$AB:$AB)</f>
        <v>0</v>
      </c>
      <c r="AC53" s="6">
        <f>SUMIF('Eredeti fejléccel'!$B:$B,'Felosztás eredménykim'!$B53,'Eredeti fejléccel'!$AQ:$AQ)</f>
        <v>0</v>
      </c>
      <c r="AE53" s="73">
        <f t="shared" si="1"/>
        <v>0</v>
      </c>
      <c r="AF53" s="36">
        <f t="shared" si="61"/>
        <v>0</v>
      </c>
      <c r="AG53" s="8">
        <f t="shared" si="3"/>
        <v>0</v>
      </c>
      <c r="AI53" s="6">
        <f>SUMIF('Eredeti fejléccel'!$B:$B,'Felosztás eredménykim'!$B53,'Eredeti fejléccel'!$BB:$BB)</f>
        <v>0</v>
      </c>
      <c r="AJ53" s="6">
        <f>SUMIF('Eredeti fejléccel'!$B:$B,'Felosztás eredménykim'!$B53,'Eredeti fejléccel'!$AF:$AF)</f>
        <v>0</v>
      </c>
      <c r="AK53" s="8">
        <f t="shared" si="4"/>
        <v>0</v>
      </c>
      <c r="AL53" s="36">
        <f t="shared" si="62"/>
        <v>0</v>
      </c>
      <c r="AM53" s="8">
        <f t="shared" si="6"/>
        <v>0</v>
      </c>
      <c r="AN53" s="6">
        <f t="shared" si="36"/>
        <v>0</v>
      </c>
      <c r="AO53" s="6">
        <f>SUMIF('Eredeti fejléccel'!$B:$B,'Felosztás eredménykim'!$B53,'Eredeti fejléccel'!$AC:$AC)</f>
        <v>0</v>
      </c>
      <c r="AP53" s="6">
        <f>SUMIF('Eredeti fejléccel'!$B:$B,'Felosztás eredménykim'!$B53,'Eredeti fejléccel'!$AD:$AD)</f>
        <v>0</v>
      </c>
      <c r="AQ53" s="6">
        <f>SUMIF('Eredeti fejléccel'!$B:$B,'Felosztás eredménykim'!$B53,'Eredeti fejléccel'!$AE:$AE)</f>
        <v>0</v>
      </c>
      <c r="AR53" s="6">
        <f>SUMIF('Eredeti fejléccel'!$B:$B,'Felosztás eredménykim'!$B53,'Eredeti fejléccel'!$AG:$AG)</f>
        <v>0</v>
      </c>
      <c r="AS53" s="6">
        <f t="shared" si="37"/>
        <v>0</v>
      </c>
      <c r="AT53" s="36">
        <f t="shared" si="63"/>
        <v>0</v>
      </c>
      <c r="AU53" s="8">
        <f t="shared" si="8"/>
        <v>0</v>
      </c>
      <c r="AV53" s="6">
        <f>SUMIF('Eredeti fejléccel'!$B:$B,'Felosztás eredménykim'!$B53,'Eredeti fejléccel'!$AI:$AI)</f>
        <v>0</v>
      </c>
      <c r="AW53" s="6">
        <f>SUMIF('Eredeti fejléccel'!$B:$B,'Felosztás eredménykim'!$B53,'Eredeti fejléccel'!$AJ:$AJ)</f>
        <v>0</v>
      </c>
      <c r="AX53" s="6">
        <f>SUMIF('Eredeti fejléccel'!$B:$B,'Felosztás eredménykim'!$B53,'Eredeti fejléccel'!$AK:$AK)</f>
        <v>2854000</v>
      </c>
      <c r="AY53" s="6">
        <f>SUMIF('Eredeti fejléccel'!$B:$B,'Felosztás eredménykim'!$B53,'Eredeti fejléccel'!$AL:$AL)</f>
        <v>0</v>
      </c>
      <c r="AZ53" s="6">
        <f>SUMIF('Eredeti fejléccel'!$B:$B,'Felosztás eredménykim'!$B53,'Eredeti fejléccel'!$AM:$AM)</f>
        <v>0</v>
      </c>
      <c r="BA53" s="6">
        <f>SUMIF('Eredeti fejléccel'!$B:$B,'Felosztás eredménykim'!$B53,'Eredeti fejléccel'!$AN:$AN)</f>
        <v>0</v>
      </c>
      <c r="BB53" s="6">
        <f>SUMIF('Eredeti fejléccel'!$B:$B,'Felosztás eredménykim'!$B53,'Eredeti fejléccel'!$AP:$AP)</f>
        <v>0</v>
      </c>
      <c r="BD53" s="6">
        <f>SUMIF('Eredeti fejléccel'!$B:$B,'Felosztás eredménykim'!$B53,'Eredeti fejléccel'!$AS:$AS)</f>
        <v>0</v>
      </c>
      <c r="BE53" s="8">
        <f t="shared" si="38"/>
        <v>2854000</v>
      </c>
      <c r="BF53" s="36">
        <f t="shared" si="64"/>
        <v>0</v>
      </c>
      <c r="BG53" s="8">
        <f t="shared" si="10"/>
        <v>0</v>
      </c>
      <c r="BH53" s="6">
        <f t="shared" si="39"/>
        <v>0</v>
      </c>
      <c r="BI53" s="6">
        <f>SUMIF('Eredeti fejléccel'!$B:$B,'Felosztás eredménykim'!$B53,'Eredeti fejléccel'!$AH:$AH)</f>
        <v>0</v>
      </c>
      <c r="BJ53" s="6">
        <f>SUMIF('Eredeti fejléccel'!$B:$B,'Felosztás eredménykim'!$B53,'Eredeti fejléccel'!$AO:$AO)</f>
        <v>0</v>
      </c>
      <c r="BK53" s="6">
        <f>SUMIF('Eredeti fejléccel'!$B:$B,'Felosztás eredménykim'!$B53,'Eredeti fejléccel'!$BF:$BF)</f>
        <v>0</v>
      </c>
      <c r="BL53" s="8">
        <f t="shared" si="40"/>
        <v>0</v>
      </c>
      <c r="BM53" s="36">
        <f t="shared" si="65"/>
        <v>0</v>
      </c>
      <c r="BN53" s="8">
        <f t="shared" si="12"/>
        <v>0</v>
      </c>
      <c r="BP53" s="8">
        <f t="shared" si="41"/>
        <v>0</v>
      </c>
      <c r="BQ53" s="6">
        <f>SUMIF('Eredeti fejléccel'!$B:$B,'Felosztás eredménykim'!$B53,'Eredeti fejléccel'!$N:$N)</f>
        <v>0</v>
      </c>
      <c r="BR53" s="6">
        <f>SUMIF('Eredeti fejléccel'!$B:$B,'Felosztás eredménykim'!$B53,'Eredeti fejléccel'!$S:$S)</f>
        <v>0</v>
      </c>
      <c r="BT53" s="6">
        <f>SUMIF('Eredeti fejléccel'!$B:$B,'Felosztás eredménykim'!$B53,'Eredeti fejléccel'!$AR:$AR)</f>
        <v>0</v>
      </c>
      <c r="BU53" s="6">
        <f>SUMIF('Eredeti fejléccel'!$B:$B,'Felosztás eredménykim'!$B53,'Eredeti fejléccel'!$AU:$AU)</f>
        <v>0</v>
      </c>
      <c r="BV53" s="6">
        <f>SUMIF('Eredeti fejléccel'!$B:$B,'Felosztás eredménykim'!$B53,'Eredeti fejléccel'!$AV:$AV)</f>
        <v>0</v>
      </c>
      <c r="BW53" s="6">
        <f>SUMIF('Eredeti fejléccel'!$B:$B,'Felosztás eredménykim'!$B53,'Eredeti fejléccel'!$AW:$AW)</f>
        <v>0</v>
      </c>
      <c r="BX53" s="6">
        <f>SUMIF('Eredeti fejléccel'!$B:$B,'Felosztás eredménykim'!$B53,'Eredeti fejléccel'!$AX:$AX)</f>
        <v>0</v>
      </c>
      <c r="BY53" s="6">
        <f>SUMIF('Eredeti fejléccel'!$B:$B,'Felosztás eredménykim'!$B53,'Eredeti fejléccel'!$AY:$AY)</f>
        <v>0</v>
      </c>
      <c r="BZ53" s="6">
        <f>SUMIF('Eredeti fejléccel'!$B:$B,'Felosztás eredménykim'!$B53,'Eredeti fejléccel'!$AZ:$AZ)</f>
        <v>0</v>
      </c>
      <c r="CA53" s="6">
        <f>SUMIF('Eredeti fejléccel'!$B:$B,'Felosztás eredménykim'!$B53,'Eredeti fejléccel'!$BA:$BA)</f>
        <v>0</v>
      </c>
      <c r="CB53" s="6">
        <f t="shared" si="13"/>
        <v>0</v>
      </c>
      <c r="CC53" s="36">
        <f t="shared" si="66"/>
        <v>0</v>
      </c>
      <c r="CD53" s="8">
        <f t="shared" si="15"/>
        <v>0</v>
      </c>
      <c r="CE53" s="6">
        <f>SUMIF('Eredeti fejléccel'!$B:$B,'Felosztás eredménykim'!$B53,'Eredeti fejléccel'!$BC:$BC)</f>
        <v>0</v>
      </c>
      <c r="CF53" s="8">
        <f t="shared" si="42"/>
        <v>0</v>
      </c>
      <c r="CG53" s="6">
        <f>SUMIF('Eredeti fejléccel'!$B:$B,'Felosztás eredménykim'!$B53,'Eredeti fejléccel'!$H:$H)</f>
        <v>0</v>
      </c>
      <c r="CH53" s="6">
        <f>SUMIF('Eredeti fejléccel'!$B:$B,'Felosztás eredménykim'!$B53,'Eredeti fejléccel'!$BE:$BE)</f>
        <v>450000</v>
      </c>
      <c r="CI53" s="6">
        <f t="shared" si="43"/>
        <v>450000</v>
      </c>
      <c r="CJ53" s="36">
        <f t="shared" si="67"/>
        <v>0</v>
      </c>
      <c r="CK53" s="8">
        <f t="shared" si="17"/>
        <v>0</v>
      </c>
      <c r="CL53" s="8">
        <f t="shared" si="44"/>
        <v>0</v>
      </c>
      <c r="CM53" s="6">
        <f>SUMIF('Eredeti fejléccel'!$B:$B,'Felosztás eredménykim'!$B53,'Eredeti fejléccel'!$BD:$BD)</f>
        <v>2271883</v>
      </c>
      <c r="CN53" s="8">
        <f t="shared" si="45"/>
        <v>2271883</v>
      </c>
      <c r="CO53" s="8">
        <f t="shared" si="18"/>
        <v>5575883</v>
      </c>
      <c r="CR53" s="36">
        <f t="shared" si="19"/>
        <v>0</v>
      </c>
      <c r="CS53" s="6">
        <f>SUMIF('Eredeti fejléccel'!$B:$B,'Felosztás eredménykim'!$B53,'Eredeti fejléccel'!$I:$I)</f>
        <v>0</v>
      </c>
      <c r="CT53" s="6">
        <f>SUMIF('Eredeti fejléccel'!$B:$B,'Felosztás eredménykim'!$B53,'Eredeti fejléccel'!$BG:$BG)</f>
        <v>0</v>
      </c>
      <c r="CU53" s="6">
        <f>SUMIF('Eredeti fejléccel'!$B:$B,'Felosztás eredménykim'!$B53,'Eredeti fejléccel'!$BH:$BH)</f>
        <v>0</v>
      </c>
      <c r="CV53" s="6">
        <f>SUMIF('Eredeti fejléccel'!$B:$B,'Felosztás eredménykim'!$B53,'Eredeti fejléccel'!$BI:$BI)</f>
        <v>0</v>
      </c>
      <c r="CW53" s="6">
        <f>SUMIF('Eredeti fejléccel'!$B:$B,'Felosztás eredménykim'!$B53,'Eredeti fejléccel'!$BL:$BL)</f>
        <v>0</v>
      </c>
      <c r="CX53" s="6">
        <f t="shared" si="46"/>
        <v>0</v>
      </c>
      <c r="CY53" s="6">
        <f>SUMIF('Eredeti fejléccel'!$B:$B,'Felosztás eredménykim'!$B53,'Eredeti fejléccel'!$BJ:$BJ)</f>
        <v>0</v>
      </c>
      <c r="CZ53" s="6">
        <f>SUMIF('Eredeti fejléccel'!$B:$B,'Felosztás eredménykim'!$B53,'Eredeti fejléccel'!$BK:$BK)</f>
        <v>0</v>
      </c>
      <c r="DA53" s="99">
        <f t="shared" si="47"/>
        <v>0</v>
      </c>
      <c r="DC53" s="36">
        <f t="shared" si="20"/>
        <v>0</v>
      </c>
      <c r="DD53" s="6">
        <f>SUMIF('Eredeti fejléccel'!$B:$B,'Felosztás eredménykim'!$B53,'Eredeti fejléccel'!$J:$J)</f>
        <v>0</v>
      </c>
      <c r="DE53" s="6">
        <f>SUMIF('Eredeti fejléccel'!$B:$B,'Felosztás eredménykim'!$B53,'Eredeti fejléccel'!$BM:$BM)</f>
        <v>0</v>
      </c>
      <c r="DF53" s="6">
        <f t="shared" si="48"/>
        <v>0</v>
      </c>
      <c r="DG53" s="8">
        <f t="shared" si="21"/>
        <v>0</v>
      </c>
      <c r="DH53" s="8">
        <f t="shared" si="49"/>
        <v>0</v>
      </c>
      <c r="DJ53" s="6">
        <f>SUMIF('Eredeti fejléccel'!$B:$B,'Felosztás eredménykim'!$B53,'Eredeti fejléccel'!$BN:$BN)</f>
        <v>0</v>
      </c>
      <c r="DK53" s="6">
        <f>SUMIF('Eredeti fejléccel'!$B:$B,'Felosztás eredménykim'!$B53,'Eredeti fejléccel'!$BZ:$BZ)</f>
        <v>0</v>
      </c>
      <c r="DL53" s="8">
        <f t="shared" si="50"/>
        <v>0</v>
      </c>
      <c r="DM53" s="6">
        <f>SUMIF('Eredeti fejléccel'!$B:$B,'Felosztás eredménykim'!$B53,'Eredeti fejléccel'!$BR:$BR)</f>
        <v>0</v>
      </c>
      <c r="DN53" s="6">
        <f>SUMIF('Eredeti fejléccel'!$B:$B,'Felosztás eredménykim'!$B53,'Eredeti fejléccel'!$BS:$BS)</f>
        <v>0</v>
      </c>
      <c r="DO53" s="6">
        <f>SUMIF('Eredeti fejléccel'!$B:$B,'Felosztás eredménykim'!$B53,'Eredeti fejléccel'!$BO:$BO)</f>
        <v>0</v>
      </c>
      <c r="DP53" s="6">
        <f>SUMIF('Eredeti fejléccel'!$B:$B,'Felosztás eredménykim'!$B53,'Eredeti fejléccel'!$BP:$BP)</f>
        <v>0</v>
      </c>
      <c r="DQ53" s="6">
        <f>SUMIF('Eredeti fejléccel'!$B:$B,'Felosztás eredménykim'!$B53,'Eredeti fejléccel'!$BQ:$BQ)</f>
        <v>0</v>
      </c>
      <c r="DS53" s="8"/>
      <c r="DU53" s="6">
        <f>SUMIF('Eredeti fejléccel'!$B:$B,'Felosztás eredménykim'!$B53,'Eredeti fejléccel'!$BT:$BT)</f>
        <v>0</v>
      </c>
      <c r="DV53" s="6">
        <f>SUMIF('Eredeti fejléccel'!$B:$B,'Felosztás eredménykim'!$B53,'Eredeti fejléccel'!$BU:$BU)</f>
        <v>0</v>
      </c>
      <c r="DW53" s="6">
        <f>SUMIF('Eredeti fejléccel'!$B:$B,'Felosztás eredménykim'!$B53,'Eredeti fejléccel'!$BV:$BV)</f>
        <v>0</v>
      </c>
      <c r="DX53" s="6">
        <f>SUMIF('Eredeti fejléccel'!$B:$B,'Felosztás eredménykim'!$B53,'Eredeti fejléccel'!$BW:$BW)</f>
        <v>0</v>
      </c>
      <c r="DY53" s="6">
        <f>SUMIF('Eredeti fejléccel'!$B:$B,'Felosztás eredménykim'!$B53,'Eredeti fejléccel'!$BX:$BX)</f>
        <v>0</v>
      </c>
      <c r="EA53" s="6"/>
      <c r="EC53" s="6"/>
      <c r="EE53" s="6">
        <f>SUMIF('Eredeti fejléccel'!$B:$B,'Felosztás eredménykim'!$B53,'Eredeti fejléccel'!$CA:$CA)</f>
        <v>0</v>
      </c>
      <c r="EF53" s="6">
        <f>SUMIF('Eredeti fejléccel'!$B:$B,'Felosztás eredménykim'!$B53,'Eredeti fejléccel'!$CB:$CB)</f>
        <v>0</v>
      </c>
      <c r="EG53" s="6">
        <f>SUMIF('Eredeti fejléccel'!$B:$B,'Felosztás eredménykim'!$B53,'Eredeti fejléccel'!$CC:$CC)</f>
        <v>0</v>
      </c>
      <c r="EH53" s="6">
        <f>SUMIF('Eredeti fejléccel'!$B:$B,'Felosztás eredménykim'!$B53,'Eredeti fejléccel'!$CD:$CD)</f>
        <v>0</v>
      </c>
      <c r="EK53" s="6">
        <f>SUMIF('Eredeti fejléccel'!$B:$B,'Felosztás eredménykim'!$B53,'Eredeti fejléccel'!$CE:$CE)</f>
        <v>0</v>
      </c>
      <c r="EN53" s="6">
        <f>SUMIF('Eredeti fejléccel'!$B:$B,'Felosztás eredménykim'!$B53,'Eredeti fejléccel'!$CF:$CF)</f>
        <v>0</v>
      </c>
      <c r="EP53" s="6">
        <f>SUMIF('Eredeti fejléccel'!$B:$B,'Felosztás eredménykim'!$B53,'Eredeti fejléccel'!$CG:$CG)</f>
        <v>0</v>
      </c>
      <c r="ES53" s="6">
        <f>SUMIF('Eredeti fejléccel'!$B:$B,'Felosztás eredménykim'!$B53,'Eredeti fejléccel'!$CH:$CH)</f>
        <v>0</v>
      </c>
      <c r="ET53" s="6">
        <f>SUMIF('Eredeti fejléccel'!$B:$B,'Felosztás eredménykim'!$B53,'Eredeti fejléccel'!$CI:$CI)</f>
        <v>0</v>
      </c>
      <c r="EW53" s="8">
        <f t="shared" si="22"/>
        <v>0</v>
      </c>
      <c r="EX53" s="8">
        <f t="shared" si="51"/>
        <v>0</v>
      </c>
      <c r="EY53" s="8">
        <f t="shared" si="52"/>
        <v>0</v>
      </c>
      <c r="EZ53" s="8">
        <f t="shared" si="23"/>
        <v>0</v>
      </c>
      <c r="FA53" s="8">
        <f t="shared" si="24"/>
        <v>0</v>
      </c>
      <c r="FC53" s="6">
        <f>SUMIF('Eredeti fejléccel'!$B:$B,'Felosztás eredménykim'!$B53,'Eredeti fejléccel'!$L:$L)</f>
        <v>0</v>
      </c>
      <c r="FD53" s="6">
        <f>SUMIF('Eredeti fejléccel'!$B:$B,'Felosztás eredménykim'!$B53,'Eredeti fejléccel'!$CJ:$CJ)</f>
        <v>0</v>
      </c>
      <c r="FE53" s="6">
        <f>SUMIF('Eredeti fejléccel'!$B:$B,'Felosztás eredménykim'!$B53,'Eredeti fejléccel'!$CL:$CL)</f>
        <v>0</v>
      </c>
      <c r="FG53" s="99">
        <f t="shared" si="53"/>
        <v>0</v>
      </c>
      <c r="FH53" s="6">
        <f>SUMIF('Eredeti fejléccel'!$B:$B,'Felosztás eredménykim'!$B53,'Eredeti fejléccel'!$CK:$CK)</f>
        <v>0</v>
      </c>
      <c r="FI53" s="36">
        <f t="shared" si="68"/>
        <v>0</v>
      </c>
      <c r="FJ53" s="101">
        <f t="shared" si="26"/>
        <v>0</v>
      </c>
      <c r="FK53" s="6">
        <f>SUMIF('Eredeti fejléccel'!$B:$B,'Felosztás eredménykim'!$B53,'Eredeti fejléccel'!$CM:$CM)</f>
        <v>0</v>
      </c>
      <c r="FL53" s="6">
        <f>SUMIF('Eredeti fejléccel'!$B:$B,'Felosztás eredménykim'!$B53,'Eredeti fejléccel'!$CN:$CN)</f>
        <v>0</v>
      </c>
      <c r="FM53" s="8">
        <f t="shared" si="54"/>
        <v>0</v>
      </c>
      <c r="FN53" s="36">
        <f t="shared" si="69"/>
        <v>0</v>
      </c>
      <c r="FO53" s="101">
        <f t="shared" si="28"/>
        <v>0</v>
      </c>
      <c r="FP53" s="6">
        <f>SUMIF('Eredeti fejléccel'!$B:$B,'Felosztás eredménykim'!$B53,'Eredeti fejléccel'!$CO:$CO)</f>
        <v>0</v>
      </c>
      <c r="FQ53" s="6">
        <f>'Eredeti fejléccel'!CP53</f>
        <v>0</v>
      </c>
      <c r="FR53" s="6">
        <f>'Eredeti fejléccel'!CQ53</f>
        <v>0</v>
      </c>
      <c r="FS53" s="103">
        <f t="shared" si="55"/>
        <v>0</v>
      </c>
      <c r="FT53" s="36">
        <f t="shared" si="70"/>
        <v>0</v>
      </c>
      <c r="FU53" s="101">
        <f t="shared" si="30"/>
        <v>0</v>
      </c>
      <c r="FV53" s="101"/>
      <c r="FW53" s="6">
        <f>SUMIF('Eredeti fejléccel'!$B:$B,'Felosztás eredménykim'!$B53,'Eredeti fejléccel'!$CR:$CR)</f>
        <v>0</v>
      </c>
      <c r="FX53" s="6">
        <f>SUMIF('Eredeti fejléccel'!$B:$B,'Felosztás eredménykim'!$B53,'Eredeti fejléccel'!$CS:$CS)</f>
        <v>0</v>
      </c>
      <c r="FY53" s="6">
        <f>SUMIF('Eredeti fejléccel'!$B:$B,'Felosztás eredménykim'!$B53,'Eredeti fejléccel'!$CT:$CT)</f>
        <v>0</v>
      </c>
      <c r="FZ53" s="6">
        <f>SUMIF('Eredeti fejléccel'!$B:$B,'Felosztás eredménykim'!$B53,'Eredeti fejléccel'!$CU:$CU)</f>
        <v>0</v>
      </c>
      <c r="GA53" s="103">
        <f t="shared" si="56"/>
        <v>0</v>
      </c>
      <c r="GB53" s="36">
        <f t="shared" si="71"/>
        <v>0</v>
      </c>
      <c r="GC53" s="101">
        <f t="shared" si="32"/>
        <v>0</v>
      </c>
      <c r="GD53" s="6">
        <f>SUMIF('Eredeti fejléccel'!$B:$B,'Felosztás eredménykim'!$B53,'Eredeti fejléccel'!$CV:$CV)</f>
        <v>0</v>
      </c>
      <c r="GE53" s="6">
        <f>SUMIF('Eredeti fejléccel'!$B:$B,'Felosztás eredménykim'!$B53,'Eredeti fejléccel'!$CW:$CW)</f>
        <v>0</v>
      </c>
      <c r="GF53" s="103">
        <f t="shared" si="57"/>
        <v>0</v>
      </c>
      <c r="GG53" s="36">
        <f t="shared" si="33"/>
        <v>0</v>
      </c>
      <c r="GM53" s="6">
        <f>SUMIF('Eredeti fejléccel'!$B:$B,'Felosztás eredménykim'!$B53,'Eredeti fejléccel'!$CX:$CX)</f>
        <v>0</v>
      </c>
      <c r="GN53" s="6">
        <f>SUMIF('Eredeti fejléccel'!$B:$B,'Felosztás eredménykim'!$B53,'Eredeti fejléccel'!$CY:$CY)</f>
        <v>0</v>
      </c>
      <c r="GO53" s="6">
        <f>SUMIF('Eredeti fejléccel'!$B:$B,'Felosztás eredménykim'!$B53,'Eredeti fejléccel'!$CZ:$CZ)</f>
        <v>0</v>
      </c>
      <c r="GP53" s="6">
        <f>SUMIF('Eredeti fejléccel'!$B:$B,'Felosztás eredménykim'!$B53,'Eredeti fejléccel'!$DA:$DA)</f>
        <v>0</v>
      </c>
      <c r="GQ53" s="6">
        <f>SUMIF('Eredeti fejléccel'!$B:$B,'Felosztás eredménykim'!$B53,'Eredeti fejléccel'!$DB:$DB)</f>
        <v>0</v>
      </c>
      <c r="GR53" s="103">
        <f t="shared" si="58"/>
        <v>0</v>
      </c>
      <c r="GW53" s="36">
        <f t="shared" si="34"/>
        <v>0</v>
      </c>
      <c r="GX53" s="6">
        <f>SUMIF('Eredeti fejléccel'!$B:$B,'Felosztás eredménykim'!$B53,'Eredeti fejléccel'!$M:$M)</f>
        <v>0</v>
      </c>
      <c r="GY53" s="6">
        <f>SUMIF('Eredeti fejléccel'!$B:$B,'Felosztás eredménykim'!$B53,'Eredeti fejléccel'!$DC:$DC)</f>
        <v>0</v>
      </c>
      <c r="GZ53" s="6">
        <f>SUMIF('Eredeti fejléccel'!$B:$B,'Felosztás eredménykim'!$B53,'Eredeti fejléccel'!$DD:$DD)</f>
        <v>0</v>
      </c>
      <c r="HA53" s="6">
        <f>SUMIF('Eredeti fejléccel'!$B:$B,'Felosztás eredménykim'!$B53,'Eredeti fejléccel'!$DE:$DE)</f>
        <v>0</v>
      </c>
      <c r="HB53" s="103">
        <f t="shared" si="59"/>
        <v>0</v>
      </c>
      <c r="HD53" s="9">
        <f t="shared" si="72"/>
        <v>5575883</v>
      </c>
      <c r="HE53" s="9">
        <v>5575883</v>
      </c>
      <c r="HF53" s="476"/>
      <c r="HH53" s="34">
        <f t="shared" si="60"/>
        <v>0</v>
      </c>
    </row>
    <row r="54" spans="1:216" x14ac:dyDescent="0.25">
      <c r="A54" s="4" t="s">
        <v>128</v>
      </c>
      <c r="B54" s="4" t="s">
        <v>128</v>
      </c>
      <c r="C54" s="1" t="s">
        <v>129</v>
      </c>
      <c r="D54" s="6">
        <f>SUMIF('Eredeti fejléccel'!$B:$B,'Felosztás eredménykim'!$B54,'Eredeti fejléccel'!$D:$D)</f>
        <v>0</v>
      </c>
      <c r="E54" s="6">
        <f>SUMIF('Eredeti fejléccel'!$B:$B,'Felosztás eredménykim'!$B54,'Eredeti fejléccel'!$E:$E)</f>
        <v>0</v>
      </c>
      <c r="F54" s="6">
        <f>SUMIF('Eredeti fejléccel'!$B:$B,'Felosztás eredménykim'!$B54,'Eredeti fejléccel'!$F:$F)</f>
        <v>0</v>
      </c>
      <c r="G54" s="6">
        <f>SUMIF('Eredeti fejléccel'!$B:$B,'Felosztás eredménykim'!$B54,'Eredeti fejléccel'!$G:$G)</f>
        <v>0</v>
      </c>
      <c r="H54" s="6"/>
      <c r="I54" s="6">
        <f>SUMIF('Eredeti fejléccel'!$B:$B,'Felosztás eredménykim'!$B54,'Eredeti fejléccel'!$O:$O)</f>
        <v>0</v>
      </c>
      <c r="J54" s="6">
        <f>SUMIF('Eredeti fejléccel'!$B:$B,'Felosztás eredménykim'!$B54,'Eredeti fejléccel'!$P:$P)</f>
        <v>0</v>
      </c>
      <c r="K54" s="6">
        <f>SUMIF('Eredeti fejléccel'!$B:$B,'Felosztás eredménykim'!$B54,'Eredeti fejléccel'!$Q:$Q)</f>
        <v>0</v>
      </c>
      <c r="L54" s="6">
        <f>SUMIF('Eredeti fejléccel'!$B:$B,'Felosztás eredménykim'!$B54,'Eredeti fejléccel'!$R:$R)</f>
        <v>0</v>
      </c>
      <c r="M54" s="6">
        <f>SUMIF('Eredeti fejléccel'!$B:$B,'Felosztás eredménykim'!$B54,'Eredeti fejléccel'!$T:$T)</f>
        <v>0</v>
      </c>
      <c r="N54" s="6">
        <f>SUMIF('Eredeti fejléccel'!$B:$B,'Felosztás eredménykim'!$B54,'Eredeti fejléccel'!$U:$U)</f>
        <v>0</v>
      </c>
      <c r="O54" s="6">
        <f>SUMIF('Eredeti fejléccel'!$B:$B,'Felosztás eredménykim'!$B54,'Eredeti fejléccel'!$V:$V)</f>
        <v>0</v>
      </c>
      <c r="P54" s="6">
        <f>SUMIF('Eredeti fejléccel'!$B:$B,'Felosztás eredménykim'!$B54,'Eredeti fejléccel'!$W:$W)</f>
        <v>0</v>
      </c>
      <c r="Q54" s="6">
        <f>SUMIF('Eredeti fejléccel'!$B:$B,'Felosztás eredménykim'!$B54,'Eredeti fejléccel'!$X:$X)</f>
        <v>0</v>
      </c>
      <c r="R54" s="6">
        <f>SUMIF('Eredeti fejléccel'!$B:$B,'Felosztás eredménykim'!$B54,'Eredeti fejléccel'!$Y:$Y)</f>
        <v>0</v>
      </c>
      <c r="S54" s="6">
        <f>SUMIF('Eredeti fejléccel'!$B:$B,'Felosztás eredménykim'!$B54,'Eredeti fejléccel'!$Z:$Z)</f>
        <v>0</v>
      </c>
      <c r="T54" s="6">
        <f>SUMIF('Eredeti fejléccel'!$B:$B,'Felosztás eredménykim'!$B54,'Eredeti fejléccel'!$AA:$AA)</f>
        <v>0</v>
      </c>
      <c r="U54" s="6">
        <f>SUMIF('Eredeti fejléccel'!$B:$B,'Felosztás eredménykim'!$B54,'Eredeti fejléccel'!$D:$D)</f>
        <v>0</v>
      </c>
      <c r="V54" s="6">
        <f>SUMIF('Eredeti fejléccel'!$B:$B,'Felosztás eredménykim'!$B54,'Eredeti fejléccel'!$AT:$AT)</f>
        <v>0</v>
      </c>
      <c r="X54" s="36">
        <f t="shared" si="0"/>
        <v>0</v>
      </c>
      <c r="Z54" s="6">
        <f>SUMIF('Eredeti fejléccel'!$B:$B,'Felosztás eredménykim'!$B54,'Eredeti fejléccel'!$K:$K)</f>
        <v>0</v>
      </c>
      <c r="AB54" s="6">
        <f>SUMIF('Eredeti fejléccel'!$B:$B,'Felosztás eredménykim'!$B54,'Eredeti fejléccel'!$AB:$AB)</f>
        <v>0</v>
      </c>
      <c r="AC54" s="6">
        <f>SUMIF('Eredeti fejléccel'!$B:$B,'Felosztás eredménykim'!$B54,'Eredeti fejléccel'!$AQ:$AQ)</f>
        <v>0</v>
      </c>
      <c r="AE54" s="73">
        <f t="shared" si="1"/>
        <v>0</v>
      </c>
      <c r="AF54" s="36">
        <f t="shared" si="61"/>
        <v>0</v>
      </c>
      <c r="AG54" s="8">
        <f t="shared" si="3"/>
        <v>0</v>
      </c>
      <c r="AI54" s="6">
        <f>SUMIF('Eredeti fejléccel'!$B:$B,'Felosztás eredménykim'!$B54,'Eredeti fejléccel'!$BB:$BB)</f>
        <v>0</v>
      </c>
      <c r="AJ54" s="6">
        <f>SUMIF('Eredeti fejléccel'!$B:$B,'Felosztás eredménykim'!$B54,'Eredeti fejléccel'!$AF:$AF)</f>
        <v>0</v>
      </c>
      <c r="AK54" s="8">
        <f t="shared" si="4"/>
        <v>0</v>
      </c>
      <c r="AL54" s="36">
        <f t="shared" si="62"/>
        <v>0</v>
      </c>
      <c r="AM54" s="8">
        <f t="shared" si="6"/>
        <v>0</v>
      </c>
      <c r="AN54" s="6">
        <f t="shared" si="36"/>
        <v>0</v>
      </c>
      <c r="AO54" s="6">
        <f>SUMIF('Eredeti fejléccel'!$B:$B,'Felosztás eredménykim'!$B54,'Eredeti fejléccel'!$AC:$AC)</f>
        <v>0</v>
      </c>
      <c r="AP54" s="6">
        <f>SUMIF('Eredeti fejléccel'!$B:$B,'Felosztás eredménykim'!$B54,'Eredeti fejléccel'!$AD:$AD)</f>
        <v>0</v>
      </c>
      <c r="AQ54" s="6">
        <f>SUMIF('Eredeti fejléccel'!$B:$B,'Felosztás eredménykim'!$B54,'Eredeti fejléccel'!$AE:$AE)</f>
        <v>0</v>
      </c>
      <c r="AR54" s="6">
        <f>SUMIF('Eredeti fejléccel'!$B:$B,'Felosztás eredménykim'!$B54,'Eredeti fejléccel'!$AG:$AG)</f>
        <v>0</v>
      </c>
      <c r="AS54" s="6">
        <f t="shared" si="37"/>
        <v>0</v>
      </c>
      <c r="AT54" s="36">
        <f t="shared" si="63"/>
        <v>0</v>
      </c>
      <c r="AU54" s="8">
        <f t="shared" si="8"/>
        <v>0</v>
      </c>
      <c r="AV54" s="6">
        <f>SUMIF('Eredeti fejléccel'!$B:$B,'Felosztás eredménykim'!$B54,'Eredeti fejléccel'!$AI:$AI)</f>
        <v>0</v>
      </c>
      <c r="AW54" s="6">
        <f>SUMIF('Eredeti fejléccel'!$B:$B,'Felosztás eredménykim'!$B54,'Eredeti fejléccel'!$AJ:$AJ)</f>
        <v>0</v>
      </c>
      <c r="AX54" s="6">
        <f>SUMIF('Eredeti fejléccel'!$B:$B,'Felosztás eredménykim'!$B54,'Eredeti fejléccel'!$AK:$AK)</f>
        <v>0</v>
      </c>
      <c r="AY54" s="6">
        <f>SUMIF('Eredeti fejléccel'!$B:$B,'Felosztás eredménykim'!$B54,'Eredeti fejléccel'!$AL:$AL)</f>
        <v>0</v>
      </c>
      <c r="AZ54" s="6">
        <f>SUMIF('Eredeti fejléccel'!$B:$B,'Felosztás eredménykim'!$B54,'Eredeti fejléccel'!$AM:$AM)</f>
        <v>0</v>
      </c>
      <c r="BA54" s="6">
        <f>SUMIF('Eredeti fejléccel'!$B:$B,'Felosztás eredménykim'!$B54,'Eredeti fejléccel'!$AN:$AN)</f>
        <v>0</v>
      </c>
      <c r="BB54" s="6">
        <f>SUMIF('Eredeti fejléccel'!$B:$B,'Felosztás eredménykim'!$B54,'Eredeti fejléccel'!$AP:$AP)</f>
        <v>0</v>
      </c>
      <c r="BD54" s="6">
        <f>SUMIF('Eredeti fejléccel'!$B:$B,'Felosztás eredménykim'!$B54,'Eredeti fejléccel'!$AS:$AS)</f>
        <v>0</v>
      </c>
      <c r="BE54" s="8">
        <f t="shared" si="38"/>
        <v>0</v>
      </c>
      <c r="BF54" s="36">
        <f t="shared" si="64"/>
        <v>0</v>
      </c>
      <c r="BG54" s="8">
        <f t="shared" si="10"/>
        <v>0</v>
      </c>
      <c r="BH54" s="6">
        <f t="shared" si="39"/>
        <v>0</v>
      </c>
      <c r="BI54" s="6">
        <f>SUMIF('Eredeti fejléccel'!$B:$B,'Felosztás eredménykim'!$B54,'Eredeti fejléccel'!$AH:$AH)</f>
        <v>0</v>
      </c>
      <c r="BJ54" s="6">
        <f>SUMIF('Eredeti fejléccel'!$B:$B,'Felosztás eredménykim'!$B54,'Eredeti fejléccel'!$AO:$AO)</f>
        <v>0</v>
      </c>
      <c r="BK54" s="6">
        <f>SUMIF('Eredeti fejléccel'!$B:$B,'Felosztás eredménykim'!$B54,'Eredeti fejléccel'!$BF:$BF)</f>
        <v>0</v>
      </c>
      <c r="BL54" s="8">
        <f t="shared" si="40"/>
        <v>0</v>
      </c>
      <c r="BM54" s="36">
        <f t="shared" si="65"/>
        <v>0</v>
      </c>
      <c r="BN54" s="8">
        <f t="shared" si="12"/>
        <v>0</v>
      </c>
      <c r="BP54" s="8">
        <f t="shared" si="41"/>
        <v>0</v>
      </c>
      <c r="BQ54" s="6">
        <f>SUMIF('Eredeti fejléccel'!$B:$B,'Felosztás eredménykim'!$B54,'Eredeti fejléccel'!$N:$N)</f>
        <v>0</v>
      </c>
      <c r="BR54" s="6">
        <f>SUMIF('Eredeti fejléccel'!$B:$B,'Felosztás eredménykim'!$B54,'Eredeti fejléccel'!$S:$S)</f>
        <v>0</v>
      </c>
      <c r="BT54" s="6">
        <f>SUMIF('Eredeti fejléccel'!$B:$B,'Felosztás eredménykim'!$B54,'Eredeti fejléccel'!$AR:$AR)</f>
        <v>0</v>
      </c>
      <c r="BU54" s="6">
        <f>SUMIF('Eredeti fejléccel'!$B:$B,'Felosztás eredménykim'!$B54,'Eredeti fejléccel'!$AU:$AU)</f>
        <v>0</v>
      </c>
      <c r="BV54" s="6">
        <f>SUMIF('Eredeti fejléccel'!$B:$B,'Felosztás eredménykim'!$B54,'Eredeti fejléccel'!$AV:$AV)</f>
        <v>0</v>
      </c>
      <c r="BW54" s="6">
        <f>SUMIF('Eredeti fejléccel'!$B:$B,'Felosztás eredménykim'!$B54,'Eredeti fejléccel'!$AW:$AW)</f>
        <v>0</v>
      </c>
      <c r="BX54" s="6">
        <f>SUMIF('Eredeti fejléccel'!$B:$B,'Felosztás eredménykim'!$B54,'Eredeti fejléccel'!$AX:$AX)</f>
        <v>0</v>
      </c>
      <c r="BY54" s="6">
        <f>SUMIF('Eredeti fejléccel'!$B:$B,'Felosztás eredménykim'!$B54,'Eredeti fejléccel'!$AY:$AY)</f>
        <v>0</v>
      </c>
      <c r="BZ54" s="6">
        <f>SUMIF('Eredeti fejléccel'!$B:$B,'Felosztás eredménykim'!$B54,'Eredeti fejléccel'!$AZ:$AZ)</f>
        <v>0</v>
      </c>
      <c r="CA54" s="6">
        <f>SUMIF('Eredeti fejléccel'!$B:$B,'Felosztás eredménykim'!$B54,'Eredeti fejléccel'!$BA:$BA)</f>
        <v>0</v>
      </c>
      <c r="CB54" s="6">
        <f t="shared" si="13"/>
        <v>0</v>
      </c>
      <c r="CC54" s="36">
        <f t="shared" si="66"/>
        <v>0</v>
      </c>
      <c r="CD54" s="8">
        <f t="shared" si="15"/>
        <v>0</v>
      </c>
      <c r="CE54" s="6">
        <f>SUMIF('Eredeti fejléccel'!$B:$B,'Felosztás eredménykim'!$B54,'Eredeti fejléccel'!$BC:$BC)</f>
        <v>0</v>
      </c>
      <c r="CF54" s="8">
        <f t="shared" si="42"/>
        <v>0</v>
      </c>
      <c r="CG54" s="6">
        <f>SUMIF('Eredeti fejléccel'!$B:$B,'Felosztás eredménykim'!$B54,'Eredeti fejléccel'!$H:$H)</f>
        <v>0</v>
      </c>
      <c r="CH54" s="6">
        <f>SUMIF('Eredeti fejléccel'!$B:$B,'Felosztás eredménykim'!$B54,'Eredeti fejléccel'!$BE:$BE)</f>
        <v>5209400</v>
      </c>
      <c r="CI54" s="6">
        <f t="shared" si="43"/>
        <v>5209400</v>
      </c>
      <c r="CJ54" s="36">
        <f t="shared" si="67"/>
        <v>0</v>
      </c>
      <c r="CK54" s="8">
        <f t="shared" si="17"/>
        <v>0</v>
      </c>
      <c r="CL54" s="8">
        <f t="shared" si="44"/>
        <v>0</v>
      </c>
      <c r="CM54" s="6">
        <f>SUMIF('Eredeti fejléccel'!$B:$B,'Felosztás eredménykim'!$B54,'Eredeti fejléccel'!$BD:$BD)</f>
        <v>7352494</v>
      </c>
      <c r="CN54" s="8">
        <f t="shared" si="45"/>
        <v>7352494</v>
      </c>
      <c r="CO54" s="8">
        <f t="shared" si="18"/>
        <v>12561894</v>
      </c>
      <c r="CR54" s="36">
        <f t="shared" si="19"/>
        <v>0</v>
      </c>
      <c r="CS54" s="6">
        <f>SUMIF('Eredeti fejléccel'!$B:$B,'Felosztás eredménykim'!$B54,'Eredeti fejléccel'!$I:$I)</f>
        <v>0</v>
      </c>
      <c r="CT54" s="6">
        <f>SUMIF('Eredeti fejléccel'!$B:$B,'Felosztás eredménykim'!$B54,'Eredeti fejléccel'!$BG:$BG)</f>
        <v>0</v>
      </c>
      <c r="CU54" s="6">
        <f>SUMIF('Eredeti fejléccel'!$B:$B,'Felosztás eredménykim'!$B54,'Eredeti fejléccel'!$BH:$BH)</f>
        <v>0</v>
      </c>
      <c r="CV54" s="6">
        <f>SUMIF('Eredeti fejléccel'!$B:$B,'Felosztás eredménykim'!$B54,'Eredeti fejléccel'!$BI:$BI)</f>
        <v>0</v>
      </c>
      <c r="CW54" s="6">
        <f>SUMIF('Eredeti fejléccel'!$B:$B,'Felosztás eredménykim'!$B54,'Eredeti fejléccel'!$BL:$BL)</f>
        <v>0</v>
      </c>
      <c r="CX54" s="6">
        <f t="shared" si="46"/>
        <v>0</v>
      </c>
      <c r="CY54" s="6">
        <f>SUMIF('Eredeti fejléccel'!$B:$B,'Felosztás eredménykim'!$B54,'Eredeti fejléccel'!$BJ:$BJ)</f>
        <v>0</v>
      </c>
      <c r="CZ54" s="6">
        <f>SUMIF('Eredeti fejléccel'!$B:$B,'Felosztás eredménykim'!$B54,'Eredeti fejléccel'!$BK:$BK)</f>
        <v>0</v>
      </c>
      <c r="DA54" s="99">
        <f t="shared" si="47"/>
        <v>0</v>
      </c>
      <c r="DC54" s="36">
        <f t="shared" si="20"/>
        <v>0</v>
      </c>
      <c r="DD54" s="6">
        <f>SUMIF('Eredeti fejléccel'!$B:$B,'Felosztás eredménykim'!$B54,'Eredeti fejléccel'!$J:$J)</f>
        <v>0</v>
      </c>
      <c r="DE54" s="6">
        <f>SUMIF('Eredeti fejléccel'!$B:$B,'Felosztás eredménykim'!$B54,'Eredeti fejléccel'!$BM:$BM)</f>
        <v>0</v>
      </c>
      <c r="DF54" s="6">
        <f t="shared" si="48"/>
        <v>0</v>
      </c>
      <c r="DG54" s="8">
        <f t="shared" si="21"/>
        <v>0</v>
      </c>
      <c r="DH54" s="8">
        <f t="shared" si="49"/>
        <v>0</v>
      </c>
      <c r="DJ54" s="6">
        <f>SUMIF('Eredeti fejléccel'!$B:$B,'Felosztás eredménykim'!$B54,'Eredeti fejléccel'!$BN:$BN)</f>
        <v>0</v>
      </c>
      <c r="DK54" s="6">
        <f>SUMIF('Eredeti fejléccel'!$B:$B,'Felosztás eredménykim'!$B54,'Eredeti fejléccel'!$BZ:$BZ)</f>
        <v>0</v>
      </c>
      <c r="DL54" s="8">
        <f t="shared" si="50"/>
        <v>0</v>
      </c>
      <c r="DM54" s="6">
        <f>SUMIF('Eredeti fejléccel'!$B:$B,'Felosztás eredménykim'!$B54,'Eredeti fejléccel'!$BR:$BR)</f>
        <v>0</v>
      </c>
      <c r="DN54" s="6">
        <f>SUMIF('Eredeti fejléccel'!$B:$B,'Felosztás eredménykim'!$B54,'Eredeti fejléccel'!$BS:$BS)</f>
        <v>0</v>
      </c>
      <c r="DO54" s="6">
        <f>SUMIF('Eredeti fejléccel'!$B:$B,'Felosztás eredménykim'!$B54,'Eredeti fejléccel'!$BO:$BO)</f>
        <v>0</v>
      </c>
      <c r="DP54" s="6">
        <f>SUMIF('Eredeti fejléccel'!$B:$B,'Felosztás eredménykim'!$B54,'Eredeti fejléccel'!$BP:$BP)</f>
        <v>0</v>
      </c>
      <c r="DQ54" s="6">
        <f>SUMIF('Eredeti fejléccel'!$B:$B,'Felosztás eredménykim'!$B54,'Eredeti fejléccel'!$BQ:$BQ)</f>
        <v>0</v>
      </c>
      <c r="DS54" s="8"/>
      <c r="DU54" s="6">
        <f>SUMIF('Eredeti fejléccel'!$B:$B,'Felosztás eredménykim'!$B54,'Eredeti fejléccel'!$BT:$BT)</f>
        <v>0</v>
      </c>
      <c r="DV54" s="6">
        <f>SUMIF('Eredeti fejléccel'!$B:$B,'Felosztás eredménykim'!$B54,'Eredeti fejléccel'!$BU:$BU)</f>
        <v>0</v>
      </c>
      <c r="DW54" s="6">
        <f>SUMIF('Eredeti fejléccel'!$B:$B,'Felosztás eredménykim'!$B54,'Eredeti fejléccel'!$BV:$BV)</f>
        <v>0</v>
      </c>
      <c r="DX54" s="6">
        <f>SUMIF('Eredeti fejléccel'!$B:$B,'Felosztás eredménykim'!$B54,'Eredeti fejléccel'!$BW:$BW)</f>
        <v>0</v>
      </c>
      <c r="DY54" s="6">
        <f>SUMIF('Eredeti fejléccel'!$B:$B,'Felosztás eredménykim'!$B54,'Eredeti fejléccel'!$BX:$BX)</f>
        <v>0</v>
      </c>
      <c r="EA54" s="6"/>
      <c r="EC54" s="6"/>
      <c r="EE54" s="6">
        <f>SUMIF('Eredeti fejléccel'!$B:$B,'Felosztás eredménykim'!$B54,'Eredeti fejléccel'!$CA:$CA)</f>
        <v>0</v>
      </c>
      <c r="EF54" s="6">
        <f>SUMIF('Eredeti fejléccel'!$B:$B,'Felosztás eredménykim'!$B54,'Eredeti fejléccel'!$CB:$CB)</f>
        <v>0</v>
      </c>
      <c r="EG54" s="6">
        <f>SUMIF('Eredeti fejléccel'!$B:$B,'Felosztás eredménykim'!$B54,'Eredeti fejléccel'!$CC:$CC)</f>
        <v>0</v>
      </c>
      <c r="EH54" s="6">
        <f>SUMIF('Eredeti fejléccel'!$B:$B,'Felosztás eredménykim'!$B54,'Eredeti fejléccel'!$CD:$CD)</f>
        <v>0</v>
      </c>
      <c r="EK54" s="6">
        <f>SUMIF('Eredeti fejléccel'!$B:$B,'Felosztás eredménykim'!$B54,'Eredeti fejléccel'!$CE:$CE)</f>
        <v>0</v>
      </c>
      <c r="EN54" s="6">
        <f>SUMIF('Eredeti fejléccel'!$B:$B,'Felosztás eredménykim'!$B54,'Eredeti fejléccel'!$CF:$CF)</f>
        <v>0</v>
      </c>
      <c r="EP54" s="6">
        <f>SUMIF('Eredeti fejléccel'!$B:$B,'Felosztás eredménykim'!$B54,'Eredeti fejléccel'!$CG:$CG)</f>
        <v>0</v>
      </c>
      <c r="ES54" s="6">
        <f>SUMIF('Eredeti fejléccel'!$B:$B,'Felosztás eredménykim'!$B54,'Eredeti fejléccel'!$CH:$CH)</f>
        <v>0</v>
      </c>
      <c r="ET54" s="6">
        <f>SUMIF('Eredeti fejléccel'!$B:$B,'Felosztás eredménykim'!$B54,'Eredeti fejléccel'!$CI:$CI)</f>
        <v>0</v>
      </c>
      <c r="EW54" s="8">
        <f t="shared" si="22"/>
        <v>0</v>
      </c>
      <c r="EX54" s="8">
        <f t="shared" si="51"/>
        <v>0</v>
      </c>
      <c r="EY54" s="8">
        <f t="shared" si="52"/>
        <v>0</v>
      </c>
      <c r="EZ54" s="8">
        <f t="shared" si="23"/>
        <v>0</v>
      </c>
      <c r="FA54" s="8">
        <f t="shared" si="24"/>
        <v>0</v>
      </c>
      <c r="FC54" s="6">
        <f>SUMIF('Eredeti fejléccel'!$B:$B,'Felosztás eredménykim'!$B54,'Eredeti fejléccel'!$L:$L)</f>
        <v>0</v>
      </c>
      <c r="FD54" s="6">
        <f>SUMIF('Eredeti fejléccel'!$B:$B,'Felosztás eredménykim'!$B54,'Eredeti fejléccel'!$CJ:$CJ)</f>
        <v>0</v>
      </c>
      <c r="FE54" s="6">
        <f>SUMIF('Eredeti fejléccel'!$B:$B,'Felosztás eredménykim'!$B54,'Eredeti fejléccel'!$CL:$CL)</f>
        <v>0</v>
      </c>
      <c r="FG54" s="99">
        <f t="shared" si="53"/>
        <v>0</v>
      </c>
      <c r="FH54" s="6">
        <f>SUMIF('Eredeti fejléccel'!$B:$B,'Felosztás eredménykim'!$B54,'Eredeti fejléccel'!$CK:$CK)</f>
        <v>0</v>
      </c>
      <c r="FI54" s="36">
        <f t="shared" si="68"/>
        <v>0</v>
      </c>
      <c r="FJ54" s="101">
        <f t="shared" si="26"/>
        <v>0</v>
      </c>
      <c r="FK54" s="6">
        <f>SUMIF('Eredeti fejléccel'!$B:$B,'Felosztás eredménykim'!$B54,'Eredeti fejléccel'!$CM:$CM)</f>
        <v>0</v>
      </c>
      <c r="FL54" s="6">
        <f>SUMIF('Eredeti fejléccel'!$B:$B,'Felosztás eredménykim'!$B54,'Eredeti fejléccel'!$CN:$CN)</f>
        <v>0</v>
      </c>
      <c r="FM54" s="8">
        <f t="shared" si="54"/>
        <v>0</v>
      </c>
      <c r="FN54" s="36">
        <f t="shared" si="69"/>
        <v>0</v>
      </c>
      <c r="FO54" s="101">
        <f t="shared" si="28"/>
        <v>0</v>
      </c>
      <c r="FP54" s="6">
        <f>SUMIF('Eredeti fejléccel'!$B:$B,'Felosztás eredménykim'!$B54,'Eredeti fejléccel'!$CO:$CO)</f>
        <v>0</v>
      </c>
      <c r="FQ54" s="6">
        <f>'Eredeti fejléccel'!CP54</f>
        <v>0</v>
      </c>
      <c r="FR54" s="6">
        <f>'Eredeti fejléccel'!CQ54</f>
        <v>0</v>
      </c>
      <c r="FS54" s="103">
        <f t="shared" si="55"/>
        <v>0</v>
      </c>
      <c r="FT54" s="36">
        <f t="shared" si="70"/>
        <v>0</v>
      </c>
      <c r="FU54" s="101">
        <f t="shared" si="30"/>
        <v>0</v>
      </c>
      <c r="FV54" s="101"/>
      <c r="FW54" s="6">
        <f>SUMIF('Eredeti fejléccel'!$B:$B,'Felosztás eredménykim'!$B54,'Eredeti fejléccel'!$CR:$CR)</f>
        <v>0</v>
      </c>
      <c r="FX54" s="6">
        <f>SUMIF('Eredeti fejléccel'!$B:$B,'Felosztás eredménykim'!$B54,'Eredeti fejléccel'!$CS:$CS)</f>
        <v>0</v>
      </c>
      <c r="FY54" s="6">
        <f>SUMIF('Eredeti fejléccel'!$B:$B,'Felosztás eredménykim'!$B54,'Eredeti fejléccel'!$CT:$CT)</f>
        <v>0</v>
      </c>
      <c r="FZ54" s="6">
        <f>SUMIF('Eredeti fejléccel'!$B:$B,'Felosztás eredménykim'!$B54,'Eredeti fejléccel'!$CU:$CU)</f>
        <v>0</v>
      </c>
      <c r="GA54" s="103">
        <f t="shared" si="56"/>
        <v>0</v>
      </c>
      <c r="GB54" s="36">
        <f t="shared" si="71"/>
        <v>0</v>
      </c>
      <c r="GC54" s="101">
        <f t="shared" si="32"/>
        <v>0</v>
      </c>
      <c r="GD54" s="6">
        <f>SUMIF('Eredeti fejléccel'!$B:$B,'Felosztás eredménykim'!$B54,'Eredeti fejléccel'!$CV:$CV)</f>
        <v>0</v>
      </c>
      <c r="GE54" s="6">
        <f>SUMIF('Eredeti fejléccel'!$B:$B,'Felosztás eredménykim'!$B54,'Eredeti fejléccel'!$CW:$CW)</f>
        <v>0</v>
      </c>
      <c r="GF54" s="103">
        <f t="shared" si="57"/>
        <v>0</v>
      </c>
      <c r="GG54" s="36">
        <f t="shared" si="33"/>
        <v>0</v>
      </c>
      <c r="GM54" s="6">
        <f>SUMIF('Eredeti fejléccel'!$B:$B,'Felosztás eredménykim'!$B54,'Eredeti fejléccel'!$CX:$CX)</f>
        <v>0</v>
      </c>
      <c r="GN54" s="6">
        <f>SUMIF('Eredeti fejléccel'!$B:$B,'Felosztás eredménykim'!$B54,'Eredeti fejléccel'!$CY:$CY)</f>
        <v>0</v>
      </c>
      <c r="GO54" s="6">
        <f>SUMIF('Eredeti fejléccel'!$B:$B,'Felosztás eredménykim'!$B54,'Eredeti fejléccel'!$CZ:$CZ)</f>
        <v>0</v>
      </c>
      <c r="GP54" s="6">
        <f>SUMIF('Eredeti fejléccel'!$B:$B,'Felosztás eredménykim'!$B54,'Eredeti fejléccel'!$DA:$DA)</f>
        <v>0</v>
      </c>
      <c r="GQ54" s="6">
        <f>SUMIF('Eredeti fejléccel'!$B:$B,'Felosztás eredménykim'!$B54,'Eredeti fejléccel'!$DB:$DB)</f>
        <v>0</v>
      </c>
      <c r="GR54" s="103">
        <f t="shared" si="58"/>
        <v>0</v>
      </c>
      <c r="GW54" s="36">
        <f t="shared" si="34"/>
        <v>0</v>
      </c>
      <c r="GX54" s="6">
        <f>SUMIF('Eredeti fejléccel'!$B:$B,'Felosztás eredménykim'!$B54,'Eredeti fejléccel'!$M:$M)</f>
        <v>0</v>
      </c>
      <c r="GY54" s="6">
        <f>SUMIF('Eredeti fejléccel'!$B:$B,'Felosztás eredménykim'!$B54,'Eredeti fejléccel'!$DC:$DC)</f>
        <v>0</v>
      </c>
      <c r="GZ54" s="6">
        <f>SUMIF('Eredeti fejléccel'!$B:$B,'Felosztás eredménykim'!$B54,'Eredeti fejléccel'!$DD:$DD)</f>
        <v>0</v>
      </c>
      <c r="HA54" s="6">
        <f>SUMIF('Eredeti fejléccel'!$B:$B,'Felosztás eredménykim'!$B54,'Eredeti fejléccel'!$DE:$DE)</f>
        <v>0</v>
      </c>
      <c r="HB54" s="103">
        <f t="shared" si="59"/>
        <v>0</v>
      </c>
      <c r="HD54" s="9">
        <f t="shared" si="72"/>
        <v>12561894</v>
      </c>
      <c r="HE54" s="9">
        <v>12561894</v>
      </c>
      <c r="HF54" s="476"/>
      <c r="HH54" s="34">
        <f t="shared" si="60"/>
        <v>0</v>
      </c>
    </row>
    <row r="55" spans="1:216" x14ac:dyDescent="0.25">
      <c r="A55" s="4" t="s">
        <v>130</v>
      </c>
      <c r="B55" s="4" t="s">
        <v>130</v>
      </c>
      <c r="C55" s="1" t="s">
        <v>131</v>
      </c>
      <c r="D55" s="6">
        <f>SUMIF('Eredeti fejléccel'!$B:$B,'Felosztás eredménykim'!$B55,'Eredeti fejléccel'!$D:$D)</f>
        <v>0</v>
      </c>
      <c r="E55" s="6">
        <f>SUMIF('Eredeti fejléccel'!$B:$B,'Felosztás eredménykim'!$B55,'Eredeti fejléccel'!$E:$E)</f>
        <v>13757859</v>
      </c>
      <c r="F55" s="6">
        <f>SUMIF('Eredeti fejléccel'!$B:$B,'Felosztás eredménykim'!$B55,'Eredeti fejléccel'!$F:$F)</f>
        <v>0</v>
      </c>
      <c r="G55" s="6">
        <f>SUMIF('Eredeti fejléccel'!$B:$B,'Felosztás eredménykim'!$B55,'Eredeti fejléccel'!$G:$G)</f>
        <v>0</v>
      </c>
      <c r="H55" s="6"/>
      <c r="I55" s="6">
        <f>SUMIF('Eredeti fejléccel'!$B:$B,'Felosztás eredménykim'!$B55,'Eredeti fejléccel'!$O:$O)</f>
        <v>0</v>
      </c>
      <c r="J55" s="6">
        <f>SUMIF('Eredeti fejléccel'!$B:$B,'Felosztás eredménykim'!$B55,'Eredeti fejléccel'!$P:$P)</f>
        <v>6240000</v>
      </c>
      <c r="K55" s="6">
        <f>SUMIF('Eredeti fejléccel'!$B:$B,'Felosztás eredménykim'!$B55,'Eredeti fejléccel'!$Q:$Q)</f>
        <v>0</v>
      </c>
      <c r="L55" s="6">
        <f>SUMIF('Eredeti fejléccel'!$B:$B,'Felosztás eredménykim'!$B55,'Eredeti fejléccel'!$R:$R)</f>
        <v>0</v>
      </c>
      <c r="M55" s="6">
        <f>SUMIF('Eredeti fejléccel'!$B:$B,'Felosztás eredménykim'!$B55,'Eredeti fejléccel'!$T:$T)</f>
        <v>0</v>
      </c>
      <c r="N55" s="6">
        <f>SUMIF('Eredeti fejléccel'!$B:$B,'Felosztás eredménykim'!$B55,'Eredeti fejléccel'!$U:$U)</f>
        <v>0</v>
      </c>
      <c r="O55" s="6">
        <f>SUMIF('Eredeti fejléccel'!$B:$B,'Felosztás eredménykim'!$B55,'Eredeti fejléccel'!$V:$V)</f>
        <v>0</v>
      </c>
      <c r="P55" s="6">
        <f>SUMIF('Eredeti fejléccel'!$B:$B,'Felosztás eredménykim'!$B55,'Eredeti fejléccel'!$W:$W)</f>
        <v>0</v>
      </c>
      <c r="Q55" s="6">
        <f>SUMIF('Eredeti fejléccel'!$B:$B,'Felosztás eredménykim'!$B55,'Eredeti fejléccel'!$X:$X)</f>
        <v>0</v>
      </c>
      <c r="R55" s="6">
        <f>SUMIF('Eredeti fejléccel'!$B:$B,'Felosztás eredménykim'!$B55,'Eredeti fejléccel'!$Y:$Y)</f>
        <v>0</v>
      </c>
      <c r="S55" s="6">
        <f>SUMIF('Eredeti fejléccel'!$B:$B,'Felosztás eredménykim'!$B55,'Eredeti fejléccel'!$Z:$Z)</f>
        <v>0</v>
      </c>
      <c r="T55" s="6">
        <f>SUMIF('Eredeti fejléccel'!$B:$B,'Felosztás eredménykim'!$B55,'Eredeti fejléccel'!$AA:$AA)</f>
        <v>0</v>
      </c>
      <c r="U55" s="6">
        <f>SUMIF('Eredeti fejléccel'!$B:$B,'Felosztás eredménykim'!$B55,'Eredeti fejléccel'!$D:$D)</f>
        <v>0</v>
      </c>
      <c r="V55" s="6">
        <f>SUMIF('Eredeti fejléccel'!$B:$B,'Felosztás eredménykim'!$B55,'Eredeti fejléccel'!$AT:$AT)</f>
        <v>0</v>
      </c>
      <c r="X55" s="36">
        <f t="shared" si="0"/>
        <v>19997859</v>
      </c>
      <c r="Z55" s="6">
        <f>SUMIF('Eredeti fejléccel'!$B:$B,'Felosztás eredménykim'!$B55,'Eredeti fejléccel'!$K:$K)</f>
        <v>0</v>
      </c>
      <c r="AB55" s="6">
        <f>SUMIF('Eredeti fejléccel'!$B:$B,'Felosztás eredménykim'!$B55,'Eredeti fejléccel'!$AB:$AB)</f>
        <v>0</v>
      </c>
      <c r="AC55" s="6">
        <f>SUMIF('Eredeti fejléccel'!$B:$B,'Felosztás eredménykim'!$B55,'Eredeti fejléccel'!$AQ:$AQ)</f>
        <v>0</v>
      </c>
      <c r="AE55" s="73">
        <f t="shared" si="1"/>
        <v>0</v>
      </c>
      <c r="AF55" s="36">
        <f t="shared" si="61"/>
        <v>2385637.4208547347</v>
      </c>
      <c r="AG55" s="8">
        <f t="shared" si="3"/>
        <v>0</v>
      </c>
      <c r="AI55" s="6">
        <f>SUMIF('Eredeti fejléccel'!$B:$B,'Felosztás eredménykim'!$B55,'Eredeti fejléccel'!$BB:$BB)</f>
        <v>0</v>
      </c>
      <c r="AJ55" s="6">
        <f>SUMIF('Eredeti fejléccel'!$B:$B,'Felosztás eredménykim'!$B55,'Eredeti fejléccel'!$AF:$AF)</f>
        <v>0</v>
      </c>
      <c r="AK55" s="8">
        <f t="shared" si="4"/>
        <v>0</v>
      </c>
      <c r="AL55" s="36">
        <f t="shared" si="62"/>
        <v>947563.13826937019</v>
      </c>
      <c r="AM55" s="8">
        <f t="shared" si="6"/>
        <v>0</v>
      </c>
      <c r="AN55" s="6">
        <f t="shared" si="36"/>
        <v>0</v>
      </c>
      <c r="AO55" s="6">
        <f>SUMIF('Eredeti fejléccel'!$B:$B,'Felosztás eredménykim'!$B55,'Eredeti fejléccel'!$AC:$AC)</f>
        <v>0</v>
      </c>
      <c r="AP55" s="6">
        <f>SUMIF('Eredeti fejléccel'!$B:$B,'Felosztás eredménykim'!$B55,'Eredeti fejléccel'!$AD:$AD)</f>
        <v>0</v>
      </c>
      <c r="AQ55" s="6">
        <f>SUMIF('Eredeti fejléccel'!$B:$B,'Felosztás eredménykim'!$B55,'Eredeti fejléccel'!$AE:$AE)</f>
        <v>0</v>
      </c>
      <c r="AR55" s="6">
        <f>SUMIF('Eredeti fejléccel'!$B:$B,'Felosztás eredménykim'!$B55,'Eredeti fejléccel'!$AG:$AG)</f>
        <v>0</v>
      </c>
      <c r="AS55" s="6">
        <f t="shared" si="37"/>
        <v>0</v>
      </c>
      <c r="AT55" s="36">
        <f t="shared" si="63"/>
        <v>1539120.9166804741</v>
      </c>
      <c r="AU55" s="8">
        <f t="shared" si="8"/>
        <v>0</v>
      </c>
      <c r="AV55" s="6">
        <f>SUMIF('Eredeti fejléccel'!$B:$B,'Felosztás eredménykim'!$B55,'Eredeti fejléccel'!$AI:$AI)</f>
        <v>0</v>
      </c>
      <c r="AW55" s="6">
        <f>SUMIF('Eredeti fejléccel'!$B:$B,'Felosztás eredménykim'!$B55,'Eredeti fejléccel'!$AJ:$AJ)</f>
        <v>0</v>
      </c>
      <c r="AX55" s="6">
        <f>SUMIF('Eredeti fejléccel'!$B:$B,'Felosztás eredménykim'!$B55,'Eredeti fejléccel'!$AK:$AK)</f>
        <v>0</v>
      </c>
      <c r="AY55" s="6">
        <f>SUMIF('Eredeti fejléccel'!$B:$B,'Felosztás eredménykim'!$B55,'Eredeti fejléccel'!$AL:$AL)</f>
        <v>0</v>
      </c>
      <c r="AZ55" s="6">
        <f>SUMIF('Eredeti fejléccel'!$B:$B,'Felosztás eredménykim'!$B55,'Eredeti fejléccel'!$AM:$AM)</f>
        <v>0</v>
      </c>
      <c r="BA55" s="6">
        <f>SUMIF('Eredeti fejléccel'!$B:$B,'Felosztás eredménykim'!$B55,'Eredeti fejléccel'!$AN:$AN)</f>
        <v>0</v>
      </c>
      <c r="BB55" s="6">
        <f>SUMIF('Eredeti fejléccel'!$B:$B,'Felosztás eredménykim'!$B55,'Eredeti fejléccel'!$AP:$AP)</f>
        <v>0</v>
      </c>
      <c r="BD55" s="6">
        <f>SUMIF('Eredeti fejléccel'!$B:$B,'Felosztás eredménykim'!$B55,'Eredeti fejléccel'!$AS:$AS)</f>
        <v>0</v>
      </c>
      <c r="BE55" s="8">
        <f t="shared" si="38"/>
        <v>0</v>
      </c>
      <c r="BF55" s="36">
        <f t="shared" si="64"/>
        <v>401509.804351428</v>
      </c>
      <c r="BG55" s="8">
        <f t="shared" si="10"/>
        <v>0</v>
      </c>
      <c r="BH55" s="6">
        <f t="shared" si="39"/>
        <v>0</v>
      </c>
      <c r="BI55" s="6">
        <f>SUMIF('Eredeti fejléccel'!$B:$B,'Felosztás eredménykim'!$B55,'Eredeti fejléccel'!$AH:$AH)</f>
        <v>0</v>
      </c>
      <c r="BJ55" s="6">
        <f>SUMIF('Eredeti fejléccel'!$B:$B,'Felosztás eredménykim'!$B55,'Eredeti fejléccel'!$AO:$AO)</f>
        <v>0</v>
      </c>
      <c r="BK55" s="6">
        <f>SUMIF('Eredeti fejléccel'!$B:$B,'Felosztás eredménykim'!$B55,'Eredeti fejléccel'!$BF:$BF)</f>
        <v>0</v>
      </c>
      <c r="BL55" s="8">
        <f t="shared" si="40"/>
        <v>0</v>
      </c>
      <c r="BM55" s="36">
        <f t="shared" si="65"/>
        <v>1504323.4003033503</v>
      </c>
      <c r="BN55" s="8">
        <f t="shared" si="12"/>
        <v>0</v>
      </c>
      <c r="BP55" s="8">
        <f t="shared" si="41"/>
        <v>0</v>
      </c>
      <c r="BQ55" s="6">
        <f>SUMIF('Eredeti fejléccel'!$B:$B,'Felosztás eredménykim'!$B55,'Eredeti fejléccel'!$N:$N)</f>
        <v>0</v>
      </c>
      <c r="BR55" s="6">
        <f>SUMIF('Eredeti fejléccel'!$B:$B,'Felosztás eredménykim'!$B55,'Eredeti fejléccel'!$S:$S)</f>
        <v>0</v>
      </c>
      <c r="BT55" s="6">
        <f>SUMIF('Eredeti fejléccel'!$B:$B,'Felosztás eredménykim'!$B55,'Eredeti fejléccel'!$AR:$AR)</f>
        <v>0</v>
      </c>
      <c r="BU55" s="6">
        <f>SUMIF('Eredeti fejléccel'!$B:$B,'Felosztás eredménykim'!$B55,'Eredeti fejléccel'!$AU:$AU)</f>
        <v>0</v>
      </c>
      <c r="BV55" s="6">
        <f>SUMIF('Eredeti fejléccel'!$B:$B,'Felosztás eredménykim'!$B55,'Eredeti fejléccel'!$AV:$AV)</f>
        <v>4655000</v>
      </c>
      <c r="BW55" s="6">
        <f>SUMIF('Eredeti fejléccel'!$B:$B,'Felosztás eredménykim'!$B55,'Eredeti fejléccel'!$AW:$AW)</f>
        <v>0</v>
      </c>
      <c r="BX55" s="6">
        <f>SUMIF('Eredeti fejléccel'!$B:$B,'Felosztás eredménykim'!$B55,'Eredeti fejléccel'!$AX:$AX)</f>
        <v>0</v>
      </c>
      <c r="BY55" s="6">
        <f>SUMIF('Eredeti fejléccel'!$B:$B,'Felosztás eredménykim'!$B55,'Eredeti fejléccel'!$AY:$AY)</f>
        <v>6190000</v>
      </c>
      <c r="BZ55" s="6">
        <f>SUMIF('Eredeti fejléccel'!$B:$B,'Felosztás eredménykim'!$B55,'Eredeti fejléccel'!$AZ:$AZ)</f>
        <v>0</v>
      </c>
      <c r="CA55" s="6">
        <f>SUMIF('Eredeti fejléccel'!$B:$B,'Felosztás eredménykim'!$B55,'Eredeti fejléccel'!$BA:$BA)</f>
        <v>0</v>
      </c>
      <c r="CB55" s="6">
        <f t="shared" si="13"/>
        <v>10845000</v>
      </c>
      <c r="CC55" s="36">
        <f t="shared" si="66"/>
        <v>409540.0004384566</v>
      </c>
      <c r="CD55" s="8">
        <f t="shared" si="15"/>
        <v>0</v>
      </c>
      <c r="CE55" s="6">
        <f>SUMIF('Eredeti fejléccel'!$B:$B,'Felosztás eredménykim'!$B55,'Eredeti fejléccel'!$BC:$BC)</f>
        <v>0</v>
      </c>
      <c r="CF55" s="8">
        <f t="shared" si="42"/>
        <v>0</v>
      </c>
      <c r="CG55" s="6">
        <f>SUMIF('Eredeti fejléccel'!$B:$B,'Felosztás eredménykim'!$B55,'Eredeti fejléccel'!$H:$H)</f>
        <v>0</v>
      </c>
      <c r="CH55" s="6">
        <f>SUMIF('Eredeti fejléccel'!$B:$B,'Felosztás eredménykim'!$B55,'Eredeti fejléccel'!$BE:$BE)</f>
        <v>0</v>
      </c>
      <c r="CI55" s="6">
        <f t="shared" si="43"/>
        <v>0</v>
      </c>
      <c r="CJ55" s="36">
        <f t="shared" si="67"/>
        <v>294440.52319104725</v>
      </c>
      <c r="CK55" s="8">
        <f t="shared" si="17"/>
        <v>0</v>
      </c>
      <c r="CL55" s="8">
        <f t="shared" si="44"/>
        <v>0</v>
      </c>
      <c r="CM55" s="6">
        <f>SUMIF('Eredeti fejléccel'!$B:$B,'Felosztás eredménykim'!$B55,'Eredeti fejléccel'!$BD:$BD)</f>
        <v>0</v>
      </c>
      <c r="CN55" s="8">
        <f t="shared" si="45"/>
        <v>0</v>
      </c>
      <c r="CO55" s="8">
        <f t="shared" si="18"/>
        <v>18327135.204088859</v>
      </c>
      <c r="CR55" s="36">
        <f t="shared" si="19"/>
        <v>1768645.1601094657</v>
      </c>
      <c r="CS55" s="6">
        <f>SUMIF('Eredeti fejléccel'!$B:$B,'Felosztás eredménykim'!$B55,'Eredeti fejléccel'!$I:$I)</f>
        <v>0</v>
      </c>
      <c r="CT55" s="6">
        <f>SUMIF('Eredeti fejléccel'!$B:$B,'Felosztás eredménykim'!$B55,'Eredeti fejléccel'!$BG:$BG)</f>
        <v>0</v>
      </c>
      <c r="CU55" s="6">
        <f>SUMIF('Eredeti fejléccel'!$B:$B,'Felosztás eredménykim'!$B55,'Eredeti fejléccel'!$BH:$BH)</f>
        <v>0</v>
      </c>
      <c r="CV55" s="6">
        <f>SUMIF('Eredeti fejléccel'!$B:$B,'Felosztás eredménykim'!$B55,'Eredeti fejléccel'!$BI:$BI)</f>
        <v>0</v>
      </c>
      <c r="CW55" s="6">
        <f>SUMIF('Eredeti fejléccel'!$B:$B,'Felosztás eredménykim'!$B55,'Eredeti fejléccel'!$BL:$BL)</f>
        <v>1914000</v>
      </c>
      <c r="CX55" s="6">
        <f t="shared" si="46"/>
        <v>1914000</v>
      </c>
      <c r="CY55" s="6">
        <f>SUMIF('Eredeti fejléccel'!$B:$B,'Felosztás eredménykim'!$B55,'Eredeti fejléccel'!$BJ:$BJ)</f>
        <v>286000</v>
      </c>
      <c r="CZ55" s="6">
        <f>SUMIF('Eredeti fejléccel'!$B:$B,'Felosztás eredménykim'!$B55,'Eredeti fejléccel'!$BK:$BK)</f>
        <v>0</v>
      </c>
      <c r="DA55" s="99">
        <f t="shared" si="47"/>
        <v>2200000</v>
      </c>
      <c r="DC55" s="36">
        <f t="shared" si="20"/>
        <v>1549093.649517064</v>
      </c>
      <c r="DD55" s="6">
        <f>SUMIF('Eredeti fejléccel'!$B:$B,'Felosztás eredménykim'!$B55,'Eredeti fejléccel'!$J:$J)</f>
        <v>0</v>
      </c>
      <c r="DE55" s="6">
        <f>SUMIF('Eredeti fejléccel'!$B:$B,'Felosztás eredménykim'!$B55,'Eredeti fejléccel'!$BM:$BM)</f>
        <v>0</v>
      </c>
      <c r="DF55" s="6">
        <f t="shared" si="48"/>
        <v>0</v>
      </c>
      <c r="DG55" s="8">
        <f t="shared" si="21"/>
        <v>0</v>
      </c>
      <c r="DH55" s="8">
        <f t="shared" si="49"/>
        <v>0</v>
      </c>
      <c r="DJ55" s="6">
        <f>SUMIF('Eredeti fejléccel'!$B:$B,'Felosztás eredménykim'!$B55,'Eredeti fejléccel'!$BN:$BN)</f>
        <v>0</v>
      </c>
      <c r="DK55" s="6">
        <f>SUMIF('Eredeti fejléccel'!$B:$B,'Felosztás eredménykim'!$B55,'Eredeti fejléccel'!$BZ:$BZ)</f>
        <v>0</v>
      </c>
      <c r="DL55" s="8">
        <f t="shared" si="50"/>
        <v>0</v>
      </c>
      <c r="DM55" s="6">
        <f>SUMIF('Eredeti fejléccel'!$B:$B,'Felosztás eredménykim'!$B55,'Eredeti fejléccel'!$BR:$BR)</f>
        <v>0</v>
      </c>
      <c r="DN55" s="6">
        <f>SUMIF('Eredeti fejléccel'!$B:$B,'Felosztás eredménykim'!$B55,'Eredeti fejléccel'!$BS:$BS)</f>
        <v>0</v>
      </c>
      <c r="DO55" s="6">
        <f>SUMIF('Eredeti fejléccel'!$B:$B,'Felosztás eredménykim'!$B55,'Eredeti fejléccel'!$BO:$BO)</f>
        <v>0</v>
      </c>
      <c r="DP55" s="6">
        <f>SUMIF('Eredeti fejléccel'!$B:$B,'Felosztás eredménykim'!$B55,'Eredeti fejléccel'!$BP:$BP)</f>
        <v>0</v>
      </c>
      <c r="DQ55" s="6">
        <f>SUMIF('Eredeti fejléccel'!$B:$B,'Felosztás eredménykim'!$B55,'Eredeti fejléccel'!$BQ:$BQ)</f>
        <v>0</v>
      </c>
      <c r="DS55" s="8"/>
      <c r="DU55" s="6">
        <f>SUMIF('Eredeti fejléccel'!$B:$B,'Felosztás eredménykim'!$B55,'Eredeti fejléccel'!$BT:$BT)</f>
        <v>0</v>
      </c>
      <c r="DV55" s="6">
        <f>SUMIF('Eredeti fejléccel'!$B:$B,'Felosztás eredménykim'!$B55,'Eredeti fejléccel'!$BU:$BU)</f>
        <v>0</v>
      </c>
      <c r="DW55" s="6">
        <f>SUMIF('Eredeti fejléccel'!$B:$B,'Felosztás eredménykim'!$B55,'Eredeti fejléccel'!$BV:$BV)</f>
        <v>0</v>
      </c>
      <c r="DX55" s="6">
        <f>SUMIF('Eredeti fejléccel'!$B:$B,'Felosztás eredménykim'!$B55,'Eredeti fejléccel'!$BW:$BW)</f>
        <v>0</v>
      </c>
      <c r="DY55" s="6">
        <f>SUMIF('Eredeti fejléccel'!$B:$B,'Felosztás eredménykim'!$B55,'Eredeti fejléccel'!$BX:$BX)</f>
        <v>0</v>
      </c>
      <c r="EA55" s="6"/>
      <c r="EC55" s="6"/>
      <c r="EE55" s="6">
        <f>SUMIF('Eredeti fejléccel'!$B:$B,'Felosztás eredménykim'!$B55,'Eredeti fejléccel'!$CA:$CA)</f>
        <v>0</v>
      </c>
      <c r="EF55" s="6">
        <f>SUMIF('Eredeti fejléccel'!$B:$B,'Felosztás eredménykim'!$B55,'Eredeti fejléccel'!$CB:$CB)</f>
        <v>0</v>
      </c>
      <c r="EG55" s="6">
        <f>SUMIF('Eredeti fejléccel'!$B:$B,'Felosztás eredménykim'!$B55,'Eredeti fejléccel'!$CC:$CC)</f>
        <v>0</v>
      </c>
      <c r="EH55" s="6">
        <f>SUMIF('Eredeti fejléccel'!$B:$B,'Felosztás eredménykim'!$B55,'Eredeti fejléccel'!$CD:$CD)</f>
        <v>0</v>
      </c>
      <c r="EK55" s="6">
        <f>SUMIF('Eredeti fejléccel'!$B:$B,'Felosztás eredménykim'!$B55,'Eredeti fejléccel'!$CE:$CE)</f>
        <v>0</v>
      </c>
      <c r="EN55" s="6">
        <f>SUMIF('Eredeti fejléccel'!$B:$B,'Felosztás eredménykim'!$B55,'Eredeti fejléccel'!$CF:$CF)</f>
        <v>0</v>
      </c>
      <c r="EP55" s="6">
        <f>SUMIF('Eredeti fejléccel'!$B:$B,'Felosztás eredménykim'!$B55,'Eredeti fejléccel'!$CG:$CG)</f>
        <v>0</v>
      </c>
      <c r="ES55" s="6">
        <f>SUMIF('Eredeti fejléccel'!$B:$B,'Felosztás eredménykim'!$B55,'Eredeti fejléccel'!$CH:$CH)</f>
        <v>0</v>
      </c>
      <c r="ET55" s="6">
        <f>SUMIF('Eredeti fejléccel'!$B:$B,'Felosztás eredménykim'!$B55,'Eredeti fejléccel'!$CI:$CI)</f>
        <v>0</v>
      </c>
      <c r="EW55" s="8">
        <f t="shared" si="22"/>
        <v>0</v>
      </c>
      <c r="EX55" s="8">
        <f t="shared" si="51"/>
        <v>0</v>
      </c>
      <c r="EY55" s="8">
        <f t="shared" si="52"/>
        <v>0</v>
      </c>
      <c r="EZ55" s="8">
        <f t="shared" si="23"/>
        <v>0</v>
      </c>
      <c r="FA55" s="8">
        <f t="shared" si="24"/>
        <v>0</v>
      </c>
      <c r="FC55" s="6">
        <f>SUMIF('Eredeti fejléccel'!$B:$B,'Felosztás eredménykim'!$B55,'Eredeti fejléccel'!$L:$L)</f>
        <v>0</v>
      </c>
      <c r="FD55" s="6">
        <f>SUMIF('Eredeti fejléccel'!$B:$B,'Felosztás eredménykim'!$B55,'Eredeti fejléccel'!$CJ:$CJ)</f>
        <v>0</v>
      </c>
      <c r="FE55" s="6">
        <f>SUMIF('Eredeti fejléccel'!$B:$B,'Felosztás eredménykim'!$B55,'Eredeti fejléccel'!$CL:$CL)</f>
        <v>0</v>
      </c>
      <c r="FG55" s="99">
        <f t="shared" si="53"/>
        <v>0</v>
      </c>
      <c r="FH55" s="6">
        <f>SUMIF('Eredeti fejléccel'!$B:$B,'Felosztás eredménykim'!$B55,'Eredeti fejléccel'!$CK:$CK)</f>
        <v>0</v>
      </c>
      <c r="FI55" s="36">
        <f t="shared" si="68"/>
        <v>1822606.8519103299</v>
      </c>
      <c r="FJ55" s="101">
        <f t="shared" si="26"/>
        <v>0</v>
      </c>
      <c r="FK55" s="6">
        <f>SUMIF('Eredeti fejléccel'!$B:$B,'Felosztás eredménykim'!$B55,'Eredeti fejléccel'!$CM:$CM)</f>
        <v>0</v>
      </c>
      <c r="FL55" s="6">
        <f>SUMIF('Eredeti fejléccel'!$B:$B,'Felosztás eredménykim'!$B55,'Eredeti fejléccel'!$CN:$CN)</f>
        <v>0</v>
      </c>
      <c r="FM55" s="8">
        <f t="shared" si="54"/>
        <v>0</v>
      </c>
      <c r="FN55" s="36">
        <f t="shared" si="69"/>
        <v>1549514.8299872</v>
      </c>
      <c r="FO55" s="101">
        <f t="shared" si="28"/>
        <v>0</v>
      </c>
      <c r="FP55" s="6">
        <f>SUMIF('Eredeti fejléccel'!$B:$B,'Felosztás eredménykim'!$B55,'Eredeti fejléccel'!$CO:$CO)</f>
        <v>8580000</v>
      </c>
      <c r="FQ55" s="6">
        <f>'Eredeti fejléccel'!CP55</f>
        <v>0</v>
      </c>
      <c r="FR55" s="6">
        <f>'Eredeti fejléccel'!CQ55</f>
        <v>0</v>
      </c>
      <c r="FS55" s="103">
        <f t="shared" si="55"/>
        <v>8580000</v>
      </c>
      <c r="FT55" s="36">
        <f t="shared" si="70"/>
        <v>4277112.7618471729</v>
      </c>
      <c r="FU55" s="101">
        <f t="shared" si="30"/>
        <v>0</v>
      </c>
      <c r="FV55" s="101"/>
      <c r="FW55" s="6">
        <f>SUMIF('Eredeti fejléccel'!$B:$B,'Felosztás eredménykim'!$B55,'Eredeti fejléccel'!$CR:$CR)</f>
        <v>0</v>
      </c>
      <c r="FX55" s="6">
        <f>SUMIF('Eredeti fejléccel'!$B:$B,'Felosztás eredménykim'!$B55,'Eredeti fejléccel'!$CS:$CS)</f>
        <v>0</v>
      </c>
      <c r="FY55" s="6">
        <f>SUMIF('Eredeti fejléccel'!$B:$B,'Felosztás eredménykim'!$B55,'Eredeti fejléccel'!$CT:$CT)</f>
        <v>0</v>
      </c>
      <c r="FZ55" s="6">
        <f>SUMIF('Eredeti fejléccel'!$B:$B,'Felosztás eredménykim'!$B55,'Eredeti fejléccel'!$CU:$CU)</f>
        <v>0</v>
      </c>
      <c r="GA55" s="103">
        <f t="shared" si="56"/>
        <v>0</v>
      </c>
      <c r="GB55" s="36">
        <f t="shared" si="71"/>
        <v>570104.51291981887</v>
      </c>
      <c r="GC55" s="101">
        <f t="shared" si="32"/>
        <v>0</v>
      </c>
      <c r="GD55" s="6">
        <f>SUMIF('Eredeti fejléccel'!$B:$B,'Felosztás eredménykim'!$B55,'Eredeti fejléccel'!$CV:$CV)</f>
        <v>0</v>
      </c>
      <c r="GE55" s="6">
        <f>SUMIF('Eredeti fejléccel'!$B:$B,'Felosztás eredménykim'!$B55,'Eredeti fejléccel'!$CW:$CW)</f>
        <v>0</v>
      </c>
      <c r="GF55" s="103">
        <f t="shared" si="57"/>
        <v>0</v>
      </c>
      <c r="GG55" s="36">
        <f t="shared" si="33"/>
        <v>0</v>
      </c>
      <c r="GM55" s="6">
        <f>SUMIF('Eredeti fejléccel'!$B:$B,'Felosztás eredménykim'!$B55,'Eredeti fejléccel'!$CX:$CX)</f>
        <v>0</v>
      </c>
      <c r="GN55" s="6">
        <f>SUMIF('Eredeti fejléccel'!$B:$B,'Felosztás eredménykim'!$B55,'Eredeti fejléccel'!$CY:$CY)</f>
        <v>0</v>
      </c>
      <c r="GO55" s="6">
        <f>SUMIF('Eredeti fejléccel'!$B:$B,'Felosztás eredménykim'!$B55,'Eredeti fejléccel'!$CZ:$CZ)</f>
        <v>0</v>
      </c>
      <c r="GP55" s="6">
        <f>SUMIF('Eredeti fejléccel'!$B:$B,'Felosztás eredménykim'!$B55,'Eredeti fejléccel'!$DA:$DA)</f>
        <v>0</v>
      </c>
      <c r="GQ55" s="6">
        <f>SUMIF('Eredeti fejléccel'!$B:$B,'Felosztás eredménykim'!$B55,'Eredeti fejléccel'!$DB:$DB)</f>
        <v>0</v>
      </c>
      <c r="GR55" s="103">
        <f t="shared" si="58"/>
        <v>0</v>
      </c>
      <c r="GW55" s="36">
        <f t="shared" si="34"/>
        <v>978646.02962009027</v>
      </c>
      <c r="GX55" s="6">
        <f>SUMIF('Eredeti fejléccel'!$B:$B,'Felosztás eredménykim'!$B55,'Eredeti fejléccel'!$M:$M)</f>
        <v>0</v>
      </c>
      <c r="GY55" s="6">
        <f>SUMIF('Eredeti fejléccel'!$B:$B,'Felosztás eredménykim'!$B55,'Eredeti fejléccel'!$DC:$DC)</f>
        <v>0</v>
      </c>
      <c r="GZ55" s="6">
        <f>SUMIF('Eredeti fejléccel'!$B:$B,'Felosztás eredménykim'!$B55,'Eredeti fejléccel'!$DD:$DD)</f>
        <v>0</v>
      </c>
      <c r="HA55" s="6">
        <f>SUMIF('Eredeti fejléccel'!$B:$B,'Felosztás eredménykim'!$B55,'Eredeti fejléccel'!$DE:$DE)</f>
        <v>0</v>
      </c>
      <c r="HB55" s="103">
        <f t="shared" si="59"/>
        <v>0</v>
      </c>
      <c r="HD55" s="9">
        <f t="shared" si="72"/>
        <v>41622858.999999963</v>
      </c>
      <c r="HE55" s="9">
        <v>41622859</v>
      </c>
      <c r="HF55" s="476"/>
      <c r="HH55" s="34">
        <f t="shared" si="60"/>
        <v>0</v>
      </c>
    </row>
    <row r="56" spans="1:216" x14ac:dyDescent="0.25">
      <c r="A56" s="4" t="s">
        <v>132</v>
      </c>
      <c r="B56" s="4" t="s">
        <v>132</v>
      </c>
      <c r="C56" s="1" t="s">
        <v>133</v>
      </c>
      <c r="D56" s="6">
        <f>SUMIF('Eredeti fejléccel'!$B:$B,'Felosztás eredménykim'!$B56,'Eredeti fejléccel'!$D:$D)</f>
        <v>0</v>
      </c>
      <c r="E56" s="6">
        <f>SUMIF('Eredeti fejléccel'!$B:$B,'Felosztás eredménykim'!$B56,'Eredeti fejléccel'!$E:$E)</f>
        <v>470000</v>
      </c>
      <c r="F56" s="6">
        <f>SUMIF('Eredeti fejléccel'!$B:$B,'Felosztás eredménykim'!$B56,'Eredeti fejléccel'!$F:$F)</f>
        <v>0</v>
      </c>
      <c r="G56" s="6">
        <f>SUMIF('Eredeti fejléccel'!$B:$B,'Felosztás eredménykim'!$B56,'Eredeti fejléccel'!$G:$G)</f>
        <v>0</v>
      </c>
      <c r="H56" s="6"/>
      <c r="I56" s="6">
        <f>SUMIF('Eredeti fejléccel'!$B:$B,'Felosztás eredménykim'!$B56,'Eredeti fejléccel'!$O:$O)</f>
        <v>0</v>
      </c>
      <c r="J56" s="6">
        <f>SUMIF('Eredeti fejléccel'!$B:$B,'Felosztás eredménykim'!$B56,'Eredeti fejléccel'!$P:$P)</f>
        <v>0</v>
      </c>
      <c r="K56" s="6">
        <f>SUMIF('Eredeti fejléccel'!$B:$B,'Felosztás eredménykim'!$B56,'Eredeti fejléccel'!$Q:$Q)</f>
        <v>0</v>
      </c>
      <c r="L56" s="6">
        <f>SUMIF('Eredeti fejléccel'!$B:$B,'Felosztás eredménykim'!$B56,'Eredeti fejléccel'!$R:$R)</f>
        <v>0</v>
      </c>
      <c r="M56" s="6">
        <f>SUMIF('Eredeti fejléccel'!$B:$B,'Felosztás eredménykim'!$B56,'Eredeti fejléccel'!$T:$T)</f>
        <v>0</v>
      </c>
      <c r="N56" s="6">
        <f>SUMIF('Eredeti fejléccel'!$B:$B,'Felosztás eredménykim'!$B56,'Eredeti fejléccel'!$U:$U)</f>
        <v>0</v>
      </c>
      <c r="O56" s="6">
        <f>SUMIF('Eredeti fejléccel'!$B:$B,'Felosztás eredménykim'!$B56,'Eredeti fejléccel'!$V:$V)</f>
        <v>0</v>
      </c>
      <c r="P56" s="6">
        <f>SUMIF('Eredeti fejléccel'!$B:$B,'Felosztás eredménykim'!$B56,'Eredeti fejléccel'!$W:$W)</f>
        <v>199000</v>
      </c>
      <c r="Q56" s="6">
        <f>SUMIF('Eredeti fejléccel'!$B:$B,'Felosztás eredménykim'!$B56,'Eredeti fejléccel'!$X:$X)</f>
        <v>0</v>
      </c>
      <c r="R56" s="6">
        <f>SUMIF('Eredeti fejléccel'!$B:$B,'Felosztás eredménykim'!$B56,'Eredeti fejléccel'!$Y:$Y)</f>
        <v>0</v>
      </c>
      <c r="S56" s="6">
        <f>SUMIF('Eredeti fejléccel'!$B:$B,'Felosztás eredménykim'!$B56,'Eredeti fejléccel'!$Z:$Z)</f>
        <v>0</v>
      </c>
      <c r="T56" s="6">
        <f>SUMIF('Eredeti fejléccel'!$B:$B,'Felosztás eredménykim'!$B56,'Eredeti fejléccel'!$AA:$AA)</f>
        <v>0</v>
      </c>
      <c r="U56" s="6">
        <f>SUMIF('Eredeti fejléccel'!$B:$B,'Felosztás eredménykim'!$B56,'Eredeti fejléccel'!$D:$D)</f>
        <v>0</v>
      </c>
      <c r="V56" s="6">
        <f>SUMIF('Eredeti fejléccel'!$B:$B,'Felosztás eredménykim'!$B56,'Eredeti fejléccel'!$AT:$AT)</f>
        <v>0</v>
      </c>
      <c r="X56" s="36">
        <f t="shared" si="0"/>
        <v>669000</v>
      </c>
      <c r="Z56" s="6">
        <f>SUMIF('Eredeti fejléccel'!$B:$B,'Felosztás eredménykim'!$B56,'Eredeti fejléccel'!$K:$K)</f>
        <v>0</v>
      </c>
      <c r="AB56" s="6">
        <f>SUMIF('Eredeti fejléccel'!$B:$B,'Felosztás eredménykim'!$B56,'Eredeti fejléccel'!$AB:$AB)</f>
        <v>0</v>
      </c>
      <c r="AC56" s="6">
        <f>SUMIF('Eredeti fejléccel'!$B:$B,'Felosztás eredménykim'!$B56,'Eredeti fejléccel'!$AQ:$AQ)</f>
        <v>0</v>
      </c>
      <c r="AE56" s="73">
        <f t="shared" si="1"/>
        <v>0</v>
      </c>
      <c r="AF56" s="36">
        <f t="shared" si="61"/>
        <v>79808.115186321578</v>
      </c>
      <c r="AG56" s="8">
        <f t="shared" si="3"/>
        <v>0</v>
      </c>
      <c r="AI56" s="6">
        <f>SUMIF('Eredeti fejléccel'!$B:$B,'Felosztás eredménykim'!$B56,'Eredeti fejléccel'!$BB:$BB)</f>
        <v>0</v>
      </c>
      <c r="AJ56" s="6">
        <f>SUMIF('Eredeti fejléccel'!$B:$B,'Felosztás eredménykim'!$B56,'Eredeti fejléccel'!$AF:$AF)</f>
        <v>0</v>
      </c>
      <c r="AK56" s="8">
        <f t="shared" si="4"/>
        <v>0</v>
      </c>
      <c r="AL56" s="36">
        <f t="shared" si="62"/>
        <v>31699.38039378159</v>
      </c>
      <c r="AM56" s="8">
        <f t="shared" si="6"/>
        <v>0</v>
      </c>
      <c r="AN56" s="6">
        <f t="shared" si="36"/>
        <v>0</v>
      </c>
      <c r="AO56" s="6">
        <f>SUMIF('Eredeti fejléccel'!$B:$B,'Felosztás eredménykim'!$B56,'Eredeti fejléccel'!$AC:$AC)</f>
        <v>0</v>
      </c>
      <c r="AP56" s="6">
        <f>SUMIF('Eredeti fejléccel'!$B:$B,'Felosztás eredménykim'!$B56,'Eredeti fejléccel'!$AD:$AD)</f>
        <v>0</v>
      </c>
      <c r="AQ56" s="6">
        <f>SUMIF('Eredeti fejléccel'!$B:$B,'Felosztás eredménykim'!$B56,'Eredeti fejléccel'!$AE:$AE)</f>
        <v>0</v>
      </c>
      <c r="AR56" s="6">
        <f>SUMIF('Eredeti fejléccel'!$B:$B,'Felosztás eredménykim'!$B56,'Eredeti fejléccel'!$AG:$AG)</f>
        <v>0</v>
      </c>
      <c r="AS56" s="6">
        <f t="shared" si="37"/>
        <v>0</v>
      </c>
      <c r="AT56" s="36">
        <f t="shared" si="63"/>
        <v>51489.106571820375</v>
      </c>
      <c r="AU56" s="8">
        <f t="shared" si="8"/>
        <v>0</v>
      </c>
      <c r="AV56" s="6">
        <f>SUMIF('Eredeti fejléccel'!$B:$B,'Felosztás eredménykim'!$B56,'Eredeti fejléccel'!$AI:$AI)</f>
        <v>0</v>
      </c>
      <c r="AW56" s="6">
        <f>SUMIF('Eredeti fejléccel'!$B:$B,'Felosztás eredménykim'!$B56,'Eredeti fejléccel'!$AJ:$AJ)</f>
        <v>0</v>
      </c>
      <c r="AX56" s="6">
        <f>SUMIF('Eredeti fejléccel'!$B:$B,'Felosztás eredménykim'!$B56,'Eredeti fejléccel'!$AK:$AK)</f>
        <v>0</v>
      </c>
      <c r="AY56" s="6">
        <f>SUMIF('Eredeti fejléccel'!$B:$B,'Felosztás eredménykim'!$B56,'Eredeti fejléccel'!$AL:$AL)</f>
        <v>0</v>
      </c>
      <c r="AZ56" s="6">
        <f>SUMIF('Eredeti fejléccel'!$B:$B,'Felosztás eredménykim'!$B56,'Eredeti fejléccel'!$AM:$AM)</f>
        <v>0</v>
      </c>
      <c r="BA56" s="6">
        <f>SUMIF('Eredeti fejléccel'!$B:$B,'Felosztás eredménykim'!$B56,'Eredeti fejléccel'!$AN:$AN)</f>
        <v>0</v>
      </c>
      <c r="BB56" s="6">
        <f>SUMIF('Eredeti fejléccel'!$B:$B,'Felosztás eredménykim'!$B56,'Eredeti fejléccel'!$AP:$AP)</f>
        <v>0</v>
      </c>
      <c r="BD56" s="6">
        <f>SUMIF('Eredeti fejléccel'!$B:$B,'Felosztás eredménykim'!$B56,'Eredeti fejléccel'!$AS:$AS)</f>
        <v>0</v>
      </c>
      <c r="BE56" s="8">
        <f t="shared" si="38"/>
        <v>0</v>
      </c>
      <c r="BF56" s="36">
        <f t="shared" si="64"/>
        <v>13431.940844822706</v>
      </c>
      <c r="BG56" s="8">
        <f t="shared" si="10"/>
        <v>0</v>
      </c>
      <c r="BH56" s="6">
        <f t="shared" si="39"/>
        <v>0</v>
      </c>
      <c r="BI56" s="6">
        <f>SUMIF('Eredeti fejléccel'!$B:$B,'Felosztás eredménykim'!$B56,'Eredeti fejléccel'!$AH:$AH)</f>
        <v>0</v>
      </c>
      <c r="BJ56" s="6">
        <f>SUMIF('Eredeti fejléccel'!$B:$B,'Felosztás eredménykim'!$B56,'Eredeti fejléccel'!$AO:$AO)</f>
        <v>0</v>
      </c>
      <c r="BK56" s="6">
        <f>SUMIF('Eredeti fejléccel'!$B:$B,'Felosztás eredménykim'!$B56,'Eredeti fejléccel'!$BF:$BF)</f>
        <v>0</v>
      </c>
      <c r="BL56" s="8">
        <f t="shared" si="40"/>
        <v>0</v>
      </c>
      <c r="BM56" s="36">
        <f t="shared" si="65"/>
        <v>50325.005031935747</v>
      </c>
      <c r="BN56" s="8">
        <f t="shared" si="12"/>
        <v>0</v>
      </c>
      <c r="BP56" s="8">
        <f t="shared" si="41"/>
        <v>0</v>
      </c>
      <c r="BQ56" s="6">
        <f>SUMIF('Eredeti fejléccel'!$B:$B,'Felosztás eredménykim'!$B56,'Eredeti fejléccel'!$N:$N)</f>
        <v>0</v>
      </c>
      <c r="BR56" s="6">
        <f>SUMIF('Eredeti fejléccel'!$B:$B,'Felosztás eredménykim'!$B56,'Eredeti fejléccel'!$S:$S)</f>
        <v>0</v>
      </c>
      <c r="BT56" s="6">
        <f>SUMIF('Eredeti fejléccel'!$B:$B,'Felosztás eredménykim'!$B56,'Eredeti fejléccel'!$AR:$AR)</f>
        <v>0</v>
      </c>
      <c r="BU56" s="6">
        <f>SUMIF('Eredeti fejléccel'!$B:$B,'Felosztás eredménykim'!$B56,'Eredeti fejléccel'!$AU:$AU)</f>
        <v>0</v>
      </c>
      <c r="BV56" s="6">
        <f>SUMIF('Eredeti fejléccel'!$B:$B,'Felosztás eredménykim'!$B56,'Eredeti fejléccel'!$AV:$AV)</f>
        <v>37500</v>
      </c>
      <c r="BW56" s="6">
        <f>SUMIF('Eredeti fejléccel'!$B:$B,'Felosztás eredménykim'!$B56,'Eredeti fejléccel'!$AW:$AW)</f>
        <v>0</v>
      </c>
      <c r="BX56" s="6">
        <f>SUMIF('Eredeti fejléccel'!$B:$B,'Felosztás eredménykim'!$B56,'Eredeti fejléccel'!$AX:$AX)</f>
        <v>0</v>
      </c>
      <c r="BY56" s="6">
        <f>SUMIF('Eredeti fejléccel'!$B:$B,'Felosztás eredménykim'!$B56,'Eredeti fejléccel'!$AY:$AY)</f>
        <v>0</v>
      </c>
      <c r="BZ56" s="6">
        <f>SUMIF('Eredeti fejléccel'!$B:$B,'Felosztás eredménykim'!$B56,'Eredeti fejléccel'!$AZ:$AZ)</f>
        <v>0</v>
      </c>
      <c r="CA56" s="6">
        <f>SUMIF('Eredeti fejléccel'!$B:$B,'Felosztás eredménykim'!$B56,'Eredeti fejléccel'!$BA:$BA)</f>
        <v>0</v>
      </c>
      <c r="CB56" s="6">
        <f t="shared" si="13"/>
        <v>37500</v>
      </c>
      <c r="CC56" s="36">
        <f t="shared" si="66"/>
        <v>13700.579661719161</v>
      </c>
      <c r="CD56" s="8">
        <f t="shared" si="15"/>
        <v>0</v>
      </c>
      <c r="CE56" s="6">
        <f>SUMIF('Eredeti fejléccel'!$B:$B,'Felosztás eredménykim'!$B56,'Eredeti fejléccel'!$BC:$BC)</f>
        <v>0</v>
      </c>
      <c r="CF56" s="8">
        <f t="shared" si="42"/>
        <v>0</v>
      </c>
      <c r="CG56" s="6">
        <f>SUMIF('Eredeti fejléccel'!$B:$B,'Felosztás eredménykim'!$B56,'Eredeti fejléccel'!$H:$H)</f>
        <v>0</v>
      </c>
      <c r="CH56" s="6">
        <f>SUMIF('Eredeti fejléccel'!$B:$B,'Felosztás eredménykim'!$B56,'Eredeti fejléccel'!$BE:$BE)</f>
        <v>0</v>
      </c>
      <c r="CI56" s="6">
        <f t="shared" si="43"/>
        <v>0</v>
      </c>
      <c r="CJ56" s="36">
        <f t="shared" si="67"/>
        <v>9850.0899528699865</v>
      </c>
      <c r="CK56" s="8">
        <f t="shared" si="17"/>
        <v>0</v>
      </c>
      <c r="CL56" s="8">
        <f t="shared" si="44"/>
        <v>0</v>
      </c>
      <c r="CM56" s="6">
        <f>SUMIF('Eredeti fejléccel'!$B:$B,'Felosztás eredménykim'!$B56,'Eredeti fejléccel'!$BD:$BD)</f>
        <v>0</v>
      </c>
      <c r="CN56" s="8">
        <f t="shared" si="45"/>
        <v>0</v>
      </c>
      <c r="CO56" s="8">
        <f t="shared" si="18"/>
        <v>287804.21764327114</v>
      </c>
      <c r="CR56" s="36">
        <f t="shared" si="19"/>
        <v>59167.514488087581</v>
      </c>
      <c r="CS56" s="6">
        <f>SUMIF('Eredeti fejléccel'!$B:$B,'Felosztás eredménykim'!$B56,'Eredeti fejléccel'!$I:$I)</f>
        <v>0</v>
      </c>
      <c r="CT56" s="6">
        <f>SUMIF('Eredeti fejléccel'!$B:$B,'Felosztás eredménykim'!$B56,'Eredeti fejléccel'!$BG:$BG)</f>
        <v>0</v>
      </c>
      <c r="CU56" s="6">
        <f>SUMIF('Eredeti fejléccel'!$B:$B,'Felosztás eredménykim'!$B56,'Eredeti fejléccel'!$BH:$BH)</f>
        <v>0</v>
      </c>
      <c r="CV56" s="6">
        <f>SUMIF('Eredeti fejléccel'!$B:$B,'Felosztás eredménykim'!$B56,'Eredeti fejléccel'!$BI:$BI)</f>
        <v>0</v>
      </c>
      <c r="CW56" s="6">
        <f>SUMIF('Eredeti fejléccel'!$B:$B,'Felosztás eredménykim'!$B56,'Eredeti fejléccel'!$BL:$BL)</f>
        <v>0</v>
      </c>
      <c r="CX56" s="6">
        <f t="shared" si="46"/>
        <v>0</v>
      </c>
      <c r="CY56" s="6">
        <f>SUMIF('Eredeti fejléccel'!$B:$B,'Felosztás eredménykim'!$B56,'Eredeti fejléccel'!$BJ:$BJ)</f>
        <v>0</v>
      </c>
      <c r="CZ56" s="6">
        <f>SUMIF('Eredeti fejléccel'!$B:$B,'Felosztás eredménykim'!$B56,'Eredeti fejléccel'!$BK:$BK)</f>
        <v>0</v>
      </c>
      <c r="DA56" s="99">
        <f t="shared" si="47"/>
        <v>0</v>
      </c>
      <c r="DC56" s="36">
        <f t="shared" si="20"/>
        <v>51822.730199613667</v>
      </c>
      <c r="DD56" s="6">
        <f>SUMIF('Eredeti fejléccel'!$B:$B,'Felosztás eredménykim'!$B56,'Eredeti fejléccel'!$J:$J)</f>
        <v>0</v>
      </c>
      <c r="DE56" s="6">
        <f>SUMIF('Eredeti fejléccel'!$B:$B,'Felosztás eredménykim'!$B56,'Eredeti fejléccel'!$BM:$BM)</f>
        <v>0</v>
      </c>
      <c r="DF56" s="6">
        <f t="shared" si="48"/>
        <v>0</v>
      </c>
      <c r="DG56" s="8">
        <f t="shared" si="21"/>
        <v>0</v>
      </c>
      <c r="DH56" s="8">
        <f t="shared" si="49"/>
        <v>0</v>
      </c>
      <c r="DJ56" s="6">
        <f>SUMIF('Eredeti fejléccel'!$B:$B,'Felosztás eredménykim'!$B56,'Eredeti fejléccel'!$BN:$BN)</f>
        <v>0</v>
      </c>
      <c r="DK56" s="6">
        <f>SUMIF('Eredeti fejléccel'!$B:$B,'Felosztás eredménykim'!$B56,'Eredeti fejléccel'!$BZ:$BZ)</f>
        <v>0</v>
      </c>
      <c r="DL56" s="8">
        <f t="shared" si="50"/>
        <v>0</v>
      </c>
      <c r="DM56" s="6">
        <f>SUMIF('Eredeti fejléccel'!$B:$B,'Felosztás eredménykim'!$B56,'Eredeti fejléccel'!$BR:$BR)</f>
        <v>0</v>
      </c>
      <c r="DN56" s="6">
        <f>SUMIF('Eredeti fejléccel'!$B:$B,'Felosztás eredménykim'!$B56,'Eredeti fejléccel'!$BS:$BS)</f>
        <v>0</v>
      </c>
      <c r="DO56" s="6">
        <f>SUMIF('Eredeti fejléccel'!$B:$B,'Felosztás eredménykim'!$B56,'Eredeti fejléccel'!$BO:$BO)</f>
        <v>0</v>
      </c>
      <c r="DP56" s="6">
        <f>SUMIF('Eredeti fejléccel'!$B:$B,'Felosztás eredménykim'!$B56,'Eredeti fejléccel'!$BP:$BP)</f>
        <v>0</v>
      </c>
      <c r="DQ56" s="6">
        <f>SUMIF('Eredeti fejléccel'!$B:$B,'Felosztás eredménykim'!$B56,'Eredeti fejléccel'!$BQ:$BQ)</f>
        <v>0</v>
      </c>
      <c r="DS56" s="8"/>
      <c r="DU56" s="6">
        <f>SUMIF('Eredeti fejléccel'!$B:$B,'Felosztás eredménykim'!$B56,'Eredeti fejléccel'!$BT:$BT)</f>
        <v>0</v>
      </c>
      <c r="DV56" s="6">
        <f>SUMIF('Eredeti fejléccel'!$B:$B,'Felosztás eredménykim'!$B56,'Eredeti fejléccel'!$BU:$BU)</f>
        <v>0</v>
      </c>
      <c r="DW56" s="6">
        <f>SUMIF('Eredeti fejléccel'!$B:$B,'Felosztás eredménykim'!$B56,'Eredeti fejléccel'!$BV:$BV)</f>
        <v>0</v>
      </c>
      <c r="DX56" s="6">
        <f>SUMIF('Eredeti fejléccel'!$B:$B,'Felosztás eredménykim'!$B56,'Eredeti fejléccel'!$BW:$BW)</f>
        <v>0</v>
      </c>
      <c r="DY56" s="6">
        <f>SUMIF('Eredeti fejléccel'!$B:$B,'Felosztás eredménykim'!$B56,'Eredeti fejléccel'!$BX:$BX)</f>
        <v>0</v>
      </c>
      <c r="EA56" s="6"/>
      <c r="EC56" s="6"/>
      <c r="EE56" s="6">
        <f>SUMIF('Eredeti fejléccel'!$B:$B,'Felosztás eredménykim'!$B56,'Eredeti fejléccel'!$CA:$CA)</f>
        <v>0</v>
      </c>
      <c r="EF56" s="6">
        <f>SUMIF('Eredeti fejléccel'!$B:$B,'Felosztás eredménykim'!$B56,'Eredeti fejléccel'!$CB:$CB)</f>
        <v>0</v>
      </c>
      <c r="EG56" s="6">
        <f>SUMIF('Eredeti fejléccel'!$B:$B,'Felosztás eredménykim'!$B56,'Eredeti fejléccel'!$CC:$CC)</f>
        <v>0</v>
      </c>
      <c r="EH56" s="6">
        <f>SUMIF('Eredeti fejléccel'!$B:$B,'Felosztás eredménykim'!$B56,'Eredeti fejléccel'!$CD:$CD)</f>
        <v>0</v>
      </c>
      <c r="EK56" s="6">
        <f>SUMIF('Eredeti fejléccel'!$B:$B,'Felosztás eredménykim'!$B56,'Eredeti fejléccel'!$CE:$CE)</f>
        <v>0</v>
      </c>
      <c r="EN56" s="6">
        <f>SUMIF('Eredeti fejléccel'!$B:$B,'Felosztás eredménykim'!$B56,'Eredeti fejléccel'!$CF:$CF)</f>
        <v>0</v>
      </c>
      <c r="EP56" s="6">
        <f>SUMIF('Eredeti fejléccel'!$B:$B,'Felosztás eredménykim'!$B56,'Eredeti fejléccel'!$CG:$CG)</f>
        <v>0</v>
      </c>
      <c r="ES56" s="6">
        <f>SUMIF('Eredeti fejléccel'!$B:$B,'Felosztás eredménykim'!$B56,'Eredeti fejléccel'!$CH:$CH)</f>
        <v>0</v>
      </c>
      <c r="ET56" s="6">
        <f>SUMIF('Eredeti fejléccel'!$B:$B,'Felosztás eredménykim'!$B56,'Eredeti fejléccel'!$CI:$CI)</f>
        <v>0</v>
      </c>
      <c r="EW56" s="8">
        <f t="shared" si="22"/>
        <v>0</v>
      </c>
      <c r="EX56" s="8">
        <f t="shared" si="51"/>
        <v>0</v>
      </c>
      <c r="EY56" s="8">
        <f t="shared" si="52"/>
        <v>0</v>
      </c>
      <c r="EZ56" s="8">
        <f t="shared" si="23"/>
        <v>0</v>
      </c>
      <c r="FA56" s="8">
        <f t="shared" si="24"/>
        <v>0</v>
      </c>
      <c r="FC56" s="6">
        <f>SUMIF('Eredeti fejléccel'!$B:$B,'Felosztás eredménykim'!$B56,'Eredeti fejléccel'!$L:$L)</f>
        <v>0</v>
      </c>
      <c r="FD56" s="6">
        <f>SUMIF('Eredeti fejléccel'!$B:$B,'Felosztás eredménykim'!$B56,'Eredeti fejléccel'!$CJ:$CJ)</f>
        <v>0</v>
      </c>
      <c r="FE56" s="6">
        <f>SUMIF('Eredeti fejléccel'!$B:$B,'Felosztás eredménykim'!$B56,'Eredeti fejléccel'!$CL:$CL)</f>
        <v>0</v>
      </c>
      <c r="FG56" s="99">
        <f t="shared" si="53"/>
        <v>0</v>
      </c>
      <c r="FH56" s="6">
        <f>SUMIF('Eredeti fejléccel'!$B:$B,'Felosztás eredménykim'!$B56,'Eredeti fejléccel'!$CK:$CK)</f>
        <v>0</v>
      </c>
      <c r="FI56" s="36">
        <f t="shared" si="68"/>
        <v>60972.726326753822</v>
      </c>
      <c r="FJ56" s="101">
        <f t="shared" si="26"/>
        <v>0</v>
      </c>
      <c r="FK56" s="6">
        <f>SUMIF('Eredeti fejléccel'!$B:$B,'Felosztás eredménykim'!$B56,'Eredeti fejléccel'!$CM:$CM)</f>
        <v>0</v>
      </c>
      <c r="FL56" s="6">
        <f>SUMIF('Eredeti fejléccel'!$B:$B,'Felosztás eredménykim'!$B56,'Eredeti fejléccel'!$CN:$CN)</f>
        <v>0</v>
      </c>
      <c r="FM56" s="8">
        <f t="shared" si="54"/>
        <v>0</v>
      </c>
      <c r="FN56" s="36">
        <f t="shared" si="69"/>
        <v>51836.820194673688</v>
      </c>
      <c r="FO56" s="101">
        <f t="shared" si="28"/>
        <v>0</v>
      </c>
      <c r="FP56" s="6">
        <f>SUMIF('Eredeti fejléccel'!$B:$B,'Felosztás eredménykim'!$B56,'Eredeti fejléccel'!$CO:$CO)</f>
        <v>0</v>
      </c>
      <c r="FQ56" s="6">
        <f>'Eredeti fejléccel'!CP56</f>
        <v>0</v>
      </c>
      <c r="FR56" s="6">
        <f>'Eredeti fejléccel'!CQ56</f>
        <v>0</v>
      </c>
      <c r="FS56" s="103">
        <f t="shared" si="55"/>
        <v>0</v>
      </c>
      <c r="FT56" s="36">
        <f t="shared" si="70"/>
        <v>143084.73910510915</v>
      </c>
      <c r="FU56" s="101">
        <f t="shared" si="30"/>
        <v>0</v>
      </c>
      <c r="FV56" s="101"/>
      <c r="FW56" s="6">
        <f>SUMIF('Eredeti fejléccel'!$B:$B,'Felosztás eredménykim'!$B56,'Eredeti fejléccel'!$CR:$CR)</f>
        <v>0</v>
      </c>
      <c r="FX56" s="6">
        <f>SUMIF('Eredeti fejléccel'!$B:$B,'Felosztás eredménykim'!$B56,'Eredeti fejléccel'!$CS:$CS)</f>
        <v>0</v>
      </c>
      <c r="FY56" s="6">
        <f>SUMIF('Eredeti fejléccel'!$B:$B,'Felosztás eredménykim'!$B56,'Eredeti fejléccel'!$CT:$CT)</f>
        <v>0</v>
      </c>
      <c r="FZ56" s="6">
        <f>SUMIF('Eredeti fejléccel'!$B:$B,'Felosztás eredménykim'!$B56,'Eredeti fejléccel'!$CU:$CU)</f>
        <v>0</v>
      </c>
      <c r="GA56" s="103">
        <f t="shared" si="56"/>
        <v>0</v>
      </c>
      <c r="GB56" s="36">
        <f t="shared" si="71"/>
        <v>19072.037618795035</v>
      </c>
      <c r="GC56" s="101">
        <f t="shared" si="32"/>
        <v>0</v>
      </c>
      <c r="GD56" s="6">
        <f>SUMIF('Eredeti fejléccel'!$B:$B,'Felosztás eredménykim'!$B56,'Eredeti fejléccel'!$CV:$CV)</f>
        <v>0</v>
      </c>
      <c r="GE56" s="6">
        <f>SUMIF('Eredeti fejléccel'!$B:$B,'Felosztás eredménykim'!$B56,'Eredeti fejléccel'!$CW:$CW)</f>
        <v>0</v>
      </c>
      <c r="GF56" s="103">
        <f t="shared" si="57"/>
        <v>0</v>
      </c>
      <c r="GG56" s="36">
        <f t="shared" si="33"/>
        <v>0</v>
      </c>
      <c r="GM56" s="6">
        <f>SUMIF('Eredeti fejléccel'!$B:$B,'Felosztás eredménykim'!$B56,'Eredeti fejléccel'!$CX:$CX)</f>
        <v>0</v>
      </c>
      <c r="GN56" s="6">
        <f>SUMIF('Eredeti fejléccel'!$B:$B,'Felosztás eredménykim'!$B56,'Eredeti fejléccel'!$CY:$CY)</f>
        <v>0</v>
      </c>
      <c r="GO56" s="6">
        <f>SUMIF('Eredeti fejléccel'!$B:$B,'Felosztás eredménykim'!$B56,'Eredeti fejléccel'!$CZ:$CZ)</f>
        <v>0</v>
      </c>
      <c r="GP56" s="6">
        <f>SUMIF('Eredeti fejléccel'!$B:$B,'Felosztás eredménykim'!$B56,'Eredeti fejléccel'!$DA:$DA)</f>
        <v>0</v>
      </c>
      <c r="GQ56" s="6">
        <f>SUMIF('Eredeti fejléccel'!$B:$B,'Felosztás eredménykim'!$B56,'Eredeti fejléccel'!$DB:$DB)</f>
        <v>0</v>
      </c>
      <c r="GR56" s="103">
        <f t="shared" si="58"/>
        <v>0</v>
      </c>
      <c r="GW56" s="36">
        <f t="shared" si="34"/>
        <v>32739.214423696078</v>
      </c>
      <c r="GX56" s="6">
        <f>SUMIF('Eredeti fejléccel'!$B:$B,'Felosztás eredménykim'!$B56,'Eredeti fejléccel'!$M:$M)</f>
        <v>0</v>
      </c>
      <c r="GY56" s="6">
        <f>SUMIF('Eredeti fejléccel'!$B:$B,'Felosztás eredménykim'!$B56,'Eredeti fejléccel'!$DC:$DC)</f>
        <v>0</v>
      </c>
      <c r="GZ56" s="6">
        <f>SUMIF('Eredeti fejléccel'!$B:$B,'Felosztás eredménykim'!$B56,'Eredeti fejléccel'!$DD:$DD)</f>
        <v>0</v>
      </c>
      <c r="HA56" s="6">
        <f>SUMIF('Eredeti fejléccel'!$B:$B,'Felosztás eredménykim'!$B56,'Eredeti fejléccel'!$DE:$DE)</f>
        <v>0</v>
      </c>
      <c r="HB56" s="103">
        <f t="shared" si="59"/>
        <v>0</v>
      </c>
      <c r="HD56" s="9">
        <f t="shared" si="72"/>
        <v>706499.99999999988</v>
      </c>
      <c r="HE56" s="9">
        <v>706500</v>
      </c>
      <c r="HF56" s="476"/>
      <c r="HH56" s="34">
        <f t="shared" si="60"/>
        <v>0</v>
      </c>
    </row>
    <row r="57" spans="1:216" x14ac:dyDescent="0.25">
      <c r="A57" s="4" t="s">
        <v>134</v>
      </c>
      <c r="B57" s="4" t="s">
        <v>134</v>
      </c>
      <c r="C57" s="1" t="s">
        <v>135</v>
      </c>
      <c r="D57" s="6">
        <f>SUMIF('Eredeti fejléccel'!$B:$B,'Felosztás eredménykim'!$B57,'Eredeti fejléccel'!$D:$D)</f>
        <v>0</v>
      </c>
      <c r="E57" s="6">
        <f>SUMIF('Eredeti fejléccel'!$B:$B,'Felosztás eredménykim'!$B57,'Eredeti fejléccel'!$E:$E)</f>
        <v>14760000</v>
      </c>
      <c r="F57" s="6">
        <f>SUMIF('Eredeti fejléccel'!$B:$B,'Felosztás eredménykim'!$B57,'Eredeti fejléccel'!$F:$F)</f>
        <v>0</v>
      </c>
      <c r="G57" s="6">
        <f>SUMIF('Eredeti fejléccel'!$B:$B,'Felosztás eredménykim'!$B57,'Eredeti fejléccel'!$G:$G)</f>
        <v>0</v>
      </c>
      <c r="H57" s="6"/>
      <c r="I57" s="6">
        <f>SUMIF('Eredeti fejléccel'!$B:$B,'Felosztás eredménykim'!$B57,'Eredeti fejléccel'!$O:$O)</f>
        <v>0</v>
      </c>
      <c r="J57" s="6">
        <f>SUMIF('Eredeti fejléccel'!$B:$B,'Felosztás eredménykim'!$B57,'Eredeti fejléccel'!$P:$P)</f>
        <v>0</v>
      </c>
      <c r="K57" s="6">
        <f>SUMIF('Eredeti fejléccel'!$B:$B,'Felosztás eredménykim'!$B57,'Eredeti fejléccel'!$Q:$Q)</f>
        <v>0</v>
      </c>
      <c r="L57" s="6">
        <f>SUMIF('Eredeti fejléccel'!$B:$B,'Felosztás eredménykim'!$B57,'Eredeti fejléccel'!$R:$R)</f>
        <v>7200000</v>
      </c>
      <c r="M57" s="6">
        <f>SUMIF('Eredeti fejléccel'!$B:$B,'Felosztás eredménykim'!$B57,'Eredeti fejléccel'!$T:$T)</f>
        <v>0</v>
      </c>
      <c r="N57" s="6">
        <f>SUMIF('Eredeti fejléccel'!$B:$B,'Felosztás eredménykim'!$B57,'Eredeti fejléccel'!$U:$U)</f>
        <v>0</v>
      </c>
      <c r="O57" s="6">
        <f>SUMIF('Eredeti fejléccel'!$B:$B,'Felosztás eredménykim'!$B57,'Eredeti fejléccel'!$V:$V)</f>
        <v>0</v>
      </c>
      <c r="P57" s="6">
        <f>SUMIF('Eredeti fejléccel'!$B:$B,'Felosztás eredménykim'!$B57,'Eredeti fejléccel'!$W:$W)</f>
        <v>0</v>
      </c>
      <c r="Q57" s="6">
        <f>SUMIF('Eredeti fejléccel'!$B:$B,'Felosztás eredménykim'!$B57,'Eredeti fejléccel'!$X:$X)</f>
        <v>0</v>
      </c>
      <c r="R57" s="6">
        <f>SUMIF('Eredeti fejléccel'!$B:$B,'Felosztás eredménykim'!$B57,'Eredeti fejléccel'!$Y:$Y)</f>
        <v>0</v>
      </c>
      <c r="S57" s="6">
        <f>SUMIF('Eredeti fejléccel'!$B:$B,'Felosztás eredménykim'!$B57,'Eredeti fejléccel'!$Z:$Z)</f>
        <v>0</v>
      </c>
      <c r="T57" s="6">
        <f>SUMIF('Eredeti fejléccel'!$B:$B,'Felosztás eredménykim'!$B57,'Eredeti fejléccel'!$AA:$AA)</f>
        <v>0</v>
      </c>
      <c r="U57" s="6">
        <f>SUMIF('Eredeti fejléccel'!$B:$B,'Felosztás eredménykim'!$B57,'Eredeti fejléccel'!$D:$D)</f>
        <v>0</v>
      </c>
      <c r="V57" s="6">
        <f>SUMIF('Eredeti fejléccel'!$B:$B,'Felosztás eredménykim'!$B57,'Eredeti fejléccel'!$AT:$AT)</f>
        <v>0</v>
      </c>
      <c r="X57" s="36">
        <f t="shared" si="0"/>
        <v>21960000</v>
      </c>
      <c r="Z57" s="6">
        <f>SUMIF('Eredeti fejléccel'!$B:$B,'Felosztás eredménykim'!$B57,'Eredeti fejléccel'!$K:$K)</f>
        <v>2400000</v>
      </c>
      <c r="AB57" s="6">
        <f>SUMIF('Eredeti fejléccel'!$B:$B,'Felosztás eredménykim'!$B57,'Eredeti fejléccel'!$AB:$AB)</f>
        <v>0</v>
      </c>
      <c r="AC57" s="6">
        <f>SUMIF('Eredeti fejléccel'!$B:$B,'Felosztás eredménykim'!$B57,'Eredeti fejléccel'!$AQ:$AQ)</f>
        <v>0</v>
      </c>
      <c r="AE57" s="73">
        <f t="shared" si="1"/>
        <v>2400000</v>
      </c>
      <c r="AF57" s="36">
        <f t="shared" si="61"/>
        <v>2619710.3280891203</v>
      </c>
      <c r="AG57" s="8">
        <f t="shared" si="3"/>
        <v>765226.72390662727</v>
      </c>
      <c r="AI57" s="6">
        <f>SUMIF('Eredeti fejléccel'!$B:$B,'Felosztás eredménykim'!$B57,'Eredeti fejléccel'!$BB:$BB)</f>
        <v>0</v>
      </c>
      <c r="AJ57" s="6">
        <f>SUMIF('Eredeti fejléccel'!$B:$B,'Felosztás eredménykim'!$B57,'Eredeti fejléccel'!$AF:$AF)</f>
        <v>0</v>
      </c>
      <c r="AK57" s="8">
        <f t="shared" si="4"/>
        <v>765226.72390662727</v>
      </c>
      <c r="AL57" s="36">
        <f t="shared" si="62"/>
        <v>1040535.7151680771</v>
      </c>
      <c r="AM57" s="8">
        <f t="shared" si="6"/>
        <v>303944.19103836862</v>
      </c>
      <c r="AN57" s="6">
        <f t="shared" si="36"/>
        <v>-600000</v>
      </c>
      <c r="AO57" s="6">
        <f>SUMIF('Eredeti fejléccel'!$B:$B,'Felosztás eredménykim'!$B57,'Eredeti fejléccel'!$AC:$AC)</f>
        <v>1200000</v>
      </c>
      <c r="AP57" s="6">
        <f>SUMIF('Eredeti fejléccel'!$B:$B,'Felosztás eredménykim'!$B57,'Eredeti fejléccel'!$AD:$AD)</f>
        <v>0</v>
      </c>
      <c r="AQ57" s="6">
        <f>SUMIF('Eredeti fejléccel'!$B:$B,'Felosztás eredménykim'!$B57,'Eredeti fejléccel'!$AE:$AE)</f>
        <v>0</v>
      </c>
      <c r="AR57" s="6">
        <f>SUMIF('Eredeti fejléccel'!$B:$B,'Felosztás eredménykim'!$B57,'Eredeti fejléccel'!$AG:$AG)</f>
        <v>0</v>
      </c>
      <c r="AS57" s="6">
        <f t="shared" si="37"/>
        <v>903944.19103836862</v>
      </c>
      <c r="AT57" s="36">
        <f t="shared" si="63"/>
        <v>1690135.6955413681</v>
      </c>
      <c r="AU57" s="8">
        <f t="shared" si="8"/>
        <v>493694.66058492078</v>
      </c>
      <c r="AV57" s="6">
        <f>SUMIF('Eredeti fejléccel'!$B:$B,'Felosztás eredménykim'!$B57,'Eredeti fejléccel'!$AI:$AI)</f>
        <v>0</v>
      </c>
      <c r="AW57" s="6">
        <f>SUMIF('Eredeti fejléccel'!$B:$B,'Felosztás eredménykim'!$B57,'Eredeti fejléccel'!$AJ:$AJ)</f>
        <v>0</v>
      </c>
      <c r="AX57" s="6">
        <f>SUMIF('Eredeti fejléccel'!$B:$B,'Felosztás eredménykim'!$B57,'Eredeti fejléccel'!$AK:$AK)</f>
        <v>7200000</v>
      </c>
      <c r="AY57" s="6">
        <f>SUMIF('Eredeti fejléccel'!$B:$B,'Felosztás eredménykim'!$B57,'Eredeti fejléccel'!$AL:$AL)</f>
        <v>20712778</v>
      </c>
      <c r="AZ57" s="6">
        <f>SUMIF('Eredeti fejléccel'!$B:$B,'Felosztás eredménykim'!$B57,'Eredeti fejléccel'!$AM:$AM)</f>
        <v>0</v>
      </c>
      <c r="BA57" s="6">
        <f>SUMIF('Eredeti fejléccel'!$B:$B,'Felosztás eredménykim'!$B57,'Eredeti fejléccel'!$AN:$AN)</f>
        <v>0</v>
      </c>
      <c r="BB57" s="6">
        <f>SUMIF('Eredeti fejléccel'!$B:$B,'Felosztás eredménykim'!$B57,'Eredeti fejléccel'!$AP:$AP)</f>
        <v>0</v>
      </c>
      <c r="BD57" s="6">
        <f>SUMIF('Eredeti fejléccel'!$B:$B,'Felosztás eredménykim'!$B57,'Eredeti fejléccel'!$AS:$AS)</f>
        <v>0</v>
      </c>
      <c r="BE57" s="8">
        <f t="shared" si="38"/>
        <v>28406472.660584919</v>
      </c>
      <c r="BF57" s="36">
        <f t="shared" si="64"/>
        <v>440904.96405426989</v>
      </c>
      <c r="BG57" s="8">
        <f t="shared" si="10"/>
        <v>128789.91145693586</v>
      </c>
      <c r="BH57" s="6">
        <f t="shared" si="39"/>
        <v>600000</v>
      </c>
      <c r="BI57" s="6">
        <f>SUMIF('Eredeti fejléccel'!$B:$B,'Felosztás eredménykim'!$B57,'Eredeti fejléccel'!$AH:$AH)</f>
        <v>1800000</v>
      </c>
      <c r="BJ57" s="6">
        <f>SUMIF('Eredeti fejléccel'!$B:$B,'Felosztás eredménykim'!$B57,'Eredeti fejléccel'!$AO:$AO)</f>
        <v>0</v>
      </c>
      <c r="BK57" s="6">
        <f>SUMIF('Eredeti fejléccel'!$B:$B,'Felosztás eredménykim'!$B57,'Eredeti fejléccel'!$BF:$BF)</f>
        <v>0</v>
      </c>
      <c r="BL57" s="8">
        <f t="shared" si="40"/>
        <v>2528789.911456936</v>
      </c>
      <c r="BM57" s="36">
        <f t="shared" si="65"/>
        <v>1651923.9319899981</v>
      </c>
      <c r="BN57" s="8">
        <f t="shared" si="12"/>
        <v>482532.86825865303</v>
      </c>
      <c r="BP57" s="8">
        <f t="shared" si="41"/>
        <v>0</v>
      </c>
      <c r="BQ57" s="6">
        <f>SUMIF('Eredeti fejléccel'!$B:$B,'Felosztás eredménykim'!$B57,'Eredeti fejléccel'!$N:$N)</f>
        <v>0</v>
      </c>
      <c r="BR57" s="6">
        <f>SUMIF('Eredeti fejléccel'!$B:$B,'Felosztás eredménykim'!$B57,'Eredeti fejléccel'!$S:$S)</f>
        <v>0</v>
      </c>
      <c r="BT57" s="6">
        <f>SUMIF('Eredeti fejléccel'!$B:$B,'Felosztás eredménykim'!$B57,'Eredeti fejléccel'!$AR:$AR)</f>
        <v>0</v>
      </c>
      <c r="BU57" s="6">
        <f>SUMIF('Eredeti fejléccel'!$B:$B,'Felosztás eredménykim'!$B57,'Eredeti fejléccel'!$AU:$AU)</f>
        <v>0</v>
      </c>
      <c r="BV57" s="6">
        <f>SUMIF('Eredeti fejléccel'!$B:$B,'Felosztás eredménykim'!$B57,'Eredeti fejléccel'!$AV:$AV)</f>
        <v>0</v>
      </c>
      <c r="BW57" s="6">
        <f>SUMIF('Eredeti fejléccel'!$B:$B,'Felosztás eredménykim'!$B57,'Eredeti fejléccel'!$AW:$AW)</f>
        <v>0</v>
      </c>
      <c r="BX57" s="6">
        <f>SUMIF('Eredeti fejléccel'!$B:$B,'Felosztás eredménykim'!$B57,'Eredeti fejléccel'!$AX:$AX)</f>
        <v>0</v>
      </c>
      <c r="BY57" s="6">
        <f>SUMIF('Eredeti fejléccel'!$B:$B,'Felosztás eredménykim'!$B57,'Eredeti fejléccel'!$AY:$AY)</f>
        <v>0</v>
      </c>
      <c r="BZ57" s="6">
        <f>SUMIF('Eredeti fejléccel'!$B:$B,'Felosztás eredménykim'!$B57,'Eredeti fejléccel'!$AZ:$AZ)</f>
        <v>0</v>
      </c>
      <c r="CA57" s="6">
        <f>SUMIF('Eredeti fejléccel'!$B:$B,'Felosztás eredménykim'!$B57,'Eredeti fejléccel'!$BA:$BA)</f>
        <v>0</v>
      </c>
      <c r="CB57" s="6">
        <f t="shared" si="13"/>
        <v>482532.86825865303</v>
      </c>
      <c r="CC57" s="36">
        <f t="shared" si="66"/>
        <v>449723.06333535531</v>
      </c>
      <c r="CD57" s="8">
        <f t="shared" si="15"/>
        <v>131365.70968607458</v>
      </c>
      <c r="CE57" s="6">
        <f>SUMIF('Eredeti fejléccel'!$B:$B,'Felosztás eredménykim'!$B57,'Eredeti fejléccel'!$BC:$BC)</f>
        <v>0</v>
      </c>
      <c r="CF57" s="8">
        <f t="shared" si="42"/>
        <v>0</v>
      </c>
      <c r="CG57" s="6">
        <f>SUMIF('Eredeti fejléccel'!$B:$B,'Felosztás eredménykim'!$B57,'Eredeti fejléccel'!$H:$H)</f>
        <v>0</v>
      </c>
      <c r="CH57" s="6">
        <f>SUMIF('Eredeti fejléccel'!$B:$B,'Felosztás eredménykim'!$B57,'Eredeti fejléccel'!$BE:$BE)</f>
        <v>6000000</v>
      </c>
      <c r="CI57" s="6">
        <f t="shared" si="43"/>
        <v>6131365.7096860744</v>
      </c>
      <c r="CJ57" s="36">
        <f t="shared" si="67"/>
        <v>323330.30697313132</v>
      </c>
      <c r="CK57" s="8">
        <f t="shared" si="17"/>
        <v>94445.93506841964</v>
      </c>
      <c r="CL57" s="8">
        <f t="shared" si="44"/>
        <v>0</v>
      </c>
      <c r="CM57" s="6">
        <f>SUMIF('Eredeti fejléccel'!$B:$B,'Felosztás eredménykim'!$B57,'Eredeti fejléccel'!$BD:$BD)</f>
        <v>11048000</v>
      </c>
      <c r="CN57" s="8">
        <f t="shared" si="45"/>
        <v>11142445.935068419</v>
      </c>
      <c r="CO57" s="8">
        <f t="shared" si="18"/>
        <v>58577042.005151309</v>
      </c>
      <c r="CR57" s="36">
        <f t="shared" si="19"/>
        <v>1942180.2962009015</v>
      </c>
      <c r="CS57" s="6">
        <f>SUMIF('Eredeti fejléccel'!$B:$B,'Felosztás eredménykim'!$B57,'Eredeti fejléccel'!$I:$I)</f>
        <v>0</v>
      </c>
      <c r="CT57" s="6">
        <f>SUMIF('Eredeti fejléccel'!$B:$B,'Felosztás eredménykim'!$B57,'Eredeti fejléccel'!$BG:$BG)</f>
        <v>0</v>
      </c>
      <c r="CU57" s="6">
        <f>SUMIF('Eredeti fejléccel'!$B:$B,'Felosztás eredménykim'!$B57,'Eredeti fejléccel'!$BH:$BH)</f>
        <v>0</v>
      </c>
      <c r="CV57" s="6">
        <f>SUMIF('Eredeti fejléccel'!$B:$B,'Felosztás eredménykim'!$B57,'Eredeti fejléccel'!$BI:$BI)</f>
        <v>0</v>
      </c>
      <c r="CW57" s="6">
        <f>SUMIF('Eredeti fejléccel'!$B:$B,'Felosztás eredménykim'!$B57,'Eredeti fejléccel'!$BL:$BL)</f>
        <v>30995186</v>
      </c>
      <c r="CX57" s="6">
        <f t="shared" si="46"/>
        <v>30995186</v>
      </c>
      <c r="CY57" s="6">
        <f>SUMIF('Eredeti fejléccel'!$B:$B,'Felosztás eredménykim'!$B57,'Eredeti fejléccel'!$BJ:$BJ)</f>
        <v>7711782</v>
      </c>
      <c r="CZ57" s="6">
        <f>SUMIF('Eredeti fejléccel'!$B:$B,'Felosztás eredménykim'!$B57,'Eredeti fejléccel'!$BK:$BK)</f>
        <v>620065</v>
      </c>
      <c r="DA57" s="99">
        <f t="shared" si="47"/>
        <v>39327033</v>
      </c>
      <c r="DC57" s="36">
        <f t="shared" si="20"/>
        <v>1701086.9285254348</v>
      </c>
      <c r="DD57" s="6">
        <f>SUMIF('Eredeti fejléccel'!$B:$B,'Felosztás eredménykim'!$B57,'Eredeti fejléccel'!$J:$J)</f>
        <v>0</v>
      </c>
      <c r="DE57" s="6">
        <f>SUMIF('Eredeti fejléccel'!$B:$B,'Felosztás eredménykim'!$B57,'Eredeti fejléccel'!$BM:$BM)</f>
        <v>0</v>
      </c>
      <c r="DF57" s="6">
        <f t="shared" si="48"/>
        <v>0</v>
      </c>
      <c r="DG57" s="8">
        <f t="shared" si="21"/>
        <v>0</v>
      </c>
      <c r="DH57" s="8">
        <f t="shared" si="49"/>
        <v>0</v>
      </c>
      <c r="DJ57" s="6">
        <f>SUMIF('Eredeti fejléccel'!$B:$B,'Felosztás eredménykim'!$B57,'Eredeti fejléccel'!$BN:$BN)</f>
        <v>0</v>
      </c>
      <c r="DK57" s="6">
        <f>SUMIF('Eredeti fejléccel'!$B:$B,'Felosztás eredménykim'!$B57,'Eredeti fejléccel'!$BZ:$BZ)</f>
        <v>0</v>
      </c>
      <c r="DL57" s="8">
        <f t="shared" si="50"/>
        <v>0</v>
      </c>
      <c r="DM57" s="6">
        <f>SUMIF('Eredeti fejléccel'!$B:$B,'Felosztás eredménykim'!$B57,'Eredeti fejléccel'!$BR:$BR)</f>
        <v>0</v>
      </c>
      <c r="DN57" s="6">
        <f>SUMIF('Eredeti fejléccel'!$B:$B,'Felosztás eredménykim'!$B57,'Eredeti fejléccel'!$BS:$BS)</f>
        <v>0</v>
      </c>
      <c r="DO57" s="6">
        <f>SUMIF('Eredeti fejléccel'!$B:$B,'Felosztás eredménykim'!$B57,'Eredeti fejléccel'!$BO:$BO)</f>
        <v>0</v>
      </c>
      <c r="DP57" s="6">
        <f>SUMIF('Eredeti fejléccel'!$B:$B,'Felosztás eredménykim'!$B57,'Eredeti fejléccel'!$BP:$BP)</f>
        <v>0</v>
      </c>
      <c r="DQ57" s="6">
        <f>SUMIF('Eredeti fejléccel'!$B:$B,'Felosztás eredménykim'!$B57,'Eredeti fejléccel'!$BQ:$BQ)</f>
        <v>0</v>
      </c>
      <c r="DS57" s="8"/>
      <c r="DU57" s="6">
        <f>SUMIF('Eredeti fejléccel'!$B:$B,'Felosztás eredménykim'!$B57,'Eredeti fejléccel'!$BT:$BT)</f>
        <v>0</v>
      </c>
      <c r="DV57" s="6">
        <f>SUMIF('Eredeti fejléccel'!$B:$B,'Felosztás eredménykim'!$B57,'Eredeti fejléccel'!$BU:$BU)</f>
        <v>0</v>
      </c>
      <c r="DW57" s="6">
        <f>SUMIF('Eredeti fejléccel'!$B:$B,'Felosztás eredménykim'!$B57,'Eredeti fejléccel'!$BV:$BV)</f>
        <v>0</v>
      </c>
      <c r="DX57" s="6">
        <f>SUMIF('Eredeti fejléccel'!$B:$B,'Felosztás eredménykim'!$B57,'Eredeti fejléccel'!$BW:$BW)</f>
        <v>0</v>
      </c>
      <c r="DY57" s="6">
        <f>SUMIF('Eredeti fejléccel'!$B:$B,'Felosztás eredménykim'!$B57,'Eredeti fejléccel'!$BX:$BX)</f>
        <v>0</v>
      </c>
      <c r="EA57" s="6"/>
      <c r="EC57" s="6"/>
      <c r="EE57" s="6">
        <f>SUMIF('Eredeti fejléccel'!$B:$B,'Felosztás eredménykim'!$B57,'Eredeti fejléccel'!$CA:$CA)</f>
        <v>0</v>
      </c>
      <c r="EF57" s="6">
        <f>SUMIF('Eredeti fejléccel'!$B:$B,'Felosztás eredménykim'!$B57,'Eredeti fejléccel'!$CB:$CB)</f>
        <v>0</v>
      </c>
      <c r="EG57" s="6">
        <f>SUMIF('Eredeti fejléccel'!$B:$B,'Felosztás eredménykim'!$B57,'Eredeti fejléccel'!$CC:$CC)</f>
        <v>0</v>
      </c>
      <c r="EH57" s="6">
        <f>SUMIF('Eredeti fejléccel'!$B:$B,'Felosztás eredménykim'!$B57,'Eredeti fejléccel'!$CD:$CD)</f>
        <v>0</v>
      </c>
      <c r="EK57" s="6">
        <f>SUMIF('Eredeti fejléccel'!$B:$B,'Felosztás eredménykim'!$B57,'Eredeti fejléccel'!$CE:$CE)</f>
        <v>0</v>
      </c>
      <c r="EN57" s="6">
        <f>SUMIF('Eredeti fejléccel'!$B:$B,'Felosztás eredménykim'!$B57,'Eredeti fejléccel'!$CF:$CF)</f>
        <v>0</v>
      </c>
      <c r="EP57" s="6">
        <f>SUMIF('Eredeti fejléccel'!$B:$B,'Felosztás eredménykim'!$B57,'Eredeti fejléccel'!$CG:$CG)</f>
        <v>0</v>
      </c>
      <c r="ES57" s="6">
        <f>SUMIF('Eredeti fejléccel'!$B:$B,'Felosztás eredménykim'!$B57,'Eredeti fejléccel'!$CH:$CH)</f>
        <v>0</v>
      </c>
      <c r="ET57" s="6">
        <f>SUMIF('Eredeti fejléccel'!$B:$B,'Felosztás eredménykim'!$B57,'Eredeti fejléccel'!$CI:$CI)</f>
        <v>0</v>
      </c>
      <c r="EW57" s="8">
        <f t="shared" si="22"/>
        <v>0</v>
      </c>
      <c r="EX57" s="8">
        <f t="shared" si="51"/>
        <v>0</v>
      </c>
      <c r="EY57" s="8">
        <f t="shared" si="52"/>
        <v>0</v>
      </c>
      <c r="EZ57" s="8">
        <f t="shared" si="23"/>
        <v>0</v>
      </c>
      <c r="FA57" s="8">
        <f t="shared" si="24"/>
        <v>0</v>
      </c>
      <c r="FC57" s="6">
        <f>SUMIF('Eredeti fejléccel'!$B:$B,'Felosztás eredménykim'!$B57,'Eredeti fejléccel'!$L:$L)</f>
        <v>0</v>
      </c>
      <c r="FD57" s="6">
        <f>SUMIF('Eredeti fejléccel'!$B:$B,'Felosztás eredménykim'!$B57,'Eredeti fejléccel'!$CJ:$CJ)</f>
        <v>0</v>
      </c>
      <c r="FE57" s="6">
        <f>SUMIF('Eredeti fejléccel'!$B:$B,'Felosztás eredménykim'!$B57,'Eredeti fejléccel'!$CL:$CL)</f>
        <v>0</v>
      </c>
      <c r="FG57" s="99">
        <f t="shared" si="53"/>
        <v>0</v>
      </c>
      <c r="FH57" s="6">
        <f>SUMIF('Eredeti fejléccel'!$B:$B,'Felosztás eredménykim'!$B57,'Eredeti fejléccel'!$CK:$CK)</f>
        <v>0</v>
      </c>
      <c r="FI57" s="36">
        <f t="shared" si="68"/>
        <v>2001436.5771831295</v>
      </c>
      <c r="FJ57" s="101">
        <f t="shared" si="26"/>
        <v>0</v>
      </c>
      <c r="FK57" s="6">
        <f>SUMIF('Eredeti fejléccel'!$B:$B,'Felosztás eredménykim'!$B57,'Eredeti fejléccel'!$CM:$CM)</f>
        <v>0</v>
      </c>
      <c r="FL57" s="6">
        <f>SUMIF('Eredeti fejléccel'!$B:$B,'Felosztás eredménykim'!$B57,'Eredeti fejléccel'!$CN:$CN)</f>
        <v>0</v>
      </c>
      <c r="FM57" s="8">
        <f t="shared" si="54"/>
        <v>0</v>
      </c>
      <c r="FN57" s="36">
        <f t="shared" si="69"/>
        <v>1701549.4341928759</v>
      </c>
      <c r="FO57" s="101">
        <f t="shared" si="28"/>
        <v>0</v>
      </c>
      <c r="FP57" s="6">
        <f>SUMIF('Eredeti fejléccel'!$B:$B,'Felosztás eredménykim'!$B57,'Eredeti fejléccel'!$CO:$CO)</f>
        <v>0</v>
      </c>
      <c r="FQ57" s="6">
        <f>'Eredeti fejléccel'!CP57</f>
        <v>0</v>
      </c>
      <c r="FR57" s="6">
        <f>'Eredeti fejléccel'!CQ57</f>
        <v>0</v>
      </c>
      <c r="FS57" s="103">
        <f t="shared" si="55"/>
        <v>0</v>
      </c>
      <c r="FT57" s="36">
        <f t="shared" si="70"/>
        <v>4696772.602015241</v>
      </c>
      <c r="FU57" s="101">
        <f t="shared" si="30"/>
        <v>0</v>
      </c>
      <c r="FV57" s="101"/>
      <c r="FW57" s="6">
        <f>SUMIF('Eredeti fejléccel'!$B:$B,'Felosztás eredménykim'!$B57,'Eredeti fejléccel'!$CR:$CR)</f>
        <v>0</v>
      </c>
      <c r="FX57" s="6">
        <f>SUMIF('Eredeti fejléccel'!$B:$B,'Felosztás eredménykim'!$B57,'Eredeti fejléccel'!$CS:$CS)</f>
        <v>0</v>
      </c>
      <c r="FY57" s="6">
        <f>SUMIF('Eredeti fejléccel'!$B:$B,'Felosztás eredménykim'!$B57,'Eredeti fejléccel'!$CT:$CT)</f>
        <v>0</v>
      </c>
      <c r="FZ57" s="6">
        <f>SUMIF('Eredeti fejléccel'!$B:$B,'Felosztás eredménykim'!$B57,'Eredeti fejléccel'!$CU:$CU)</f>
        <v>0</v>
      </c>
      <c r="GA57" s="103">
        <f t="shared" si="56"/>
        <v>0</v>
      </c>
      <c r="GB57" s="36">
        <f t="shared" si="71"/>
        <v>626041.77295775618</v>
      </c>
      <c r="GC57" s="101">
        <f t="shared" si="32"/>
        <v>0</v>
      </c>
      <c r="GD57" s="6">
        <f>SUMIF('Eredeti fejléccel'!$B:$B,'Felosztás eredménykim'!$B57,'Eredeti fejléccel'!$CV:$CV)</f>
        <v>0</v>
      </c>
      <c r="GE57" s="6">
        <f>SUMIF('Eredeti fejléccel'!$B:$B,'Felosztás eredménykim'!$B57,'Eredeti fejléccel'!$CW:$CW)</f>
        <v>0</v>
      </c>
      <c r="GF57" s="103">
        <f t="shared" si="57"/>
        <v>0</v>
      </c>
      <c r="GG57" s="36">
        <f t="shared" si="33"/>
        <v>0</v>
      </c>
      <c r="GM57" s="6">
        <f>SUMIF('Eredeti fejléccel'!$B:$B,'Felosztás eredménykim'!$B57,'Eredeti fejléccel'!$CX:$CX)</f>
        <v>0</v>
      </c>
      <c r="GN57" s="6">
        <f>SUMIF('Eredeti fejléccel'!$B:$B,'Felosztás eredménykim'!$B57,'Eredeti fejléccel'!$CY:$CY)</f>
        <v>0</v>
      </c>
      <c r="GO57" s="6">
        <f>SUMIF('Eredeti fejléccel'!$B:$B,'Felosztás eredménykim'!$B57,'Eredeti fejléccel'!$CZ:$CZ)</f>
        <v>0</v>
      </c>
      <c r="GP57" s="6">
        <f>SUMIF('Eredeti fejléccel'!$B:$B,'Felosztás eredménykim'!$B57,'Eredeti fejléccel'!$DA:$DA)</f>
        <v>0</v>
      </c>
      <c r="GQ57" s="6">
        <f>SUMIF('Eredeti fejléccel'!$B:$B,'Felosztás eredménykim'!$B57,'Eredeti fejléccel'!$DB:$DB)</f>
        <v>0</v>
      </c>
      <c r="GR57" s="103">
        <f t="shared" si="58"/>
        <v>0</v>
      </c>
      <c r="GW57" s="36">
        <f t="shared" si="34"/>
        <v>1074668.383773342</v>
      </c>
      <c r="GX57" s="6">
        <f>SUMIF('Eredeti fejléccel'!$B:$B,'Felosztás eredménykim'!$B57,'Eredeti fejléccel'!$M:$M)</f>
        <v>0</v>
      </c>
      <c r="GY57" s="6">
        <f>SUMIF('Eredeti fejléccel'!$B:$B,'Felosztás eredménykim'!$B57,'Eredeti fejléccel'!$DC:$DC)</f>
        <v>0</v>
      </c>
      <c r="GZ57" s="6">
        <f>SUMIF('Eredeti fejléccel'!$B:$B,'Felosztás eredménykim'!$B57,'Eredeti fejléccel'!$DD:$DD)</f>
        <v>0</v>
      </c>
      <c r="HA57" s="6">
        <f>SUMIF('Eredeti fejléccel'!$B:$B,'Felosztás eredménykim'!$B57,'Eredeti fejléccel'!$DE:$DE)</f>
        <v>0</v>
      </c>
      <c r="HB57" s="103">
        <f t="shared" si="59"/>
        <v>0</v>
      </c>
      <c r="HD57" s="9">
        <f t="shared" si="72"/>
        <v>111647810.9999999</v>
      </c>
      <c r="HE57" s="9">
        <v>111647811</v>
      </c>
      <c r="HF57" s="476"/>
      <c r="HH57" s="34">
        <f t="shared" si="60"/>
        <v>0</v>
      </c>
    </row>
    <row r="58" spans="1:216" x14ac:dyDescent="0.25">
      <c r="A58" s="4" t="s">
        <v>855</v>
      </c>
      <c r="B58" s="4" t="s">
        <v>855</v>
      </c>
      <c r="C58" s="1" t="s">
        <v>913</v>
      </c>
      <c r="D58" s="6">
        <f>SUMIF('Eredeti fejléccel'!$B:$B,'Felosztás eredménykim'!$B58,'Eredeti fejléccel'!$D:$D)</f>
        <v>0</v>
      </c>
      <c r="E58" s="6">
        <f>SUMIF('Eredeti fejléccel'!$B:$B,'Felosztás eredménykim'!$B58,'Eredeti fejléccel'!$E:$E)</f>
        <v>0</v>
      </c>
      <c r="F58" s="6">
        <f>SUMIF('Eredeti fejléccel'!$B:$B,'Felosztás eredménykim'!$B58,'Eredeti fejléccel'!$F:$F)</f>
        <v>0</v>
      </c>
      <c r="G58" s="6">
        <f>SUMIF('Eredeti fejléccel'!$B:$B,'Felosztás eredménykim'!$B58,'Eredeti fejléccel'!$G:$G)</f>
        <v>0</v>
      </c>
      <c r="H58" s="6"/>
      <c r="I58" s="6">
        <f>SUMIF('Eredeti fejléccel'!$B:$B,'Felosztás eredménykim'!$B58,'Eredeti fejléccel'!$O:$O)</f>
        <v>0</v>
      </c>
      <c r="J58" s="6">
        <f>SUMIF('Eredeti fejléccel'!$B:$B,'Felosztás eredménykim'!$B58,'Eredeti fejléccel'!$P:$P)</f>
        <v>0</v>
      </c>
      <c r="K58" s="6">
        <f>SUMIF('Eredeti fejléccel'!$B:$B,'Felosztás eredménykim'!$B58,'Eredeti fejléccel'!$Q:$Q)</f>
        <v>0</v>
      </c>
      <c r="L58" s="6">
        <f>SUMIF('Eredeti fejléccel'!$B:$B,'Felosztás eredménykim'!$B58,'Eredeti fejléccel'!$R:$R)</f>
        <v>0</v>
      </c>
      <c r="M58" s="6">
        <f>SUMIF('Eredeti fejléccel'!$B:$B,'Felosztás eredménykim'!$B58,'Eredeti fejléccel'!$T:$T)</f>
        <v>0</v>
      </c>
      <c r="N58" s="6">
        <f>SUMIF('Eredeti fejléccel'!$B:$B,'Felosztás eredménykim'!$B58,'Eredeti fejléccel'!$U:$U)</f>
        <v>0</v>
      </c>
      <c r="O58" s="6">
        <f>SUMIF('Eredeti fejléccel'!$B:$B,'Felosztás eredménykim'!$B58,'Eredeti fejléccel'!$V:$V)</f>
        <v>0</v>
      </c>
      <c r="P58" s="6">
        <f>SUMIF('Eredeti fejléccel'!$B:$B,'Felosztás eredménykim'!$B58,'Eredeti fejléccel'!$W:$W)</f>
        <v>0</v>
      </c>
      <c r="Q58" s="6">
        <f>SUMIF('Eredeti fejléccel'!$B:$B,'Felosztás eredménykim'!$B58,'Eredeti fejléccel'!$X:$X)</f>
        <v>0</v>
      </c>
      <c r="R58" s="6">
        <f>SUMIF('Eredeti fejléccel'!$B:$B,'Felosztás eredménykim'!$B58,'Eredeti fejléccel'!$Y:$Y)</f>
        <v>0</v>
      </c>
      <c r="S58" s="6">
        <f>SUMIF('Eredeti fejléccel'!$B:$B,'Felosztás eredménykim'!$B58,'Eredeti fejléccel'!$Z:$Z)</f>
        <v>0</v>
      </c>
      <c r="T58" s="6">
        <f>SUMIF('Eredeti fejléccel'!$B:$B,'Felosztás eredménykim'!$B58,'Eredeti fejléccel'!$AA:$AA)</f>
        <v>0</v>
      </c>
      <c r="U58" s="6">
        <f>SUMIF('Eredeti fejléccel'!$B:$B,'Felosztás eredménykim'!$B58,'Eredeti fejléccel'!$D:$D)</f>
        <v>0</v>
      </c>
      <c r="V58" s="6">
        <f>SUMIF('Eredeti fejléccel'!$B:$B,'Felosztás eredménykim'!$B58,'Eredeti fejléccel'!$AT:$AT)</f>
        <v>0</v>
      </c>
      <c r="X58" s="36">
        <f t="shared" si="0"/>
        <v>0</v>
      </c>
      <c r="Z58" s="6">
        <f>SUMIF('Eredeti fejléccel'!$B:$B,'Felosztás eredménykim'!$B58,'Eredeti fejléccel'!$K:$K)</f>
        <v>0</v>
      </c>
      <c r="AB58" s="6">
        <f>SUMIF('Eredeti fejléccel'!$B:$B,'Felosztás eredménykim'!$B58,'Eredeti fejléccel'!$AB:$AB)</f>
        <v>0</v>
      </c>
      <c r="AC58" s="6">
        <f>SUMIF('Eredeti fejléccel'!$B:$B,'Felosztás eredménykim'!$B58,'Eredeti fejléccel'!$AQ:$AQ)</f>
        <v>0</v>
      </c>
      <c r="AE58" s="73">
        <f t="shared" si="1"/>
        <v>0</v>
      </c>
      <c r="AF58" s="36">
        <f t="shared" si="61"/>
        <v>0</v>
      </c>
      <c r="AG58" s="8">
        <f t="shared" si="3"/>
        <v>0</v>
      </c>
      <c r="AI58" s="6">
        <f>SUMIF('Eredeti fejléccel'!$B:$B,'Felosztás eredménykim'!$B58,'Eredeti fejléccel'!$BB:$BB)</f>
        <v>0</v>
      </c>
      <c r="AJ58" s="6">
        <f>SUMIF('Eredeti fejléccel'!$B:$B,'Felosztás eredménykim'!$B58,'Eredeti fejléccel'!$AF:$AF)</f>
        <v>0</v>
      </c>
      <c r="AK58" s="8">
        <f t="shared" si="4"/>
        <v>0</v>
      </c>
      <c r="AL58" s="36">
        <f t="shared" si="62"/>
        <v>0</v>
      </c>
      <c r="AM58" s="8">
        <f t="shared" si="6"/>
        <v>0</v>
      </c>
      <c r="AN58" s="6">
        <f t="shared" si="36"/>
        <v>0</v>
      </c>
      <c r="AO58" s="6">
        <f>SUMIF('Eredeti fejléccel'!$B:$B,'Felosztás eredménykim'!$B58,'Eredeti fejléccel'!$AC:$AC)</f>
        <v>0</v>
      </c>
      <c r="AP58" s="6">
        <f>SUMIF('Eredeti fejléccel'!$B:$B,'Felosztás eredménykim'!$B58,'Eredeti fejléccel'!$AD:$AD)</f>
        <v>0</v>
      </c>
      <c r="AQ58" s="6">
        <f>SUMIF('Eredeti fejléccel'!$B:$B,'Felosztás eredménykim'!$B58,'Eredeti fejléccel'!$AE:$AE)</f>
        <v>0</v>
      </c>
      <c r="AR58" s="6">
        <f>SUMIF('Eredeti fejléccel'!$B:$B,'Felosztás eredménykim'!$B58,'Eredeti fejléccel'!$AG:$AG)</f>
        <v>0</v>
      </c>
      <c r="AS58" s="6">
        <f t="shared" si="37"/>
        <v>0</v>
      </c>
      <c r="AT58" s="36">
        <f t="shared" si="63"/>
        <v>0</v>
      </c>
      <c r="AU58" s="8">
        <f t="shared" si="8"/>
        <v>0</v>
      </c>
      <c r="AV58" s="6">
        <f>SUMIF('Eredeti fejléccel'!$B:$B,'Felosztás eredménykim'!$B58,'Eredeti fejléccel'!$AI:$AI)</f>
        <v>0</v>
      </c>
      <c r="AW58" s="6">
        <f>SUMIF('Eredeti fejléccel'!$B:$B,'Felosztás eredménykim'!$B58,'Eredeti fejléccel'!$AJ:$AJ)</f>
        <v>0</v>
      </c>
      <c r="AX58" s="6">
        <f>SUMIF('Eredeti fejléccel'!$B:$B,'Felosztás eredménykim'!$B58,'Eredeti fejléccel'!$AK:$AK)</f>
        <v>0</v>
      </c>
      <c r="AY58" s="6">
        <f>SUMIF('Eredeti fejléccel'!$B:$B,'Felosztás eredménykim'!$B58,'Eredeti fejléccel'!$AL:$AL)</f>
        <v>0</v>
      </c>
      <c r="AZ58" s="6">
        <f>SUMIF('Eredeti fejléccel'!$B:$B,'Felosztás eredménykim'!$B58,'Eredeti fejléccel'!$AM:$AM)</f>
        <v>0</v>
      </c>
      <c r="BA58" s="6">
        <f>SUMIF('Eredeti fejléccel'!$B:$B,'Felosztás eredménykim'!$B58,'Eredeti fejléccel'!$AN:$AN)</f>
        <v>0</v>
      </c>
      <c r="BB58" s="6">
        <f>SUMIF('Eredeti fejléccel'!$B:$B,'Felosztás eredménykim'!$B58,'Eredeti fejléccel'!$AP:$AP)</f>
        <v>0</v>
      </c>
      <c r="BD58" s="6">
        <f>SUMIF('Eredeti fejléccel'!$B:$B,'Felosztás eredménykim'!$B58,'Eredeti fejléccel'!$AS:$AS)</f>
        <v>0</v>
      </c>
      <c r="BE58" s="8">
        <f t="shared" si="38"/>
        <v>0</v>
      </c>
      <c r="BF58" s="36">
        <f t="shared" si="64"/>
        <v>0</v>
      </c>
      <c r="BG58" s="8">
        <f t="shared" si="10"/>
        <v>0</v>
      </c>
      <c r="BH58" s="6">
        <f t="shared" si="39"/>
        <v>0</v>
      </c>
      <c r="BI58" s="6">
        <f>SUMIF('Eredeti fejléccel'!$B:$B,'Felosztás eredménykim'!$B58,'Eredeti fejléccel'!$AH:$AH)</f>
        <v>0</v>
      </c>
      <c r="BJ58" s="6">
        <f>SUMIF('Eredeti fejléccel'!$B:$B,'Felosztás eredménykim'!$B58,'Eredeti fejléccel'!$AO:$AO)</f>
        <v>0</v>
      </c>
      <c r="BK58" s="6">
        <f>SUMIF('Eredeti fejléccel'!$B:$B,'Felosztás eredménykim'!$B58,'Eredeti fejléccel'!$BF:$BF)</f>
        <v>0</v>
      </c>
      <c r="BL58" s="8">
        <f t="shared" si="40"/>
        <v>0</v>
      </c>
      <c r="BM58" s="36">
        <f t="shared" si="65"/>
        <v>0</v>
      </c>
      <c r="BN58" s="8">
        <f t="shared" si="12"/>
        <v>0</v>
      </c>
      <c r="BP58" s="8">
        <f t="shared" si="41"/>
        <v>0</v>
      </c>
      <c r="BQ58" s="6">
        <f>SUMIF('Eredeti fejléccel'!$B:$B,'Felosztás eredménykim'!$B58,'Eredeti fejléccel'!$N:$N)</f>
        <v>0</v>
      </c>
      <c r="BR58" s="6">
        <f>SUMIF('Eredeti fejléccel'!$B:$B,'Felosztás eredménykim'!$B58,'Eredeti fejléccel'!$S:$S)</f>
        <v>0</v>
      </c>
      <c r="BT58" s="6">
        <f>SUMIF('Eredeti fejléccel'!$B:$B,'Felosztás eredménykim'!$B58,'Eredeti fejléccel'!$AR:$AR)</f>
        <v>0</v>
      </c>
      <c r="BU58" s="6">
        <f>SUMIF('Eredeti fejléccel'!$B:$B,'Felosztás eredménykim'!$B58,'Eredeti fejléccel'!$AU:$AU)</f>
        <v>0</v>
      </c>
      <c r="BV58" s="6">
        <f>SUMIF('Eredeti fejléccel'!$B:$B,'Felosztás eredménykim'!$B58,'Eredeti fejléccel'!$AV:$AV)</f>
        <v>0</v>
      </c>
      <c r="BW58" s="6">
        <f>SUMIF('Eredeti fejléccel'!$B:$B,'Felosztás eredménykim'!$B58,'Eredeti fejléccel'!$AW:$AW)</f>
        <v>0</v>
      </c>
      <c r="BX58" s="6">
        <f>SUMIF('Eredeti fejléccel'!$B:$B,'Felosztás eredménykim'!$B58,'Eredeti fejléccel'!$AX:$AX)</f>
        <v>0</v>
      </c>
      <c r="BY58" s="6">
        <f>SUMIF('Eredeti fejléccel'!$B:$B,'Felosztás eredménykim'!$B58,'Eredeti fejléccel'!$AY:$AY)</f>
        <v>0</v>
      </c>
      <c r="BZ58" s="6">
        <f>SUMIF('Eredeti fejléccel'!$B:$B,'Felosztás eredménykim'!$B58,'Eredeti fejléccel'!$AZ:$AZ)</f>
        <v>0</v>
      </c>
      <c r="CA58" s="6">
        <f>SUMIF('Eredeti fejléccel'!$B:$B,'Felosztás eredménykim'!$B58,'Eredeti fejléccel'!$BA:$BA)</f>
        <v>0</v>
      </c>
      <c r="CB58" s="6">
        <f t="shared" si="13"/>
        <v>0</v>
      </c>
      <c r="CC58" s="36">
        <f t="shared" si="66"/>
        <v>0</v>
      </c>
      <c r="CD58" s="8">
        <f t="shared" si="15"/>
        <v>0</v>
      </c>
      <c r="CE58" s="6">
        <f>SUMIF('Eredeti fejléccel'!$B:$B,'Felosztás eredménykim'!$B58,'Eredeti fejléccel'!$BC:$BC)</f>
        <v>0</v>
      </c>
      <c r="CF58" s="8">
        <f t="shared" si="42"/>
        <v>0</v>
      </c>
      <c r="CG58" s="6">
        <f>SUMIF('Eredeti fejléccel'!$B:$B,'Felosztás eredménykim'!$B58,'Eredeti fejléccel'!$H:$H)</f>
        <v>0</v>
      </c>
      <c r="CH58" s="6">
        <f>SUMIF('Eredeti fejléccel'!$B:$B,'Felosztás eredménykim'!$B58,'Eredeti fejléccel'!$BE:$BE)</f>
        <v>0</v>
      </c>
      <c r="CI58" s="6">
        <f t="shared" si="43"/>
        <v>0</v>
      </c>
      <c r="CJ58" s="36">
        <f t="shared" si="67"/>
        <v>0</v>
      </c>
      <c r="CK58" s="8">
        <f t="shared" si="17"/>
        <v>0</v>
      </c>
      <c r="CL58" s="8">
        <f t="shared" si="44"/>
        <v>0</v>
      </c>
      <c r="CM58" s="6">
        <f>SUMIF('Eredeti fejléccel'!$B:$B,'Felosztás eredménykim'!$B58,'Eredeti fejléccel'!$BD:$BD)</f>
        <v>0</v>
      </c>
      <c r="CN58" s="8">
        <f t="shared" si="45"/>
        <v>0</v>
      </c>
      <c r="CO58" s="8">
        <f t="shared" si="18"/>
        <v>0</v>
      </c>
      <c r="CR58" s="36">
        <f t="shared" si="19"/>
        <v>0</v>
      </c>
      <c r="CS58" s="6">
        <f>SUMIF('Eredeti fejléccel'!$B:$B,'Felosztás eredménykim'!$B58,'Eredeti fejléccel'!$I:$I)</f>
        <v>0</v>
      </c>
      <c r="CT58" s="6">
        <f>SUMIF('Eredeti fejléccel'!$B:$B,'Felosztás eredménykim'!$B58,'Eredeti fejléccel'!$BG:$BG)</f>
        <v>0</v>
      </c>
      <c r="CU58" s="6">
        <f>SUMIF('Eredeti fejléccel'!$B:$B,'Felosztás eredménykim'!$B58,'Eredeti fejléccel'!$BH:$BH)</f>
        <v>0</v>
      </c>
      <c r="CV58" s="6">
        <f>SUMIF('Eredeti fejléccel'!$B:$B,'Felosztás eredménykim'!$B58,'Eredeti fejléccel'!$BI:$BI)</f>
        <v>0</v>
      </c>
      <c r="CW58" s="6">
        <f>SUMIF('Eredeti fejléccel'!$B:$B,'Felosztás eredménykim'!$B58,'Eredeti fejléccel'!$BL:$BL)</f>
        <v>0</v>
      </c>
      <c r="CX58" s="6">
        <f t="shared" si="46"/>
        <v>0</v>
      </c>
      <c r="CY58" s="6">
        <f>SUMIF('Eredeti fejléccel'!$B:$B,'Felosztás eredménykim'!$B58,'Eredeti fejléccel'!$BJ:$BJ)</f>
        <v>0</v>
      </c>
      <c r="CZ58" s="6">
        <f>SUMIF('Eredeti fejléccel'!$B:$B,'Felosztás eredménykim'!$B58,'Eredeti fejléccel'!$BK:$BK)</f>
        <v>0</v>
      </c>
      <c r="DA58" s="99">
        <f t="shared" si="47"/>
        <v>0</v>
      </c>
      <c r="DC58" s="36">
        <f t="shared" si="20"/>
        <v>0</v>
      </c>
      <c r="DD58" s="6">
        <f>SUMIF('Eredeti fejléccel'!$B:$B,'Felosztás eredménykim'!$B58,'Eredeti fejléccel'!$J:$J)</f>
        <v>0</v>
      </c>
      <c r="DE58" s="6">
        <f>SUMIF('Eredeti fejléccel'!$B:$B,'Felosztás eredménykim'!$B58,'Eredeti fejléccel'!$BM:$BM)</f>
        <v>0</v>
      </c>
      <c r="DF58" s="6">
        <f t="shared" si="48"/>
        <v>0</v>
      </c>
      <c r="DG58" s="8">
        <f t="shared" si="21"/>
        <v>0</v>
      </c>
      <c r="DH58" s="8">
        <f t="shared" si="49"/>
        <v>0</v>
      </c>
      <c r="DJ58" s="6">
        <f>SUMIF('Eredeti fejléccel'!$B:$B,'Felosztás eredménykim'!$B58,'Eredeti fejléccel'!$BN:$BN)</f>
        <v>0</v>
      </c>
      <c r="DK58" s="6">
        <f>SUMIF('Eredeti fejléccel'!$B:$B,'Felosztás eredménykim'!$B58,'Eredeti fejléccel'!$BZ:$BZ)</f>
        <v>0</v>
      </c>
      <c r="DL58" s="8">
        <f t="shared" si="50"/>
        <v>0</v>
      </c>
      <c r="DM58" s="6">
        <f>SUMIF('Eredeti fejléccel'!$B:$B,'Felosztás eredménykim'!$B58,'Eredeti fejléccel'!$BR:$BR)</f>
        <v>0</v>
      </c>
      <c r="DN58" s="6">
        <f>SUMIF('Eredeti fejléccel'!$B:$B,'Felosztás eredménykim'!$B58,'Eredeti fejléccel'!$BS:$BS)</f>
        <v>0</v>
      </c>
      <c r="DO58" s="6">
        <f>SUMIF('Eredeti fejléccel'!$B:$B,'Felosztás eredménykim'!$B58,'Eredeti fejléccel'!$BO:$BO)</f>
        <v>0</v>
      </c>
      <c r="DP58" s="6">
        <f>SUMIF('Eredeti fejléccel'!$B:$B,'Felosztás eredménykim'!$B58,'Eredeti fejléccel'!$BP:$BP)</f>
        <v>0</v>
      </c>
      <c r="DQ58" s="6">
        <f>SUMIF('Eredeti fejléccel'!$B:$B,'Felosztás eredménykim'!$B58,'Eredeti fejléccel'!$BQ:$BQ)</f>
        <v>0</v>
      </c>
      <c r="DS58" s="8"/>
      <c r="DU58" s="6">
        <f>SUMIF('Eredeti fejléccel'!$B:$B,'Felosztás eredménykim'!$B58,'Eredeti fejléccel'!$BT:$BT)</f>
        <v>0</v>
      </c>
      <c r="DV58" s="6">
        <f>SUMIF('Eredeti fejléccel'!$B:$B,'Felosztás eredménykim'!$B58,'Eredeti fejléccel'!$BU:$BU)</f>
        <v>0</v>
      </c>
      <c r="DW58" s="6">
        <f>SUMIF('Eredeti fejléccel'!$B:$B,'Felosztás eredménykim'!$B58,'Eredeti fejléccel'!$BV:$BV)</f>
        <v>0</v>
      </c>
      <c r="DX58" s="6">
        <f>SUMIF('Eredeti fejléccel'!$B:$B,'Felosztás eredménykim'!$B58,'Eredeti fejléccel'!$BW:$BW)</f>
        <v>0</v>
      </c>
      <c r="DY58" s="6">
        <f>SUMIF('Eredeti fejléccel'!$B:$B,'Felosztás eredménykim'!$B58,'Eredeti fejléccel'!$BX:$BX)</f>
        <v>0</v>
      </c>
      <c r="EA58" s="6"/>
      <c r="EC58" s="6"/>
      <c r="EE58" s="6">
        <f>SUMIF('Eredeti fejléccel'!$B:$B,'Felosztás eredménykim'!$B58,'Eredeti fejléccel'!$CA:$CA)</f>
        <v>0</v>
      </c>
      <c r="EF58" s="6">
        <f>SUMIF('Eredeti fejléccel'!$B:$B,'Felosztás eredménykim'!$B58,'Eredeti fejléccel'!$CB:$CB)</f>
        <v>0</v>
      </c>
      <c r="EG58" s="6">
        <f>SUMIF('Eredeti fejléccel'!$B:$B,'Felosztás eredménykim'!$B58,'Eredeti fejléccel'!$CC:$CC)</f>
        <v>0</v>
      </c>
      <c r="EH58" s="6">
        <f>SUMIF('Eredeti fejléccel'!$B:$B,'Felosztás eredménykim'!$B58,'Eredeti fejléccel'!$CD:$CD)</f>
        <v>0</v>
      </c>
      <c r="EK58" s="6">
        <f>SUMIF('Eredeti fejléccel'!$B:$B,'Felosztás eredménykim'!$B58,'Eredeti fejléccel'!$CE:$CE)</f>
        <v>0</v>
      </c>
      <c r="EN58" s="6">
        <f>SUMIF('Eredeti fejléccel'!$B:$B,'Felosztás eredménykim'!$B58,'Eredeti fejléccel'!$CF:$CF)</f>
        <v>0</v>
      </c>
      <c r="EP58" s="6">
        <f>SUMIF('Eredeti fejléccel'!$B:$B,'Felosztás eredménykim'!$B58,'Eredeti fejléccel'!$CG:$CG)</f>
        <v>0</v>
      </c>
      <c r="ES58" s="6">
        <f>SUMIF('Eredeti fejléccel'!$B:$B,'Felosztás eredménykim'!$B58,'Eredeti fejléccel'!$CH:$CH)</f>
        <v>0</v>
      </c>
      <c r="ET58" s="6">
        <f>SUMIF('Eredeti fejléccel'!$B:$B,'Felosztás eredménykim'!$B58,'Eredeti fejléccel'!$CI:$CI)</f>
        <v>0</v>
      </c>
      <c r="EW58" s="8">
        <f t="shared" si="22"/>
        <v>0</v>
      </c>
      <c r="EX58" s="8">
        <f t="shared" si="51"/>
        <v>0</v>
      </c>
      <c r="EY58" s="8">
        <f t="shared" si="52"/>
        <v>0</v>
      </c>
      <c r="EZ58" s="8">
        <f t="shared" si="23"/>
        <v>0</v>
      </c>
      <c r="FA58" s="8">
        <f t="shared" si="24"/>
        <v>0</v>
      </c>
      <c r="FC58" s="6">
        <f>SUMIF('Eredeti fejléccel'!$B:$B,'Felosztás eredménykim'!$B58,'Eredeti fejléccel'!$L:$L)</f>
        <v>0</v>
      </c>
      <c r="FD58" s="6">
        <f>SUMIF('Eredeti fejléccel'!$B:$B,'Felosztás eredménykim'!$B58,'Eredeti fejléccel'!$CJ:$CJ)</f>
        <v>0</v>
      </c>
      <c r="FE58" s="6">
        <f>SUMIF('Eredeti fejléccel'!$B:$B,'Felosztás eredménykim'!$B58,'Eredeti fejléccel'!$CL:$CL)</f>
        <v>0</v>
      </c>
      <c r="FG58" s="99">
        <f t="shared" si="53"/>
        <v>0</v>
      </c>
      <c r="FH58" s="6">
        <f>SUMIF('Eredeti fejléccel'!$B:$B,'Felosztás eredménykim'!$B58,'Eredeti fejléccel'!$CK:$CK)</f>
        <v>0</v>
      </c>
      <c r="FI58" s="36">
        <f t="shared" si="68"/>
        <v>0</v>
      </c>
      <c r="FJ58" s="101">
        <f t="shared" si="26"/>
        <v>0</v>
      </c>
      <c r="FK58" s="6">
        <f>SUMIF('Eredeti fejléccel'!$B:$B,'Felosztás eredménykim'!$B58,'Eredeti fejléccel'!$CM:$CM)</f>
        <v>0</v>
      </c>
      <c r="FL58" s="6">
        <f>SUMIF('Eredeti fejléccel'!$B:$B,'Felosztás eredménykim'!$B58,'Eredeti fejléccel'!$CN:$CN)</f>
        <v>0</v>
      </c>
      <c r="FM58" s="8">
        <f t="shared" si="54"/>
        <v>0</v>
      </c>
      <c r="FN58" s="36">
        <f t="shared" si="69"/>
        <v>0</v>
      </c>
      <c r="FO58" s="101">
        <f t="shared" si="28"/>
        <v>0</v>
      </c>
      <c r="FP58" s="6">
        <f>SUMIF('Eredeti fejléccel'!$B:$B,'Felosztás eredménykim'!$B58,'Eredeti fejléccel'!$CO:$CO)</f>
        <v>0</v>
      </c>
      <c r="FQ58" s="6">
        <f>'Eredeti fejléccel'!CP58</f>
        <v>0</v>
      </c>
      <c r="FR58" s="6">
        <f>'Eredeti fejléccel'!CQ58</f>
        <v>0</v>
      </c>
      <c r="FS58" s="103">
        <f t="shared" si="55"/>
        <v>0</v>
      </c>
      <c r="FT58" s="36">
        <f t="shared" si="70"/>
        <v>0</v>
      </c>
      <c r="FU58" s="101">
        <f t="shared" si="30"/>
        <v>0</v>
      </c>
      <c r="FV58" s="101"/>
      <c r="FW58" s="6">
        <f>SUMIF('Eredeti fejléccel'!$B:$B,'Felosztás eredménykim'!$B58,'Eredeti fejléccel'!$CR:$CR)</f>
        <v>0</v>
      </c>
      <c r="FX58" s="6">
        <f>SUMIF('Eredeti fejléccel'!$B:$B,'Felosztás eredménykim'!$B58,'Eredeti fejléccel'!$CS:$CS)</f>
        <v>0</v>
      </c>
      <c r="FY58" s="6">
        <f>SUMIF('Eredeti fejléccel'!$B:$B,'Felosztás eredménykim'!$B58,'Eredeti fejléccel'!$CT:$CT)</f>
        <v>0</v>
      </c>
      <c r="FZ58" s="6">
        <f>SUMIF('Eredeti fejléccel'!$B:$B,'Felosztás eredménykim'!$B58,'Eredeti fejléccel'!$CU:$CU)</f>
        <v>0</v>
      </c>
      <c r="GA58" s="103">
        <f t="shared" si="56"/>
        <v>0</v>
      </c>
      <c r="GB58" s="36">
        <f t="shared" si="71"/>
        <v>0</v>
      </c>
      <c r="GC58" s="101">
        <f t="shared" si="32"/>
        <v>0</v>
      </c>
      <c r="GD58" s="6">
        <f>SUMIF('Eredeti fejléccel'!$B:$B,'Felosztás eredménykim'!$B58,'Eredeti fejléccel'!$CV:$CV)</f>
        <v>0</v>
      </c>
      <c r="GE58" s="6">
        <f>SUMIF('Eredeti fejléccel'!$B:$B,'Felosztás eredménykim'!$B58,'Eredeti fejléccel'!$CW:$CW)</f>
        <v>0</v>
      </c>
      <c r="GF58" s="103">
        <f t="shared" si="57"/>
        <v>0</v>
      </c>
      <c r="GG58" s="36">
        <f t="shared" si="33"/>
        <v>0</v>
      </c>
      <c r="GM58" s="6">
        <f>SUMIF('Eredeti fejléccel'!$B:$B,'Felosztás eredménykim'!$B58,'Eredeti fejléccel'!$CX:$CX)</f>
        <v>0</v>
      </c>
      <c r="GN58" s="6">
        <f>SUMIF('Eredeti fejléccel'!$B:$B,'Felosztás eredménykim'!$B58,'Eredeti fejléccel'!$CY:$CY)</f>
        <v>0</v>
      </c>
      <c r="GO58" s="6">
        <f>SUMIF('Eredeti fejléccel'!$B:$B,'Felosztás eredménykim'!$B58,'Eredeti fejléccel'!$CZ:$CZ)</f>
        <v>0</v>
      </c>
      <c r="GP58" s="6">
        <f>SUMIF('Eredeti fejléccel'!$B:$B,'Felosztás eredménykim'!$B58,'Eredeti fejléccel'!$DA:$DA)</f>
        <v>0</v>
      </c>
      <c r="GQ58" s="6">
        <f>SUMIF('Eredeti fejléccel'!$B:$B,'Felosztás eredménykim'!$B58,'Eredeti fejléccel'!$DB:$DB)</f>
        <v>0</v>
      </c>
      <c r="GR58" s="103">
        <f t="shared" si="58"/>
        <v>0</v>
      </c>
      <c r="GW58" s="36">
        <f t="shared" si="34"/>
        <v>0</v>
      </c>
      <c r="GX58" s="6">
        <f>SUMIF('Eredeti fejléccel'!$B:$B,'Felosztás eredménykim'!$B58,'Eredeti fejléccel'!$M:$M)</f>
        <v>0</v>
      </c>
      <c r="GY58" s="6">
        <f>SUMIF('Eredeti fejléccel'!$B:$B,'Felosztás eredménykim'!$B58,'Eredeti fejléccel'!$DC:$DC)</f>
        <v>0</v>
      </c>
      <c r="GZ58" s="6">
        <f>SUMIF('Eredeti fejléccel'!$B:$B,'Felosztás eredménykim'!$B58,'Eredeti fejléccel'!$DD:$DD)</f>
        <v>0</v>
      </c>
      <c r="HA58" s="6">
        <f>SUMIF('Eredeti fejléccel'!$B:$B,'Felosztás eredménykim'!$B58,'Eredeti fejléccel'!$DE:$DE)</f>
        <v>0</v>
      </c>
      <c r="HB58" s="103">
        <f t="shared" si="59"/>
        <v>0</v>
      </c>
      <c r="HD58" s="9">
        <f t="shared" si="72"/>
        <v>0</v>
      </c>
      <c r="HE58" s="9"/>
      <c r="HF58" s="476"/>
      <c r="HH58" s="34">
        <f t="shared" si="60"/>
        <v>0</v>
      </c>
    </row>
    <row r="59" spans="1:216" x14ac:dyDescent="0.25">
      <c r="A59" s="4" t="s">
        <v>136</v>
      </c>
      <c r="B59" s="4" t="s">
        <v>136</v>
      </c>
      <c r="C59" s="1" t="s">
        <v>137</v>
      </c>
      <c r="D59" s="6">
        <f>SUMIF('Eredeti fejléccel'!$B:$B,'Felosztás eredménykim'!$B59,'Eredeti fejléccel'!$D:$D)</f>
        <v>0</v>
      </c>
      <c r="E59" s="6">
        <f>SUMIF('Eredeti fejléccel'!$B:$B,'Felosztás eredménykim'!$B59,'Eredeti fejléccel'!$E:$E)</f>
        <v>0</v>
      </c>
      <c r="F59" s="6">
        <f>SUMIF('Eredeti fejléccel'!$B:$B,'Felosztás eredménykim'!$B59,'Eredeti fejléccel'!$F:$F)</f>
        <v>0</v>
      </c>
      <c r="G59" s="6">
        <f>SUMIF('Eredeti fejléccel'!$B:$B,'Felosztás eredménykim'!$B59,'Eredeti fejléccel'!$G:$G)</f>
        <v>0</v>
      </c>
      <c r="H59" s="6"/>
      <c r="I59" s="6">
        <f>SUMIF('Eredeti fejléccel'!$B:$B,'Felosztás eredménykim'!$B59,'Eredeti fejléccel'!$O:$O)</f>
        <v>0</v>
      </c>
      <c r="J59" s="6">
        <f>SUMIF('Eredeti fejléccel'!$B:$B,'Felosztás eredménykim'!$B59,'Eredeti fejléccel'!$P:$P)</f>
        <v>0</v>
      </c>
      <c r="K59" s="6">
        <f>SUMIF('Eredeti fejléccel'!$B:$B,'Felosztás eredménykim'!$B59,'Eredeti fejléccel'!$Q:$Q)</f>
        <v>0</v>
      </c>
      <c r="L59" s="6">
        <f>SUMIF('Eredeti fejléccel'!$B:$B,'Felosztás eredménykim'!$B59,'Eredeti fejléccel'!$R:$R)</f>
        <v>0</v>
      </c>
      <c r="M59" s="6">
        <f>SUMIF('Eredeti fejléccel'!$B:$B,'Felosztás eredménykim'!$B59,'Eredeti fejléccel'!$T:$T)</f>
        <v>0</v>
      </c>
      <c r="N59" s="6">
        <f>SUMIF('Eredeti fejléccel'!$B:$B,'Felosztás eredménykim'!$B59,'Eredeti fejléccel'!$U:$U)</f>
        <v>0</v>
      </c>
      <c r="O59" s="6">
        <f>SUMIF('Eredeti fejléccel'!$B:$B,'Felosztás eredménykim'!$B59,'Eredeti fejléccel'!$V:$V)</f>
        <v>0</v>
      </c>
      <c r="P59" s="6">
        <f>SUMIF('Eredeti fejléccel'!$B:$B,'Felosztás eredménykim'!$B59,'Eredeti fejléccel'!$W:$W)</f>
        <v>0</v>
      </c>
      <c r="Q59" s="6">
        <f>SUMIF('Eredeti fejléccel'!$B:$B,'Felosztás eredménykim'!$B59,'Eredeti fejléccel'!$X:$X)</f>
        <v>0</v>
      </c>
      <c r="R59" s="6">
        <f>SUMIF('Eredeti fejléccel'!$B:$B,'Felosztás eredménykim'!$B59,'Eredeti fejléccel'!$Y:$Y)</f>
        <v>0</v>
      </c>
      <c r="S59" s="6">
        <f>SUMIF('Eredeti fejléccel'!$B:$B,'Felosztás eredménykim'!$B59,'Eredeti fejléccel'!$Z:$Z)</f>
        <v>0</v>
      </c>
      <c r="T59" s="6">
        <f>SUMIF('Eredeti fejléccel'!$B:$B,'Felosztás eredménykim'!$B59,'Eredeti fejléccel'!$AA:$AA)</f>
        <v>0</v>
      </c>
      <c r="U59" s="6">
        <f>SUMIF('Eredeti fejléccel'!$B:$B,'Felosztás eredménykim'!$B59,'Eredeti fejléccel'!$D:$D)</f>
        <v>0</v>
      </c>
      <c r="V59" s="6">
        <f>SUMIF('Eredeti fejléccel'!$B:$B,'Felosztás eredménykim'!$B59,'Eredeti fejléccel'!$AT:$AT)</f>
        <v>0</v>
      </c>
      <c r="X59" s="36">
        <f t="shared" si="0"/>
        <v>0</v>
      </c>
      <c r="Z59" s="6">
        <f>SUMIF('Eredeti fejléccel'!$B:$B,'Felosztás eredménykim'!$B59,'Eredeti fejléccel'!$K:$K)</f>
        <v>0</v>
      </c>
      <c r="AB59" s="6">
        <f>SUMIF('Eredeti fejléccel'!$B:$B,'Felosztás eredménykim'!$B59,'Eredeti fejléccel'!$AB:$AB)</f>
        <v>0</v>
      </c>
      <c r="AC59" s="6">
        <f>SUMIF('Eredeti fejléccel'!$B:$B,'Felosztás eredménykim'!$B59,'Eredeti fejléccel'!$AQ:$AQ)</f>
        <v>0</v>
      </c>
      <c r="AE59" s="73">
        <f t="shared" si="1"/>
        <v>0</v>
      </c>
      <c r="AF59" s="36">
        <f t="shared" si="61"/>
        <v>0</v>
      </c>
      <c r="AG59" s="8">
        <f t="shared" si="3"/>
        <v>0</v>
      </c>
      <c r="AI59" s="6">
        <f>SUMIF('Eredeti fejléccel'!$B:$B,'Felosztás eredménykim'!$B59,'Eredeti fejléccel'!$BB:$BB)</f>
        <v>0</v>
      </c>
      <c r="AJ59" s="6">
        <f>SUMIF('Eredeti fejléccel'!$B:$B,'Felosztás eredménykim'!$B59,'Eredeti fejléccel'!$AF:$AF)</f>
        <v>0</v>
      </c>
      <c r="AK59" s="8">
        <f t="shared" si="4"/>
        <v>0</v>
      </c>
      <c r="AL59" s="36">
        <f t="shared" si="62"/>
        <v>0</v>
      </c>
      <c r="AM59" s="8">
        <f t="shared" si="6"/>
        <v>0</v>
      </c>
      <c r="AN59" s="6">
        <f t="shared" si="36"/>
        <v>0</v>
      </c>
      <c r="AO59" s="6">
        <f>SUMIF('Eredeti fejléccel'!$B:$B,'Felosztás eredménykim'!$B59,'Eredeti fejléccel'!$AC:$AC)</f>
        <v>0</v>
      </c>
      <c r="AP59" s="6">
        <f>SUMIF('Eredeti fejléccel'!$B:$B,'Felosztás eredménykim'!$B59,'Eredeti fejléccel'!$AD:$AD)</f>
        <v>0</v>
      </c>
      <c r="AQ59" s="6">
        <f>SUMIF('Eredeti fejléccel'!$B:$B,'Felosztás eredménykim'!$B59,'Eredeti fejléccel'!$AE:$AE)</f>
        <v>0</v>
      </c>
      <c r="AR59" s="6">
        <f>SUMIF('Eredeti fejléccel'!$B:$B,'Felosztás eredménykim'!$B59,'Eredeti fejléccel'!$AG:$AG)</f>
        <v>0</v>
      </c>
      <c r="AS59" s="6">
        <f t="shared" si="37"/>
        <v>0</v>
      </c>
      <c r="AT59" s="36">
        <f t="shared" si="63"/>
        <v>0</v>
      </c>
      <c r="AU59" s="8">
        <f t="shared" si="8"/>
        <v>0</v>
      </c>
      <c r="AV59" s="6">
        <f>SUMIF('Eredeti fejléccel'!$B:$B,'Felosztás eredménykim'!$B59,'Eredeti fejléccel'!$AI:$AI)</f>
        <v>0</v>
      </c>
      <c r="AW59" s="6">
        <f>SUMIF('Eredeti fejléccel'!$B:$B,'Felosztás eredménykim'!$B59,'Eredeti fejléccel'!$AJ:$AJ)</f>
        <v>0</v>
      </c>
      <c r="AX59" s="6">
        <f>SUMIF('Eredeti fejléccel'!$B:$B,'Felosztás eredménykim'!$B59,'Eredeti fejléccel'!$AK:$AK)</f>
        <v>0</v>
      </c>
      <c r="AY59" s="6">
        <f>SUMIF('Eredeti fejléccel'!$B:$B,'Felosztás eredménykim'!$B59,'Eredeti fejléccel'!$AL:$AL)</f>
        <v>0</v>
      </c>
      <c r="AZ59" s="6">
        <f>SUMIF('Eredeti fejléccel'!$B:$B,'Felosztás eredménykim'!$B59,'Eredeti fejléccel'!$AM:$AM)</f>
        <v>0</v>
      </c>
      <c r="BA59" s="6">
        <f>SUMIF('Eredeti fejléccel'!$B:$B,'Felosztás eredménykim'!$B59,'Eredeti fejléccel'!$AN:$AN)</f>
        <v>0</v>
      </c>
      <c r="BB59" s="6">
        <f>SUMIF('Eredeti fejléccel'!$B:$B,'Felosztás eredménykim'!$B59,'Eredeti fejléccel'!$AP:$AP)</f>
        <v>0</v>
      </c>
      <c r="BD59" s="6">
        <f>SUMIF('Eredeti fejléccel'!$B:$B,'Felosztás eredménykim'!$B59,'Eredeti fejléccel'!$AS:$AS)</f>
        <v>0</v>
      </c>
      <c r="BE59" s="8">
        <f t="shared" si="38"/>
        <v>0</v>
      </c>
      <c r="BF59" s="36">
        <f t="shared" si="64"/>
        <v>0</v>
      </c>
      <c r="BG59" s="8">
        <f t="shared" si="10"/>
        <v>0</v>
      </c>
      <c r="BH59" s="6">
        <f t="shared" si="39"/>
        <v>0</v>
      </c>
      <c r="BI59" s="6">
        <f>SUMIF('Eredeti fejléccel'!$B:$B,'Felosztás eredménykim'!$B59,'Eredeti fejléccel'!$AH:$AH)</f>
        <v>0</v>
      </c>
      <c r="BJ59" s="6">
        <f>SUMIF('Eredeti fejléccel'!$B:$B,'Felosztás eredménykim'!$B59,'Eredeti fejléccel'!$AO:$AO)</f>
        <v>0</v>
      </c>
      <c r="BK59" s="6">
        <f>SUMIF('Eredeti fejléccel'!$B:$B,'Felosztás eredménykim'!$B59,'Eredeti fejléccel'!$BF:$BF)</f>
        <v>0</v>
      </c>
      <c r="BL59" s="8">
        <f t="shared" si="40"/>
        <v>0</v>
      </c>
      <c r="BM59" s="36">
        <f t="shared" si="65"/>
        <v>0</v>
      </c>
      <c r="BN59" s="8">
        <f t="shared" si="12"/>
        <v>0</v>
      </c>
      <c r="BP59" s="8">
        <f t="shared" si="41"/>
        <v>0</v>
      </c>
      <c r="BQ59" s="6">
        <f>SUMIF('Eredeti fejléccel'!$B:$B,'Felosztás eredménykim'!$B59,'Eredeti fejléccel'!$N:$N)</f>
        <v>0</v>
      </c>
      <c r="BR59" s="6">
        <f>SUMIF('Eredeti fejléccel'!$B:$B,'Felosztás eredménykim'!$B59,'Eredeti fejléccel'!$S:$S)</f>
        <v>0</v>
      </c>
      <c r="BT59" s="6">
        <f>SUMIF('Eredeti fejléccel'!$B:$B,'Felosztás eredménykim'!$B59,'Eredeti fejléccel'!$AR:$AR)</f>
        <v>0</v>
      </c>
      <c r="BU59" s="6">
        <f>SUMIF('Eredeti fejléccel'!$B:$B,'Felosztás eredménykim'!$B59,'Eredeti fejléccel'!$AU:$AU)</f>
        <v>0</v>
      </c>
      <c r="BV59" s="6">
        <f>SUMIF('Eredeti fejléccel'!$B:$B,'Felosztás eredménykim'!$B59,'Eredeti fejléccel'!$AV:$AV)</f>
        <v>0</v>
      </c>
      <c r="BW59" s="6">
        <f>SUMIF('Eredeti fejléccel'!$B:$B,'Felosztás eredménykim'!$B59,'Eredeti fejléccel'!$AW:$AW)</f>
        <v>0</v>
      </c>
      <c r="BX59" s="6">
        <f>SUMIF('Eredeti fejléccel'!$B:$B,'Felosztás eredménykim'!$B59,'Eredeti fejléccel'!$AX:$AX)</f>
        <v>0</v>
      </c>
      <c r="BY59" s="6">
        <f>SUMIF('Eredeti fejléccel'!$B:$B,'Felosztás eredménykim'!$B59,'Eredeti fejléccel'!$AY:$AY)</f>
        <v>0</v>
      </c>
      <c r="BZ59" s="6">
        <f>SUMIF('Eredeti fejléccel'!$B:$B,'Felosztás eredménykim'!$B59,'Eredeti fejléccel'!$AZ:$AZ)</f>
        <v>0</v>
      </c>
      <c r="CA59" s="6">
        <f>SUMIF('Eredeti fejléccel'!$B:$B,'Felosztás eredménykim'!$B59,'Eredeti fejléccel'!$BA:$BA)</f>
        <v>0</v>
      </c>
      <c r="CB59" s="6">
        <f t="shared" si="13"/>
        <v>0</v>
      </c>
      <c r="CC59" s="36">
        <f t="shared" si="66"/>
        <v>0</v>
      </c>
      <c r="CD59" s="8">
        <f t="shared" si="15"/>
        <v>0</v>
      </c>
      <c r="CE59" s="6">
        <f>SUMIF('Eredeti fejléccel'!$B:$B,'Felosztás eredménykim'!$B59,'Eredeti fejléccel'!$BC:$BC)</f>
        <v>0</v>
      </c>
      <c r="CF59" s="8">
        <f t="shared" si="42"/>
        <v>0</v>
      </c>
      <c r="CG59" s="6">
        <f>SUMIF('Eredeti fejléccel'!$B:$B,'Felosztás eredménykim'!$B59,'Eredeti fejléccel'!$H:$H)</f>
        <v>0</v>
      </c>
      <c r="CH59" s="6">
        <f>SUMIF('Eredeti fejléccel'!$B:$B,'Felosztás eredménykim'!$B59,'Eredeti fejléccel'!$BE:$BE)</f>
        <v>0</v>
      </c>
      <c r="CI59" s="6">
        <f t="shared" si="43"/>
        <v>0</v>
      </c>
      <c r="CJ59" s="36">
        <f t="shared" si="67"/>
        <v>0</v>
      </c>
      <c r="CK59" s="8">
        <f t="shared" si="17"/>
        <v>0</v>
      </c>
      <c r="CL59" s="8">
        <f t="shared" si="44"/>
        <v>0</v>
      </c>
      <c r="CM59" s="6">
        <f>SUMIF('Eredeti fejléccel'!$B:$B,'Felosztás eredménykim'!$B59,'Eredeti fejléccel'!$BD:$BD)</f>
        <v>0</v>
      </c>
      <c r="CN59" s="8">
        <f t="shared" si="45"/>
        <v>0</v>
      </c>
      <c r="CO59" s="8">
        <f t="shared" si="18"/>
        <v>0</v>
      </c>
      <c r="CR59" s="36">
        <f t="shared" si="19"/>
        <v>0</v>
      </c>
      <c r="CS59" s="6">
        <f>SUMIF('Eredeti fejléccel'!$B:$B,'Felosztás eredménykim'!$B59,'Eredeti fejléccel'!$I:$I)</f>
        <v>0</v>
      </c>
      <c r="CT59" s="6">
        <f>SUMIF('Eredeti fejléccel'!$B:$B,'Felosztás eredménykim'!$B59,'Eredeti fejléccel'!$BG:$BG)</f>
        <v>0</v>
      </c>
      <c r="CU59" s="6">
        <f>SUMIF('Eredeti fejléccel'!$B:$B,'Felosztás eredménykim'!$B59,'Eredeti fejléccel'!$BH:$BH)</f>
        <v>0</v>
      </c>
      <c r="CV59" s="6">
        <f>SUMIF('Eredeti fejléccel'!$B:$B,'Felosztás eredménykim'!$B59,'Eredeti fejléccel'!$BI:$BI)</f>
        <v>0</v>
      </c>
      <c r="CW59" s="6">
        <f>SUMIF('Eredeti fejléccel'!$B:$B,'Felosztás eredménykim'!$B59,'Eredeti fejléccel'!$BL:$BL)</f>
        <v>0</v>
      </c>
      <c r="CX59" s="6">
        <f t="shared" si="46"/>
        <v>0</v>
      </c>
      <c r="CY59" s="6">
        <f>SUMIF('Eredeti fejléccel'!$B:$B,'Felosztás eredménykim'!$B59,'Eredeti fejléccel'!$BJ:$BJ)</f>
        <v>0</v>
      </c>
      <c r="CZ59" s="6">
        <f>SUMIF('Eredeti fejléccel'!$B:$B,'Felosztás eredménykim'!$B59,'Eredeti fejléccel'!$BK:$BK)</f>
        <v>0</v>
      </c>
      <c r="DA59" s="99">
        <f t="shared" si="47"/>
        <v>0</v>
      </c>
      <c r="DC59" s="36">
        <f t="shared" si="20"/>
        <v>0</v>
      </c>
      <c r="DD59" s="6">
        <f>SUMIF('Eredeti fejléccel'!$B:$B,'Felosztás eredménykim'!$B59,'Eredeti fejléccel'!$J:$J)</f>
        <v>0</v>
      </c>
      <c r="DE59" s="6">
        <f>SUMIF('Eredeti fejléccel'!$B:$B,'Felosztás eredménykim'!$B59,'Eredeti fejléccel'!$BM:$BM)</f>
        <v>0</v>
      </c>
      <c r="DF59" s="6">
        <f t="shared" si="48"/>
        <v>0</v>
      </c>
      <c r="DG59" s="8">
        <f t="shared" si="21"/>
        <v>0</v>
      </c>
      <c r="DH59" s="8">
        <f t="shared" si="49"/>
        <v>0</v>
      </c>
      <c r="DJ59" s="6">
        <f>SUMIF('Eredeti fejléccel'!$B:$B,'Felosztás eredménykim'!$B59,'Eredeti fejléccel'!$BN:$BN)</f>
        <v>0</v>
      </c>
      <c r="DK59" s="6">
        <f>SUMIF('Eredeti fejléccel'!$B:$B,'Felosztás eredménykim'!$B59,'Eredeti fejléccel'!$BZ:$BZ)</f>
        <v>0</v>
      </c>
      <c r="DL59" s="8">
        <f t="shared" si="50"/>
        <v>0</v>
      </c>
      <c r="DM59" s="6">
        <f>SUMIF('Eredeti fejléccel'!$B:$B,'Felosztás eredménykim'!$B59,'Eredeti fejléccel'!$BR:$BR)</f>
        <v>0</v>
      </c>
      <c r="DN59" s="6">
        <f>SUMIF('Eredeti fejléccel'!$B:$B,'Felosztás eredménykim'!$B59,'Eredeti fejléccel'!$BS:$BS)</f>
        <v>0</v>
      </c>
      <c r="DO59" s="6">
        <f>SUMIF('Eredeti fejléccel'!$B:$B,'Felosztás eredménykim'!$B59,'Eredeti fejléccel'!$BO:$BO)</f>
        <v>0</v>
      </c>
      <c r="DP59" s="6">
        <f>SUMIF('Eredeti fejléccel'!$B:$B,'Felosztás eredménykim'!$B59,'Eredeti fejléccel'!$BP:$BP)</f>
        <v>0</v>
      </c>
      <c r="DQ59" s="6">
        <f>SUMIF('Eredeti fejléccel'!$B:$B,'Felosztás eredménykim'!$B59,'Eredeti fejléccel'!$BQ:$BQ)</f>
        <v>0</v>
      </c>
      <c r="DS59" s="8"/>
      <c r="DU59" s="6">
        <f>SUMIF('Eredeti fejléccel'!$B:$B,'Felosztás eredménykim'!$B59,'Eredeti fejléccel'!$BT:$BT)</f>
        <v>0</v>
      </c>
      <c r="DV59" s="6">
        <f>SUMIF('Eredeti fejléccel'!$B:$B,'Felosztás eredménykim'!$B59,'Eredeti fejléccel'!$BU:$BU)</f>
        <v>0</v>
      </c>
      <c r="DW59" s="6">
        <f>SUMIF('Eredeti fejléccel'!$B:$B,'Felosztás eredménykim'!$B59,'Eredeti fejléccel'!$BV:$BV)</f>
        <v>0</v>
      </c>
      <c r="DX59" s="6">
        <f>SUMIF('Eredeti fejléccel'!$B:$B,'Felosztás eredménykim'!$B59,'Eredeti fejléccel'!$BW:$BW)</f>
        <v>0</v>
      </c>
      <c r="DY59" s="6">
        <f>SUMIF('Eredeti fejléccel'!$B:$B,'Felosztás eredménykim'!$B59,'Eredeti fejléccel'!$BX:$BX)</f>
        <v>0</v>
      </c>
      <c r="EA59" s="6"/>
      <c r="EC59" s="6"/>
      <c r="EE59" s="6">
        <f>SUMIF('Eredeti fejléccel'!$B:$B,'Felosztás eredménykim'!$B59,'Eredeti fejléccel'!$CA:$CA)</f>
        <v>0</v>
      </c>
      <c r="EF59" s="6">
        <f>SUMIF('Eredeti fejléccel'!$B:$B,'Felosztás eredménykim'!$B59,'Eredeti fejléccel'!$CB:$CB)</f>
        <v>0</v>
      </c>
      <c r="EG59" s="6">
        <f>SUMIF('Eredeti fejléccel'!$B:$B,'Felosztás eredménykim'!$B59,'Eredeti fejléccel'!$CC:$CC)</f>
        <v>0</v>
      </c>
      <c r="EH59" s="6">
        <f>SUMIF('Eredeti fejléccel'!$B:$B,'Felosztás eredménykim'!$B59,'Eredeti fejléccel'!$CD:$CD)</f>
        <v>0</v>
      </c>
      <c r="EK59" s="6">
        <f>SUMIF('Eredeti fejléccel'!$B:$B,'Felosztás eredménykim'!$B59,'Eredeti fejléccel'!$CE:$CE)</f>
        <v>0</v>
      </c>
      <c r="EN59" s="6">
        <f>SUMIF('Eredeti fejléccel'!$B:$B,'Felosztás eredménykim'!$B59,'Eredeti fejléccel'!$CF:$CF)</f>
        <v>0</v>
      </c>
      <c r="EP59" s="6">
        <f>SUMIF('Eredeti fejléccel'!$B:$B,'Felosztás eredménykim'!$B59,'Eredeti fejléccel'!$CG:$CG)</f>
        <v>0</v>
      </c>
      <c r="ES59" s="6">
        <f>SUMIF('Eredeti fejléccel'!$B:$B,'Felosztás eredménykim'!$B59,'Eredeti fejléccel'!$CH:$CH)</f>
        <v>0</v>
      </c>
      <c r="ET59" s="6">
        <f>SUMIF('Eredeti fejléccel'!$B:$B,'Felosztás eredménykim'!$B59,'Eredeti fejléccel'!$CI:$CI)</f>
        <v>0</v>
      </c>
      <c r="EW59" s="8">
        <f t="shared" si="22"/>
        <v>0</v>
      </c>
      <c r="EX59" s="8">
        <f t="shared" si="51"/>
        <v>0</v>
      </c>
      <c r="EY59" s="8">
        <f t="shared" si="52"/>
        <v>0</v>
      </c>
      <c r="EZ59" s="8">
        <f t="shared" si="23"/>
        <v>0</v>
      </c>
      <c r="FA59" s="8">
        <f t="shared" si="24"/>
        <v>0</v>
      </c>
      <c r="FC59" s="6">
        <f>SUMIF('Eredeti fejléccel'!$B:$B,'Felosztás eredménykim'!$B59,'Eredeti fejléccel'!$L:$L)</f>
        <v>0</v>
      </c>
      <c r="FD59" s="6">
        <f>SUMIF('Eredeti fejléccel'!$B:$B,'Felosztás eredménykim'!$B59,'Eredeti fejléccel'!$CJ:$CJ)</f>
        <v>0</v>
      </c>
      <c r="FE59" s="6">
        <f>SUMIF('Eredeti fejléccel'!$B:$B,'Felosztás eredménykim'!$B59,'Eredeti fejléccel'!$CL:$CL)</f>
        <v>0</v>
      </c>
      <c r="FG59" s="99">
        <f t="shared" si="53"/>
        <v>0</v>
      </c>
      <c r="FH59" s="6">
        <f>SUMIF('Eredeti fejléccel'!$B:$B,'Felosztás eredménykim'!$B59,'Eredeti fejléccel'!$CK:$CK)</f>
        <v>0</v>
      </c>
      <c r="FI59" s="36">
        <f t="shared" si="68"/>
        <v>0</v>
      </c>
      <c r="FJ59" s="101">
        <f t="shared" si="26"/>
        <v>0</v>
      </c>
      <c r="FK59" s="6">
        <f>SUMIF('Eredeti fejléccel'!$B:$B,'Felosztás eredménykim'!$B59,'Eredeti fejléccel'!$CM:$CM)</f>
        <v>0</v>
      </c>
      <c r="FL59" s="6">
        <f>SUMIF('Eredeti fejléccel'!$B:$B,'Felosztás eredménykim'!$B59,'Eredeti fejléccel'!$CN:$CN)</f>
        <v>0</v>
      </c>
      <c r="FM59" s="8">
        <f t="shared" si="54"/>
        <v>0</v>
      </c>
      <c r="FN59" s="36">
        <f t="shared" si="69"/>
        <v>0</v>
      </c>
      <c r="FO59" s="101">
        <f t="shared" si="28"/>
        <v>0</v>
      </c>
      <c r="FP59" s="6">
        <f>SUMIF('Eredeti fejléccel'!$B:$B,'Felosztás eredménykim'!$B59,'Eredeti fejléccel'!$CO:$CO)</f>
        <v>0</v>
      </c>
      <c r="FQ59" s="6">
        <f>'Eredeti fejléccel'!CP59</f>
        <v>0</v>
      </c>
      <c r="FR59" s="6">
        <f>'Eredeti fejléccel'!CQ59</f>
        <v>0</v>
      </c>
      <c r="FS59" s="103">
        <f t="shared" si="55"/>
        <v>0</v>
      </c>
      <c r="FT59" s="36">
        <f t="shared" si="70"/>
        <v>0</v>
      </c>
      <c r="FU59" s="101">
        <f t="shared" si="30"/>
        <v>0</v>
      </c>
      <c r="FV59" s="101"/>
      <c r="FW59" s="6">
        <f>SUMIF('Eredeti fejléccel'!$B:$B,'Felosztás eredménykim'!$B59,'Eredeti fejléccel'!$CR:$CR)</f>
        <v>0</v>
      </c>
      <c r="FX59" s="6">
        <f>SUMIF('Eredeti fejléccel'!$B:$B,'Felosztás eredménykim'!$B59,'Eredeti fejléccel'!$CS:$CS)</f>
        <v>0</v>
      </c>
      <c r="FY59" s="6">
        <f>SUMIF('Eredeti fejléccel'!$B:$B,'Felosztás eredménykim'!$B59,'Eredeti fejléccel'!$CT:$CT)</f>
        <v>0</v>
      </c>
      <c r="FZ59" s="6">
        <f>SUMIF('Eredeti fejléccel'!$B:$B,'Felosztás eredménykim'!$B59,'Eredeti fejléccel'!$CU:$CU)</f>
        <v>0</v>
      </c>
      <c r="GA59" s="103">
        <f t="shared" si="56"/>
        <v>0</v>
      </c>
      <c r="GB59" s="36">
        <f t="shared" si="71"/>
        <v>0</v>
      </c>
      <c r="GC59" s="101">
        <f t="shared" si="32"/>
        <v>0</v>
      </c>
      <c r="GD59" s="6">
        <f>SUMIF('Eredeti fejléccel'!$B:$B,'Felosztás eredménykim'!$B59,'Eredeti fejléccel'!$CV:$CV)</f>
        <v>0</v>
      </c>
      <c r="GE59" s="6">
        <f>SUMIF('Eredeti fejléccel'!$B:$B,'Felosztás eredménykim'!$B59,'Eredeti fejléccel'!$CW:$CW)</f>
        <v>0</v>
      </c>
      <c r="GF59" s="103">
        <f t="shared" si="57"/>
        <v>0</v>
      </c>
      <c r="GG59" s="36">
        <f t="shared" si="33"/>
        <v>0</v>
      </c>
      <c r="GM59" s="6">
        <f>SUMIF('Eredeti fejléccel'!$B:$B,'Felosztás eredménykim'!$B59,'Eredeti fejléccel'!$CX:$CX)</f>
        <v>0</v>
      </c>
      <c r="GN59" s="6">
        <f>SUMIF('Eredeti fejléccel'!$B:$B,'Felosztás eredménykim'!$B59,'Eredeti fejléccel'!$CY:$CY)</f>
        <v>0</v>
      </c>
      <c r="GO59" s="6">
        <f>SUMIF('Eredeti fejléccel'!$B:$B,'Felosztás eredménykim'!$B59,'Eredeti fejléccel'!$CZ:$CZ)</f>
        <v>0</v>
      </c>
      <c r="GP59" s="6">
        <f>SUMIF('Eredeti fejléccel'!$B:$B,'Felosztás eredménykim'!$B59,'Eredeti fejléccel'!$DA:$DA)</f>
        <v>0</v>
      </c>
      <c r="GQ59" s="6">
        <f>SUMIF('Eredeti fejléccel'!$B:$B,'Felosztás eredménykim'!$B59,'Eredeti fejléccel'!$DB:$DB)</f>
        <v>0</v>
      </c>
      <c r="GR59" s="103">
        <f t="shared" si="58"/>
        <v>0</v>
      </c>
      <c r="GW59" s="36">
        <f t="shared" si="34"/>
        <v>0</v>
      </c>
      <c r="GX59" s="6">
        <f>SUMIF('Eredeti fejléccel'!$B:$B,'Felosztás eredménykim'!$B59,'Eredeti fejléccel'!$M:$M)</f>
        <v>0</v>
      </c>
      <c r="GY59" s="6">
        <f>SUMIF('Eredeti fejléccel'!$B:$B,'Felosztás eredménykim'!$B59,'Eredeti fejléccel'!$DC:$DC)</f>
        <v>0</v>
      </c>
      <c r="GZ59" s="6">
        <f>SUMIF('Eredeti fejléccel'!$B:$B,'Felosztás eredménykim'!$B59,'Eredeti fejléccel'!$DD:$DD)</f>
        <v>0</v>
      </c>
      <c r="HA59" s="6">
        <f>SUMIF('Eredeti fejléccel'!$B:$B,'Felosztás eredménykim'!$B59,'Eredeti fejléccel'!$DE:$DE)</f>
        <v>0</v>
      </c>
      <c r="HB59" s="103">
        <f t="shared" si="59"/>
        <v>0</v>
      </c>
      <c r="HD59" s="9">
        <f t="shared" si="72"/>
        <v>0</v>
      </c>
      <c r="HE59" s="9"/>
      <c r="HF59" s="476"/>
      <c r="HH59" s="34">
        <f t="shared" si="60"/>
        <v>0</v>
      </c>
    </row>
    <row r="60" spans="1:216" x14ac:dyDescent="0.25">
      <c r="A60" s="4" t="s">
        <v>138</v>
      </c>
      <c r="B60" s="4" t="s">
        <v>138</v>
      </c>
      <c r="C60" s="1" t="s">
        <v>139</v>
      </c>
      <c r="D60" s="6">
        <f>SUMIF('Eredeti fejléccel'!$B:$B,'Felosztás eredménykim'!$B60,'Eredeti fejléccel'!$D:$D)</f>
        <v>0</v>
      </c>
      <c r="E60" s="6">
        <f>SUMIF('Eredeti fejléccel'!$B:$B,'Felosztás eredménykim'!$B60,'Eredeti fejléccel'!$E:$E)</f>
        <v>1030176.0000000001</v>
      </c>
      <c r="F60" s="6">
        <f>SUMIF('Eredeti fejléccel'!$B:$B,'Felosztás eredménykim'!$B60,'Eredeti fejléccel'!$F:$F)</f>
        <v>0</v>
      </c>
      <c r="G60" s="6">
        <f>SUMIF('Eredeti fejléccel'!$B:$B,'Felosztás eredménykim'!$B60,'Eredeti fejléccel'!$G:$G)</f>
        <v>0</v>
      </c>
      <c r="H60" s="6"/>
      <c r="I60" s="6">
        <f>SUMIF('Eredeti fejléccel'!$B:$B,'Felosztás eredménykim'!$B60,'Eredeti fejléccel'!$O:$O)</f>
        <v>441503.99999999994</v>
      </c>
      <c r="J60" s="6">
        <f>SUMIF('Eredeti fejléccel'!$B:$B,'Felosztás eredménykim'!$B60,'Eredeti fejléccel'!$P:$P)</f>
        <v>0</v>
      </c>
      <c r="K60" s="6">
        <f>SUMIF('Eredeti fejléccel'!$B:$B,'Felosztás eredménykim'!$B60,'Eredeti fejléccel'!$Q:$Q)</f>
        <v>0</v>
      </c>
      <c r="L60" s="6">
        <f>SUMIF('Eredeti fejléccel'!$B:$B,'Felosztás eredménykim'!$B60,'Eredeti fejléccel'!$R:$R)</f>
        <v>0</v>
      </c>
      <c r="M60" s="6">
        <f>SUMIF('Eredeti fejléccel'!$B:$B,'Felosztás eredménykim'!$B60,'Eredeti fejléccel'!$T:$T)</f>
        <v>0</v>
      </c>
      <c r="N60" s="6">
        <f>SUMIF('Eredeti fejléccel'!$B:$B,'Felosztás eredménykim'!$B60,'Eredeti fejléccel'!$U:$U)</f>
        <v>0</v>
      </c>
      <c r="O60" s="6">
        <f>SUMIF('Eredeti fejléccel'!$B:$B,'Felosztás eredménykim'!$B60,'Eredeti fejléccel'!$V:$V)</f>
        <v>1913184.0000000002</v>
      </c>
      <c r="P60" s="6">
        <f>SUMIF('Eredeti fejléccel'!$B:$B,'Felosztás eredménykim'!$B60,'Eredeti fejléccel'!$W:$W)</f>
        <v>0</v>
      </c>
      <c r="Q60" s="6">
        <f>SUMIF('Eredeti fejléccel'!$B:$B,'Felosztás eredménykim'!$B60,'Eredeti fejléccel'!$X:$X)</f>
        <v>0</v>
      </c>
      <c r="R60" s="6">
        <f>SUMIF('Eredeti fejléccel'!$B:$B,'Felosztás eredménykim'!$B60,'Eredeti fejléccel'!$Y:$Y)</f>
        <v>0</v>
      </c>
      <c r="S60" s="6">
        <f>SUMIF('Eredeti fejléccel'!$B:$B,'Felosztás eredménykim'!$B60,'Eredeti fejléccel'!$Z:$Z)</f>
        <v>0</v>
      </c>
      <c r="T60" s="6">
        <f>SUMIF('Eredeti fejléccel'!$B:$B,'Felosztás eredménykim'!$B60,'Eredeti fejléccel'!$AA:$AA)</f>
        <v>0</v>
      </c>
      <c r="U60" s="6">
        <f>SUMIF('Eredeti fejléccel'!$B:$B,'Felosztás eredménykim'!$B60,'Eredeti fejléccel'!$D:$D)</f>
        <v>0</v>
      </c>
      <c r="V60" s="6">
        <f>SUMIF('Eredeti fejléccel'!$B:$B,'Felosztás eredménykim'!$B60,'Eredeti fejléccel'!$AT:$AT)</f>
        <v>0</v>
      </c>
      <c r="X60" s="36">
        <f t="shared" si="0"/>
        <v>3384864</v>
      </c>
      <c r="Z60" s="6">
        <f>SUMIF('Eredeti fejléccel'!$B:$B,'Felosztás eredménykim'!$B60,'Eredeti fejléccel'!$K:$K)</f>
        <v>735840</v>
      </c>
      <c r="AB60" s="6">
        <f>SUMIF('Eredeti fejléccel'!$B:$B,'Felosztás eredménykim'!$B60,'Eredeti fejléccel'!$AB:$AB)</f>
        <v>0</v>
      </c>
      <c r="AC60" s="6">
        <f>SUMIF('Eredeti fejléccel'!$B:$B,'Felosztás eredménykim'!$B60,'Eredeti fejléccel'!$AQ:$AQ)</f>
        <v>0</v>
      </c>
      <c r="AE60" s="73">
        <f t="shared" si="1"/>
        <v>735840</v>
      </c>
      <c r="AF60" s="36">
        <f t="shared" si="61"/>
        <v>403796.13752172369</v>
      </c>
      <c r="AG60" s="8">
        <f t="shared" si="3"/>
        <v>234618.51354977189</v>
      </c>
      <c r="AI60" s="6">
        <f>SUMIF('Eredeti fejléccel'!$B:$B,'Felosztás eredménykim'!$B60,'Eredeti fejléccel'!$BB:$BB)</f>
        <v>0</v>
      </c>
      <c r="AJ60" s="6">
        <f>SUMIF('Eredeti fejléccel'!$B:$B,'Felosztás eredménykim'!$B60,'Eredeti fejléccel'!$AF:$AF)</f>
        <v>0</v>
      </c>
      <c r="AK60" s="8">
        <f t="shared" si="4"/>
        <v>234618.51354977189</v>
      </c>
      <c r="AL60" s="36">
        <f t="shared" si="62"/>
        <v>160385.78702125128</v>
      </c>
      <c r="AM60" s="8">
        <f t="shared" si="6"/>
        <v>93189.288972363807</v>
      </c>
      <c r="AN60" s="6">
        <f t="shared" si="36"/>
        <v>-147168.00000000003</v>
      </c>
      <c r="AO60" s="6">
        <f>SUMIF('Eredeti fejléccel'!$B:$B,'Felosztás eredménykim'!$B60,'Eredeti fejléccel'!$AC:$AC)</f>
        <v>294336.00000000006</v>
      </c>
      <c r="AP60" s="6">
        <f>SUMIF('Eredeti fejléccel'!$B:$B,'Felosztás eredménykim'!$B60,'Eredeti fejléccel'!$AD:$AD)</f>
        <v>0</v>
      </c>
      <c r="AQ60" s="6">
        <f>SUMIF('Eredeti fejléccel'!$B:$B,'Felosztás eredménykim'!$B60,'Eredeti fejléccel'!$AE:$AE)</f>
        <v>0</v>
      </c>
      <c r="AR60" s="6">
        <f>SUMIF('Eredeti fejléccel'!$B:$B,'Felosztás eredménykim'!$B60,'Eredeti fejléccel'!$AG:$AG)</f>
        <v>0</v>
      </c>
      <c r="AS60" s="6">
        <f t="shared" si="37"/>
        <v>240357.28897236384</v>
      </c>
      <c r="AT60" s="36">
        <f t="shared" si="63"/>
        <v>260513.63711078951</v>
      </c>
      <c r="AU60" s="8">
        <f t="shared" si="8"/>
        <v>151366.7829353367</v>
      </c>
      <c r="AV60" s="6">
        <f>SUMIF('Eredeti fejléccel'!$B:$B,'Felosztás eredménykim'!$B60,'Eredeti fejléccel'!$AI:$AI)</f>
        <v>0</v>
      </c>
      <c r="AW60" s="6">
        <f>SUMIF('Eredeti fejléccel'!$B:$B,'Felosztás eredménykim'!$B60,'Eredeti fejléccel'!$AJ:$AJ)</f>
        <v>294336</v>
      </c>
      <c r="AX60" s="6">
        <f>SUMIF('Eredeti fejléccel'!$B:$B,'Felosztás eredménykim'!$B60,'Eredeti fejléccel'!$AK:$AK)</f>
        <v>1913184.0000000002</v>
      </c>
      <c r="AY60" s="6">
        <f>SUMIF('Eredeti fejléccel'!$B:$B,'Felosztás eredménykim'!$B60,'Eredeti fejléccel'!$AL:$AL)</f>
        <v>735840</v>
      </c>
      <c r="AZ60" s="6">
        <f>SUMIF('Eredeti fejléccel'!$B:$B,'Felosztás eredménykim'!$B60,'Eredeti fejléccel'!$AM:$AM)</f>
        <v>1324512</v>
      </c>
      <c r="BA60" s="6">
        <f>SUMIF('Eredeti fejléccel'!$B:$B,'Felosztás eredménykim'!$B60,'Eredeti fejléccel'!$AN:$AN)</f>
        <v>0</v>
      </c>
      <c r="BB60" s="6">
        <f>SUMIF('Eredeti fejléccel'!$B:$B,'Felosztás eredménykim'!$B60,'Eredeti fejléccel'!$AP:$AP)</f>
        <v>0</v>
      </c>
      <c r="BD60" s="6">
        <f>SUMIF('Eredeti fejléccel'!$B:$B,'Felosztás eredménykim'!$B60,'Eredeti fejléccel'!$AS:$AS)</f>
        <v>0</v>
      </c>
      <c r="BE60" s="8">
        <f t="shared" si="38"/>
        <v>4419238.7829353372</v>
      </c>
      <c r="BF60" s="36">
        <f t="shared" si="64"/>
        <v>67960.079246292909</v>
      </c>
      <c r="BG60" s="8">
        <f t="shared" si="10"/>
        <v>39486.986852696529</v>
      </c>
      <c r="BH60" s="6">
        <f t="shared" si="39"/>
        <v>147168.00000000003</v>
      </c>
      <c r="BI60" s="6">
        <f>SUMIF('Eredeti fejléccel'!$B:$B,'Felosztás eredménykim'!$B60,'Eredeti fejléccel'!$AH:$AH)</f>
        <v>1324512.0000000002</v>
      </c>
      <c r="BJ60" s="6">
        <f>SUMIF('Eredeti fejléccel'!$B:$B,'Felosztás eredménykim'!$B60,'Eredeti fejléccel'!$AO:$AO)</f>
        <v>0</v>
      </c>
      <c r="BK60" s="6">
        <f>SUMIF('Eredeti fejléccel'!$B:$B,'Felosztás eredménykim'!$B60,'Eredeti fejléccel'!$BF:$BF)</f>
        <v>0</v>
      </c>
      <c r="BL60" s="8">
        <f t="shared" si="40"/>
        <v>1511166.9868526969</v>
      </c>
      <c r="BM60" s="36">
        <f t="shared" si="65"/>
        <v>254623.7635761108</v>
      </c>
      <c r="BN60" s="8">
        <f t="shared" si="12"/>
        <v>147944.57740810301</v>
      </c>
      <c r="BP60" s="8">
        <f t="shared" si="41"/>
        <v>0</v>
      </c>
      <c r="BQ60" s="6">
        <f>SUMIF('Eredeti fejléccel'!$B:$B,'Felosztás eredménykim'!$B60,'Eredeti fejléccel'!$N:$N)</f>
        <v>0</v>
      </c>
      <c r="BR60" s="6">
        <f>SUMIF('Eredeti fejléccel'!$B:$B,'Felosztás eredménykim'!$B60,'Eredeti fejléccel'!$S:$S)</f>
        <v>0</v>
      </c>
      <c r="BT60" s="6">
        <f>SUMIF('Eredeti fejléccel'!$B:$B,'Felosztás eredménykim'!$B60,'Eredeti fejléccel'!$AR:$AR)</f>
        <v>0</v>
      </c>
      <c r="BU60" s="6">
        <f>SUMIF('Eredeti fejléccel'!$B:$B,'Felosztás eredménykim'!$B60,'Eredeti fejléccel'!$AU:$AU)</f>
        <v>0</v>
      </c>
      <c r="BV60" s="6">
        <f>SUMIF('Eredeti fejléccel'!$B:$B,'Felosztás eredménykim'!$B60,'Eredeti fejléccel'!$AV:$AV)</f>
        <v>0</v>
      </c>
      <c r="BW60" s="6">
        <f>SUMIF('Eredeti fejléccel'!$B:$B,'Felosztás eredménykim'!$B60,'Eredeti fejléccel'!$AW:$AW)</f>
        <v>0</v>
      </c>
      <c r="BX60" s="6">
        <f>SUMIF('Eredeti fejléccel'!$B:$B,'Felosztás eredménykim'!$B60,'Eredeti fejléccel'!$AX:$AX)</f>
        <v>0</v>
      </c>
      <c r="BY60" s="6">
        <f>SUMIF('Eredeti fejléccel'!$B:$B,'Felosztás eredménykim'!$B60,'Eredeti fejléccel'!$AY:$AY)</f>
        <v>0</v>
      </c>
      <c r="BZ60" s="6">
        <f>SUMIF('Eredeti fejléccel'!$B:$B,'Felosztás eredménykim'!$B60,'Eredeti fejléccel'!$AZ:$AZ)</f>
        <v>0</v>
      </c>
      <c r="CA60" s="6">
        <f>SUMIF('Eredeti fejléccel'!$B:$B,'Felosztás eredménykim'!$B60,'Eredeti fejléccel'!$BA:$BA)</f>
        <v>1177344.0000000002</v>
      </c>
      <c r="CB60" s="6">
        <f t="shared" si="13"/>
        <v>1325288.5774081033</v>
      </c>
      <c r="CC60" s="36">
        <f t="shared" si="66"/>
        <v>69319.28083121877</v>
      </c>
      <c r="CD60" s="8">
        <f t="shared" si="15"/>
        <v>40276.726589750462</v>
      </c>
      <c r="CE60" s="6">
        <f>SUMIF('Eredeti fejléccel'!$B:$B,'Felosztás eredménykim'!$B60,'Eredeti fejléccel'!$BC:$BC)</f>
        <v>294336</v>
      </c>
      <c r="CF60" s="8">
        <f t="shared" si="42"/>
        <v>-147168</v>
      </c>
      <c r="CG60" s="6">
        <f>SUMIF('Eredeti fejléccel'!$B:$B,'Felosztás eredménykim'!$B60,'Eredeti fejléccel'!$H:$H)</f>
        <v>0</v>
      </c>
      <c r="CH60" s="6">
        <f>SUMIF('Eredeti fejléccel'!$B:$B,'Felosztás eredménykim'!$B60,'Eredeti fejléccel'!$BE:$BE)</f>
        <v>2060352.0000000002</v>
      </c>
      <c r="CI60" s="6">
        <f t="shared" si="43"/>
        <v>2247796.7265897505</v>
      </c>
      <c r="CJ60" s="36">
        <f t="shared" si="67"/>
        <v>49837.391447281479</v>
      </c>
      <c r="CK60" s="8">
        <f t="shared" si="17"/>
        <v>28957.12369197746</v>
      </c>
      <c r="CL60" s="8">
        <f t="shared" si="44"/>
        <v>147168</v>
      </c>
      <c r="CM60" s="6">
        <f>SUMIF('Eredeti fejléccel'!$B:$B,'Felosztás eredménykim'!$B60,'Eredeti fejléccel'!$BD:$BD)</f>
        <v>1177344</v>
      </c>
      <c r="CN60" s="8">
        <f t="shared" si="45"/>
        <v>1353469.1236919775</v>
      </c>
      <c r="CO60" s="8">
        <f t="shared" si="18"/>
        <v>12598372.076754671</v>
      </c>
      <c r="CR60" s="36">
        <f t="shared" si="19"/>
        <v>299363.21339343209</v>
      </c>
      <c r="CS60" s="6">
        <f>SUMIF('Eredeti fejléccel'!$B:$B,'Felosztás eredménykim'!$B60,'Eredeti fejléccel'!$I:$I)</f>
        <v>0</v>
      </c>
      <c r="CT60" s="6">
        <f>SUMIF('Eredeti fejléccel'!$B:$B,'Felosztás eredménykim'!$B60,'Eredeti fejléccel'!$BG:$BG)</f>
        <v>0</v>
      </c>
      <c r="CU60" s="6">
        <f>SUMIF('Eredeti fejléccel'!$B:$B,'Felosztás eredménykim'!$B60,'Eredeti fejléccel'!$BH:$BH)</f>
        <v>0</v>
      </c>
      <c r="CV60" s="6">
        <f>SUMIF('Eredeti fejléccel'!$B:$B,'Felosztás eredménykim'!$B60,'Eredeti fejléccel'!$BI:$BI)</f>
        <v>0</v>
      </c>
      <c r="CW60" s="6">
        <f>SUMIF('Eredeti fejléccel'!$B:$B,'Felosztás eredménykim'!$B60,'Eredeti fejléccel'!$BL:$BL)</f>
        <v>0</v>
      </c>
      <c r="CX60" s="6">
        <f t="shared" si="46"/>
        <v>0</v>
      </c>
      <c r="CY60" s="6">
        <f>SUMIF('Eredeti fejléccel'!$B:$B,'Felosztás eredménykim'!$B60,'Eredeti fejléccel'!$BJ:$BJ)</f>
        <v>0</v>
      </c>
      <c r="CZ60" s="6">
        <f>SUMIF('Eredeti fejléccel'!$B:$B,'Felosztás eredménykim'!$B60,'Eredeti fejléccel'!$BK:$BK)</f>
        <v>0</v>
      </c>
      <c r="DA60" s="99">
        <f t="shared" si="47"/>
        <v>0</v>
      </c>
      <c r="DC60" s="36">
        <f t="shared" si="20"/>
        <v>262201.63502897625</v>
      </c>
      <c r="DD60" s="6">
        <f>SUMIF('Eredeti fejléccel'!$B:$B,'Felosztás eredménykim'!$B60,'Eredeti fejléccel'!$J:$J)</f>
        <v>0</v>
      </c>
      <c r="DE60" s="6">
        <f>SUMIF('Eredeti fejléccel'!$B:$B,'Felosztás eredménykim'!$B60,'Eredeti fejléccel'!$BM:$BM)</f>
        <v>0</v>
      </c>
      <c r="DF60" s="6">
        <f t="shared" si="48"/>
        <v>0</v>
      </c>
      <c r="DG60" s="8">
        <f t="shared" si="21"/>
        <v>0</v>
      </c>
      <c r="DH60" s="8">
        <f t="shared" si="49"/>
        <v>0</v>
      </c>
      <c r="DJ60" s="6">
        <f>SUMIF('Eredeti fejléccel'!$B:$B,'Felosztás eredménykim'!$B60,'Eredeti fejléccel'!$BN:$BN)</f>
        <v>0</v>
      </c>
      <c r="DK60" s="6">
        <f>SUMIF('Eredeti fejléccel'!$B:$B,'Felosztás eredménykim'!$B60,'Eredeti fejléccel'!$BZ:$BZ)</f>
        <v>0</v>
      </c>
      <c r="DL60" s="8">
        <f t="shared" si="50"/>
        <v>0</v>
      </c>
      <c r="DM60" s="6">
        <f>SUMIF('Eredeti fejléccel'!$B:$B,'Felosztás eredménykim'!$B60,'Eredeti fejléccel'!$BR:$BR)</f>
        <v>0</v>
      </c>
      <c r="DN60" s="6">
        <f>SUMIF('Eredeti fejléccel'!$B:$B,'Felosztás eredménykim'!$B60,'Eredeti fejléccel'!$BS:$BS)</f>
        <v>0</v>
      </c>
      <c r="DO60" s="6">
        <f>SUMIF('Eredeti fejléccel'!$B:$B,'Felosztás eredménykim'!$B60,'Eredeti fejléccel'!$BO:$BO)</f>
        <v>0</v>
      </c>
      <c r="DP60" s="6">
        <f>SUMIF('Eredeti fejléccel'!$B:$B,'Felosztás eredménykim'!$B60,'Eredeti fejléccel'!$BP:$BP)</f>
        <v>0</v>
      </c>
      <c r="DQ60" s="6">
        <f>SUMIF('Eredeti fejléccel'!$B:$B,'Felosztás eredménykim'!$B60,'Eredeti fejléccel'!$BQ:$BQ)</f>
        <v>0</v>
      </c>
      <c r="DS60" s="8"/>
      <c r="DU60" s="6">
        <f>SUMIF('Eredeti fejléccel'!$B:$B,'Felosztás eredménykim'!$B60,'Eredeti fejléccel'!$BT:$BT)</f>
        <v>0</v>
      </c>
      <c r="DV60" s="6">
        <f>SUMIF('Eredeti fejléccel'!$B:$B,'Felosztás eredménykim'!$B60,'Eredeti fejléccel'!$BU:$BU)</f>
        <v>0</v>
      </c>
      <c r="DW60" s="6">
        <f>SUMIF('Eredeti fejléccel'!$B:$B,'Felosztás eredménykim'!$B60,'Eredeti fejléccel'!$BV:$BV)</f>
        <v>0</v>
      </c>
      <c r="DX60" s="6">
        <f>SUMIF('Eredeti fejléccel'!$B:$B,'Felosztás eredménykim'!$B60,'Eredeti fejléccel'!$BW:$BW)</f>
        <v>0</v>
      </c>
      <c r="DY60" s="6">
        <f>SUMIF('Eredeti fejléccel'!$B:$B,'Felosztás eredménykim'!$B60,'Eredeti fejléccel'!$BX:$BX)</f>
        <v>0</v>
      </c>
      <c r="EA60" s="6"/>
      <c r="EC60" s="6"/>
      <c r="EE60" s="6">
        <f>SUMIF('Eredeti fejléccel'!$B:$B,'Felosztás eredménykim'!$B60,'Eredeti fejléccel'!$CA:$CA)</f>
        <v>0</v>
      </c>
      <c r="EF60" s="6">
        <f>SUMIF('Eredeti fejléccel'!$B:$B,'Felosztás eredménykim'!$B60,'Eredeti fejléccel'!$CB:$CB)</f>
        <v>0</v>
      </c>
      <c r="EG60" s="6">
        <f>SUMIF('Eredeti fejléccel'!$B:$B,'Felosztás eredménykim'!$B60,'Eredeti fejléccel'!$CC:$CC)</f>
        <v>0</v>
      </c>
      <c r="EH60" s="6">
        <f>SUMIF('Eredeti fejléccel'!$B:$B,'Felosztás eredménykim'!$B60,'Eredeti fejléccel'!$CD:$CD)</f>
        <v>0</v>
      </c>
      <c r="EK60" s="6">
        <f>SUMIF('Eredeti fejléccel'!$B:$B,'Felosztás eredménykim'!$B60,'Eredeti fejléccel'!$CE:$CE)</f>
        <v>0</v>
      </c>
      <c r="EN60" s="6">
        <f>SUMIF('Eredeti fejléccel'!$B:$B,'Felosztás eredménykim'!$B60,'Eredeti fejléccel'!$CF:$CF)</f>
        <v>0</v>
      </c>
      <c r="EP60" s="6">
        <f>SUMIF('Eredeti fejléccel'!$B:$B,'Felosztás eredménykim'!$B60,'Eredeti fejléccel'!$CG:$CG)</f>
        <v>0</v>
      </c>
      <c r="ES60" s="6">
        <f>SUMIF('Eredeti fejléccel'!$B:$B,'Felosztás eredménykim'!$B60,'Eredeti fejléccel'!$CH:$CH)</f>
        <v>0</v>
      </c>
      <c r="ET60" s="6">
        <f>SUMIF('Eredeti fejléccel'!$B:$B,'Felosztás eredménykim'!$B60,'Eredeti fejléccel'!$CI:$CI)</f>
        <v>0</v>
      </c>
      <c r="EW60" s="8">
        <f t="shared" si="22"/>
        <v>0</v>
      </c>
      <c r="EX60" s="8">
        <f t="shared" si="51"/>
        <v>0</v>
      </c>
      <c r="EY60" s="8">
        <f t="shared" si="52"/>
        <v>0</v>
      </c>
      <c r="EZ60" s="8">
        <f t="shared" si="23"/>
        <v>0</v>
      </c>
      <c r="FA60" s="8">
        <f t="shared" si="24"/>
        <v>0</v>
      </c>
      <c r="FC60" s="6">
        <f>SUMIF('Eredeti fejléccel'!$B:$B,'Felosztás eredménykim'!$B60,'Eredeti fejléccel'!$L:$L)</f>
        <v>0</v>
      </c>
      <c r="FD60" s="6">
        <f>SUMIF('Eredeti fejléccel'!$B:$B,'Felosztás eredménykim'!$B60,'Eredeti fejléccel'!$CJ:$CJ)</f>
        <v>0</v>
      </c>
      <c r="FE60" s="6">
        <f>SUMIF('Eredeti fejléccel'!$B:$B,'Felosztás eredménykim'!$B60,'Eredeti fejléccel'!$CL:$CL)</f>
        <v>0</v>
      </c>
      <c r="FG60" s="99">
        <f t="shared" si="53"/>
        <v>0</v>
      </c>
      <c r="FH60" s="6">
        <f>SUMIF('Eredeti fejléccel'!$B:$B,'Felosztás eredménykim'!$B60,'Eredeti fejléccel'!$CK:$CK)</f>
        <v>0</v>
      </c>
      <c r="FI60" s="36">
        <f t="shared" si="68"/>
        <v>308496.84054601076</v>
      </c>
      <c r="FJ60" s="101">
        <f t="shared" si="26"/>
        <v>0</v>
      </c>
      <c r="FK60" s="6">
        <f>SUMIF('Eredeti fejléccel'!$B:$B,'Felosztás eredménykim'!$B60,'Eredeti fejléccel'!$CM:$CM)</f>
        <v>0</v>
      </c>
      <c r="FL60" s="6">
        <f>SUMIF('Eredeti fejléccel'!$B:$B,'Felosztás eredménykim'!$B60,'Eredeti fejléccel'!$CN:$CN)</f>
        <v>0</v>
      </c>
      <c r="FM60" s="8">
        <f t="shared" si="54"/>
        <v>0</v>
      </c>
      <c r="FN60" s="36">
        <f t="shared" si="69"/>
        <v>262272.92459106719</v>
      </c>
      <c r="FO60" s="101">
        <f t="shared" si="28"/>
        <v>0</v>
      </c>
      <c r="FP60" s="6">
        <f>SUMIF('Eredeti fejléccel'!$B:$B,'Felosztás eredménykim'!$B60,'Eredeti fejléccel'!$CO:$CO)</f>
        <v>0</v>
      </c>
      <c r="FQ60" s="6">
        <f>'Eredeti fejléccel'!CP60</f>
        <v>0</v>
      </c>
      <c r="FR60" s="6">
        <f>'Eredeti fejléccel'!CQ60</f>
        <v>0</v>
      </c>
      <c r="FS60" s="103">
        <f t="shared" si="55"/>
        <v>0</v>
      </c>
      <c r="FT60" s="36">
        <f t="shared" si="70"/>
        <v>723949.74939652637</v>
      </c>
      <c r="FU60" s="101">
        <f t="shared" si="30"/>
        <v>0</v>
      </c>
      <c r="FV60" s="101"/>
      <c r="FW60" s="6">
        <f>SUMIF('Eredeti fejléccel'!$B:$B,'Felosztás eredménykim'!$B60,'Eredeti fejléccel'!$CR:$CR)</f>
        <v>0</v>
      </c>
      <c r="FX60" s="6">
        <f>SUMIF('Eredeti fejléccel'!$B:$B,'Felosztás eredménykim'!$B60,'Eredeti fejléccel'!$CS:$CS)</f>
        <v>0</v>
      </c>
      <c r="FY60" s="6">
        <f>SUMIF('Eredeti fejléccel'!$B:$B,'Felosztás eredménykim'!$B60,'Eredeti fejléccel'!$CT:$CT)</f>
        <v>0</v>
      </c>
      <c r="FZ60" s="6">
        <f>SUMIF('Eredeti fejléccel'!$B:$B,'Felosztás eredménykim'!$B60,'Eredeti fejléccel'!$CU:$CU)</f>
        <v>0</v>
      </c>
      <c r="GA60" s="103">
        <f t="shared" si="56"/>
        <v>0</v>
      </c>
      <c r="GB60" s="36">
        <f t="shared" si="71"/>
        <v>96496.642066524699</v>
      </c>
      <c r="GC60" s="101">
        <f t="shared" si="32"/>
        <v>0</v>
      </c>
      <c r="GD60" s="6">
        <f>SUMIF('Eredeti fejléccel'!$B:$B,'Felosztás eredménykim'!$B60,'Eredeti fejléccel'!$CV:$CV)</f>
        <v>0</v>
      </c>
      <c r="GE60" s="6">
        <f>SUMIF('Eredeti fejléccel'!$B:$B,'Felosztás eredménykim'!$B60,'Eredeti fejléccel'!$CW:$CW)</f>
        <v>0</v>
      </c>
      <c r="GF60" s="103">
        <f t="shared" si="57"/>
        <v>0</v>
      </c>
      <c r="GG60" s="36">
        <f t="shared" si="33"/>
        <v>0</v>
      </c>
      <c r="GM60" s="6">
        <f>SUMIF('Eredeti fejléccel'!$B:$B,'Felosztás eredménykim'!$B60,'Eredeti fejléccel'!$CX:$CX)</f>
        <v>0</v>
      </c>
      <c r="GN60" s="6">
        <f>SUMIF('Eredeti fejléccel'!$B:$B,'Felosztás eredménykim'!$B60,'Eredeti fejléccel'!$CY:$CY)</f>
        <v>0</v>
      </c>
      <c r="GO60" s="6">
        <f>SUMIF('Eredeti fejléccel'!$B:$B,'Felosztás eredménykim'!$B60,'Eredeti fejléccel'!$CZ:$CZ)</f>
        <v>0</v>
      </c>
      <c r="GP60" s="6">
        <f>SUMIF('Eredeti fejléccel'!$B:$B,'Felosztás eredménykim'!$B60,'Eredeti fejléccel'!$DA:$DA)</f>
        <v>0</v>
      </c>
      <c r="GQ60" s="6">
        <f>SUMIF('Eredeti fejléccel'!$B:$B,'Felosztás eredménykim'!$B60,'Eredeti fejléccel'!$DB:$DB)</f>
        <v>0</v>
      </c>
      <c r="GR60" s="103">
        <f t="shared" si="58"/>
        <v>0</v>
      </c>
      <c r="GW60" s="36">
        <f t="shared" si="34"/>
        <v>165646.9182227946</v>
      </c>
      <c r="GX60" s="6">
        <f>SUMIF('Eredeti fejléccel'!$B:$B,'Felosztás eredménykim'!$B60,'Eredeti fejléccel'!$M:$M)</f>
        <v>0</v>
      </c>
      <c r="GY60" s="6">
        <f>SUMIF('Eredeti fejléccel'!$B:$B,'Felosztás eredménykim'!$B60,'Eredeti fejléccel'!$DC:$DC)</f>
        <v>0</v>
      </c>
      <c r="GZ60" s="6">
        <f>SUMIF('Eredeti fejléccel'!$B:$B,'Felosztás eredménykim'!$B60,'Eredeti fejléccel'!$DD:$DD)</f>
        <v>0</v>
      </c>
      <c r="HA60" s="6">
        <f>SUMIF('Eredeti fejléccel'!$B:$B,'Felosztás eredménykim'!$B60,'Eredeti fejléccel'!$DE:$DE)</f>
        <v>0</v>
      </c>
      <c r="HB60" s="103">
        <f t="shared" si="59"/>
        <v>0</v>
      </c>
      <c r="HD60" s="9">
        <f t="shared" si="72"/>
        <v>14716799.999999983</v>
      </c>
      <c r="HE60" s="9">
        <v>14716800</v>
      </c>
      <c r="HF60" s="476"/>
      <c r="HH60" s="34">
        <f t="shared" si="60"/>
        <v>-1.6763806343078613E-8</v>
      </c>
    </row>
    <row r="61" spans="1:216" x14ac:dyDescent="0.25">
      <c r="A61" s="4" t="s">
        <v>140</v>
      </c>
      <c r="B61" s="4" t="s">
        <v>140</v>
      </c>
      <c r="C61" s="1" t="s">
        <v>141</v>
      </c>
      <c r="D61" s="6">
        <f>SUMIF('Eredeti fejléccel'!$B:$B,'Felosztás eredménykim'!$B61,'Eredeti fejléccel'!$D:$D)</f>
        <v>0</v>
      </c>
      <c r="E61" s="6">
        <f>SUMIF('Eredeti fejléccel'!$B:$B,'Felosztás eredménykim'!$B61,'Eredeti fejléccel'!$E:$E)</f>
        <v>0</v>
      </c>
      <c r="F61" s="6">
        <f>SUMIF('Eredeti fejléccel'!$B:$B,'Felosztás eredménykim'!$B61,'Eredeti fejléccel'!$F:$F)</f>
        <v>0</v>
      </c>
      <c r="G61" s="6">
        <f>SUMIF('Eredeti fejléccel'!$B:$B,'Felosztás eredménykim'!$B61,'Eredeti fejléccel'!$G:$G)</f>
        <v>0</v>
      </c>
      <c r="H61" s="6"/>
      <c r="I61" s="6">
        <f>SUMIF('Eredeti fejléccel'!$B:$B,'Felosztás eredménykim'!$B61,'Eredeti fejléccel'!$O:$O)</f>
        <v>0</v>
      </c>
      <c r="J61" s="6">
        <f>SUMIF('Eredeti fejléccel'!$B:$B,'Felosztás eredménykim'!$B61,'Eredeti fejléccel'!$P:$P)</f>
        <v>0</v>
      </c>
      <c r="K61" s="6">
        <f>SUMIF('Eredeti fejléccel'!$B:$B,'Felosztás eredménykim'!$B61,'Eredeti fejléccel'!$Q:$Q)</f>
        <v>0</v>
      </c>
      <c r="L61" s="6">
        <f>SUMIF('Eredeti fejléccel'!$B:$B,'Felosztás eredménykim'!$B61,'Eredeti fejléccel'!$R:$R)</f>
        <v>0</v>
      </c>
      <c r="M61" s="6">
        <f>SUMIF('Eredeti fejléccel'!$B:$B,'Felosztás eredménykim'!$B61,'Eredeti fejléccel'!$T:$T)</f>
        <v>0</v>
      </c>
      <c r="N61" s="6">
        <f>SUMIF('Eredeti fejléccel'!$B:$B,'Felosztás eredménykim'!$B61,'Eredeti fejléccel'!$U:$U)</f>
        <v>0</v>
      </c>
      <c r="O61" s="6">
        <f>SUMIF('Eredeti fejléccel'!$B:$B,'Felosztás eredménykim'!$B61,'Eredeti fejléccel'!$V:$V)</f>
        <v>0</v>
      </c>
      <c r="P61" s="6">
        <f>SUMIF('Eredeti fejléccel'!$B:$B,'Felosztás eredménykim'!$B61,'Eredeti fejléccel'!$W:$W)</f>
        <v>0</v>
      </c>
      <c r="Q61" s="6">
        <f>SUMIF('Eredeti fejléccel'!$B:$B,'Felosztás eredménykim'!$B61,'Eredeti fejléccel'!$X:$X)</f>
        <v>0</v>
      </c>
      <c r="R61" s="6">
        <f>SUMIF('Eredeti fejléccel'!$B:$B,'Felosztás eredménykim'!$B61,'Eredeti fejléccel'!$Y:$Y)</f>
        <v>0</v>
      </c>
      <c r="S61" s="6">
        <f>SUMIF('Eredeti fejléccel'!$B:$B,'Felosztás eredménykim'!$B61,'Eredeti fejléccel'!$Z:$Z)</f>
        <v>0</v>
      </c>
      <c r="T61" s="6">
        <f>SUMIF('Eredeti fejléccel'!$B:$B,'Felosztás eredménykim'!$B61,'Eredeti fejléccel'!$AA:$AA)</f>
        <v>0</v>
      </c>
      <c r="U61" s="6">
        <f>SUMIF('Eredeti fejléccel'!$B:$B,'Felosztás eredménykim'!$B61,'Eredeti fejléccel'!$D:$D)</f>
        <v>0</v>
      </c>
      <c r="V61" s="6">
        <f>SUMIF('Eredeti fejléccel'!$B:$B,'Felosztás eredménykim'!$B61,'Eredeti fejléccel'!$AT:$AT)</f>
        <v>0</v>
      </c>
      <c r="X61" s="36">
        <f t="shared" si="0"/>
        <v>0</v>
      </c>
      <c r="Z61" s="6">
        <f>SUMIF('Eredeti fejléccel'!$B:$B,'Felosztás eredménykim'!$B61,'Eredeti fejléccel'!$K:$K)</f>
        <v>0</v>
      </c>
      <c r="AB61" s="6">
        <f>SUMIF('Eredeti fejléccel'!$B:$B,'Felosztás eredménykim'!$B61,'Eredeti fejléccel'!$AB:$AB)</f>
        <v>0</v>
      </c>
      <c r="AC61" s="6">
        <f>SUMIF('Eredeti fejléccel'!$B:$B,'Felosztás eredménykim'!$B61,'Eredeti fejléccel'!$AQ:$AQ)</f>
        <v>0</v>
      </c>
      <c r="AE61" s="73">
        <f t="shared" si="1"/>
        <v>0</v>
      </c>
      <c r="AF61" s="36">
        <f t="shared" si="61"/>
        <v>0</v>
      </c>
      <c r="AG61" s="8">
        <f t="shared" si="3"/>
        <v>0</v>
      </c>
      <c r="AI61" s="6">
        <f>SUMIF('Eredeti fejléccel'!$B:$B,'Felosztás eredménykim'!$B61,'Eredeti fejléccel'!$BB:$BB)</f>
        <v>0</v>
      </c>
      <c r="AJ61" s="6">
        <f>SUMIF('Eredeti fejléccel'!$B:$B,'Felosztás eredménykim'!$B61,'Eredeti fejléccel'!$AF:$AF)</f>
        <v>0</v>
      </c>
      <c r="AK61" s="8">
        <f t="shared" si="4"/>
        <v>0</v>
      </c>
      <c r="AL61" s="36">
        <f t="shared" si="62"/>
        <v>0</v>
      </c>
      <c r="AM61" s="8">
        <f t="shared" si="6"/>
        <v>0</v>
      </c>
      <c r="AN61" s="6">
        <f t="shared" si="36"/>
        <v>0</v>
      </c>
      <c r="AO61" s="6">
        <f>SUMIF('Eredeti fejléccel'!$B:$B,'Felosztás eredménykim'!$B61,'Eredeti fejléccel'!$AC:$AC)</f>
        <v>0</v>
      </c>
      <c r="AP61" s="6">
        <f>SUMIF('Eredeti fejléccel'!$B:$B,'Felosztás eredménykim'!$B61,'Eredeti fejléccel'!$AD:$AD)</f>
        <v>0</v>
      </c>
      <c r="AQ61" s="6">
        <f>SUMIF('Eredeti fejléccel'!$B:$B,'Felosztás eredménykim'!$B61,'Eredeti fejléccel'!$AE:$AE)</f>
        <v>0</v>
      </c>
      <c r="AR61" s="6">
        <f>SUMIF('Eredeti fejléccel'!$B:$B,'Felosztás eredménykim'!$B61,'Eredeti fejléccel'!$AG:$AG)</f>
        <v>0</v>
      </c>
      <c r="AS61" s="6">
        <f t="shared" si="37"/>
        <v>0</v>
      </c>
      <c r="AT61" s="36">
        <f t="shared" si="63"/>
        <v>0</v>
      </c>
      <c r="AU61" s="8">
        <f t="shared" si="8"/>
        <v>0</v>
      </c>
      <c r="AV61" s="6">
        <f>SUMIF('Eredeti fejléccel'!$B:$B,'Felosztás eredménykim'!$B61,'Eredeti fejléccel'!$AI:$AI)</f>
        <v>0</v>
      </c>
      <c r="AW61" s="6">
        <f>SUMIF('Eredeti fejléccel'!$B:$B,'Felosztás eredménykim'!$B61,'Eredeti fejléccel'!$AJ:$AJ)</f>
        <v>0</v>
      </c>
      <c r="AX61" s="6">
        <f>SUMIF('Eredeti fejléccel'!$B:$B,'Felosztás eredménykim'!$B61,'Eredeti fejléccel'!$AK:$AK)</f>
        <v>0</v>
      </c>
      <c r="AY61" s="6">
        <f>SUMIF('Eredeti fejléccel'!$B:$B,'Felosztás eredménykim'!$B61,'Eredeti fejléccel'!$AL:$AL)</f>
        <v>0</v>
      </c>
      <c r="AZ61" s="6">
        <f>SUMIF('Eredeti fejléccel'!$B:$B,'Felosztás eredménykim'!$B61,'Eredeti fejléccel'!$AM:$AM)</f>
        <v>0</v>
      </c>
      <c r="BA61" s="6">
        <f>SUMIF('Eredeti fejléccel'!$B:$B,'Felosztás eredménykim'!$B61,'Eredeti fejléccel'!$AN:$AN)</f>
        <v>0</v>
      </c>
      <c r="BB61" s="6">
        <f>SUMIF('Eredeti fejléccel'!$B:$B,'Felosztás eredménykim'!$B61,'Eredeti fejléccel'!$AP:$AP)</f>
        <v>0</v>
      </c>
      <c r="BD61" s="6">
        <f>SUMIF('Eredeti fejléccel'!$B:$B,'Felosztás eredménykim'!$B61,'Eredeti fejléccel'!$AS:$AS)</f>
        <v>0</v>
      </c>
      <c r="BE61" s="8">
        <f t="shared" si="38"/>
        <v>0</v>
      </c>
      <c r="BF61" s="36">
        <f t="shared" si="64"/>
        <v>0</v>
      </c>
      <c r="BG61" s="8">
        <f t="shared" si="10"/>
        <v>0</v>
      </c>
      <c r="BH61" s="6">
        <f t="shared" si="39"/>
        <v>0</v>
      </c>
      <c r="BI61" s="6">
        <f>SUMIF('Eredeti fejléccel'!$B:$B,'Felosztás eredménykim'!$B61,'Eredeti fejléccel'!$AH:$AH)</f>
        <v>0</v>
      </c>
      <c r="BJ61" s="6">
        <f>SUMIF('Eredeti fejléccel'!$B:$B,'Felosztás eredménykim'!$B61,'Eredeti fejléccel'!$AO:$AO)</f>
        <v>0</v>
      </c>
      <c r="BK61" s="6">
        <f>SUMIF('Eredeti fejléccel'!$B:$B,'Felosztás eredménykim'!$B61,'Eredeti fejléccel'!$BF:$BF)</f>
        <v>0</v>
      </c>
      <c r="BL61" s="8">
        <f t="shared" si="40"/>
        <v>0</v>
      </c>
      <c r="BM61" s="36">
        <f t="shared" si="65"/>
        <v>0</v>
      </c>
      <c r="BN61" s="8">
        <f t="shared" si="12"/>
        <v>0</v>
      </c>
      <c r="BP61" s="8">
        <f t="shared" si="41"/>
        <v>0</v>
      </c>
      <c r="BQ61" s="6">
        <f>SUMIF('Eredeti fejléccel'!$B:$B,'Felosztás eredménykim'!$B61,'Eredeti fejléccel'!$N:$N)</f>
        <v>0</v>
      </c>
      <c r="BR61" s="6">
        <f>SUMIF('Eredeti fejléccel'!$B:$B,'Felosztás eredménykim'!$B61,'Eredeti fejléccel'!$S:$S)</f>
        <v>0</v>
      </c>
      <c r="BT61" s="6">
        <f>SUMIF('Eredeti fejléccel'!$B:$B,'Felosztás eredménykim'!$B61,'Eredeti fejléccel'!$AR:$AR)</f>
        <v>0</v>
      </c>
      <c r="BU61" s="6">
        <f>SUMIF('Eredeti fejléccel'!$B:$B,'Felosztás eredménykim'!$B61,'Eredeti fejléccel'!$AU:$AU)</f>
        <v>0</v>
      </c>
      <c r="BV61" s="6">
        <f>SUMIF('Eredeti fejléccel'!$B:$B,'Felosztás eredménykim'!$B61,'Eredeti fejléccel'!$AV:$AV)</f>
        <v>0</v>
      </c>
      <c r="BW61" s="6">
        <f>SUMIF('Eredeti fejléccel'!$B:$B,'Felosztás eredménykim'!$B61,'Eredeti fejléccel'!$AW:$AW)</f>
        <v>0</v>
      </c>
      <c r="BX61" s="6">
        <f>SUMIF('Eredeti fejléccel'!$B:$B,'Felosztás eredménykim'!$B61,'Eredeti fejléccel'!$AX:$AX)</f>
        <v>0</v>
      </c>
      <c r="BY61" s="6">
        <f>SUMIF('Eredeti fejléccel'!$B:$B,'Felosztás eredménykim'!$B61,'Eredeti fejléccel'!$AY:$AY)</f>
        <v>0</v>
      </c>
      <c r="BZ61" s="6">
        <f>SUMIF('Eredeti fejléccel'!$B:$B,'Felosztás eredménykim'!$B61,'Eredeti fejléccel'!$AZ:$AZ)</f>
        <v>0</v>
      </c>
      <c r="CA61" s="6">
        <f>SUMIF('Eredeti fejléccel'!$B:$B,'Felosztás eredménykim'!$B61,'Eredeti fejléccel'!$BA:$BA)</f>
        <v>0</v>
      </c>
      <c r="CB61" s="6">
        <f t="shared" si="13"/>
        <v>0</v>
      </c>
      <c r="CC61" s="36">
        <f t="shared" si="66"/>
        <v>0</v>
      </c>
      <c r="CD61" s="8">
        <f t="shared" si="15"/>
        <v>0</v>
      </c>
      <c r="CE61" s="6">
        <f>SUMIF('Eredeti fejléccel'!$B:$B,'Felosztás eredménykim'!$B61,'Eredeti fejléccel'!$BC:$BC)</f>
        <v>0</v>
      </c>
      <c r="CF61" s="8">
        <f t="shared" si="42"/>
        <v>0</v>
      </c>
      <c r="CG61" s="6">
        <f>SUMIF('Eredeti fejléccel'!$B:$B,'Felosztás eredménykim'!$B61,'Eredeti fejléccel'!$H:$H)</f>
        <v>0</v>
      </c>
      <c r="CH61" s="6">
        <f>SUMIF('Eredeti fejléccel'!$B:$B,'Felosztás eredménykim'!$B61,'Eredeti fejléccel'!$BE:$BE)</f>
        <v>0</v>
      </c>
      <c r="CI61" s="6">
        <f t="shared" si="43"/>
        <v>0</v>
      </c>
      <c r="CJ61" s="36">
        <f t="shared" si="67"/>
        <v>0</v>
      </c>
      <c r="CK61" s="8">
        <f t="shared" si="17"/>
        <v>0</v>
      </c>
      <c r="CL61" s="8">
        <f t="shared" si="44"/>
        <v>0</v>
      </c>
      <c r="CM61" s="6">
        <f>SUMIF('Eredeti fejléccel'!$B:$B,'Felosztás eredménykim'!$B61,'Eredeti fejléccel'!$BD:$BD)</f>
        <v>0</v>
      </c>
      <c r="CN61" s="8">
        <f t="shared" si="45"/>
        <v>0</v>
      </c>
      <c r="CO61" s="8">
        <f t="shared" si="18"/>
        <v>0</v>
      </c>
      <c r="CR61" s="36">
        <f t="shared" si="19"/>
        <v>0</v>
      </c>
      <c r="CS61" s="6">
        <f>SUMIF('Eredeti fejléccel'!$B:$B,'Felosztás eredménykim'!$B61,'Eredeti fejléccel'!$I:$I)</f>
        <v>0</v>
      </c>
      <c r="CT61" s="6">
        <f>SUMIF('Eredeti fejléccel'!$B:$B,'Felosztás eredménykim'!$B61,'Eredeti fejléccel'!$BG:$BG)</f>
        <v>0</v>
      </c>
      <c r="CU61" s="6">
        <f>SUMIF('Eredeti fejléccel'!$B:$B,'Felosztás eredménykim'!$B61,'Eredeti fejléccel'!$BH:$BH)</f>
        <v>0</v>
      </c>
      <c r="CV61" s="6">
        <f>SUMIF('Eredeti fejléccel'!$B:$B,'Felosztás eredménykim'!$B61,'Eredeti fejléccel'!$BI:$BI)</f>
        <v>0</v>
      </c>
      <c r="CW61" s="6">
        <f>SUMIF('Eredeti fejléccel'!$B:$B,'Felosztás eredménykim'!$B61,'Eredeti fejléccel'!$BL:$BL)</f>
        <v>2444196</v>
      </c>
      <c r="CX61" s="6">
        <f t="shared" si="46"/>
        <v>2444196</v>
      </c>
      <c r="CY61" s="6">
        <f>SUMIF('Eredeti fejléccel'!$B:$B,'Felosztás eredménykim'!$B61,'Eredeti fejléccel'!$BJ:$BJ)</f>
        <v>1040110</v>
      </c>
      <c r="CZ61" s="6">
        <f>SUMIF('Eredeti fejléccel'!$B:$B,'Felosztás eredménykim'!$B61,'Eredeti fejléccel'!$BK:$BK)</f>
        <v>106126</v>
      </c>
      <c r="DA61" s="99">
        <f t="shared" si="47"/>
        <v>3590432</v>
      </c>
      <c r="DC61" s="36">
        <f t="shared" si="20"/>
        <v>0</v>
      </c>
      <c r="DD61" s="6">
        <f>SUMIF('Eredeti fejléccel'!$B:$B,'Felosztás eredménykim'!$B61,'Eredeti fejléccel'!$J:$J)</f>
        <v>0</v>
      </c>
      <c r="DE61" s="6">
        <f>SUMIF('Eredeti fejléccel'!$B:$B,'Felosztás eredménykim'!$B61,'Eredeti fejléccel'!$BM:$BM)</f>
        <v>0</v>
      </c>
      <c r="DF61" s="6">
        <f t="shared" si="48"/>
        <v>0</v>
      </c>
      <c r="DG61" s="8">
        <f t="shared" si="21"/>
        <v>0</v>
      </c>
      <c r="DH61" s="8">
        <f t="shared" si="49"/>
        <v>0</v>
      </c>
      <c r="DJ61" s="6">
        <f>SUMIF('Eredeti fejléccel'!$B:$B,'Felosztás eredménykim'!$B61,'Eredeti fejléccel'!$BN:$BN)</f>
        <v>0</v>
      </c>
      <c r="DK61" s="6">
        <f>SUMIF('Eredeti fejléccel'!$B:$B,'Felosztás eredménykim'!$B61,'Eredeti fejléccel'!$BZ:$BZ)</f>
        <v>0</v>
      </c>
      <c r="DL61" s="8">
        <f t="shared" si="50"/>
        <v>0</v>
      </c>
      <c r="DM61" s="6">
        <f>SUMIF('Eredeti fejléccel'!$B:$B,'Felosztás eredménykim'!$B61,'Eredeti fejléccel'!$BR:$BR)</f>
        <v>0</v>
      </c>
      <c r="DN61" s="6">
        <f>SUMIF('Eredeti fejléccel'!$B:$B,'Felosztás eredménykim'!$B61,'Eredeti fejléccel'!$BS:$BS)</f>
        <v>0</v>
      </c>
      <c r="DO61" s="6">
        <f>SUMIF('Eredeti fejléccel'!$B:$B,'Felosztás eredménykim'!$B61,'Eredeti fejléccel'!$BO:$BO)</f>
        <v>0</v>
      </c>
      <c r="DP61" s="6">
        <f>SUMIF('Eredeti fejléccel'!$B:$B,'Felosztás eredménykim'!$B61,'Eredeti fejléccel'!$BP:$BP)</f>
        <v>0</v>
      </c>
      <c r="DQ61" s="6">
        <f>SUMIF('Eredeti fejléccel'!$B:$B,'Felosztás eredménykim'!$B61,'Eredeti fejléccel'!$BQ:$BQ)</f>
        <v>0</v>
      </c>
      <c r="DS61" s="8"/>
      <c r="DU61" s="6">
        <f>SUMIF('Eredeti fejléccel'!$B:$B,'Felosztás eredménykim'!$B61,'Eredeti fejléccel'!$BT:$BT)</f>
        <v>0</v>
      </c>
      <c r="DV61" s="6">
        <f>SUMIF('Eredeti fejléccel'!$B:$B,'Felosztás eredménykim'!$B61,'Eredeti fejléccel'!$BU:$BU)</f>
        <v>0</v>
      </c>
      <c r="DW61" s="6">
        <f>SUMIF('Eredeti fejléccel'!$B:$B,'Felosztás eredménykim'!$B61,'Eredeti fejléccel'!$BV:$BV)</f>
        <v>0</v>
      </c>
      <c r="DX61" s="6">
        <f>SUMIF('Eredeti fejléccel'!$B:$B,'Felosztás eredménykim'!$B61,'Eredeti fejléccel'!$BW:$BW)</f>
        <v>0</v>
      </c>
      <c r="DY61" s="6">
        <f>SUMIF('Eredeti fejléccel'!$B:$B,'Felosztás eredménykim'!$B61,'Eredeti fejléccel'!$BX:$BX)</f>
        <v>0</v>
      </c>
      <c r="EA61" s="6"/>
      <c r="EC61" s="6"/>
      <c r="EE61" s="6">
        <f>SUMIF('Eredeti fejléccel'!$B:$B,'Felosztás eredménykim'!$B61,'Eredeti fejléccel'!$CA:$CA)</f>
        <v>0</v>
      </c>
      <c r="EF61" s="6">
        <f>SUMIF('Eredeti fejléccel'!$B:$B,'Felosztás eredménykim'!$B61,'Eredeti fejléccel'!$CB:$CB)</f>
        <v>0</v>
      </c>
      <c r="EG61" s="6">
        <f>SUMIF('Eredeti fejléccel'!$B:$B,'Felosztás eredménykim'!$B61,'Eredeti fejléccel'!$CC:$CC)</f>
        <v>0</v>
      </c>
      <c r="EH61" s="6">
        <f>SUMIF('Eredeti fejléccel'!$B:$B,'Felosztás eredménykim'!$B61,'Eredeti fejléccel'!$CD:$CD)</f>
        <v>0</v>
      </c>
      <c r="EK61" s="6">
        <f>SUMIF('Eredeti fejléccel'!$B:$B,'Felosztás eredménykim'!$B61,'Eredeti fejléccel'!$CE:$CE)</f>
        <v>0</v>
      </c>
      <c r="EN61" s="6">
        <f>SUMIF('Eredeti fejléccel'!$B:$B,'Felosztás eredménykim'!$B61,'Eredeti fejléccel'!$CF:$CF)</f>
        <v>0</v>
      </c>
      <c r="EP61" s="6">
        <f>SUMIF('Eredeti fejléccel'!$B:$B,'Felosztás eredménykim'!$B61,'Eredeti fejléccel'!$CG:$CG)</f>
        <v>0</v>
      </c>
      <c r="ES61" s="6">
        <f>SUMIF('Eredeti fejléccel'!$B:$B,'Felosztás eredménykim'!$B61,'Eredeti fejléccel'!$CH:$CH)</f>
        <v>0</v>
      </c>
      <c r="ET61" s="6">
        <f>SUMIF('Eredeti fejléccel'!$B:$B,'Felosztás eredménykim'!$B61,'Eredeti fejléccel'!$CI:$CI)</f>
        <v>0</v>
      </c>
      <c r="EW61" s="8">
        <f t="shared" si="22"/>
        <v>0</v>
      </c>
      <c r="EX61" s="8">
        <f t="shared" si="51"/>
        <v>0</v>
      </c>
      <c r="EY61" s="8">
        <f t="shared" si="52"/>
        <v>0</v>
      </c>
      <c r="EZ61" s="8">
        <f t="shared" si="23"/>
        <v>0</v>
      </c>
      <c r="FA61" s="8">
        <f t="shared" si="24"/>
        <v>0</v>
      </c>
      <c r="FC61" s="6">
        <f>SUMIF('Eredeti fejléccel'!$B:$B,'Felosztás eredménykim'!$B61,'Eredeti fejléccel'!$L:$L)</f>
        <v>0</v>
      </c>
      <c r="FD61" s="6">
        <f>SUMIF('Eredeti fejléccel'!$B:$B,'Felosztás eredménykim'!$B61,'Eredeti fejléccel'!$CJ:$CJ)</f>
        <v>0</v>
      </c>
      <c r="FE61" s="6">
        <f>SUMIF('Eredeti fejléccel'!$B:$B,'Felosztás eredménykim'!$B61,'Eredeti fejléccel'!$CL:$CL)</f>
        <v>0</v>
      </c>
      <c r="FG61" s="99">
        <f t="shared" si="53"/>
        <v>0</v>
      </c>
      <c r="FH61" s="6">
        <f>SUMIF('Eredeti fejléccel'!$B:$B,'Felosztás eredménykim'!$B61,'Eredeti fejléccel'!$CK:$CK)</f>
        <v>0</v>
      </c>
      <c r="FI61" s="36">
        <f t="shared" si="68"/>
        <v>0</v>
      </c>
      <c r="FJ61" s="101">
        <f t="shared" si="26"/>
        <v>0</v>
      </c>
      <c r="FK61" s="6">
        <f>SUMIF('Eredeti fejléccel'!$B:$B,'Felosztás eredménykim'!$B61,'Eredeti fejléccel'!$CM:$CM)</f>
        <v>0</v>
      </c>
      <c r="FL61" s="6">
        <f>SUMIF('Eredeti fejléccel'!$B:$B,'Felosztás eredménykim'!$B61,'Eredeti fejléccel'!$CN:$CN)</f>
        <v>0</v>
      </c>
      <c r="FM61" s="8">
        <f t="shared" si="54"/>
        <v>0</v>
      </c>
      <c r="FN61" s="36">
        <f t="shared" si="69"/>
        <v>0</v>
      </c>
      <c r="FO61" s="101">
        <f t="shared" si="28"/>
        <v>0</v>
      </c>
      <c r="FP61" s="6">
        <f>SUMIF('Eredeti fejléccel'!$B:$B,'Felosztás eredménykim'!$B61,'Eredeti fejléccel'!$CO:$CO)</f>
        <v>0</v>
      </c>
      <c r="FQ61" s="6">
        <f>'Eredeti fejléccel'!CP61</f>
        <v>0</v>
      </c>
      <c r="FR61" s="6">
        <f>'Eredeti fejléccel'!CQ61</f>
        <v>0</v>
      </c>
      <c r="FS61" s="103">
        <f t="shared" si="55"/>
        <v>0</v>
      </c>
      <c r="FT61" s="36">
        <f t="shared" si="70"/>
        <v>0</v>
      </c>
      <c r="FU61" s="101">
        <f t="shared" si="30"/>
        <v>0</v>
      </c>
      <c r="FV61" s="101"/>
      <c r="FW61" s="6">
        <f>SUMIF('Eredeti fejléccel'!$B:$B,'Felosztás eredménykim'!$B61,'Eredeti fejléccel'!$CR:$CR)</f>
        <v>0</v>
      </c>
      <c r="FX61" s="6">
        <f>SUMIF('Eredeti fejléccel'!$B:$B,'Felosztás eredménykim'!$B61,'Eredeti fejléccel'!$CS:$CS)</f>
        <v>0</v>
      </c>
      <c r="FY61" s="6">
        <f>SUMIF('Eredeti fejléccel'!$B:$B,'Felosztás eredménykim'!$B61,'Eredeti fejléccel'!$CT:$CT)</f>
        <v>0</v>
      </c>
      <c r="FZ61" s="6">
        <f>SUMIF('Eredeti fejléccel'!$B:$B,'Felosztás eredménykim'!$B61,'Eredeti fejléccel'!$CU:$CU)</f>
        <v>0</v>
      </c>
      <c r="GA61" s="103">
        <f t="shared" si="56"/>
        <v>0</v>
      </c>
      <c r="GB61" s="36">
        <f t="shared" si="71"/>
        <v>0</v>
      </c>
      <c r="GC61" s="101">
        <f t="shared" si="32"/>
        <v>0</v>
      </c>
      <c r="GD61" s="6">
        <f>SUMIF('Eredeti fejléccel'!$B:$B,'Felosztás eredménykim'!$B61,'Eredeti fejléccel'!$CV:$CV)</f>
        <v>0</v>
      </c>
      <c r="GE61" s="6">
        <f>SUMIF('Eredeti fejléccel'!$B:$B,'Felosztás eredménykim'!$B61,'Eredeti fejléccel'!$CW:$CW)</f>
        <v>0</v>
      </c>
      <c r="GF61" s="103">
        <f t="shared" si="57"/>
        <v>0</v>
      </c>
      <c r="GG61" s="36">
        <f t="shared" si="33"/>
        <v>0</v>
      </c>
      <c r="GM61" s="6">
        <f>SUMIF('Eredeti fejléccel'!$B:$B,'Felosztás eredménykim'!$B61,'Eredeti fejléccel'!$CX:$CX)</f>
        <v>0</v>
      </c>
      <c r="GN61" s="6">
        <f>SUMIF('Eredeti fejléccel'!$B:$B,'Felosztás eredménykim'!$B61,'Eredeti fejléccel'!$CY:$CY)</f>
        <v>0</v>
      </c>
      <c r="GO61" s="6">
        <f>SUMIF('Eredeti fejléccel'!$B:$B,'Felosztás eredménykim'!$B61,'Eredeti fejléccel'!$CZ:$CZ)</f>
        <v>0</v>
      </c>
      <c r="GP61" s="6">
        <f>SUMIF('Eredeti fejléccel'!$B:$B,'Felosztás eredménykim'!$B61,'Eredeti fejléccel'!$DA:$DA)</f>
        <v>0</v>
      </c>
      <c r="GQ61" s="6">
        <f>SUMIF('Eredeti fejléccel'!$B:$B,'Felosztás eredménykim'!$B61,'Eredeti fejléccel'!$DB:$DB)</f>
        <v>0</v>
      </c>
      <c r="GR61" s="103">
        <f t="shared" si="58"/>
        <v>0</v>
      </c>
      <c r="GW61" s="36">
        <f t="shared" si="34"/>
        <v>0</v>
      </c>
      <c r="GX61" s="6">
        <f>SUMIF('Eredeti fejléccel'!$B:$B,'Felosztás eredménykim'!$B61,'Eredeti fejléccel'!$M:$M)</f>
        <v>0</v>
      </c>
      <c r="GY61" s="6">
        <f>SUMIF('Eredeti fejléccel'!$B:$B,'Felosztás eredménykim'!$B61,'Eredeti fejléccel'!$DC:$DC)</f>
        <v>0</v>
      </c>
      <c r="GZ61" s="6">
        <f>SUMIF('Eredeti fejléccel'!$B:$B,'Felosztás eredménykim'!$B61,'Eredeti fejléccel'!$DD:$DD)</f>
        <v>0</v>
      </c>
      <c r="HA61" s="6">
        <f>SUMIF('Eredeti fejléccel'!$B:$B,'Felosztás eredménykim'!$B61,'Eredeti fejléccel'!$DE:$DE)</f>
        <v>0</v>
      </c>
      <c r="HB61" s="103">
        <f t="shared" si="59"/>
        <v>0</v>
      </c>
      <c r="HD61" s="9">
        <f t="shared" si="72"/>
        <v>3590432</v>
      </c>
      <c r="HE61" s="9">
        <v>3590432</v>
      </c>
      <c r="HF61" s="476"/>
      <c r="HH61" s="34">
        <f t="shared" si="60"/>
        <v>0</v>
      </c>
    </row>
    <row r="62" spans="1:216" x14ac:dyDescent="0.25">
      <c r="A62" s="4" t="s">
        <v>142</v>
      </c>
      <c r="B62" s="4" t="s">
        <v>142</v>
      </c>
      <c r="C62" s="1" t="s">
        <v>143</v>
      </c>
      <c r="D62" s="6">
        <f>SUMIF('Eredeti fejléccel'!$B:$B,'Felosztás eredménykim'!$B62,'Eredeti fejléccel'!$D:$D)</f>
        <v>0</v>
      </c>
      <c r="E62" s="6">
        <f>SUMIF('Eredeti fejléccel'!$B:$B,'Felosztás eredménykim'!$B62,'Eredeti fejléccel'!$E:$E)</f>
        <v>0</v>
      </c>
      <c r="F62" s="6">
        <f>SUMIF('Eredeti fejléccel'!$B:$B,'Felosztás eredménykim'!$B62,'Eredeti fejléccel'!$F:$F)</f>
        <v>0</v>
      </c>
      <c r="G62" s="6">
        <f>SUMIF('Eredeti fejléccel'!$B:$B,'Felosztás eredménykim'!$B62,'Eredeti fejléccel'!$G:$G)</f>
        <v>0</v>
      </c>
      <c r="H62" s="6"/>
      <c r="I62" s="6">
        <f>SUMIF('Eredeti fejléccel'!$B:$B,'Felosztás eredménykim'!$B62,'Eredeti fejléccel'!$O:$O)</f>
        <v>0</v>
      </c>
      <c r="J62" s="6">
        <f>SUMIF('Eredeti fejléccel'!$B:$B,'Felosztás eredménykim'!$B62,'Eredeti fejléccel'!$P:$P)</f>
        <v>0</v>
      </c>
      <c r="K62" s="6">
        <f>SUMIF('Eredeti fejléccel'!$B:$B,'Felosztás eredménykim'!$B62,'Eredeti fejléccel'!$Q:$Q)</f>
        <v>0</v>
      </c>
      <c r="L62" s="6">
        <f>SUMIF('Eredeti fejléccel'!$B:$B,'Felosztás eredménykim'!$B62,'Eredeti fejléccel'!$R:$R)</f>
        <v>0</v>
      </c>
      <c r="M62" s="6">
        <f>SUMIF('Eredeti fejléccel'!$B:$B,'Felosztás eredménykim'!$B62,'Eredeti fejléccel'!$T:$T)</f>
        <v>0</v>
      </c>
      <c r="N62" s="6">
        <f>SUMIF('Eredeti fejléccel'!$B:$B,'Felosztás eredménykim'!$B62,'Eredeti fejléccel'!$U:$U)</f>
        <v>0</v>
      </c>
      <c r="O62" s="6">
        <f>SUMIF('Eredeti fejléccel'!$B:$B,'Felosztás eredménykim'!$B62,'Eredeti fejléccel'!$V:$V)</f>
        <v>0</v>
      </c>
      <c r="P62" s="6">
        <f>SUMIF('Eredeti fejléccel'!$B:$B,'Felosztás eredménykim'!$B62,'Eredeti fejléccel'!$W:$W)</f>
        <v>0</v>
      </c>
      <c r="Q62" s="6">
        <f>SUMIF('Eredeti fejléccel'!$B:$B,'Felosztás eredménykim'!$B62,'Eredeti fejléccel'!$X:$X)</f>
        <v>0</v>
      </c>
      <c r="R62" s="6">
        <f>SUMIF('Eredeti fejléccel'!$B:$B,'Felosztás eredménykim'!$B62,'Eredeti fejléccel'!$Y:$Y)</f>
        <v>0</v>
      </c>
      <c r="S62" s="6">
        <f>SUMIF('Eredeti fejléccel'!$B:$B,'Felosztás eredménykim'!$B62,'Eredeti fejléccel'!$Z:$Z)</f>
        <v>0</v>
      </c>
      <c r="T62" s="6">
        <f>SUMIF('Eredeti fejléccel'!$B:$B,'Felosztás eredménykim'!$B62,'Eredeti fejléccel'!$AA:$AA)</f>
        <v>0</v>
      </c>
      <c r="U62" s="6">
        <f>SUMIF('Eredeti fejléccel'!$B:$B,'Felosztás eredménykim'!$B62,'Eredeti fejléccel'!$D:$D)</f>
        <v>0</v>
      </c>
      <c r="V62" s="6">
        <f>SUMIF('Eredeti fejléccel'!$B:$B,'Felosztás eredménykim'!$B62,'Eredeti fejléccel'!$AT:$AT)</f>
        <v>0</v>
      </c>
      <c r="X62" s="36">
        <f t="shared" si="0"/>
        <v>0</v>
      </c>
      <c r="Z62" s="6">
        <f>SUMIF('Eredeti fejléccel'!$B:$B,'Felosztás eredménykim'!$B62,'Eredeti fejléccel'!$K:$K)</f>
        <v>0</v>
      </c>
      <c r="AB62" s="6">
        <f>SUMIF('Eredeti fejléccel'!$B:$B,'Felosztás eredménykim'!$B62,'Eredeti fejléccel'!$AB:$AB)</f>
        <v>0</v>
      </c>
      <c r="AC62" s="6">
        <f>SUMIF('Eredeti fejléccel'!$B:$B,'Felosztás eredménykim'!$B62,'Eredeti fejléccel'!$AQ:$AQ)</f>
        <v>0</v>
      </c>
      <c r="AE62" s="73">
        <f t="shared" si="1"/>
        <v>0</v>
      </c>
      <c r="AF62" s="36">
        <f t="shared" si="61"/>
        <v>0</v>
      </c>
      <c r="AG62" s="8">
        <f t="shared" si="3"/>
        <v>0</v>
      </c>
      <c r="AI62" s="6">
        <f>SUMIF('Eredeti fejléccel'!$B:$B,'Felosztás eredménykim'!$B62,'Eredeti fejléccel'!$BB:$BB)</f>
        <v>0</v>
      </c>
      <c r="AJ62" s="6">
        <f>SUMIF('Eredeti fejléccel'!$B:$B,'Felosztás eredménykim'!$B62,'Eredeti fejléccel'!$AF:$AF)</f>
        <v>0</v>
      </c>
      <c r="AK62" s="8">
        <f t="shared" si="4"/>
        <v>0</v>
      </c>
      <c r="AL62" s="36">
        <f t="shared" si="62"/>
        <v>0</v>
      </c>
      <c r="AM62" s="8">
        <f t="shared" si="6"/>
        <v>0</v>
      </c>
      <c r="AN62" s="6">
        <f t="shared" si="36"/>
        <v>0</v>
      </c>
      <c r="AO62" s="6">
        <f>SUMIF('Eredeti fejléccel'!$B:$B,'Felosztás eredménykim'!$B62,'Eredeti fejléccel'!$AC:$AC)</f>
        <v>0</v>
      </c>
      <c r="AP62" s="6">
        <f>SUMIF('Eredeti fejléccel'!$B:$B,'Felosztás eredménykim'!$B62,'Eredeti fejléccel'!$AD:$AD)</f>
        <v>0</v>
      </c>
      <c r="AQ62" s="6">
        <f>SUMIF('Eredeti fejléccel'!$B:$B,'Felosztás eredménykim'!$B62,'Eredeti fejléccel'!$AE:$AE)</f>
        <v>0</v>
      </c>
      <c r="AR62" s="6">
        <f>SUMIF('Eredeti fejléccel'!$B:$B,'Felosztás eredménykim'!$B62,'Eredeti fejléccel'!$AG:$AG)</f>
        <v>0</v>
      </c>
      <c r="AS62" s="6">
        <f t="shared" si="37"/>
        <v>0</v>
      </c>
      <c r="AT62" s="36">
        <f t="shared" si="63"/>
        <v>0</v>
      </c>
      <c r="AU62" s="8">
        <f t="shared" si="8"/>
        <v>0</v>
      </c>
      <c r="AV62" s="6">
        <f>SUMIF('Eredeti fejléccel'!$B:$B,'Felosztás eredménykim'!$B62,'Eredeti fejléccel'!$AI:$AI)</f>
        <v>0</v>
      </c>
      <c r="AW62" s="6">
        <f>SUMIF('Eredeti fejléccel'!$B:$B,'Felosztás eredménykim'!$B62,'Eredeti fejléccel'!$AJ:$AJ)</f>
        <v>0</v>
      </c>
      <c r="AX62" s="6">
        <f>SUMIF('Eredeti fejléccel'!$B:$B,'Felosztás eredménykim'!$B62,'Eredeti fejléccel'!$AK:$AK)</f>
        <v>0</v>
      </c>
      <c r="AY62" s="6">
        <f>SUMIF('Eredeti fejléccel'!$B:$B,'Felosztás eredménykim'!$B62,'Eredeti fejléccel'!$AL:$AL)</f>
        <v>0</v>
      </c>
      <c r="AZ62" s="6">
        <f>SUMIF('Eredeti fejléccel'!$B:$B,'Felosztás eredménykim'!$B62,'Eredeti fejléccel'!$AM:$AM)</f>
        <v>0</v>
      </c>
      <c r="BA62" s="6">
        <f>SUMIF('Eredeti fejléccel'!$B:$B,'Felosztás eredménykim'!$B62,'Eredeti fejléccel'!$AN:$AN)</f>
        <v>0</v>
      </c>
      <c r="BB62" s="6">
        <f>SUMIF('Eredeti fejléccel'!$B:$B,'Felosztás eredménykim'!$B62,'Eredeti fejléccel'!$AP:$AP)</f>
        <v>0</v>
      </c>
      <c r="BD62" s="6">
        <f>SUMIF('Eredeti fejléccel'!$B:$B,'Felosztás eredménykim'!$B62,'Eredeti fejléccel'!$AS:$AS)</f>
        <v>0</v>
      </c>
      <c r="BE62" s="8">
        <f t="shared" si="38"/>
        <v>0</v>
      </c>
      <c r="BF62" s="36">
        <f t="shared" si="64"/>
        <v>0</v>
      </c>
      <c r="BG62" s="8">
        <f t="shared" si="10"/>
        <v>0</v>
      </c>
      <c r="BH62" s="6">
        <f t="shared" si="39"/>
        <v>0</v>
      </c>
      <c r="BI62" s="6">
        <f>SUMIF('Eredeti fejléccel'!$B:$B,'Felosztás eredménykim'!$B62,'Eredeti fejléccel'!$AH:$AH)</f>
        <v>0</v>
      </c>
      <c r="BJ62" s="6">
        <f>SUMIF('Eredeti fejléccel'!$B:$B,'Felosztás eredménykim'!$B62,'Eredeti fejléccel'!$AO:$AO)</f>
        <v>0</v>
      </c>
      <c r="BK62" s="6">
        <f>SUMIF('Eredeti fejléccel'!$B:$B,'Felosztás eredménykim'!$B62,'Eredeti fejléccel'!$BF:$BF)</f>
        <v>0</v>
      </c>
      <c r="BL62" s="8">
        <f t="shared" si="40"/>
        <v>0</v>
      </c>
      <c r="BM62" s="36">
        <f t="shared" si="65"/>
        <v>0</v>
      </c>
      <c r="BN62" s="8">
        <f t="shared" si="12"/>
        <v>0</v>
      </c>
      <c r="BP62" s="8">
        <f t="shared" si="41"/>
        <v>0</v>
      </c>
      <c r="BQ62" s="6">
        <f>SUMIF('Eredeti fejléccel'!$B:$B,'Felosztás eredménykim'!$B62,'Eredeti fejléccel'!$N:$N)</f>
        <v>0</v>
      </c>
      <c r="BR62" s="6">
        <f>SUMIF('Eredeti fejléccel'!$B:$B,'Felosztás eredménykim'!$B62,'Eredeti fejléccel'!$S:$S)</f>
        <v>0</v>
      </c>
      <c r="BT62" s="6">
        <f>SUMIF('Eredeti fejléccel'!$B:$B,'Felosztás eredménykim'!$B62,'Eredeti fejléccel'!$AR:$AR)</f>
        <v>0</v>
      </c>
      <c r="BU62" s="6">
        <f>SUMIF('Eredeti fejléccel'!$B:$B,'Felosztás eredménykim'!$B62,'Eredeti fejléccel'!$AU:$AU)</f>
        <v>0</v>
      </c>
      <c r="BV62" s="6">
        <f>SUMIF('Eredeti fejléccel'!$B:$B,'Felosztás eredménykim'!$B62,'Eredeti fejléccel'!$AV:$AV)</f>
        <v>0</v>
      </c>
      <c r="BW62" s="6">
        <f>SUMIF('Eredeti fejléccel'!$B:$B,'Felosztás eredménykim'!$B62,'Eredeti fejléccel'!$AW:$AW)</f>
        <v>0</v>
      </c>
      <c r="BX62" s="6">
        <f>SUMIF('Eredeti fejléccel'!$B:$B,'Felosztás eredménykim'!$B62,'Eredeti fejléccel'!$AX:$AX)</f>
        <v>0</v>
      </c>
      <c r="BY62" s="6">
        <f>SUMIF('Eredeti fejléccel'!$B:$B,'Felosztás eredménykim'!$B62,'Eredeti fejléccel'!$AY:$AY)</f>
        <v>0</v>
      </c>
      <c r="BZ62" s="6">
        <f>SUMIF('Eredeti fejléccel'!$B:$B,'Felosztás eredménykim'!$B62,'Eredeti fejléccel'!$AZ:$AZ)</f>
        <v>0</v>
      </c>
      <c r="CA62" s="6">
        <f>SUMIF('Eredeti fejléccel'!$B:$B,'Felosztás eredménykim'!$B62,'Eredeti fejléccel'!$BA:$BA)</f>
        <v>0</v>
      </c>
      <c r="CB62" s="6">
        <f t="shared" si="13"/>
        <v>0</v>
      </c>
      <c r="CC62" s="36">
        <f t="shared" si="66"/>
        <v>0</v>
      </c>
      <c r="CD62" s="8">
        <f t="shared" si="15"/>
        <v>0</v>
      </c>
      <c r="CE62" s="6">
        <f>SUMIF('Eredeti fejléccel'!$B:$B,'Felosztás eredménykim'!$B62,'Eredeti fejléccel'!$BC:$BC)</f>
        <v>0</v>
      </c>
      <c r="CF62" s="8">
        <f t="shared" si="42"/>
        <v>0</v>
      </c>
      <c r="CG62" s="6">
        <f>SUMIF('Eredeti fejléccel'!$B:$B,'Felosztás eredménykim'!$B62,'Eredeti fejléccel'!$H:$H)</f>
        <v>0</v>
      </c>
      <c r="CH62" s="6">
        <f>SUMIF('Eredeti fejléccel'!$B:$B,'Felosztás eredménykim'!$B62,'Eredeti fejléccel'!$BE:$BE)</f>
        <v>0</v>
      </c>
      <c r="CI62" s="6">
        <f t="shared" si="43"/>
        <v>0</v>
      </c>
      <c r="CJ62" s="36">
        <f t="shared" si="67"/>
        <v>0</v>
      </c>
      <c r="CK62" s="8">
        <f t="shared" si="17"/>
        <v>0</v>
      </c>
      <c r="CL62" s="8">
        <f t="shared" si="44"/>
        <v>0</v>
      </c>
      <c r="CM62" s="6">
        <f>SUMIF('Eredeti fejléccel'!$B:$B,'Felosztás eredménykim'!$B62,'Eredeti fejléccel'!$BD:$BD)</f>
        <v>0</v>
      </c>
      <c r="CN62" s="8">
        <f t="shared" si="45"/>
        <v>0</v>
      </c>
      <c r="CO62" s="8">
        <f t="shared" si="18"/>
        <v>0</v>
      </c>
      <c r="CR62" s="36">
        <f t="shared" si="19"/>
        <v>0</v>
      </c>
      <c r="CS62" s="6">
        <f>SUMIF('Eredeti fejléccel'!$B:$B,'Felosztás eredménykim'!$B62,'Eredeti fejléccel'!$I:$I)</f>
        <v>0</v>
      </c>
      <c r="CT62" s="6">
        <f>SUMIF('Eredeti fejléccel'!$B:$B,'Felosztás eredménykim'!$B62,'Eredeti fejléccel'!$BG:$BG)</f>
        <v>0</v>
      </c>
      <c r="CU62" s="6">
        <f>SUMIF('Eredeti fejléccel'!$B:$B,'Felosztás eredménykim'!$B62,'Eredeti fejléccel'!$BH:$BH)</f>
        <v>0</v>
      </c>
      <c r="CV62" s="6">
        <f>SUMIF('Eredeti fejléccel'!$B:$B,'Felosztás eredménykim'!$B62,'Eredeti fejléccel'!$BI:$BI)</f>
        <v>0</v>
      </c>
      <c r="CW62" s="6">
        <f>SUMIF('Eredeti fejléccel'!$B:$B,'Felosztás eredménykim'!$B62,'Eredeti fejléccel'!$BL:$BL)</f>
        <v>0</v>
      </c>
      <c r="CX62" s="6">
        <f t="shared" si="46"/>
        <v>0</v>
      </c>
      <c r="CY62" s="6">
        <f>SUMIF('Eredeti fejléccel'!$B:$B,'Felosztás eredménykim'!$B62,'Eredeti fejléccel'!$BJ:$BJ)</f>
        <v>0</v>
      </c>
      <c r="CZ62" s="6">
        <f>SUMIF('Eredeti fejléccel'!$B:$B,'Felosztás eredménykim'!$B62,'Eredeti fejléccel'!$BK:$BK)</f>
        <v>0</v>
      </c>
      <c r="DA62" s="99">
        <f t="shared" si="47"/>
        <v>0</v>
      </c>
      <c r="DC62" s="36">
        <f t="shared" si="20"/>
        <v>0</v>
      </c>
      <c r="DD62" s="6">
        <f>SUMIF('Eredeti fejléccel'!$B:$B,'Felosztás eredménykim'!$B62,'Eredeti fejléccel'!$J:$J)</f>
        <v>0</v>
      </c>
      <c r="DE62" s="6">
        <f>SUMIF('Eredeti fejléccel'!$B:$B,'Felosztás eredménykim'!$B62,'Eredeti fejléccel'!$BM:$BM)</f>
        <v>0</v>
      </c>
      <c r="DF62" s="6">
        <f t="shared" si="48"/>
        <v>0</v>
      </c>
      <c r="DG62" s="8">
        <f t="shared" si="21"/>
        <v>0</v>
      </c>
      <c r="DH62" s="8">
        <f t="shared" si="49"/>
        <v>0</v>
      </c>
      <c r="DJ62" s="6">
        <f>SUMIF('Eredeti fejléccel'!$B:$B,'Felosztás eredménykim'!$B62,'Eredeti fejléccel'!$BN:$BN)</f>
        <v>0</v>
      </c>
      <c r="DK62" s="6">
        <f>SUMIF('Eredeti fejléccel'!$B:$B,'Felosztás eredménykim'!$B62,'Eredeti fejléccel'!$BZ:$BZ)</f>
        <v>0</v>
      </c>
      <c r="DL62" s="8">
        <f t="shared" si="50"/>
        <v>0</v>
      </c>
      <c r="DM62" s="6">
        <f>SUMIF('Eredeti fejléccel'!$B:$B,'Felosztás eredménykim'!$B62,'Eredeti fejléccel'!$BR:$BR)</f>
        <v>0</v>
      </c>
      <c r="DN62" s="6">
        <f>SUMIF('Eredeti fejléccel'!$B:$B,'Felosztás eredménykim'!$B62,'Eredeti fejléccel'!$BS:$BS)</f>
        <v>0</v>
      </c>
      <c r="DO62" s="6">
        <f>SUMIF('Eredeti fejléccel'!$B:$B,'Felosztás eredménykim'!$B62,'Eredeti fejléccel'!$BO:$BO)</f>
        <v>0</v>
      </c>
      <c r="DP62" s="6">
        <f>SUMIF('Eredeti fejléccel'!$B:$B,'Felosztás eredménykim'!$B62,'Eredeti fejléccel'!$BP:$BP)</f>
        <v>0</v>
      </c>
      <c r="DQ62" s="6">
        <f>SUMIF('Eredeti fejléccel'!$B:$B,'Felosztás eredménykim'!$B62,'Eredeti fejléccel'!$BQ:$BQ)</f>
        <v>0</v>
      </c>
      <c r="DS62" s="8"/>
      <c r="DU62" s="6">
        <f>SUMIF('Eredeti fejléccel'!$B:$B,'Felosztás eredménykim'!$B62,'Eredeti fejléccel'!$BT:$BT)</f>
        <v>0</v>
      </c>
      <c r="DV62" s="6">
        <f>SUMIF('Eredeti fejléccel'!$B:$B,'Felosztás eredménykim'!$B62,'Eredeti fejléccel'!$BU:$BU)</f>
        <v>0</v>
      </c>
      <c r="DW62" s="6">
        <f>SUMIF('Eredeti fejléccel'!$B:$B,'Felosztás eredménykim'!$B62,'Eredeti fejléccel'!$BV:$BV)</f>
        <v>0</v>
      </c>
      <c r="DX62" s="6">
        <f>SUMIF('Eredeti fejléccel'!$B:$B,'Felosztás eredménykim'!$B62,'Eredeti fejléccel'!$BW:$BW)</f>
        <v>0</v>
      </c>
      <c r="DY62" s="6">
        <f>SUMIF('Eredeti fejléccel'!$B:$B,'Felosztás eredménykim'!$B62,'Eredeti fejléccel'!$BX:$BX)</f>
        <v>0</v>
      </c>
      <c r="EA62" s="6"/>
      <c r="EC62" s="6"/>
      <c r="EE62" s="6">
        <f>SUMIF('Eredeti fejléccel'!$B:$B,'Felosztás eredménykim'!$B62,'Eredeti fejléccel'!$CA:$CA)</f>
        <v>0</v>
      </c>
      <c r="EF62" s="6">
        <f>SUMIF('Eredeti fejléccel'!$B:$B,'Felosztás eredménykim'!$B62,'Eredeti fejléccel'!$CB:$CB)</f>
        <v>0</v>
      </c>
      <c r="EG62" s="6">
        <f>SUMIF('Eredeti fejléccel'!$B:$B,'Felosztás eredménykim'!$B62,'Eredeti fejléccel'!$CC:$CC)</f>
        <v>0</v>
      </c>
      <c r="EH62" s="6">
        <f>SUMIF('Eredeti fejléccel'!$B:$B,'Felosztás eredménykim'!$B62,'Eredeti fejléccel'!$CD:$CD)</f>
        <v>0</v>
      </c>
      <c r="EK62" s="6">
        <f>SUMIF('Eredeti fejléccel'!$B:$B,'Felosztás eredménykim'!$B62,'Eredeti fejléccel'!$CE:$CE)</f>
        <v>0</v>
      </c>
      <c r="EN62" s="6">
        <f>SUMIF('Eredeti fejléccel'!$B:$B,'Felosztás eredménykim'!$B62,'Eredeti fejléccel'!$CF:$CF)</f>
        <v>0</v>
      </c>
      <c r="EP62" s="6">
        <f>SUMIF('Eredeti fejléccel'!$B:$B,'Felosztás eredménykim'!$B62,'Eredeti fejléccel'!$CG:$CG)</f>
        <v>0</v>
      </c>
      <c r="ES62" s="6">
        <f>SUMIF('Eredeti fejléccel'!$B:$B,'Felosztás eredménykim'!$B62,'Eredeti fejléccel'!$CH:$CH)</f>
        <v>0</v>
      </c>
      <c r="ET62" s="6">
        <f>SUMIF('Eredeti fejléccel'!$B:$B,'Felosztás eredménykim'!$B62,'Eredeti fejléccel'!$CI:$CI)</f>
        <v>0</v>
      </c>
      <c r="EW62" s="8">
        <f t="shared" si="22"/>
        <v>0</v>
      </c>
      <c r="EX62" s="8">
        <f t="shared" si="51"/>
        <v>0</v>
      </c>
      <c r="EY62" s="8">
        <f t="shared" si="52"/>
        <v>0</v>
      </c>
      <c r="EZ62" s="8">
        <f t="shared" si="23"/>
        <v>0</v>
      </c>
      <c r="FA62" s="8">
        <f t="shared" si="24"/>
        <v>0</v>
      </c>
      <c r="FC62" s="6">
        <f>SUMIF('Eredeti fejléccel'!$B:$B,'Felosztás eredménykim'!$B62,'Eredeti fejléccel'!$L:$L)</f>
        <v>0</v>
      </c>
      <c r="FD62" s="6">
        <f>SUMIF('Eredeti fejléccel'!$B:$B,'Felosztás eredménykim'!$B62,'Eredeti fejléccel'!$CJ:$CJ)</f>
        <v>0</v>
      </c>
      <c r="FE62" s="6">
        <f>SUMIF('Eredeti fejléccel'!$B:$B,'Felosztás eredménykim'!$B62,'Eredeti fejléccel'!$CL:$CL)</f>
        <v>0</v>
      </c>
      <c r="FG62" s="99">
        <f t="shared" si="53"/>
        <v>0</v>
      </c>
      <c r="FH62" s="6">
        <f>SUMIF('Eredeti fejléccel'!$B:$B,'Felosztás eredménykim'!$B62,'Eredeti fejléccel'!$CK:$CK)</f>
        <v>0</v>
      </c>
      <c r="FI62" s="36">
        <f t="shared" si="68"/>
        <v>0</v>
      </c>
      <c r="FJ62" s="101">
        <f t="shared" si="26"/>
        <v>0</v>
      </c>
      <c r="FK62" s="6">
        <f>SUMIF('Eredeti fejléccel'!$B:$B,'Felosztás eredménykim'!$B62,'Eredeti fejléccel'!$CM:$CM)</f>
        <v>0</v>
      </c>
      <c r="FL62" s="6">
        <f>SUMIF('Eredeti fejléccel'!$B:$B,'Felosztás eredménykim'!$B62,'Eredeti fejléccel'!$CN:$CN)</f>
        <v>0</v>
      </c>
      <c r="FM62" s="8">
        <f t="shared" si="54"/>
        <v>0</v>
      </c>
      <c r="FN62" s="36">
        <f t="shared" si="69"/>
        <v>0</v>
      </c>
      <c r="FO62" s="101">
        <f t="shared" si="28"/>
        <v>0</v>
      </c>
      <c r="FP62" s="6">
        <f>SUMIF('Eredeti fejléccel'!$B:$B,'Felosztás eredménykim'!$B62,'Eredeti fejléccel'!$CO:$CO)</f>
        <v>0</v>
      </c>
      <c r="FQ62" s="6">
        <f>'Eredeti fejléccel'!CP62</f>
        <v>0</v>
      </c>
      <c r="FR62" s="6">
        <f>'Eredeti fejléccel'!CQ62</f>
        <v>0</v>
      </c>
      <c r="FS62" s="103">
        <f t="shared" si="55"/>
        <v>0</v>
      </c>
      <c r="FT62" s="36">
        <f t="shared" si="70"/>
        <v>0</v>
      </c>
      <c r="FU62" s="101">
        <f t="shared" si="30"/>
        <v>0</v>
      </c>
      <c r="FV62" s="101"/>
      <c r="FW62" s="6">
        <f>SUMIF('Eredeti fejléccel'!$B:$B,'Felosztás eredménykim'!$B62,'Eredeti fejléccel'!$CR:$CR)</f>
        <v>0</v>
      </c>
      <c r="FX62" s="6">
        <f>SUMIF('Eredeti fejléccel'!$B:$B,'Felosztás eredménykim'!$B62,'Eredeti fejléccel'!$CS:$CS)</f>
        <v>0</v>
      </c>
      <c r="FY62" s="6">
        <f>SUMIF('Eredeti fejléccel'!$B:$B,'Felosztás eredménykim'!$B62,'Eredeti fejléccel'!$CT:$CT)</f>
        <v>0</v>
      </c>
      <c r="FZ62" s="6">
        <f>SUMIF('Eredeti fejléccel'!$B:$B,'Felosztás eredménykim'!$B62,'Eredeti fejléccel'!$CU:$CU)</f>
        <v>0</v>
      </c>
      <c r="GA62" s="103">
        <f t="shared" si="56"/>
        <v>0</v>
      </c>
      <c r="GB62" s="36">
        <f t="shared" si="71"/>
        <v>0</v>
      </c>
      <c r="GC62" s="101">
        <f t="shared" si="32"/>
        <v>0</v>
      </c>
      <c r="GD62" s="6">
        <f>SUMIF('Eredeti fejléccel'!$B:$B,'Felosztás eredménykim'!$B62,'Eredeti fejléccel'!$CV:$CV)</f>
        <v>0</v>
      </c>
      <c r="GE62" s="6">
        <f>SUMIF('Eredeti fejléccel'!$B:$B,'Felosztás eredménykim'!$B62,'Eredeti fejléccel'!$CW:$CW)</f>
        <v>0</v>
      </c>
      <c r="GF62" s="103">
        <f t="shared" si="57"/>
        <v>0</v>
      </c>
      <c r="GG62" s="36">
        <f t="shared" si="33"/>
        <v>0</v>
      </c>
      <c r="GM62" s="6">
        <f>SUMIF('Eredeti fejléccel'!$B:$B,'Felosztás eredménykim'!$B62,'Eredeti fejléccel'!$CX:$CX)</f>
        <v>0</v>
      </c>
      <c r="GN62" s="6">
        <f>SUMIF('Eredeti fejléccel'!$B:$B,'Felosztás eredménykim'!$B62,'Eredeti fejléccel'!$CY:$CY)</f>
        <v>0</v>
      </c>
      <c r="GO62" s="6">
        <f>SUMIF('Eredeti fejléccel'!$B:$B,'Felosztás eredménykim'!$B62,'Eredeti fejléccel'!$CZ:$CZ)</f>
        <v>0</v>
      </c>
      <c r="GP62" s="6">
        <f>SUMIF('Eredeti fejléccel'!$B:$B,'Felosztás eredménykim'!$B62,'Eredeti fejléccel'!$DA:$DA)</f>
        <v>0</v>
      </c>
      <c r="GQ62" s="6">
        <f>SUMIF('Eredeti fejléccel'!$B:$B,'Felosztás eredménykim'!$B62,'Eredeti fejléccel'!$DB:$DB)</f>
        <v>0</v>
      </c>
      <c r="GR62" s="103">
        <f t="shared" si="58"/>
        <v>0</v>
      </c>
      <c r="GW62" s="36">
        <f t="shared" si="34"/>
        <v>0</v>
      </c>
      <c r="GX62" s="6">
        <f>SUMIF('Eredeti fejléccel'!$B:$B,'Felosztás eredménykim'!$B62,'Eredeti fejléccel'!$M:$M)</f>
        <v>0</v>
      </c>
      <c r="GY62" s="6">
        <f>SUMIF('Eredeti fejléccel'!$B:$B,'Felosztás eredménykim'!$B62,'Eredeti fejléccel'!$DC:$DC)</f>
        <v>0</v>
      </c>
      <c r="GZ62" s="6">
        <f>SUMIF('Eredeti fejléccel'!$B:$B,'Felosztás eredménykim'!$B62,'Eredeti fejléccel'!$DD:$DD)</f>
        <v>0</v>
      </c>
      <c r="HA62" s="6">
        <f>SUMIF('Eredeti fejléccel'!$B:$B,'Felosztás eredménykim'!$B62,'Eredeti fejléccel'!$DE:$DE)</f>
        <v>0</v>
      </c>
      <c r="HB62" s="103">
        <f t="shared" si="59"/>
        <v>0</v>
      </c>
      <c r="HD62" s="9">
        <f t="shared" si="72"/>
        <v>0</v>
      </c>
      <c r="HE62" s="9"/>
      <c r="HF62" s="476"/>
      <c r="HH62" s="34">
        <f t="shared" si="60"/>
        <v>0</v>
      </c>
    </row>
    <row r="63" spans="1:216" x14ac:dyDescent="0.25">
      <c r="A63" s="4" t="s">
        <v>144</v>
      </c>
      <c r="B63" s="4" t="s">
        <v>144</v>
      </c>
      <c r="C63" s="1" t="s">
        <v>145</v>
      </c>
      <c r="D63" s="6">
        <f>SUMIF('Eredeti fejléccel'!$B:$B,'Felosztás eredménykim'!$B63,'Eredeti fejléccel'!$D:$D)</f>
        <v>0</v>
      </c>
      <c r="E63" s="6">
        <f>SUMIF('Eredeti fejléccel'!$B:$B,'Felosztás eredménykim'!$B63,'Eredeti fejléccel'!$E:$E)</f>
        <v>6512222</v>
      </c>
      <c r="F63" s="6">
        <f>SUMIF('Eredeti fejléccel'!$B:$B,'Felosztás eredménykim'!$B63,'Eredeti fejléccel'!$F:$F)</f>
        <v>0</v>
      </c>
      <c r="G63" s="6">
        <f>SUMIF('Eredeti fejléccel'!$B:$B,'Felosztás eredménykim'!$B63,'Eredeti fejléccel'!$G:$G)</f>
        <v>0</v>
      </c>
      <c r="H63" s="6"/>
      <c r="I63" s="6">
        <f>SUMIF('Eredeti fejléccel'!$B:$B,'Felosztás eredménykim'!$B63,'Eredeti fejléccel'!$O:$O)</f>
        <v>0</v>
      </c>
      <c r="J63" s="6">
        <f>SUMIF('Eredeti fejléccel'!$B:$B,'Felosztás eredménykim'!$B63,'Eredeti fejléccel'!$P:$P)</f>
        <v>0</v>
      </c>
      <c r="K63" s="6">
        <f>SUMIF('Eredeti fejléccel'!$B:$B,'Felosztás eredménykim'!$B63,'Eredeti fejléccel'!$Q:$Q)</f>
        <v>0</v>
      </c>
      <c r="L63" s="6">
        <f>SUMIF('Eredeti fejléccel'!$B:$B,'Felosztás eredménykim'!$B63,'Eredeti fejléccel'!$R:$R)</f>
        <v>0</v>
      </c>
      <c r="M63" s="6">
        <f>SUMIF('Eredeti fejléccel'!$B:$B,'Felosztás eredménykim'!$B63,'Eredeti fejléccel'!$T:$T)</f>
        <v>0</v>
      </c>
      <c r="N63" s="6">
        <f>SUMIF('Eredeti fejléccel'!$B:$B,'Felosztás eredménykim'!$B63,'Eredeti fejléccel'!$U:$U)</f>
        <v>0</v>
      </c>
      <c r="O63" s="6">
        <f>SUMIF('Eredeti fejléccel'!$B:$B,'Felosztás eredménykim'!$B63,'Eredeti fejléccel'!$V:$V)</f>
        <v>0</v>
      </c>
      <c r="P63" s="6">
        <f>SUMIF('Eredeti fejléccel'!$B:$B,'Felosztás eredménykim'!$B63,'Eredeti fejléccel'!$W:$W)</f>
        <v>7160.3099999999995</v>
      </c>
      <c r="Q63" s="6">
        <f>SUMIF('Eredeti fejléccel'!$B:$B,'Felosztás eredménykim'!$B63,'Eredeti fejléccel'!$X:$X)</f>
        <v>0</v>
      </c>
      <c r="R63" s="6">
        <f>SUMIF('Eredeti fejléccel'!$B:$B,'Felosztás eredménykim'!$B63,'Eredeti fejléccel'!$Y:$Y)</f>
        <v>0</v>
      </c>
      <c r="S63" s="6">
        <f>SUMIF('Eredeti fejléccel'!$B:$B,'Felosztás eredménykim'!$B63,'Eredeti fejléccel'!$Z:$Z)</f>
        <v>0</v>
      </c>
      <c r="T63" s="6">
        <f>SUMIF('Eredeti fejléccel'!$B:$B,'Felosztás eredménykim'!$B63,'Eredeti fejléccel'!$AA:$AA)</f>
        <v>0</v>
      </c>
      <c r="U63" s="6">
        <f>SUMIF('Eredeti fejléccel'!$B:$B,'Felosztás eredménykim'!$B63,'Eredeti fejléccel'!$D:$D)</f>
        <v>0</v>
      </c>
      <c r="V63" s="6">
        <f>SUMIF('Eredeti fejléccel'!$B:$B,'Felosztás eredménykim'!$B63,'Eredeti fejléccel'!$AT:$AT)</f>
        <v>0</v>
      </c>
      <c r="X63" s="36">
        <f t="shared" si="0"/>
        <v>6519382.3099999996</v>
      </c>
      <c r="Z63" s="6">
        <f>SUMIF('Eredeti fejléccel'!$B:$B,'Felosztás eredménykim'!$B63,'Eredeti fejléccel'!$K:$K)</f>
        <v>0</v>
      </c>
      <c r="AB63" s="6">
        <f>SUMIF('Eredeti fejléccel'!$B:$B,'Felosztás eredménykim'!$B63,'Eredeti fejléccel'!$AB:$AB)</f>
        <v>0</v>
      </c>
      <c r="AC63" s="6">
        <f>SUMIF('Eredeti fejléccel'!$B:$B,'Felosztás eredménykim'!$B63,'Eredeti fejléccel'!$AQ:$AQ)</f>
        <v>0</v>
      </c>
      <c r="AE63" s="73">
        <f t="shared" si="1"/>
        <v>0</v>
      </c>
      <c r="AF63" s="36">
        <f t="shared" si="61"/>
        <v>777727.37569528725</v>
      </c>
      <c r="AG63" s="8">
        <f t="shared" si="3"/>
        <v>0</v>
      </c>
      <c r="AI63" s="6">
        <f>SUMIF('Eredeti fejléccel'!$B:$B,'Felosztás eredménykim'!$B63,'Eredeti fejléccel'!$BB:$BB)</f>
        <v>0</v>
      </c>
      <c r="AJ63" s="6">
        <f>SUMIF('Eredeti fejléccel'!$B:$B,'Felosztás eredménykim'!$B63,'Eredeti fejléccel'!$AF:$AF)</f>
        <v>0</v>
      </c>
      <c r="AK63" s="8">
        <f t="shared" si="4"/>
        <v>0</v>
      </c>
      <c r="AL63" s="36">
        <f t="shared" si="62"/>
        <v>308909.386811929</v>
      </c>
      <c r="AM63" s="8">
        <f t="shared" si="6"/>
        <v>0</v>
      </c>
      <c r="AN63" s="6">
        <f t="shared" si="36"/>
        <v>0</v>
      </c>
      <c r="AO63" s="6">
        <f>SUMIF('Eredeti fejléccel'!$B:$B,'Felosztás eredménykim'!$B63,'Eredeti fejléccel'!$AC:$AC)</f>
        <v>0</v>
      </c>
      <c r="AP63" s="6">
        <f>SUMIF('Eredeti fejléccel'!$B:$B,'Felosztás eredménykim'!$B63,'Eredeti fejléccel'!$AD:$AD)</f>
        <v>0</v>
      </c>
      <c r="AQ63" s="6">
        <f>SUMIF('Eredeti fejléccel'!$B:$B,'Felosztás eredménykim'!$B63,'Eredeti fejléccel'!$AE:$AE)</f>
        <v>0</v>
      </c>
      <c r="AR63" s="6">
        <f>SUMIF('Eredeti fejléccel'!$B:$B,'Felosztás eredménykim'!$B63,'Eredeti fejléccel'!$AG:$AG)</f>
        <v>0</v>
      </c>
      <c r="AS63" s="6">
        <f t="shared" si="37"/>
        <v>0</v>
      </c>
      <c r="AT63" s="36">
        <f t="shared" si="63"/>
        <v>501759.59722276602</v>
      </c>
      <c r="AU63" s="8">
        <f t="shared" si="8"/>
        <v>0</v>
      </c>
      <c r="AV63" s="6">
        <f>SUMIF('Eredeti fejléccel'!$B:$B,'Felosztás eredménykim'!$B63,'Eredeti fejléccel'!$AI:$AI)</f>
        <v>0</v>
      </c>
      <c r="AW63" s="6">
        <f>SUMIF('Eredeti fejléccel'!$B:$B,'Felosztás eredménykim'!$B63,'Eredeti fejléccel'!$AJ:$AJ)</f>
        <v>0</v>
      </c>
      <c r="AX63" s="6">
        <f>SUMIF('Eredeti fejléccel'!$B:$B,'Felosztás eredménykim'!$B63,'Eredeti fejléccel'!$AK:$AK)</f>
        <v>0</v>
      </c>
      <c r="AY63" s="6">
        <f>SUMIF('Eredeti fejléccel'!$B:$B,'Felosztás eredménykim'!$B63,'Eredeti fejléccel'!$AL:$AL)</f>
        <v>0</v>
      </c>
      <c r="AZ63" s="6">
        <f>SUMIF('Eredeti fejléccel'!$B:$B,'Felosztás eredménykim'!$B63,'Eredeti fejléccel'!$AM:$AM)</f>
        <v>5608634</v>
      </c>
      <c r="BA63" s="6">
        <f>SUMIF('Eredeti fejléccel'!$B:$B,'Felosztás eredménykim'!$B63,'Eredeti fejléccel'!$AN:$AN)</f>
        <v>0</v>
      </c>
      <c r="BB63" s="6">
        <f>SUMIF('Eredeti fejléccel'!$B:$B,'Felosztás eredménykim'!$B63,'Eredeti fejléccel'!$AP:$AP)</f>
        <v>0</v>
      </c>
      <c r="BD63" s="6">
        <f>SUMIF('Eredeti fejléccel'!$B:$B,'Felosztás eredménykim'!$B63,'Eredeti fejléccel'!$AS:$AS)</f>
        <v>0</v>
      </c>
      <c r="BE63" s="8">
        <f t="shared" si="38"/>
        <v>5608634</v>
      </c>
      <c r="BF63" s="36">
        <f t="shared" si="64"/>
        <v>130893.80797115635</v>
      </c>
      <c r="BG63" s="8">
        <f t="shared" si="10"/>
        <v>0</v>
      </c>
      <c r="BH63" s="6">
        <f t="shared" si="39"/>
        <v>0</v>
      </c>
      <c r="BI63" s="6">
        <f>SUMIF('Eredeti fejléccel'!$B:$B,'Felosztás eredménykim'!$B63,'Eredeti fejléccel'!$AH:$AH)</f>
        <v>0</v>
      </c>
      <c r="BJ63" s="6">
        <f>SUMIF('Eredeti fejléccel'!$B:$B,'Felosztás eredménykim'!$B63,'Eredeti fejléccel'!$AO:$AO)</f>
        <v>0</v>
      </c>
      <c r="BK63" s="6">
        <f>SUMIF('Eredeti fejléccel'!$B:$B,'Felosztás eredménykim'!$B63,'Eredeti fejléccel'!$BF:$BF)</f>
        <v>0</v>
      </c>
      <c r="BL63" s="8">
        <f t="shared" si="40"/>
        <v>0</v>
      </c>
      <c r="BM63" s="36">
        <f t="shared" si="65"/>
        <v>490415.46719859919</v>
      </c>
      <c r="BN63" s="8">
        <f t="shared" si="12"/>
        <v>0</v>
      </c>
      <c r="BP63" s="8">
        <f t="shared" si="41"/>
        <v>0</v>
      </c>
      <c r="BQ63" s="6">
        <f>SUMIF('Eredeti fejléccel'!$B:$B,'Felosztás eredménykim'!$B63,'Eredeti fejléccel'!$N:$N)</f>
        <v>0</v>
      </c>
      <c r="BR63" s="6">
        <f>SUMIF('Eredeti fejléccel'!$B:$B,'Felosztás eredménykim'!$B63,'Eredeti fejléccel'!$S:$S)</f>
        <v>0</v>
      </c>
      <c r="BT63" s="6">
        <f>SUMIF('Eredeti fejléccel'!$B:$B,'Felosztás eredménykim'!$B63,'Eredeti fejléccel'!$AR:$AR)</f>
        <v>0</v>
      </c>
      <c r="BU63" s="6">
        <f>SUMIF('Eredeti fejléccel'!$B:$B,'Felosztás eredménykim'!$B63,'Eredeti fejléccel'!$AU:$AU)</f>
        <v>0</v>
      </c>
      <c r="BV63" s="6">
        <f>SUMIF('Eredeti fejléccel'!$B:$B,'Felosztás eredménykim'!$B63,'Eredeti fejléccel'!$AV:$AV)</f>
        <v>0</v>
      </c>
      <c r="BW63" s="6">
        <f>SUMIF('Eredeti fejléccel'!$B:$B,'Felosztás eredménykim'!$B63,'Eredeti fejléccel'!$AW:$AW)</f>
        <v>0</v>
      </c>
      <c r="BX63" s="6">
        <f>SUMIF('Eredeti fejléccel'!$B:$B,'Felosztás eredménykim'!$B63,'Eredeti fejléccel'!$AX:$AX)</f>
        <v>0</v>
      </c>
      <c r="BY63" s="6">
        <f>SUMIF('Eredeti fejléccel'!$B:$B,'Felosztás eredménykim'!$B63,'Eredeti fejléccel'!$AY:$AY)</f>
        <v>0</v>
      </c>
      <c r="BZ63" s="6">
        <f>SUMIF('Eredeti fejléccel'!$B:$B,'Felosztás eredménykim'!$B63,'Eredeti fejléccel'!$AZ:$AZ)</f>
        <v>0</v>
      </c>
      <c r="CA63" s="6">
        <f>SUMIF('Eredeti fejléccel'!$B:$B,'Felosztás eredménykim'!$B63,'Eredeti fejléccel'!$BA:$BA)</f>
        <v>0</v>
      </c>
      <c r="CB63" s="6">
        <f t="shared" si="13"/>
        <v>0</v>
      </c>
      <c r="CC63" s="36">
        <f t="shared" si="66"/>
        <v>133511.68413057947</v>
      </c>
      <c r="CD63" s="8">
        <f t="shared" si="15"/>
        <v>0</v>
      </c>
      <c r="CE63" s="6">
        <f>SUMIF('Eredeti fejléccel'!$B:$B,'Felosztás eredménykim'!$B63,'Eredeti fejléccel'!$BC:$BC)</f>
        <v>0</v>
      </c>
      <c r="CF63" s="8">
        <f t="shared" si="42"/>
        <v>0</v>
      </c>
      <c r="CG63" s="6">
        <f>SUMIF('Eredeti fejléccel'!$B:$B,'Felosztás eredménykim'!$B63,'Eredeti fejléccel'!$H:$H)</f>
        <v>0</v>
      </c>
      <c r="CH63" s="6">
        <f>SUMIF('Eredeti fejléccel'!$B:$B,'Felosztás eredménykim'!$B63,'Eredeti fejléccel'!$BE:$BE)</f>
        <v>1312927.8400000001</v>
      </c>
      <c r="CI63" s="6">
        <f t="shared" si="43"/>
        <v>1312927.8400000001</v>
      </c>
      <c r="CJ63" s="36">
        <f t="shared" si="67"/>
        <v>95988.792512181346</v>
      </c>
      <c r="CK63" s="8">
        <f t="shared" si="17"/>
        <v>0</v>
      </c>
      <c r="CL63" s="8">
        <f t="shared" si="44"/>
        <v>0</v>
      </c>
      <c r="CM63" s="6">
        <f>SUMIF('Eredeti fejléccel'!$B:$B,'Felosztás eredménykim'!$B63,'Eredeti fejléccel'!$BD:$BD)</f>
        <v>202355.85</v>
      </c>
      <c r="CN63" s="8">
        <f t="shared" si="45"/>
        <v>202355.85</v>
      </c>
      <c r="CO63" s="8">
        <f t="shared" si="18"/>
        <v>9563123.8015425</v>
      </c>
      <c r="CR63" s="36">
        <f t="shared" si="19"/>
        <v>576585.42194365745</v>
      </c>
      <c r="CS63" s="6">
        <f>SUMIF('Eredeti fejléccel'!$B:$B,'Felosztás eredménykim'!$B63,'Eredeti fejléccel'!$I:$I)</f>
        <v>0</v>
      </c>
      <c r="CT63" s="6">
        <f>SUMIF('Eredeti fejléccel'!$B:$B,'Felosztás eredménykim'!$B63,'Eredeti fejléccel'!$BG:$BG)</f>
        <v>0</v>
      </c>
      <c r="CU63" s="6">
        <f>SUMIF('Eredeti fejléccel'!$B:$B,'Felosztás eredménykim'!$B63,'Eredeti fejléccel'!$BH:$BH)</f>
        <v>0</v>
      </c>
      <c r="CV63" s="6">
        <f>SUMIF('Eredeti fejléccel'!$B:$B,'Felosztás eredménykim'!$B63,'Eredeti fejléccel'!$BI:$BI)</f>
        <v>0</v>
      </c>
      <c r="CW63" s="6">
        <f>SUMIF('Eredeti fejléccel'!$B:$B,'Felosztás eredménykim'!$B63,'Eredeti fejléccel'!$BL:$BL)</f>
        <v>15560382</v>
      </c>
      <c r="CX63" s="6">
        <f t="shared" si="46"/>
        <v>15560382</v>
      </c>
      <c r="CY63" s="6">
        <f>SUMIF('Eredeti fejléccel'!$B:$B,'Felosztás eredménykim'!$B63,'Eredeti fejléccel'!$BJ:$BJ)</f>
        <v>2277760</v>
      </c>
      <c r="CZ63" s="6">
        <f>SUMIF('Eredeti fejléccel'!$B:$B,'Felosztás eredménykim'!$B63,'Eredeti fejléccel'!$BK:$BK)</f>
        <v>0</v>
      </c>
      <c r="DA63" s="99">
        <f t="shared" si="47"/>
        <v>17838142</v>
      </c>
      <c r="DC63" s="36">
        <f t="shared" si="20"/>
        <v>505010.74816033494</v>
      </c>
      <c r="DD63" s="6">
        <f>SUMIF('Eredeti fejléccel'!$B:$B,'Felosztás eredménykim'!$B63,'Eredeti fejléccel'!$J:$J)</f>
        <v>0</v>
      </c>
      <c r="DE63" s="6">
        <f>SUMIF('Eredeti fejléccel'!$B:$B,'Felosztás eredménykim'!$B63,'Eredeti fejléccel'!$BM:$BM)</f>
        <v>0</v>
      </c>
      <c r="DF63" s="6">
        <f t="shared" si="48"/>
        <v>0</v>
      </c>
      <c r="DG63" s="8">
        <f t="shared" si="21"/>
        <v>0</v>
      </c>
      <c r="DH63" s="8">
        <f t="shared" si="49"/>
        <v>0</v>
      </c>
      <c r="DJ63" s="6">
        <f>SUMIF('Eredeti fejléccel'!$B:$B,'Felosztás eredménykim'!$B63,'Eredeti fejléccel'!$BN:$BN)</f>
        <v>0</v>
      </c>
      <c r="DK63" s="6">
        <f>SUMIF('Eredeti fejléccel'!$B:$B,'Felosztás eredménykim'!$B63,'Eredeti fejléccel'!$BZ:$BZ)</f>
        <v>0</v>
      </c>
      <c r="DL63" s="8">
        <f t="shared" si="50"/>
        <v>0</v>
      </c>
      <c r="DM63" s="6">
        <f>SUMIF('Eredeti fejléccel'!$B:$B,'Felosztás eredménykim'!$B63,'Eredeti fejléccel'!$BR:$BR)</f>
        <v>0</v>
      </c>
      <c r="DN63" s="6">
        <f>SUMIF('Eredeti fejléccel'!$B:$B,'Felosztás eredménykim'!$B63,'Eredeti fejléccel'!$BS:$BS)</f>
        <v>0</v>
      </c>
      <c r="DO63" s="6">
        <f>SUMIF('Eredeti fejléccel'!$B:$B,'Felosztás eredménykim'!$B63,'Eredeti fejléccel'!$BO:$BO)</f>
        <v>0</v>
      </c>
      <c r="DP63" s="6">
        <f>SUMIF('Eredeti fejléccel'!$B:$B,'Felosztás eredménykim'!$B63,'Eredeti fejléccel'!$BP:$BP)</f>
        <v>0</v>
      </c>
      <c r="DQ63" s="6">
        <f>SUMIF('Eredeti fejléccel'!$B:$B,'Felosztás eredménykim'!$B63,'Eredeti fejléccel'!$BQ:$BQ)</f>
        <v>0</v>
      </c>
      <c r="DS63" s="8"/>
      <c r="DU63" s="6">
        <f>SUMIF('Eredeti fejléccel'!$B:$B,'Felosztás eredménykim'!$B63,'Eredeti fejléccel'!$BT:$BT)</f>
        <v>0</v>
      </c>
      <c r="DV63" s="6">
        <f>SUMIF('Eredeti fejléccel'!$B:$B,'Felosztás eredménykim'!$B63,'Eredeti fejléccel'!$BU:$BU)</f>
        <v>0</v>
      </c>
      <c r="DW63" s="6">
        <f>SUMIF('Eredeti fejléccel'!$B:$B,'Felosztás eredménykim'!$B63,'Eredeti fejléccel'!$BV:$BV)</f>
        <v>0</v>
      </c>
      <c r="DX63" s="6">
        <f>SUMIF('Eredeti fejléccel'!$B:$B,'Felosztás eredménykim'!$B63,'Eredeti fejléccel'!$BW:$BW)</f>
        <v>0</v>
      </c>
      <c r="DY63" s="6">
        <f>SUMIF('Eredeti fejléccel'!$B:$B,'Felosztás eredménykim'!$B63,'Eredeti fejléccel'!$BX:$BX)</f>
        <v>0</v>
      </c>
      <c r="EA63" s="6"/>
      <c r="EC63" s="6"/>
      <c r="EE63" s="6">
        <f>SUMIF('Eredeti fejléccel'!$B:$B,'Felosztás eredménykim'!$B63,'Eredeti fejléccel'!$CA:$CA)</f>
        <v>0</v>
      </c>
      <c r="EF63" s="6">
        <f>SUMIF('Eredeti fejléccel'!$B:$B,'Felosztás eredménykim'!$B63,'Eredeti fejléccel'!$CB:$CB)</f>
        <v>0</v>
      </c>
      <c r="EG63" s="6">
        <f>SUMIF('Eredeti fejléccel'!$B:$B,'Felosztás eredménykim'!$B63,'Eredeti fejléccel'!$CC:$CC)</f>
        <v>0</v>
      </c>
      <c r="EH63" s="6">
        <f>SUMIF('Eredeti fejléccel'!$B:$B,'Felosztás eredménykim'!$B63,'Eredeti fejléccel'!$CD:$CD)</f>
        <v>0</v>
      </c>
      <c r="EK63" s="6">
        <f>SUMIF('Eredeti fejléccel'!$B:$B,'Felosztás eredménykim'!$B63,'Eredeti fejléccel'!$CE:$CE)</f>
        <v>0</v>
      </c>
      <c r="EN63" s="6">
        <f>SUMIF('Eredeti fejléccel'!$B:$B,'Felosztás eredménykim'!$B63,'Eredeti fejléccel'!$CF:$CF)</f>
        <v>0</v>
      </c>
      <c r="EP63" s="6">
        <f>SUMIF('Eredeti fejléccel'!$B:$B,'Felosztás eredménykim'!$B63,'Eredeti fejléccel'!$CG:$CG)</f>
        <v>0</v>
      </c>
      <c r="ES63" s="6">
        <f>SUMIF('Eredeti fejléccel'!$B:$B,'Felosztás eredménykim'!$B63,'Eredeti fejléccel'!$CH:$CH)</f>
        <v>0</v>
      </c>
      <c r="ET63" s="6">
        <f>SUMIF('Eredeti fejléccel'!$B:$B,'Felosztás eredménykim'!$B63,'Eredeti fejléccel'!$CI:$CI)</f>
        <v>0</v>
      </c>
      <c r="EW63" s="8">
        <f t="shared" si="22"/>
        <v>0</v>
      </c>
      <c r="EX63" s="8">
        <f t="shared" si="51"/>
        <v>0</v>
      </c>
      <c r="EY63" s="8">
        <f t="shared" si="52"/>
        <v>0</v>
      </c>
      <c r="EZ63" s="8">
        <f t="shared" si="23"/>
        <v>0</v>
      </c>
      <c r="FA63" s="8">
        <f t="shared" si="24"/>
        <v>0</v>
      </c>
      <c r="FC63" s="6">
        <f>SUMIF('Eredeti fejléccel'!$B:$B,'Felosztás eredménykim'!$B63,'Eredeti fejléccel'!$L:$L)</f>
        <v>0</v>
      </c>
      <c r="FD63" s="6">
        <f>SUMIF('Eredeti fejléccel'!$B:$B,'Felosztás eredménykim'!$B63,'Eredeti fejléccel'!$CJ:$CJ)</f>
        <v>0</v>
      </c>
      <c r="FE63" s="6">
        <f>SUMIF('Eredeti fejléccel'!$B:$B,'Felosztás eredménykim'!$B63,'Eredeti fejléccel'!$CL:$CL)</f>
        <v>0</v>
      </c>
      <c r="FG63" s="99">
        <f t="shared" si="53"/>
        <v>0</v>
      </c>
      <c r="FH63" s="6">
        <f>SUMIF('Eredeti fejléccel'!$B:$B,'Felosztás eredménykim'!$B63,'Eredeti fejléccel'!$CK:$CK)</f>
        <v>0</v>
      </c>
      <c r="FI63" s="36">
        <f t="shared" si="68"/>
        <v>594177.15008536633</v>
      </c>
      <c r="FJ63" s="101">
        <f t="shared" si="26"/>
        <v>0</v>
      </c>
      <c r="FK63" s="6">
        <f>SUMIF('Eredeti fejléccel'!$B:$B,'Felosztás eredménykim'!$B63,'Eredeti fejléccel'!$CM:$CM)</f>
        <v>0</v>
      </c>
      <c r="FL63" s="6">
        <f>SUMIF('Eredeti fejléccel'!$B:$B,'Felosztás eredménykim'!$B63,'Eredeti fejléccel'!$CN:$CN)</f>
        <v>0</v>
      </c>
      <c r="FM63" s="8">
        <f t="shared" si="54"/>
        <v>0</v>
      </c>
      <c r="FN63" s="36">
        <f t="shared" si="69"/>
        <v>505148.05468431441</v>
      </c>
      <c r="FO63" s="101">
        <f t="shared" si="28"/>
        <v>0</v>
      </c>
      <c r="FP63" s="6">
        <f>SUMIF('Eredeti fejléccel'!$B:$B,'Felosztás eredménykim'!$B63,'Eredeti fejléccel'!$CO:$CO)</f>
        <v>2060</v>
      </c>
      <c r="FQ63" s="6">
        <f>'Eredeti fejléccel'!CP63</f>
        <v>0</v>
      </c>
      <c r="FR63" s="6">
        <f>'Eredeti fejléccel'!CQ63</f>
        <v>0</v>
      </c>
      <c r="FS63" s="103">
        <f t="shared" si="55"/>
        <v>2060</v>
      </c>
      <c r="FT63" s="36">
        <f t="shared" si="70"/>
        <v>1394355.929675357</v>
      </c>
      <c r="FU63" s="101">
        <f t="shared" si="30"/>
        <v>0</v>
      </c>
      <c r="FV63" s="101"/>
      <c r="FW63" s="6">
        <f>SUMIF('Eredeti fejléccel'!$B:$B,'Felosztás eredménykim'!$B63,'Eredeti fejléccel'!$CR:$CR)</f>
        <v>0</v>
      </c>
      <c r="FX63" s="6">
        <f>SUMIF('Eredeti fejléccel'!$B:$B,'Felosztás eredménykim'!$B63,'Eredeti fejléccel'!$CS:$CS)</f>
        <v>0</v>
      </c>
      <c r="FY63" s="6">
        <f>SUMIF('Eredeti fejléccel'!$B:$B,'Felosztás eredménykim'!$B63,'Eredeti fejléccel'!$CT:$CT)</f>
        <v>0</v>
      </c>
      <c r="FZ63" s="6">
        <f>SUMIF('Eredeti fejléccel'!$B:$B,'Felosztás eredménykim'!$B63,'Eredeti fejléccel'!$CU:$CU)</f>
        <v>0</v>
      </c>
      <c r="GA63" s="103">
        <f t="shared" si="56"/>
        <v>0</v>
      </c>
      <c r="GB63" s="36">
        <f t="shared" si="71"/>
        <v>185856.35974234209</v>
      </c>
      <c r="GC63" s="101">
        <f t="shared" si="32"/>
        <v>0</v>
      </c>
      <c r="GD63" s="6">
        <f>SUMIF('Eredeti fejléccel'!$B:$B,'Felosztás eredménykim'!$B63,'Eredeti fejléccel'!$CV:$CV)</f>
        <v>0</v>
      </c>
      <c r="GE63" s="6">
        <f>SUMIF('Eredeti fejléccel'!$B:$B,'Felosztás eredménykim'!$B63,'Eredeti fejléccel'!$CW:$CW)</f>
        <v>0</v>
      </c>
      <c r="GF63" s="103">
        <f t="shared" si="57"/>
        <v>0</v>
      </c>
      <c r="GG63" s="36">
        <f t="shared" si="33"/>
        <v>0</v>
      </c>
      <c r="GM63" s="6">
        <f>SUMIF('Eredeti fejléccel'!$B:$B,'Felosztás eredménykim'!$B63,'Eredeti fejléccel'!$CX:$CX)</f>
        <v>0</v>
      </c>
      <c r="GN63" s="6">
        <f>SUMIF('Eredeti fejléccel'!$B:$B,'Felosztás eredménykim'!$B63,'Eredeti fejléccel'!$CY:$CY)</f>
        <v>0</v>
      </c>
      <c r="GO63" s="6">
        <f>SUMIF('Eredeti fejléccel'!$B:$B,'Felosztás eredménykim'!$B63,'Eredeti fejléccel'!$CZ:$CZ)</f>
        <v>0</v>
      </c>
      <c r="GP63" s="6">
        <f>SUMIF('Eredeti fejléccel'!$B:$B,'Felosztás eredménykim'!$B63,'Eredeti fejléccel'!$DA:$DA)</f>
        <v>0</v>
      </c>
      <c r="GQ63" s="6">
        <f>SUMIF('Eredeti fejléccel'!$B:$B,'Felosztás eredménykim'!$B63,'Eredeti fejléccel'!$DB:$DB)</f>
        <v>0</v>
      </c>
      <c r="GR63" s="103">
        <f t="shared" si="58"/>
        <v>0</v>
      </c>
      <c r="GW63" s="36">
        <f t="shared" si="34"/>
        <v>319042.53416613006</v>
      </c>
      <c r="GX63" s="6">
        <f>SUMIF('Eredeti fejléccel'!$B:$B,'Felosztás eredménykim'!$B63,'Eredeti fejléccel'!$M:$M)</f>
        <v>0</v>
      </c>
      <c r="GY63" s="6">
        <f>SUMIF('Eredeti fejléccel'!$B:$B,'Felosztás eredménykim'!$B63,'Eredeti fejléccel'!$DC:$DC)</f>
        <v>1890</v>
      </c>
      <c r="GZ63" s="6">
        <f>SUMIF('Eredeti fejléccel'!$B:$B,'Felosztás eredménykim'!$B63,'Eredeti fejléccel'!$DD:$DD)</f>
        <v>0</v>
      </c>
      <c r="HA63" s="6">
        <f>SUMIF('Eredeti fejléccel'!$B:$B,'Felosztás eredménykim'!$B63,'Eredeti fejléccel'!$DE:$DE)</f>
        <v>0</v>
      </c>
      <c r="HB63" s="103">
        <f t="shared" si="59"/>
        <v>1890</v>
      </c>
      <c r="HD63" s="9">
        <f t="shared" si="72"/>
        <v>31485391.999999985</v>
      </c>
      <c r="HE63" s="9">
        <v>31485392</v>
      </c>
      <c r="HF63" s="476"/>
      <c r="HH63" s="34">
        <f t="shared" si="60"/>
        <v>0</v>
      </c>
    </row>
    <row r="64" spans="1:216" x14ac:dyDescent="0.25">
      <c r="A64" s="4" t="s">
        <v>146</v>
      </c>
      <c r="B64" s="4" t="s">
        <v>146</v>
      </c>
      <c r="C64" s="1" t="s">
        <v>147</v>
      </c>
      <c r="D64" s="6">
        <f>SUMIF('Eredeti fejléccel'!$B:$B,'Felosztás eredménykim'!$B64,'Eredeti fejléccel'!$D:$D)</f>
        <v>0</v>
      </c>
      <c r="E64" s="6">
        <f>SUMIF('Eredeti fejléccel'!$B:$B,'Felosztás eredménykim'!$B64,'Eredeti fejléccel'!$E:$E)</f>
        <v>8684.7933999999987</v>
      </c>
      <c r="F64" s="6">
        <f>SUMIF('Eredeti fejléccel'!$B:$B,'Felosztás eredménykim'!$B64,'Eredeti fejléccel'!$F:$F)</f>
        <v>0</v>
      </c>
      <c r="G64" s="6">
        <f>SUMIF('Eredeti fejléccel'!$B:$B,'Felosztás eredménykim'!$B64,'Eredeti fejléccel'!$G:$G)</f>
        <v>2456.2500000000005</v>
      </c>
      <c r="H64" s="6"/>
      <c r="I64" s="6">
        <f>SUMIF('Eredeti fejléccel'!$B:$B,'Felosztás eredménykim'!$B64,'Eredeti fejléccel'!$O:$O)</f>
        <v>5726.2786000000015</v>
      </c>
      <c r="J64" s="6">
        <f>SUMIF('Eredeti fejléccel'!$B:$B,'Felosztás eredménykim'!$B64,'Eredeti fejléccel'!$P:$P)</f>
        <v>0</v>
      </c>
      <c r="K64" s="6">
        <f>SUMIF('Eredeti fejléccel'!$B:$B,'Felosztás eredménykim'!$B64,'Eredeti fejléccel'!$Q:$Q)</f>
        <v>0</v>
      </c>
      <c r="L64" s="6">
        <f>SUMIF('Eredeti fejléccel'!$B:$B,'Felosztás eredménykim'!$B64,'Eredeti fejléccel'!$R:$R)</f>
        <v>6526.3600000000006</v>
      </c>
      <c r="M64" s="6">
        <f>SUMIF('Eredeti fejléccel'!$B:$B,'Felosztás eredménykim'!$B64,'Eredeti fejléccel'!$T:$T)</f>
        <v>0</v>
      </c>
      <c r="N64" s="6">
        <f>SUMIF('Eredeti fejléccel'!$B:$B,'Felosztás eredménykim'!$B64,'Eredeti fejléccel'!$U:$U)</f>
        <v>152.4</v>
      </c>
      <c r="O64" s="6">
        <f>SUMIF('Eredeti fejléccel'!$B:$B,'Felosztás eredménykim'!$B64,'Eredeti fejléccel'!$V:$V)</f>
        <v>9619.0105999999996</v>
      </c>
      <c r="P64" s="6">
        <f>SUMIF('Eredeti fejléccel'!$B:$B,'Felosztás eredménykim'!$B64,'Eredeti fejléccel'!$W:$W)</f>
        <v>16728.27</v>
      </c>
      <c r="Q64" s="6">
        <f>SUMIF('Eredeti fejléccel'!$B:$B,'Felosztás eredménykim'!$B64,'Eredeti fejléccel'!$X:$X)</f>
        <v>6890.7</v>
      </c>
      <c r="R64" s="6">
        <f>SUMIF('Eredeti fejléccel'!$B:$B,'Felosztás eredménykim'!$B64,'Eredeti fejléccel'!$Y:$Y)</f>
        <v>4395.93</v>
      </c>
      <c r="S64" s="6">
        <f>SUMIF('Eredeti fejléccel'!$B:$B,'Felosztás eredménykim'!$B64,'Eredeti fejléccel'!$Z:$Z)</f>
        <v>4973.97</v>
      </c>
      <c r="T64" s="6">
        <f>SUMIF('Eredeti fejléccel'!$B:$B,'Felosztás eredménykim'!$B64,'Eredeti fejléccel'!$AA:$AA)</f>
        <v>0</v>
      </c>
      <c r="U64" s="6">
        <f>SUMIF('Eredeti fejléccel'!$B:$B,'Felosztás eredménykim'!$B64,'Eredeti fejléccel'!$D:$D)</f>
        <v>0</v>
      </c>
      <c r="V64" s="6">
        <f>SUMIF('Eredeti fejléccel'!$B:$B,'Felosztás eredménykim'!$B64,'Eredeti fejléccel'!$AT:$AT)</f>
        <v>10406.830000000002</v>
      </c>
      <c r="X64" s="36">
        <f t="shared" si="0"/>
        <v>76560.792600000001</v>
      </c>
      <c r="Z64" s="6">
        <f>SUMIF('Eredeti fejléccel'!$B:$B,'Felosztás eredménykim'!$B64,'Eredeti fejléccel'!$K:$K)</f>
        <v>13691.691000000003</v>
      </c>
      <c r="AA64" s="6">
        <v>0</v>
      </c>
      <c r="AB64" s="6">
        <f>SUMIF('Eredeti fejléccel'!$B:$B,'Felosztás eredménykim'!$B64,'Eredeti fejléccel'!$AB:$AB)</f>
        <v>0</v>
      </c>
      <c r="AC64" s="6">
        <f>SUMIF('Eredeti fejléccel'!$B:$B,'Felosztás eredménykim'!$B64,'Eredeti fejléccel'!$AQ:$AQ)</f>
        <v>0</v>
      </c>
      <c r="AE64" s="73">
        <f t="shared" si="1"/>
        <v>13691.691000000003</v>
      </c>
      <c r="AF64" s="36">
        <f t="shared" si="61"/>
        <v>9133.2923087845684</v>
      </c>
      <c r="AG64" s="8">
        <f t="shared" si="3"/>
        <v>4365.5199369466063</v>
      </c>
      <c r="AI64" s="6">
        <f>SUMIF('Eredeti fejléccel'!$B:$B,'Felosztás eredménykim'!$B64,'Eredeti fejléccel'!$BB:$BB)</f>
        <v>11226.610400000001</v>
      </c>
      <c r="AJ64" s="6">
        <f>SUMIF('Eredeti fejléccel'!$B:$B,'Felosztás eredménykim'!$B64,'Eredeti fejléccel'!$AF:$AF)</f>
        <v>0</v>
      </c>
      <c r="AK64" s="8">
        <f t="shared" si="4"/>
        <v>15592.130336946608</v>
      </c>
      <c r="AL64" s="36">
        <f t="shared" si="62"/>
        <v>3627.697590249355</v>
      </c>
      <c r="AM64" s="8">
        <f t="shared" si="6"/>
        <v>1733.9624770592973</v>
      </c>
      <c r="AN64" s="6">
        <f t="shared" si="36"/>
        <v>-9.4361999999999995</v>
      </c>
      <c r="AO64" s="6">
        <f>SUMIF('Eredeti fejléccel'!$B:$B,'Felosztás eredménykim'!$B64,'Eredeti fejléccel'!$AC:$AC)</f>
        <v>18.872399999999999</v>
      </c>
      <c r="AP64" s="6">
        <f>SUMIF('Eredeti fejléccel'!$B:$B,'Felosztás eredménykim'!$B64,'Eredeti fejléccel'!$AD:$AD)</f>
        <v>0</v>
      </c>
      <c r="AQ64" s="6">
        <f>SUMIF('Eredeti fejléccel'!$B:$B,'Felosztás eredménykim'!$B64,'Eredeti fejléccel'!$AE:$AE)</f>
        <v>0</v>
      </c>
      <c r="AR64" s="6">
        <f>SUMIF('Eredeti fejléccel'!$B:$B,'Felosztás eredménykim'!$B64,'Eredeti fejléccel'!$AG:$AG)</f>
        <v>29230.02</v>
      </c>
      <c r="AS64" s="6">
        <f t="shared" si="37"/>
        <v>30973.418677059297</v>
      </c>
      <c r="AT64" s="36">
        <f t="shared" si="63"/>
        <v>5892.4466508287551</v>
      </c>
      <c r="AU64" s="8">
        <f t="shared" si="8"/>
        <v>2816.4644754494234</v>
      </c>
      <c r="AV64" s="6">
        <f>SUMIF('Eredeti fejléccel'!$B:$B,'Felosztás eredménykim'!$B64,'Eredeti fejléccel'!$AI:$AI)</f>
        <v>0</v>
      </c>
      <c r="AW64" s="6">
        <f>SUMIF('Eredeti fejléccel'!$B:$B,'Felosztás eredménykim'!$B64,'Eredeti fejléccel'!$AJ:$AJ)</f>
        <v>1687.6624000000002</v>
      </c>
      <c r="AX64" s="6">
        <f>SUMIF('Eredeti fejléccel'!$B:$B,'Felosztás eredménykim'!$B64,'Eredeti fejléccel'!$AK:$AK)</f>
        <v>3432.0506</v>
      </c>
      <c r="AY64" s="6">
        <f>SUMIF('Eredeti fejléccel'!$B:$B,'Felosztás eredménykim'!$B64,'Eredeti fejléccel'!$AL:$AL)</f>
        <v>1701.8710000000001</v>
      </c>
      <c r="AZ64" s="6">
        <f>SUMIF('Eredeti fejléccel'!$B:$B,'Felosztás eredménykim'!$B64,'Eredeti fejléccel'!$AM:$AM)</f>
        <v>5058.8958000000002</v>
      </c>
      <c r="BA64" s="6">
        <f>SUMIF('Eredeti fejléccel'!$B:$B,'Felosztás eredménykim'!$B64,'Eredeti fejléccel'!$AN:$AN)</f>
        <v>0</v>
      </c>
      <c r="BB64" s="6">
        <f>SUMIF('Eredeti fejléccel'!$B:$B,'Felosztás eredménykim'!$B64,'Eredeti fejléccel'!$AP:$AP)</f>
        <v>1248.2900000000002</v>
      </c>
      <c r="BD64" s="6">
        <f>SUMIF('Eredeti fejléccel'!$B:$B,'Felosztás eredménykim'!$B64,'Eredeti fejléccel'!$AS:$AS)</f>
        <v>0</v>
      </c>
      <c r="BE64" s="8">
        <f t="shared" si="38"/>
        <v>15945.234275449426</v>
      </c>
      <c r="BF64" s="36">
        <f t="shared" si="64"/>
        <v>1537.1599958683705</v>
      </c>
      <c r="BG64" s="8">
        <f t="shared" si="10"/>
        <v>734.72986316071911</v>
      </c>
      <c r="BH64" s="6">
        <f t="shared" si="39"/>
        <v>9.4361999999999995</v>
      </c>
      <c r="BI64" s="6">
        <f>SUMIF('Eredeti fejléccel'!$B:$B,'Felosztás eredménykim'!$B64,'Eredeti fejléccel'!$AH:$AH)</f>
        <v>8317.0857999999989</v>
      </c>
      <c r="BJ64" s="6">
        <f>SUMIF('Eredeti fejléccel'!$B:$B,'Felosztás eredménykim'!$B64,'Eredeti fejléccel'!$AO:$AO)</f>
        <v>0</v>
      </c>
      <c r="BK64" s="6">
        <f>SUMIF('Eredeti fejléccel'!$B:$B,'Felosztás eredménykim'!$B64,'Eredeti fejléccel'!$BF:$BF)</f>
        <v>0</v>
      </c>
      <c r="BL64" s="8">
        <f t="shared" si="40"/>
        <v>9061.2518631607181</v>
      </c>
      <c r="BM64" s="36">
        <f t="shared" si="65"/>
        <v>5759.2261178534955</v>
      </c>
      <c r="BN64" s="8">
        <f t="shared" si="12"/>
        <v>2752.7878873088275</v>
      </c>
      <c r="BP64" s="8">
        <f t="shared" si="41"/>
        <v>0</v>
      </c>
      <c r="BQ64" s="6">
        <f>SUMIF('Eredeti fejléccel'!$B:$B,'Felosztás eredménykim'!$B64,'Eredeti fejléccel'!$N:$N)</f>
        <v>0</v>
      </c>
      <c r="BR64" s="6">
        <f>SUMIF('Eredeti fejléccel'!$B:$B,'Felosztás eredménykim'!$B64,'Eredeti fejléccel'!$S:$S)</f>
        <v>0</v>
      </c>
      <c r="BT64" s="6">
        <f>SUMIF('Eredeti fejléccel'!$B:$B,'Felosztás eredménykim'!$B64,'Eredeti fejléccel'!$AR:$AR)</f>
        <v>0</v>
      </c>
      <c r="BU64" s="6">
        <f>SUMIF('Eredeti fejléccel'!$B:$B,'Felosztás eredménykim'!$B64,'Eredeti fejléccel'!$AU:$AU)</f>
        <v>0</v>
      </c>
      <c r="BV64" s="6">
        <f>SUMIF('Eredeti fejléccel'!$B:$B,'Felosztás eredménykim'!$B64,'Eredeti fejléccel'!$AV:$AV)</f>
        <v>3789.7700000000004</v>
      </c>
      <c r="BW64" s="6">
        <f>SUMIF('Eredeti fejléccel'!$B:$B,'Felosztás eredménykim'!$B64,'Eredeti fejléccel'!$AW:$AW)</f>
        <v>0</v>
      </c>
      <c r="BX64" s="6">
        <f>SUMIF('Eredeti fejléccel'!$B:$B,'Felosztás eredménykim'!$B64,'Eredeti fejléccel'!$AX:$AX)</f>
        <v>0</v>
      </c>
      <c r="BY64" s="6">
        <f>SUMIF('Eredeti fejléccel'!$B:$B,'Felosztás eredménykim'!$B64,'Eredeti fejléccel'!$AY:$AY)</f>
        <v>0</v>
      </c>
      <c r="BZ64" s="6">
        <f>SUMIF('Eredeti fejléccel'!$B:$B,'Felosztás eredménykim'!$B64,'Eredeti fejléccel'!$AZ:$AZ)</f>
        <v>0</v>
      </c>
      <c r="CA64" s="6">
        <f>SUMIF('Eredeti fejléccel'!$B:$B,'Felosztás eredménykim'!$B64,'Eredeti fejléccel'!$BA:$BA)</f>
        <v>38065.5792</v>
      </c>
      <c r="CB64" s="6">
        <f t="shared" si="13"/>
        <v>44608.137087308831</v>
      </c>
      <c r="CC64" s="36">
        <f t="shared" si="66"/>
        <v>1567.903195785738</v>
      </c>
      <c r="CD64" s="8">
        <f t="shared" si="15"/>
        <v>749.42446042393351</v>
      </c>
      <c r="CE64" s="6">
        <f>SUMIF('Eredeti fejléccel'!$B:$B,'Felosztás eredménykim'!$B64,'Eredeti fejléccel'!$BC:$BC)</f>
        <v>1729.0524000000003</v>
      </c>
      <c r="CF64" s="8">
        <f t="shared" si="42"/>
        <v>-864.52620000000013</v>
      </c>
      <c r="CG64" s="6">
        <f>SUMIF('Eredeti fejléccel'!$B:$B,'Felosztás eredménykim'!$B64,'Eredeti fejléccel'!$H:$H)</f>
        <v>0</v>
      </c>
      <c r="CH64" s="6">
        <f>SUMIF('Eredeti fejléccel'!$B:$B,'Felosztás eredménykim'!$B64,'Eredeti fejléccel'!$BE:$BE)</f>
        <v>5834.2668000000012</v>
      </c>
      <c r="CI64" s="6">
        <f t="shared" si="43"/>
        <v>7448.2174604239353</v>
      </c>
      <c r="CJ64" s="36">
        <f t="shared" si="67"/>
        <v>1127.2506636368053</v>
      </c>
      <c r="CK64" s="8">
        <f t="shared" si="17"/>
        <v>538.80189965119405</v>
      </c>
      <c r="CL64" s="8">
        <f t="shared" si="44"/>
        <v>864.52620000000013</v>
      </c>
      <c r="CM64" s="6">
        <f>SUMIF('Eredeti fejléccel'!$B:$B,'Felosztás eredménykim'!$B64,'Eredeti fejléccel'!$BD:$BD)</f>
        <v>3601.3396000000012</v>
      </c>
      <c r="CN64" s="8">
        <f t="shared" si="45"/>
        <v>5004.6676996511951</v>
      </c>
      <c r="CO64" s="8">
        <f t="shared" si="18"/>
        <v>157278.03392300711</v>
      </c>
      <c r="CR64" s="36">
        <f t="shared" si="19"/>
        <v>6771.1686179072767</v>
      </c>
      <c r="CS64" s="6">
        <f>SUMIF('Eredeti fejléccel'!$B:$B,'Felosztás eredménykim'!$B64,'Eredeti fejléccel'!$I:$I)</f>
        <v>17398.239999999998</v>
      </c>
      <c r="CT64" s="6">
        <f>SUMIF('Eredeti fejléccel'!$B:$B,'Felosztás eredménykim'!$B64,'Eredeti fejléccel'!$BG:$BG)</f>
        <v>0</v>
      </c>
      <c r="CU64" s="6">
        <f>SUMIF('Eredeti fejléccel'!$B:$B,'Felosztás eredménykim'!$B64,'Eredeti fejléccel'!$BH:$BH)</f>
        <v>20948.099999999999</v>
      </c>
      <c r="CV64" s="6">
        <f>SUMIF('Eredeti fejléccel'!$B:$B,'Felosztás eredménykim'!$B64,'Eredeti fejléccel'!$BI:$BI)</f>
        <v>3052.2000000000007</v>
      </c>
      <c r="CW64" s="6">
        <f>SUMIF('Eredeti fejléccel'!$B:$B,'Felosztás eredménykim'!$B64,'Eredeti fejléccel'!$BL:$BL)</f>
        <v>0</v>
      </c>
      <c r="CX64" s="6">
        <f t="shared" si="46"/>
        <v>41398.539999999994</v>
      </c>
      <c r="CY64" s="6">
        <f>SUMIF('Eredeti fejléccel'!$B:$B,'Felosztás eredménykim'!$B64,'Eredeti fejléccel'!$BJ:$BJ)</f>
        <v>6184</v>
      </c>
      <c r="CZ64" s="6">
        <f>SUMIF('Eredeti fejléccel'!$B:$B,'Felosztás eredménykim'!$B64,'Eredeti fejléccel'!$BK:$BK)</f>
        <v>0</v>
      </c>
      <c r="DA64" s="99">
        <f t="shared" si="47"/>
        <v>47582.539999999994</v>
      </c>
      <c r="DC64" s="36">
        <f t="shared" si="20"/>
        <v>5930.6267545267237</v>
      </c>
      <c r="DD64" s="6">
        <f>SUMIF('Eredeti fejléccel'!$B:$B,'Felosztás eredménykim'!$B64,'Eredeti fejléccel'!$J:$J)</f>
        <v>0</v>
      </c>
      <c r="DE64" s="6">
        <f>SUMIF('Eredeti fejléccel'!$B:$B,'Felosztás eredménykim'!$B64,'Eredeti fejléccel'!$BM:$BM)</f>
        <v>9480.35</v>
      </c>
      <c r="DF64" s="6">
        <f t="shared" si="48"/>
        <v>0</v>
      </c>
      <c r="DG64" s="8">
        <f t="shared" si="21"/>
        <v>0</v>
      </c>
      <c r="DH64" s="8">
        <f t="shared" si="49"/>
        <v>9480.35</v>
      </c>
      <c r="DJ64" s="6">
        <f>SUMIF('Eredeti fejléccel'!$B:$B,'Felosztás eredménykim'!$B64,'Eredeti fejléccel'!$BN:$BN)</f>
        <v>5014.8700000000008</v>
      </c>
      <c r="DK64" s="6">
        <f>SUMIF('Eredeti fejléccel'!$B:$B,'Felosztás eredménykim'!$B64,'Eredeti fejléccel'!$BZ:$BZ)</f>
        <v>0</v>
      </c>
      <c r="DL64" s="8">
        <f t="shared" si="50"/>
        <v>5014.8700000000008</v>
      </c>
      <c r="DM64" s="6">
        <f>SUMIF('Eredeti fejléccel'!$B:$B,'Felosztás eredménykim'!$B64,'Eredeti fejléccel'!$BR:$BR)</f>
        <v>0</v>
      </c>
      <c r="DN64" s="6">
        <f>SUMIF('Eredeti fejléccel'!$B:$B,'Felosztás eredménykim'!$B64,'Eredeti fejléccel'!$BS:$BS)</f>
        <v>0</v>
      </c>
      <c r="DO64" s="6">
        <f>SUMIF('Eredeti fejléccel'!$B:$B,'Felosztás eredménykim'!$B64,'Eredeti fejléccel'!$BO:$BO)</f>
        <v>0</v>
      </c>
      <c r="DP64" s="6">
        <f>SUMIF('Eredeti fejléccel'!$B:$B,'Felosztás eredménykim'!$B64,'Eredeti fejléccel'!$BP:$BP)</f>
        <v>0</v>
      </c>
      <c r="DQ64" s="6">
        <f>SUMIF('Eredeti fejléccel'!$B:$B,'Felosztás eredménykim'!$B64,'Eredeti fejléccel'!$BQ:$BQ)</f>
        <v>0</v>
      </c>
      <c r="DS64" s="8"/>
      <c r="DU64" s="6">
        <f>SUMIF('Eredeti fejléccel'!$B:$B,'Felosztás eredménykim'!$B64,'Eredeti fejléccel'!$BT:$BT)</f>
        <v>0</v>
      </c>
      <c r="DV64" s="6">
        <f>SUMIF('Eredeti fejléccel'!$B:$B,'Felosztás eredménykim'!$B64,'Eredeti fejléccel'!$BU:$BU)</f>
        <v>0</v>
      </c>
      <c r="DW64" s="6">
        <f>SUMIF('Eredeti fejléccel'!$B:$B,'Felosztás eredménykim'!$B64,'Eredeti fejléccel'!$BV:$BV)</f>
        <v>0</v>
      </c>
      <c r="DX64" s="6">
        <f>SUMIF('Eredeti fejléccel'!$B:$B,'Felosztás eredménykim'!$B64,'Eredeti fejléccel'!$BW:$BW)</f>
        <v>0</v>
      </c>
      <c r="DY64" s="6">
        <f>SUMIF('Eredeti fejléccel'!$B:$B,'Felosztás eredménykim'!$B64,'Eredeti fejléccel'!$BX:$BX)</f>
        <v>0</v>
      </c>
      <c r="EA64" s="6"/>
      <c r="EC64" s="6"/>
      <c r="EE64" s="6">
        <f>SUMIF('Eredeti fejléccel'!$B:$B,'Felosztás eredménykim'!$B64,'Eredeti fejléccel'!$CA:$CA)</f>
        <v>0</v>
      </c>
      <c r="EF64" s="6">
        <f>SUMIF('Eredeti fejléccel'!$B:$B,'Felosztás eredménykim'!$B64,'Eredeti fejléccel'!$CB:$CB)</f>
        <v>0</v>
      </c>
      <c r="EG64" s="6">
        <f>SUMIF('Eredeti fejléccel'!$B:$B,'Felosztás eredménykim'!$B64,'Eredeti fejléccel'!$CC:$CC)</f>
        <v>0</v>
      </c>
      <c r="EH64" s="6">
        <f>SUMIF('Eredeti fejléccel'!$B:$B,'Felosztás eredménykim'!$B64,'Eredeti fejléccel'!$CD:$CD)</f>
        <v>0</v>
      </c>
      <c r="EK64" s="6">
        <f>SUMIF('Eredeti fejléccel'!$B:$B,'Felosztás eredménykim'!$B64,'Eredeti fejléccel'!$CE:$CE)</f>
        <v>0</v>
      </c>
      <c r="EN64" s="6">
        <f>SUMIF('Eredeti fejléccel'!$B:$B,'Felosztás eredménykim'!$B64,'Eredeti fejléccel'!$CF:$CF)</f>
        <v>0</v>
      </c>
      <c r="EP64" s="6">
        <f>SUMIF('Eredeti fejléccel'!$B:$B,'Felosztás eredménykim'!$B64,'Eredeti fejléccel'!$CG:$CG)</f>
        <v>0</v>
      </c>
      <c r="ES64" s="6">
        <f>SUMIF('Eredeti fejléccel'!$B:$B,'Felosztás eredménykim'!$B64,'Eredeti fejléccel'!$CH:$CH)</f>
        <v>0</v>
      </c>
      <c r="ET64" s="6">
        <f>SUMIF('Eredeti fejléccel'!$B:$B,'Felosztás eredménykim'!$B64,'Eredeti fejléccel'!$CI:$CI)</f>
        <v>0</v>
      </c>
      <c r="EW64" s="8">
        <f t="shared" si="22"/>
        <v>0</v>
      </c>
      <c r="EX64" s="8">
        <f t="shared" si="51"/>
        <v>0</v>
      </c>
      <c r="EY64" s="8">
        <f t="shared" si="52"/>
        <v>9480.35</v>
      </c>
      <c r="EZ64" s="8">
        <f t="shared" si="23"/>
        <v>14495.220000000001</v>
      </c>
      <c r="FA64" s="8">
        <f t="shared" si="24"/>
        <v>9480.35</v>
      </c>
      <c r="FC64" s="6">
        <f>SUMIF('Eredeti fejléccel'!$B:$B,'Felosztás eredménykim'!$B64,'Eredeti fejléccel'!$L:$L)</f>
        <v>0</v>
      </c>
      <c r="FD64" s="6">
        <f>SUMIF('Eredeti fejléccel'!$B:$B,'Felosztás eredménykim'!$B64,'Eredeti fejléccel'!$CJ:$CJ)</f>
        <v>8627.8899999999958</v>
      </c>
      <c r="FE64" s="6">
        <f>SUMIF('Eredeti fejléccel'!$B:$B,'Felosztás eredménykim'!$B64,'Eredeti fejléccel'!$CL:$CL)</f>
        <v>0</v>
      </c>
      <c r="FG64" s="99">
        <f t="shared" si="53"/>
        <v>8627.8899999999958</v>
      </c>
      <c r="FH64" s="6">
        <f>SUMIF('Eredeti fejléccel'!$B:$B,'Felosztás eredménykim'!$B64,'Eredeti fejléccel'!$CK:$CK)</f>
        <v>0</v>
      </c>
      <c r="FI64" s="36">
        <f t="shared" si="68"/>
        <v>6977.7582280405959</v>
      </c>
      <c r="FJ64" s="101">
        <f t="shared" si="26"/>
        <v>1913.201476960387</v>
      </c>
      <c r="FK64" s="6">
        <f>SUMIF('Eredeti fejléccel'!$B:$B,'Felosztás eredménykim'!$B64,'Eredeti fejléccel'!$CM:$CM)</f>
        <v>6507.2600000000011</v>
      </c>
      <c r="FL64" s="6">
        <f>SUMIF('Eredeti fejléccel'!$B:$B,'Felosztás eredménykim'!$B64,'Eredeti fejléccel'!$CN:$CN)</f>
        <v>0</v>
      </c>
      <c r="FM64" s="8">
        <f t="shared" si="54"/>
        <v>8420.4614769603886</v>
      </c>
      <c r="FN64" s="36">
        <f t="shared" si="69"/>
        <v>5932.2392226725015</v>
      </c>
      <c r="FO64" s="101">
        <f t="shared" si="28"/>
        <v>1626.5351236863371</v>
      </c>
      <c r="FP64" s="6">
        <f>SUMIF('Eredeti fejléccel'!$B:$B,'Felosztás eredménykim'!$B64,'Eredeti fejléccel'!$CO:$CO)</f>
        <v>11687.23</v>
      </c>
      <c r="FQ64" s="6">
        <f>'Eredeti fejléccel'!CP64</f>
        <v>3889.66</v>
      </c>
      <c r="FR64" s="6">
        <f>'Eredeti fejléccel'!CQ64</f>
        <v>0</v>
      </c>
      <c r="FS64" s="103">
        <f t="shared" si="55"/>
        <v>17203.425123686335</v>
      </c>
      <c r="FT64" s="36">
        <f t="shared" si="70"/>
        <v>16374.710067042408</v>
      </c>
      <c r="FU64" s="101">
        <f t="shared" si="30"/>
        <v>4489.7112312045256</v>
      </c>
      <c r="FV64" s="101"/>
      <c r="FW64" s="6">
        <f>SUMIF('Eredeti fejléccel'!$B:$B,'Felosztás eredménykim'!$B64,'Eredeti fejléccel'!$CR:$CR)</f>
        <v>38639.999999999993</v>
      </c>
      <c r="FX64" s="6">
        <f>SUMIF('Eredeti fejléccel'!$B:$B,'Felosztás eredménykim'!$B64,'Eredeti fejléccel'!$CS:$CS)</f>
        <v>0</v>
      </c>
      <c r="FY64" s="6">
        <f>SUMIF('Eredeti fejléccel'!$B:$B,'Felosztás eredménykim'!$B64,'Eredeti fejléccel'!$CT:$CT)</f>
        <v>2782.7</v>
      </c>
      <c r="FZ64" s="6">
        <f>SUMIF('Eredeti fejléccel'!$B:$B,'Felosztás eredménykim'!$B64,'Eredeti fejléccel'!$CU:$CU)</f>
        <v>0</v>
      </c>
      <c r="GA64" s="103">
        <f t="shared" si="56"/>
        <v>45912.411231204518</v>
      </c>
      <c r="GB64" s="36">
        <f t="shared" si="71"/>
        <v>2182.6163177757317</v>
      </c>
      <c r="GC64" s="101">
        <f t="shared" si="32"/>
        <v>598.44216814874665</v>
      </c>
      <c r="GD64" s="6">
        <f>SUMIF('Eredeti fejléccel'!$B:$B,'Felosztás eredménykim'!$B64,'Eredeti fejléccel'!$CV:$CV)</f>
        <v>6671.35</v>
      </c>
      <c r="GE64" s="6">
        <f>SUMIF('Eredeti fejléccel'!$B:$B,'Felosztás eredménykim'!$B64,'Eredeti fejléccel'!$CW:$CW)</f>
        <v>0</v>
      </c>
      <c r="GF64" s="103">
        <f t="shared" si="57"/>
        <v>7269.7921681487469</v>
      </c>
      <c r="GG64" s="36">
        <f t="shared" si="33"/>
        <v>0</v>
      </c>
      <c r="GM64" s="6">
        <f>SUMIF('Eredeti fejléccel'!$B:$B,'Felosztás eredménykim'!$B64,'Eredeti fejléccel'!$CX:$CX)</f>
        <v>0</v>
      </c>
      <c r="GN64" s="6">
        <f>SUMIF('Eredeti fejléccel'!$B:$B,'Felosztás eredménykim'!$B64,'Eredeti fejléccel'!$CY:$CY)</f>
        <v>0</v>
      </c>
      <c r="GO64" s="6">
        <f>SUMIF('Eredeti fejléccel'!$B:$B,'Felosztás eredménykim'!$B64,'Eredeti fejléccel'!$CZ:$CZ)</f>
        <v>0</v>
      </c>
      <c r="GP64" s="6">
        <f>SUMIF('Eredeti fejléccel'!$B:$B,'Felosztás eredménykim'!$B64,'Eredeti fejléccel'!$DA:$DA)</f>
        <v>0</v>
      </c>
      <c r="GQ64" s="6">
        <f>SUMIF('Eredeti fejléccel'!$B:$B,'Felosztás eredménykim'!$B64,'Eredeti fejléccel'!$DB:$DB)</f>
        <v>0</v>
      </c>
      <c r="GR64" s="103">
        <f t="shared" si="58"/>
        <v>0</v>
      </c>
      <c r="GW64" s="36">
        <f t="shared" si="34"/>
        <v>3746.696869027689</v>
      </c>
      <c r="GX64" s="6">
        <f>SUMIF('Eredeti fejléccel'!$B:$B,'Felosztás eredménykim'!$B64,'Eredeti fejléccel'!$M:$M)</f>
        <v>0</v>
      </c>
      <c r="GY64" s="6">
        <f>SUMIF('Eredeti fejléccel'!$B:$B,'Felosztás eredménykim'!$B64,'Eredeti fejléccel'!$DC:$DC)</f>
        <v>4177.2700000000004</v>
      </c>
      <c r="GZ64" s="6">
        <f>SUMIF('Eredeti fejléccel'!$B:$B,'Felosztás eredménykim'!$B64,'Eredeti fejléccel'!$DD:$DD)</f>
        <v>0</v>
      </c>
      <c r="HA64" s="6">
        <f>SUMIF('Eredeti fejléccel'!$B:$B,'Felosztás eredménykim'!$B64,'Eredeti fejléccel'!$DE:$DE)</f>
        <v>0</v>
      </c>
      <c r="HB64" s="103">
        <f t="shared" si="59"/>
        <v>4177.2700000000004</v>
      </c>
      <c r="HD64" s="9">
        <f t="shared" si="72"/>
        <v>350254.96999999968</v>
      </c>
      <c r="HE64" s="9">
        <v>350254.97</v>
      </c>
      <c r="HF64" s="476"/>
      <c r="HH64" s="34">
        <f t="shared" si="60"/>
        <v>0</v>
      </c>
    </row>
    <row r="65" spans="1:218" x14ac:dyDescent="0.25">
      <c r="A65" s="4" t="s">
        <v>148</v>
      </c>
      <c r="B65" s="4" t="s">
        <v>148</v>
      </c>
      <c r="C65" s="1" t="s">
        <v>149</v>
      </c>
      <c r="D65" s="6">
        <f>SUMIF('Eredeti fejléccel'!$B:$B,'Felosztás eredménykim'!$B65,'Eredeti fejléccel'!$D:$D)</f>
        <v>0</v>
      </c>
      <c r="E65" s="6">
        <f>SUMIF('Eredeti fejléccel'!$B:$B,'Felosztás eredménykim'!$B65,'Eredeti fejléccel'!$E:$E)</f>
        <v>16069.822099999998</v>
      </c>
      <c r="F65" s="6">
        <f>SUMIF('Eredeti fejléccel'!$B:$B,'Felosztás eredménykim'!$B65,'Eredeti fejléccel'!$F:$F)</f>
        <v>-3.637978807091713E-12</v>
      </c>
      <c r="G65" s="6">
        <f>SUMIF('Eredeti fejléccel'!$B:$B,'Felosztás eredménykim'!$B65,'Eredeti fejléccel'!$G:$G)</f>
        <v>5925.3</v>
      </c>
      <c r="H65" s="6"/>
      <c r="I65" s="6">
        <f>SUMIF('Eredeti fejléccel'!$B:$B,'Felosztás eredménykim'!$B65,'Eredeti fejléccel'!$O:$O)</f>
        <v>11021.980900000002</v>
      </c>
      <c r="J65" s="6">
        <f>SUMIF('Eredeti fejléccel'!$B:$B,'Felosztás eredménykim'!$B65,'Eredeti fejléccel'!$P:$P)</f>
        <v>0</v>
      </c>
      <c r="K65" s="6">
        <f>SUMIF('Eredeti fejléccel'!$B:$B,'Felosztás eredménykim'!$B65,'Eredeti fejléccel'!$Q:$Q)</f>
        <v>0</v>
      </c>
      <c r="L65" s="6">
        <f>SUMIF('Eredeti fejléccel'!$B:$B,'Felosztás eredménykim'!$B65,'Eredeti fejléccel'!$R:$R)</f>
        <v>12865.2</v>
      </c>
      <c r="M65" s="6">
        <f>SUMIF('Eredeti fejléccel'!$B:$B,'Felosztás eredménykim'!$B65,'Eredeti fejléccel'!$T:$T)</f>
        <v>0</v>
      </c>
      <c r="N65" s="6">
        <f>SUMIF('Eredeti fejléccel'!$B:$B,'Felosztás eredménykim'!$B65,'Eredeti fejléccel'!$U:$U)</f>
        <v>914.40000000000009</v>
      </c>
      <c r="O65" s="6">
        <f>SUMIF('Eredeti fejléccel'!$B:$B,'Felosztás eredménykim'!$B65,'Eredeti fejléccel'!$V:$V)</f>
        <v>18830.183900000011</v>
      </c>
      <c r="P65" s="6">
        <f>SUMIF('Eredeti fejléccel'!$B:$B,'Felosztás eredménykim'!$B65,'Eredeti fejléccel'!$W:$W)</f>
        <v>26877.599999999999</v>
      </c>
      <c r="Q65" s="6">
        <f>SUMIF('Eredeti fejléccel'!$B:$B,'Felosztás eredménykim'!$B65,'Eredeti fejléccel'!$X:$X)</f>
        <v>18386.400000000005</v>
      </c>
      <c r="R65" s="6">
        <f>SUMIF('Eredeti fejléccel'!$B:$B,'Felosztás eredménykim'!$B65,'Eredeti fejléccel'!$Y:$Y)</f>
        <v>9326.4</v>
      </c>
      <c r="S65" s="6">
        <f>SUMIF('Eredeti fejléccel'!$B:$B,'Felosztás eredménykim'!$B65,'Eredeti fejléccel'!$Z:$Z)</f>
        <v>9849.6000000000022</v>
      </c>
      <c r="T65" s="6">
        <f>SUMIF('Eredeti fejléccel'!$B:$B,'Felosztás eredménykim'!$B65,'Eredeti fejléccel'!$AA:$AA)</f>
        <v>0</v>
      </c>
      <c r="U65" s="6">
        <f>SUMIF('Eredeti fejléccel'!$B:$B,'Felosztás eredménykim'!$B65,'Eredeti fejléccel'!$D:$D)</f>
        <v>0</v>
      </c>
      <c r="V65" s="6">
        <f>SUMIF('Eredeti fejléccel'!$B:$B,'Felosztás eredménykim'!$B65,'Eredeti fejléccel'!$AT:$AT)</f>
        <v>20006.400000000001</v>
      </c>
      <c r="X65" s="36">
        <f t="shared" si="0"/>
        <v>150073.28690000004</v>
      </c>
      <c r="Z65" s="6">
        <f>SUMIF('Eredeti fejléccel'!$B:$B,'Felosztás eredménykim'!$B65,'Eredeti fejléccel'!$K:$K)</f>
        <v>27682.701500000003</v>
      </c>
      <c r="AB65" s="6">
        <f>SUMIF('Eredeti fejléccel'!$B:$B,'Felosztás eredménykim'!$B65,'Eredeti fejléccel'!$AB:$AB)</f>
        <v>0</v>
      </c>
      <c r="AC65" s="6">
        <f>SUMIF('Eredeti fejléccel'!$B:$B,'Felosztás eredménykim'!$B65,'Eredeti fejléccel'!$AQ:$AQ)</f>
        <v>0</v>
      </c>
      <c r="AE65" s="73">
        <f t="shared" si="1"/>
        <v>27682.701500000003</v>
      </c>
      <c r="AF65" s="36">
        <f t="shared" si="61"/>
        <v>17902.938964581594</v>
      </c>
      <c r="AG65" s="8">
        <f t="shared" si="3"/>
        <v>8826.4762407208655</v>
      </c>
      <c r="AI65" s="6">
        <f>SUMIF('Eredeti fejléccel'!$B:$B,'Felosztás eredménykim'!$B65,'Eredeti fejléccel'!$BB:$BB)</f>
        <v>22468.820400000004</v>
      </c>
      <c r="AJ65" s="6">
        <f>SUMIF('Eredeti fejléccel'!$B:$B,'Felosztás eredménykim'!$B65,'Eredeti fejléccel'!$AF:$AF)</f>
        <v>0</v>
      </c>
      <c r="AK65" s="8">
        <f t="shared" ref="AK65:AK130" si="73">SUM(AG65:AJ65)</f>
        <v>31295.29664072087</v>
      </c>
      <c r="AL65" s="36">
        <f t="shared" si="62"/>
        <v>7110.9569632110906</v>
      </c>
      <c r="AM65" s="8">
        <f t="shared" si="6"/>
        <v>3505.8317971558895</v>
      </c>
      <c r="AN65" s="6">
        <f t="shared" si="36"/>
        <v>-18.260300000000001</v>
      </c>
      <c r="AO65" s="6">
        <f>SUMIF('Eredeti fejléccel'!$B:$B,'Felosztás eredménykim'!$B65,'Eredeti fejléccel'!$AC:$AC)</f>
        <v>36.520600000000002</v>
      </c>
      <c r="AP65" s="6">
        <f>SUMIF('Eredeti fejléccel'!$B:$B,'Felosztás eredménykim'!$B65,'Eredeti fejléccel'!$AD:$AD)</f>
        <v>0</v>
      </c>
      <c r="AQ65" s="6">
        <f>SUMIF('Eredeti fejléccel'!$B:$B,'Felosztás eredménykim'!$B65,'Eredeti fejléccel'!$AE:$AE)</f>
        <v>0</v>
      </c>
      <c r="AR65" s="6">
        <f>SUMIF('Eredeti fejléccel'!$B:$B,'Felosztás eredménykim'!$B65,'Eredeti fejléccel'!$AG:$AG)</f>
        <v>57455.300000000017</v>
      </c>
      <c r="AS65" s="6">
        <f t="shared" si="37"/>
        <v>60979.392097155906</v>
      </c>
      <c r="AT65" s="36">
        <f t="shared" si="63"/>
        <v>11550.283202955869</v>
      </c>
      <c r="AU65" s="8">
        <f t="shared" si="8"/>
        <v>5694.5008004650745</v>
      </c>
      <c r="AV65" s="6">
        <f>SUMIF('Eredeti fejléccel'!$B:$B,'Felosztás eredménykim'!$B65,'Eredeti fejléccel'!$AI:$AI)</f>
        <v>0</v>
      </c>
      <c r="AW65" s="6">
        <f>SUMIF('Eredeti fejléccel'!$B:$B,'Felosztás eredménykim'!$B65,'Eredeti fejléccel'!$AJ:$AJ)</f>
        <v>3341.3206000000009</v>
      </c>
      <c r="AX65" s="6">
        <f>SUMIF('Eredeti fejléccel'!$B:$B,'Felosztás eredménykim'!$B65,'Eredeti fejléccel'!$AK:$AK)</f>
        <v>6790.5838999999996</v>
      </c>
      <c r="AY65" s="6">
        <f>SUMIF('Eredeti fejléccel'!$B:$B,'Felosztás eredménykim'!$B65,'Eredeti fejléccel'!$AL:$AL)</f>
        <v>3367.9014999999999</v>
      </c>
      <c r="AZ65" s="6">
        <f>SUMIF('Eredeti fejléccel'!$B:$B,'Felosztás eredménykim'!$B65,'Eredeti fejléccel'!$AM:$AM)</f>
        <v>10013.942700000003</v>
      </c>
      <c r="BA65" s="6">
        <f>SUMIF('Eredeti fejléccel'!$B:$B,'Felosztás eredménykim'!$B65,'Eredeti fejléccel'!$AN:$AN)</f>
        <v>0</v>
      </c>
      <c r="BB65" s="6">
        <f>SUMIF('Eredeti fejléccel'!$B:$B,'Felosztás eredménykim'!$B65,'Eredeti fejléccel'!$AP:$AP)</f>
        <v>1955.8000000000004</v>
      </c>
      <c r="BD65" s="6">
        <f>SUMIF('Eredeti fejléccel'!$B:$B,'Felosztás eredménykim'!$B65,'Eredeti fejléccel'!$AS:$AS)</f>
        <v>0</v>
      </c>
      <c r="BE65" s="8">
        <f t="shared" si="38"/>
        <v>31164.04950046508</v>
      </c>
      <c r="BF65" s="36">
        <f t="shared" si="64"/>
        <v>3013.1173572928346</v>
      </c>
      <c r="BG65" s="8">
        <f t="shared" si="10"/>
        <v>1485.5219479474108</v>
      </c>
      <c r="BH65" s="6">
        <f t="shared" si="39"/>
        <v>18.260300000000001</v>
      </c>
      <c r="BI65" s="6">
        <f>SUMIF('Eredeti fejléccel'!$B:$B,'Felosztás eredménykim'!$B65,'Eredeti fejléccel'!$AH:$AH)</f>
        <v>16771.342699999997</v>
      </c>
      <c r="BJ65" s="6">
        <f>SUMIF('Eredeti fejléccel'!$B:$B,'Felosztás eredménykim'!$B65,'Eredeti fejléccel'!$AO:$AO)</f>
        <v>0</v>
      </c>
      <c r="BK65" s="6">
        <f>SUMIF('Eredeti fejléccel'!$B:$B,'Felosztás eredménykim'!$B65,'Eredeti fejléccel'!$BF:$BF)</f>
        <v>0</v>
      </c>
      <c r="BL65" s="8">
        <f t="shared" si="40"/>
        <v>18275.124947947406</v>
      </c>
      <c r="BM65" s="36">
        <f t="shared" si="65"/>
        <v>11289.146365323822</v>
      </c>
      <c r="BN65" s="8">
        <f t="shared" si="12"/>
        <v>5565.755564976299</v>
      </c>
      <c r="BP65" s="8">
        <f t="shared" si="41"/>
        <v>0</v>
      </c>
      <c r="BQ65" s="6">
        <f>SUMIF('Eredeti fejléccel'!$B:$B,'Felosztás eredménykim'!$B65,'Eredeti fejléccel'!$N:$N)</f>
        <v>0</v>
      </c>
      <c r="BR65" s="6">
        <f>SUMIF('Eredeti fejléccel'!$B:$B,'Felosztás eredménykim'!$B65,'Eredeti fejléccel'!$S:$S)</f>
        <v>0</v>
      </c>
      <c r="BT65" s="6">
        <f>SUMIF('Eredeti fejléccel'!$B:$B,'Felosztás eredménykim'!$B65,'Eredeti fejléccel'!$AR:$AR)</f>
        <v>0</v>
      </c>
      <c r="BU65" s="6">
        <f>SUMIF('Eredeti fejléccel'!$B:$B,'Felosztás eredménykim'!$B65,'Eredeti fejléccel'!$AU:$AU)</f>
        <v>0</v>
      </c>
      <c r="BV65" s="6">
        <f>SUMIF('Eredeti fejléccel'!$B:$B,'Felosztás eredménykim'!$B65,'Eredeti fejléccel'!$AV:$AV)</f>
        <v>7001.4000000000005</v>
      </c>
      <c r="BW65" s="6">
        <f>SUMIF('Eredeti fejléccel'!$B:$B,'Felosztás eredménykim'!$B65,'Eredeti fejléccel'!$AW:$AW)</f>
        <v>0</v>
      </c>
      <c r="BX65" s="6">
        <f>SUMIF('Eredeti fejléccel'!$B:$B,'Felosztás eredménykim'!$B65,'Eredeti fejléccel'!$AX:$AX)</f>
        <v>0</v>
      </c>
      <c r="BY65" s="6">
        <f>SUMIF('Eredeti fejléccel'!$B:$B,'Felosztás eredménykim'!$B65,'Eredeti fejléccel'!$AY:$AY)</f>
        <v>0</v>
      </c>
      <c r="BZ65" s="6">
        <f>SUMIF('Eredeti fejléccel'!$B:$B,'Felosztás eredménykim'!$B65,'Eredeti fejléccel'!$AZ:$AZ)</f>
        <v>0</v>
      </c>
      <c r="CA65" s="6">
        <f>SUMIF('Eredeti fejléccel'!$B:$B,'Felosztás eredménykim'!$B65,'Eredeti fejléccel'!$BA:$BA)</f>
        <v>74616.841999999975</v>
      </c>
      <c r="CB65" s="6">
        <f t="shared" si="13"/>
        <v>87183.997564976278</v>
      </c>
      <c r="CC65" s="36">
        <f t="shared" si="66"/>
        <v>3073.3797044386915</v>
      </c>
      <c r="CD65" s="8">
        <f t="shared" si="15"/>
        <v>1515.2323869063589</v>
      </c>
      <c r="CE65" s="6">
        <f>SUMIF('Eredeti fejléccel'!$B:$B,'Felosztás eredménykim'!$B65,'Eredeti fejléccel'!$BC:$BC)</f>
        <v>3397.7206000000006</v>
      </c>
      <c r="CF65" s="8">
        <f t="shared" si="42"/>
        <v>-1698.8603000000003</v>
      </c>
      <c r="CG65" s="6">
        <f>SUMIF('Eredeti fejléccel'!$B:$B,'Felosztás eredménykim'!$B65,'Eredeti fejléccel'!$H:$H)</f>
        <v>0</v>
      </c>
      <c r="CH65" s="6">
        <f>SUMIF('Eredeti fejléccel'!$B:$B,'Felosztás eredménykim'!$B65,'Eredeti fejléccel'!$BE:$BE)</f>
        <v>12316.244200000003</v>
      </c>
      <c r="CI65" s="6">
        <f t="shared" si="43"/>
        <v>15530.336886906362</v>
      </c>
      <c r="CJ65" s="36">
        <f t="shared" si="67"/>
        <v>2209.6193953480793</v>
      </c>
      <c r="CK65" s="8">
        <f t="shared" si="17"/>
        <v>1089.3827618281014</v>
      </c>
      <c r="CL65" s="8">
        <f t="shared" si="44"/>
        <v>1698.8603000000003</v>
      </c>
      <c r="CM65" s="6">
        <f>SUMIF('Eredeti fejléccel'!$B:$B,'Felosztás eredménykim'!$B65,'Eredeti fejléccel'!$BD:$BD)</f>
        <v>6818.0824000000011</v>
      </c>
      <c r="CN65" s="8">
        <f t="shared" si="45"/>
        <v>9606.3254618281026</v>
      </c>
      <c r="CO65" s="8">
        <f t="shared" si="18"/>
        <v>310183.96505315194</v>
      </c>
      <c r="CR65" s="36">
        <f t="shared" si="19"/>
        <v>13272.740473737929</v>
      </c>
      <c r="CS65" s="6">
        <f>SUMIF('Eredeti fejléccel'!$B:$B,'Felosztás eredménykim'!$B65,'Eredeti fejléccel'!$I:$I)</f>
        <v>34875.270000000011</v>
      </c>
      <c r="CT65" s="6">
        <f>SUMIF('Eredeti fejléccel'!$B:$B,'Felosztás eredménykim'!$B65,'Eredeti fejléccel'!$BG:$BG)</f>
        <v>0</v>
      </c>
      <c r="CU65" s="6">
        <f>SUMIF('Eredeti fejléccel'!$B:$B,'Felosztás eredménykim'!$B65,'Eredeti fejléccel'!$BH:$BH)</f>
        <v>46384.6</v>
      </c>
      <c r="CV65" s="6">
        <f>SUMIF('Eredeti fejléccel'!$B:$B,'Felosztás eredménykim'!$B65,'Eredeti fejléccel'!$BI:$BI)</f>
        <v>7113.7999999999993</v>
      </c>
      <c r="CW65" s="6">
        <f>SUMIF('Eredeti fejléccel'!$B:$B,'Felosztás eredménykim'!$B65,'Eredeti fejléccel'!$BL:$BL)</f>
        <v>0</v>
      </c>
      <c r="CX65" s="6">
        <f t="shared" si="46"/>
        <v>88373.670000000013</v>
      </c>
      <c r="CY65" s="6">
        <f>SUMIF('Eredeti fejléccel'!$B:$B,'Felosztás eredménykim'!$B65,'Eredeti fejléccel'!$BJ:$BJ)</f>
        <v>13206</v>
      </c>
      <c r="CZ65" s="6">
        <f>SUMIF('Eredeti fejléccel'!$B:$B,'Felosztás eredménykim'!$B65,'Eredeti fejléccel'!$BK:$BK)</f>
        <v>0</v>
      </c>
      <c r="DA65" s="99">
        <f t="shared" si="47"/>
        <v>101579.67000000001</v>
      </c>
      <c r="DC65" s="36">
        <f t="shared" si="20"/>
        <v>11625.123254391505</v>
      </c>
      <c r="DD65" s="6">
        <f>SUMIF('Eredeti fejléccel'!$B:$B,'Felosztás eredménykim'!$B65,'Eredeti fejléccel'!$J:$J)</f>
        <v>0</v>
      </c>
      <c r="DE65" s="6">
        <f>SUMIF('Eredeti fejléccel'!$B:$B,'Felosztás eredménykim'!$B65,'Eredeti fejléccel'!$BM:$BM)</f>
        <v>19957.149999999998</v>
      </c>
      <c r="DF65" s="6">
        <f t="shared" si="48"/>
        <v>0</v>
      </c>
      <c r="DG65" s="8">
        <f t="shared" si="21"/>
        <v>0</v>
      </c>
      <c r="DH65" s="8">
        <f t="shared" si="49"/>
        <v>19957.149999999998</v>
      </c>
      <c r="DJ65" s="6">
        <f>SUMIF('Eredeti fejléccel'!$B:$B,'Felosztás eredménykim'!$B65,'Eredeti fejléccel'!$BN:$BN)</f>
        <v>10134.600000000002</v>
      </c>
      <c r="DK65" s="6">
        <f>SUMIF('Eredeti fejléccel'!$B:$B,'Felosztás eredménykim'!$B65,'Eredeti fejléccel'!$BZ:$BZ)</f>
        <v>0</v>
      </c>
      <c r="DL65" s="8">
        <f t="shared" si="50"/>
        <v>10134.600000000002</v>
      </c>
      <c r="DM65" s="6">
        <f>SUMIF('Eredeti fejléccel'!$B:$B,'Felosztás eredménykim'!$B65,'Eredeti fejléccel'!$BR:$BR)</f>
        <v>0</v>
      </c>
      <c r="DN65" s="6">
        <f>SUMIF('Eredeti fejléccel'!$B:$B,'Felosztás eredménykim'!$B65,'Eredeti fejléccel'!$BS:$BS)</f>
        <v>0</v>
      </c>
      <c r="DO65" s="6">
        <f>SUMIF('Eredeti fejléccel'!$B:$B,'Felosztás eredménykim'!$B65,'Eredeti fejléccel'!$BO:$BO)</f>
        <v>0</v>
      </c>
      <c r="DP65" s="6">
        <f>SUMIF('Eredeti fejléccel'!$B:$B,'Felosztás eredménykim'!$B65,'Eredeti fejléccel'!$BP:$BP)</f>
        <v>0</v>
      </c>
      <c r="DQ65" s="6">
        <f>SUMIF('Eredeti fejléccel'!$B:$B,'Felosztás eredménykim'!$B65,'Eredeti fejléccel'!$BQ:$BQ)</f>
        <v>0</v>
      </c>
      <c r="DS65" s="8"/>
      <c r="DU65" s="6">
        <f>SUMIF('Eredeti fejléccel'!$B:$B,'Felosztás eredménykim'!$B65,'Eredeti fejléccel'!$BT:$BT)</f>
        <v>0</v>
      </c>
      <c r="DV65" s="6">
        <f>SUMIF('Eredeti fejléccel'!$B:$B,'Felosztás eredménykim'!$B65,'Eredeti fejléccel'!$BU:$BU)</f>
        <v>0</v>
      </c>
      <c r="DW65" s="6">
        <f>SUMIF('Eredeti fejléccel'!$B:$B,'Felosztás eredménykim'!$B65,'Eredeti fejléccel'!$BV:$BV)</f>
        <v>0</v>
      </c>
      <c r="DX65" s="6">
        <f>SUMIF('Eredeti fejléccel'!$B:$B,'Felosztás eredménykim'!$B65,'Eredeti fejléccel'!$BW:$BW)</f>
        <v>0</v>
      </c>
      <c r="DY65" s="6">
        <f>SUMIF('Eredeti fejléccel'!$B:$B,'Felosztás eredménykim'!$B65,'Eredeti fejléccel'!$BX:$BX)</f>
        <v>0</v>
      </c>
      <c r="EA65" s="6"/>
      <c r="EC65" s="6"/>
      <c r="EE65" s="6">
        <f>SUMIF('Eredeti fejléccel'!$B:$B,'Felosztás eredménykim'!$B65,'Eredeti fejléccel'!$CA:$CA)</f>
        <v>0</v>
      </c>
      <c r="EF65" s="6">
        <f>SUMIF('Eredeti fejléccel'!$B:$B,'Felosztás eredménykim'!$B65,'Eredeti fejléccel'!$CB:$CB)</f>
        <v>0</v>
      </c>
      <c r="EG65" s="6">
        <f>SUMIF('Eredeti fejléccel'!$B:$B,'Felosztás eredménykim'!$B65,'Eredeti fejléccel'!$CC:$CC)</f>
        <v>0</v>
      </c>
      <c r="EH65" s="6">
        <f>SUMIF('Eredeti fejléccel'!$B:$B,'Felosztás eredménykim'!$B65,'Eredeti fejléccel'!$CD:$CD)</f>
        <v>0</v>
      </c>
      <c r="EK65" s="6">
        <f>SUMIF('Eredeti fejléccel'!$B:$B,'Felosztás eredménykim'!$B65,'Eredeti fejléccel'!$CE:$CE)</f>
        <v>0</v>
      </c>
      <c r="EN65" s="6">
        <f>SUMIF('Eredeti fejléccel'!$B:$B,'Felosztás eredménykim'!$B65,'Eredeti fejléccel'!$CF:$CF)</f>
        <v>0</v>
      </c>
      <c r="EP65" s="6">
        <f>SUMIF('Eredeti fejléccel'!$B:$B,'Felosztás eredménykim'!$B65,'Eredeti fejléccel'!$CG:$CG)</f>
        <v>0</v>
      </c>
      <c r="ES65" s="6">
        <f>SUMIF('Eredeti fejléccel'!$B:$B,'Felosztás eredménykim'!$B65,'Eredeti fejléccel'!$CH:$CH)</f>
        <v>0</v>
      </c>
      <c r="ET65" s="6">
        <f>SUMIF('Eredeti fejléccel'!$B:$B,'Felosztás eredménykim'!$B65,'Eredeti fejléccel'!$CI:$CI)</f>
        <v>0</v>
      </c>
      <c r="EW65" s="8">
        <f t="shared" si="22"/>
        <v>0</v>
      </c>
      <c r="EX65" s="8">
        <f t="shared" si="51"/>
        <v>0</v>
      </c>
      <c r="EY65" s="8">
        <f t="shared" si="52"/>
        <v>19957.149999999998</v>
      </c>
      <c r="EZ65" s="8">
        <f t="shared" si="23"/>
        <v>30091.75</v>
      </c>
      <c r="FA65" s="8">
        <f t="shared" si="24"/>
        <v>19957.149999999998</v>
      </c>
      <c r="FC65" s="6">
        <f>SUMIF('Eredeti fejléccel'!$B:$B,'Felosztás eredménykim'!$B65,'Eredeti fejléccel'!$L:$L)</f>
        <v>0</v>
      </c>
      <c r="FD65" s="6">
        <f>SUMIF('Eredeti fejléccel'!$B:$B,'Felosztás eredménykim'!$B65,'Eredeti fejléccel'!$CJ:$CJ)</f>
        <v>16946.27</v>
      </c>
      <c r="FE65" s="6">
        <f>SUMIF('Eredeti fejléccel'!$B:$B,'Felosztás eredménykim'!$B65,'Eredeti fejléccel'!$CL:$CL)</f>
        <v>0</v>
      </c>
      <c r="FG65" s="99">
        <f t="shared" si="53"/>
        <v>16946.27</v>
      </c>
      <c r="FH65" s="6">
        <f>SUMIF('Eredeti fejléccel'!$B:$B,'Felosztás eredménykim'!$B65,'Eredeti fejléccel'!$CK:$CK)</f>
        <v>0</v>
      </c>
      <c r="FI65" s="36">
        <f t="shared" si="68"/>
        <v>13677.69424680136</v>
      </c>
      <c r="FJ65" s="101">
        <f t="shared" si="26"/>
        <v>3757.7702999191592</v>
      </c>
      <c r="FK65" s="6">
        <f>SUMIF('Eredeti fejléccel'!$B:$B,'Felosztás eredménykim'!$B65,'Eredeti fejléccel'!$CM:$CM)</f>
        <v>12911.600000000004</v>
      </c>
      <c r="FL65" s="6">
        <f>SUMIF('Eredeti fejléccel'!$B:$B,'Felosztás eredménykim'!$B65,'Eredeti fejléccel'!$CN:$CN)</f>
        <v>0</v>
      </c>
      <c r="FM65" s="8">
        <f t="shared" si="54"/>
        <v>16669.370299919163</v>
      </c>
      <c r="FN65" s="36">
        <f t="shared" si="69"/>
        <v>11628.283989624781</v>
      </c>
      <c r="FO65" s="101">
        <f t="shared" si="28"/>
        <v>3194.7212320129343</v>
      </c>
      <c r="FP65" s="6">
        <f>SUMIF('Eredeti fejléccel'!$B:$B,'Felosztás eredménykim'!$B65,'Eredeti fejléccel'!$CO:$CO)</f>
        <v>23534.399999999998</v>
      </c>
      <c r="FQ65" s="6">
        <f>'Eredeti fejléccel'!CP65</f>
        <v>5616.2000000000007</v>
      </c>
      <c r="FR65" s="6">
        <f>'Eredeti fejléccel'!CQ65</f>
        <v>0</v>
      </c>
      <c r="FS65" s="103">
        <f t="shared" si="55"/>
        <v>32345.321232012931</v>
      </c>
      <c r="FT65" s="36">
        <f t="shared" si="70"/>
        <v>32097.454563128096</v>
      </c>
      <c r="FU65" s="101">
        <f t="shared" si="30"/>
        <v>8818.3621657235253</v>
      </c>
      <c r="FV65" s="101"/>
      <c r="FW65" s="6">
        <f>SUMIF('Eredeti fejléccel'!$B:$B,'Felosztás eredménykim'!$B65,'Eredeti fejléccel'!$CR:$CR)</f>
        <v>79301.069999999963</v>
      </c>
      <c r="FX65" s="6">
        <f>SUMIF('Eredeti fejléccel'!$B:$B,'Felosztás eredménykim'!$B65,'Eredeti fejléccel'!$CS:$CS)</f>
        <v>0</v>
      </c>
      <c r="FY65" s="6">
        <f>SUMIF('Eredeti fejléccel'!$B:$B,'Felosztás eredménykim'!$B65,'Eredeti fejléccel'!$CT:$CT)</f>
        <v>7699</v>
      </c>
      <c r="FZ65" s="6">
        <f>SUMIF('Eredeti fejléccel'!$B:$B,'Felosztás eredménykim'!$B65,'Eredeti fejléccel'!$CU:$CU)</f>
        <v>0</v>
      </c>
      <c r="GA65" s="103">
        <f t="shared" si="56"/>
        <v>95818.432165723483</v>
      </c>
      <c r="GB65" s="36">
        <f t="shared" si="71"/>
        <v>4278.33090184308</v>
      </c>
      <c r="GC65" s="101">
        <f t="shared" si="32"/>
        <v>1175.4163023443816</v>
      </c>
      <c r="GD65" s="6">
        <f>SUMIF('Eredeti fejléccel'!$B:$B,'Felosztás eredménykim'!$B65,'Eredeti fejléccel'!$CV:$CV)</f>
        <v>13090.800000000003</v>
      </c>
      <c r="GE65" s="6">
        <f>SUMIF('Eredeti fejléccel'!$B:$B,'Felosztás eredménykim'!$B65,'Eredeti fejléccel'!$CW:$CW)</f>
        <v>0</v>
      </c>
      <c r="GF65" s="103">
        <f t="shared" si="57"/>
        <v>14266.216302344385</v>
      </c>
      <c r="GG65" s="36">
        <f t="shared" si="33"/>
        <v>0</v>
      </c>
      <c r="GM65" s="6">
        <f>SUMIF('Eredeti fejléccel'!$B:$B,'Felosztás eredménykim'!$B65,'Eredeti fejléccel'!$CX:$CX)</f>
        <v>0</v>
      </c>
      <c r="GN65" s="6">
        <f>SUMIF('Eredeti fejléccel'!$B:$B,'Felosztás eredménykim'!$B65,'Eredeti fejléccel'!$CY:$CY)</f>
        <v>0</v>
      </c>
      <c r="GO65" s="6">
        <f>SUMIF('Eredeti fejléccel'!$B:$B,'Felosztás eredménykim'!$B65,'Eredeti fejléccel'!$CZ:$CZ)</f>
        <v>0</v>
      </c>
      <c r="GP65" s="6">
        <f>SUMIF('Eredeti fejléccel'!$B:$B,'Felosztás eredménykim'!$B65,'Eredeti fejléccel'!$DA:$DA)</f>
        <v>0</v>
      </c>
      <c r="GQ65" s="6">
        <f>SUMIF('Eredeti fejléccel'!$B:$B,'Felosztás eredménykim'!$B65,'Eredeti fejléccel'!$DB:$DB)</f>
        <v>0</v>
      </c>
      <c r="GR65" s="103">
        <f t="shared" si="58"/>
        <v>0</v>
      </c>
      <c r="GW65" s="36">
        <f t="shared" si="34"/>
        <v>7344.2175173213154</v>
      </c>
      <c r="GX65" s="6">
        <f>SUMIF('Eredeti fejléccel'!$B:$B,'Felosztás eredménykim'!$B65,'Eredeti fejléccel'!$M:$M)</f>
        <v>0</v>
      </c>
      <c r="GY65" s="6">
        <f>SUMIF('Eredeti fejléccel'!$B:$B,'Felosztás eredménykim'!$B65,'Eredeti fejléccel'!$DC:$DC)</f>
        <v>8350.0000000000018</v>
      </c>
      <c r="GZ65" s="6">
        <f>SUMIF('Eredeti fejléccel'!$B:$B,'Felosztás eredménykim'!$B65,'Eredeti fejléccel'!$DD:$DD)</f>
        <v>0</v>
      </c>
      <c r="HA65" s="6">
        <f>SUMIF('Eredeti fejléccel'!$B:$B,'Felosztás eredménykim'!$B65,'Eredeti fejléccel'!$DE:$DE)</f>
        <v>0</v>
      </c>
      <c r="HB65" s="103">
        <f t="shared" si="59"/>
        <v>8350.0000000000018</v>
      </c>
      <c r="HD65" s="9">
        <f t="shared" si="72"/>
        <v>703228.57000000041</v>
      </c>
      <c r="HE65" s="9">
        <v>703228.57</v>
      </c>
      <c r="HF65" s="476"/>
      <c r="HH65" s="34">
        <f t="shared" si="60"/>
        <v>0</v>
      </c>
    </row>
    <row r="66" spans="1:218" x14ac:dyDescent="0.25">
      <c r="A66" s="4" t="s">
        <v>150</v>
      </c>
      <c r="B66" s="4" t="s">
        <v>150</v>
      </c>
      <c r="C66" s="1" t="s">
        <v>151</v>
      </c>
      <c r="D66" s="6">
        <f>SUMIF('Eredeti fejléccel'!$B:$B,'Felosztás eredménykim'!$B66,'Eredeti fejléccel'!$D:$D)</f>
        <v>0</v>
      </c>
      <c r="E66" s="6">
        <f>SUMIF('Eredeti fejléccel'!$B:$B,'Felosztás eredménykim'!$B66,'Eredeti fejléccel'!$E:$E)</f>
        <v>47869.529300000009</v>
      </c>
      <c r="F66" s="6">
        <f>SUMIF('Eredeti fejléccel'!$B:$B,'Felosztás eredménykim'!$B66,'Eredeti fejléccel'!$F:$F)</f>
        <v>-1.4551915228366852E-11</v>
      </c>
      <c r="G66" s="6">
        <f>SUMIF('Eredeti fejléccel'!$B:$B,'Felosztás eredménykim'!$B66,'Eredeti fejléccel'!$G:$G)</f>
        <v>13538.14</v>
      </c>
      <c r="H66" s="6"/>
      <c r="I66" s="6">
        <f>SUMIF('Eredeti fejléccel'!$B:$B,'Felosztás eredménykim'!$B66,'Eredeti fejléccel'!$O:$O)</f>
        <v>31562.339699999993</v>
      </c>
      <c r="J66" s="6">
        <f>SUMIF('Eredeti fejléccel'!$B:$B,'Felosztás eredménykim'!$B66,'Eredeti fejléccel'!$P:$P)</f>
        <v>0</v>
      </c>
      <c r="K66" s="6">
        <f>SUMIF('Eredeti fejléccel'!$B:$B,'Felosztás eredménykim'!$B66,'Eredeti fejléccel'!$Q:$Q)</f>
        <v>0</v>
      </c>
      <c r="L66" s="6">
        <f>SUMIF('Eredeti fejléccel'!$B:$B,'Felosztás eredménykim'!$B66,'Eredeti fejléccel'!$R:$R)</f>
        <v>35971.740000000005</v>
      </c>
      <c r="M66" s="6">
        <f>SUMIF('Eredeti fejléccel'!$B:$B,'Felosztás eredménykim'!$B66,'Eredeti fejléccel'!$T:$T)</f>
        <v>0</v>
      </c>
      <c r="N66" s="6">
        <f>SUMIF('Eredeti fejléccel'!$B:$B,'Felosztás eredménykim'!$B66,'Eredeti fejléccel'!$U:$U)</f>
        <v>840</v>
      </c>
      <c r="O66" s="6">
        <f>SUMIF('Eredeti fejléccel'!$B:$B,'Felosztás eredménykim'!$B66,'Eredeti fejléccel'!$V:$V)</f>
        <v>53018.138700000003</v>
      </c>
      <c r="P66" s="6">
        <f>SUMIF('Eredeti fejléccel'!$B:$B,'Felosztás eredménykim'!$B66,'Eredeti fejléccel'!$W:$W)</f>
        <v>92203.800000000017</v>
      </c>
      <c r="Q66" s="6">
        <f>SUMIF('Eredeti fejléccel'!$B:$B,'Felosztás eredménykim'!$B66,'Eredeti fejléccel'!$X:$X)</f>
        <v>37980.6</v>
      </c>
      <c r="R66" s="6">
        <f>SUMIF('Eredeti fejléccel'!$B:$B,'Felosztás eredménykim'!$B66,'Eredeti fejléccel'!$Y:$Y)</f>
        <v>24229.379999999997</v>
      </c>
      <c r="S66" s="6">
        <f>SUMIF('Eredeti fejléccel'!$B:$B,'Felosztás eredménykim'!$B66,'Eredeti fejléccel'!$Z:$Z)</f>
        <v>27415.61</v>
      </c>
      <c r="T66" s="6">
        <f>SUMIF('Eredeti fejléccel'!$B:$B,'Felosztás eredménykim'!$B66,'Eredeti fejléccel'!$AA:$AA)</f>
        <v>0</v>
      </c>
      <c r="U66" s="6">
        <f>SUMIF('Eredeti fejléccel'!$B:$B,'Felosztás eredménykim'!$B66,'Eredeti fejléccel'!$D:$D)</f>
        <v>0</v>
      </c>
      <c r="V66" s="6">
        <f>SUMIF('Eredeti fejléccel'!$B:$B,'Felosztás eredménykim'!$B66,'Eredeti fejléccel'!$AT:$AT)</f>
        <v>57360.35</v>
      </c>
      <c r="X66" s="36">
        <f t="shared" si="0"/>
        <v>421989.62769999995</v>
      </c>
      <c r="Z66" s="6">
        <f>SUMIF('Eredeti fejléccel'!$B:$B,'Felosztás eredménykim'!$B66,'Eredeti fejléccel'!$K:$K)</f>
        <v>75466.229500000001</v>
      </c>
      <c r="AA66" s="6">
        <v>0</v>
      </c>
      <c r="AB66" s="6">
        <f>SUMIF('Eredeti fejléccel'!$B:$B,'Felosztás eredménykim'!$B66,'Eredeti fejléccel'!$AB:$AB)</f>
        <v>0</v>
      </c>
      <c r="AC66" s="6">
        <f>SUMIF('Eredeti fejléccel'!$B:$B,'Felosztás eredménykim'!$B66,'Eredeti fejléccel'!$AQ:$AQ)</f>
        <v>0</v>
      </c>
      <c r="AE66" s="73">
        <f t="shared" si="1"/>
        <v>75466.229500000001</v>
      </c>
      <c r="AF66" s="36">
        <f t="shared" si="61"/>
        <v>50341.101367585281</v>
      </c>
      <c r="AG66" s="8">
        <f t="shared" si="3"/>
        <v>24061.98981911278</v>
      </c>
      <c r="AI66" s="6">
        <f>SUMIF('Eredeti fejléccel'!$B:$B,'Felosztás eredménykim'!$B66,'Eredeti fejléccel'!$BB:$BB)</f>
        <v>61878.91</v>
      </c>
      <c r="AJ66" s="6">
        <f>SUMIF('Eredeti fejléccel'!$B:$B,'Felosztás eredménykim'!$B66,'Eredeti fejléccel'!$AF:$AF)</f>
        <v>0</v>
      </c>
      <c r="AK66" s="8">
        <f t="shared" si="73"/>
        <v>85940.89981911279</v>
      </c>
      <c r="AL66" s="36">
        <f t="shared" si="62"/>
        <v>19995.231286535978</v>
      </c>
      <c r="AM66" s="8">
        <f t="shared" si="6"/>
        <v>9557.3008650389056</v>
      </c>
      <c r="AN66" s="6">
        <f t="shared" si="36"/>
        <v>-52.009900000000009</v>
      </c>
      <c r="AO66" s="6">
        <f>SUMIF('Eredeti fejléccel'!$B:$B,'Felosztás eredménykim'!$B66,'Eredeti fejléccel'!$AC:$AC)</f>
        <v>104.01980000000002</v>
      </c>
      <c r="AP66" s="6">
        <f>SUMIF('Eredeti fejléccel'!$B:$B,'Felosztás eredménykim'!$B66,'Eredeti fejléccel'!$AD:$AD)</f>
        <v>0</v>
      </c>
      <c r="AQ66" s="6">
        <f>SUMIF('Eredeti fejléccel'!$B:$B,'Felosztás eredménykim'!$B66,'Eredeti fejléccel'!$AE:$AE)</f>
        <v>0</v>
      </c>
      <c r="AR66" s="6">
        <f>SUMIF('Eredeti fejléccel'!$B:$B,'Felosztás eredménykim'!$B66,'Eredeti fejléccel'!$AG:$AG)</f>
        <v>162649.06</v>
      </c>
      <c r="AS66" s="6">
        <f t="shared" si="37"/>
        <v>172258.37076503891</v>
      </c>
      <c r="AT66" s="36">
        <f t="shared" si="63"/>
        <v>32478.129914571153</v>
      </c>
      <c r="AU66" s="8">
        <f t="shared" si="8"/>
        <v>15523.864399427599</v>
      </c>
      <c r="AV66" s="6">
        <f>SUMIF('Eredeti fejléccel'!$B:$B,'Felosztás eredménykim'!$B66,'Eredeti fejléccel'!$AI:$AI)</f>
        <v>0</v>
      </c>
      <c r="AW66" s="6">
        <f>SUMIF('Eredeti fejléccel'!$B:$B,'Felosztás eredménykim'!$B66,'Eredeti fejléccel'!$AJ:$AJ)</f>
        <v>9302.0598000000009</v>
      </c>
      <c r="AX66" s="6">
        <f>SUMIF('Eredeti fejléccel'!$B:$B,'Felosztás eredménykim'!$B66,'Eredeti fejléccel'!$AK:$AK)</f>
        <v>18916.798699999996</v>
      </c>
      <c r="AY66" s="6">
        <f>SUMIF('Eredeti fejléccel'!$B:$B,'Felosztás eredménykim'!$B66,'Eredeti fejléccel'!$AL:$AL)</f>
        <v>9380.3895000000011</v>
      </c>
      <c r="AZ66" s="6">
        <f>SUMIF('Eredeti fejléccel'!$B:$B,'Felosztás eredménykim'!$B66,'Eredeti fejléccel'!$AM:$AM)</f>
        <v>27883.699099999998</v>
      </c>
      <c r="BA66" s="6">
        <f>SUMIF('Eredeti fejléccel'!$B:$B,'Felosztás eredménykim'!$B66,'Eredeti fejléccel'!$AN:$AN)</f>
        <v>0</v>
      </c>
      <c r="BB66" s="6">
        <f>SUMIF('Eredeti fejléccel'!$B:$B,'Felosztás eredménykim'!$B66,'Eredeti fejléccel'!$AP:$AP)</f>
        <v>6880.34</v>
      </c>
      <c r="BD66" s="6">
        <f>SUMIF('Eredeti fejléccel'!$B:$B,'Felosztás eredménykim'!$B66,'Eredeti fejléccel'!$AS:$AS)</f>
        <v>0</v>
      </c>
      <c r="BE66" s="8">
        <f t="shared" ref="BE66:BE131" si="74">SUM(AU66:BD66)</f>
        <v>87887.151499427593</v>
      </c>
      <c r="BF66" s="36">
        <f t="shared" si="64"/>
        <v>8472.5556298881256</v>
      </c>
      <c r="BG66" s="8">
        <f t="shared" si="10"/>
        <v>4049.703756372417</v>
      </c>
      <c r="BH66" s="6">
        <f t="shared" si="39"/>
        <v>52.009900000000009</v>
      </c>
      <c r="BI66" s="6">
        <f>SUMIF('Eredeti fejléccel'!$B:$B,'Felosztás eredménykim'!$B66,'Eredeti fejléccel'!$AH:$AH)</f>
        <v>45842.22909999999</v>
      </c>
      <c r="BJ66" s="6">
        <f>SUMIF('Eredeti fejléccel'!$B:$B,'Felosztás eredménykim'!$B66,'Eredeti fejléccel'!$AO:$AO)</f>
        <v>0</v>
      </c>
      <c r="BK66" s="6">
        <f>SUMIF('Eredeti fejléccel'!$B:$B,'Felosztás eredménykim'!$B66,'Eredeti fejléccel'!$BF:$BF)</f>
        <v>0</v>
      </c>
      <c r="BL66" s="8">
        <f t="shared" si="40"/>
        <v>49943.942756372409</v>
      </c>
      <c r="BM66" s="36">
        <f t="shared" si="65"/>
        <v>31743.841759980849</v>
      </c>
      <c r="BN66" s="8">
        <f t="shared" si="12"/>
        <v>15172.890073875324</v>
      </c>
      <c r="BP66" s="8">
        <f t="shared" si="41"/>
        <v>0</v>
      </c>
      <c r="BQ66" s="6">
        <f>SUMIF('Eredeti fejléccel'!$B:$B,'Felosztás eredménykim'!$B66,'Eredeti fejléccel'!$N:$N)</f>
        <v>0</v>
      </c>
      <c r="BR66" s="6">
        <f>SUMIF('Eredeti fejléccel'!$B:$B,'Felosztás eredménykim'!$B66,'Eredeti fejléccel'!$S:$S)</f>
        <v>0</v>
      </c>
      <c r="BT66" s="6">
        <f>SUMIF('Eredeti fejléccel'!$B:$B,'Felosztás eredménykim'!$B66,'Eredeti fejléccel'!$AR:$AR)</f>
        <v>0</v>
      </c>
      <c r="BU66" s="6">
        <f>SUMIF('Eredeti fejléccel'!$B:$B,'Felosztás eredménykim'!$B66,'Eredeti fejléccel'!$AU:$AU)</f>
        <v>0</v>
      </c>
      <c r="BV66" s="6">
        <f>SUMIF('Eredeti fejléccel'!$B:$B,'Felosztás eredménykim'!$B66,'Eredeti fejléccel'!$AV:$AV)</f>
        <v>20888.11</v>
      </c>
      <c r="BW66" s="6">
        <f>SUMIF('Eredeti fejléccel'!$B:$B,'Felosztás eredménykim'!$B66,'Eredeti fejléccel'!$AW:$AW)</f>
        <v>0</v>
      </c>
      <c r="BX66" s="6">
        <f>SUMIF('Eredeti fejléccel'!$B:$B,'Felosztás eredménykim'!$B66,'Eredeti fejléccel'!$AX:$AX)</f>
        <v>0</v>
      </c>
      <c r="BY66" s="6">
        <f>SUMIF('Eredeti fejléccel'!$B:$B,'Felosztás eredménykim'!$B66,'Eredeti fejléccel'!$AY:$AY)</f>
        <v>0</v>
      </c>
      <c r="BZ66" s="6">
        <f>SUMIF('Eredeti fejléccel'!$B:$B,'Felosztás eredménykim'!$B66,'Eredeti fejléccel'!$AZ:$AZ)</f>
        <v>0</v>
      </c>
      <c r="CA66" s="6">
        <f>SUMIF('Eredeti fejléccel'!$B:$B,'Felosztás eredménykim'!$B66,'Eredeti fejléccel'!$BA:$BA)</f>
        <v>222859.13919999974</v>
      </c>
      <c r="CB66" s="6">
        <f t="shared" si="13"/>
        <v>258920.13927387507</v>
      </c>
      <c r="CC66" s="36">
        <f t="shared" si="66"/>
        <v>8642.006742485888</v>
      </c>
      <c r="CD66" s="8">
        <f t="shared" si="15"/>
        <v>4130.697831499866</v>
      </c>
      <c r="CE66" s="6">
        <f>SUMIF('Eredeti fejléccel'!$B:$B,'Felosztás eredménykim'!$B66,'Eredeti fejléccel'!$BC:$BC)</f>
        <v>9530.1398000000027</v>
      </c>
      <c r="CF66" s="8">
        <f t="shared" si="42"/>
        <v>-4765.0699000000013</v>
      </c>
      <c r="CG66" s="6">
        <f>SUMIF('Eredeti fejléccel'!$B:$B,'Felosztás eredménykim'!$B66,'Eredeti fejléccel'!$H:$H)</f>
        <v>0</v>
      </c>
      <c r="CH66" s="6">
        <f>SUMIF('Eredeti fejléccel'!$B:$B,'Felosztás eredménykim'!$B66,'Eredeti fejléccel'!$BE:$BE)</f>
        <v>32156.8786</v>
      </c>
      <c r="CI66" s="6">
        <f t="shared" ref="CI66:CI131" si="75">SUM(CD66:CH66)</f>
        <v>41052.646331499869</v>
      </c>
      <c r="CJ66" s="36">
        <f t="shared" si="67"/>
        <v>6213.2074619179602</v>
      </c>
      <c r="CK66" s="8">
        <f t="shared" si="17"/>
        <v>2969.7827546731064</v>
      </c>
      <c r="CL66" s="8">
        <f t="shared" si="44"/>
        <v>4765.0699000000013</v>
      </c>
      <c r="CM66" s="6">
        <f>SUMIF('Eredeti fejléccel'!$B:$B,'Felosztás eredménykim'!$B66,'Eredeti fejléccel'!$BD:$BD)</f>
        <v>19850.0592</v>
      </c>
      <c r="CN66" s="8">
        <f t="shared" ref="CN66:CN131" si="76">SUM(CK66:CM66)</f>
        <v>27584.911854673108</v>
      </c>
      <c r="CO66" s="8">
        <f t="shared" si="18"/>
        <v>881474.13646296505</v>
      </c>
      <c r="CR66" s="36">
        <f t="shared" si="19"/>
        <v>37321.490898000644</v>
      </c>
      <c r="CS66" s="6">
        <f>SUMIF('Eredeti fejléccel'!$B:$B,'Felosztás eredménykim'!$B66,'Eredeti fejléccel'!$I:$I)</f>
        <v>95896.280000000013</v>
      </c>
      <c r="CT66" s="6">
        <f>SUMIF('Eredeti fejléccel'!$B:$B,'Felosztás eredménykim'!$B66,'Eredeti fejléccel'!$BG:$BG)</f>
        <v>0</v>
      </c>
      <c r="CU66" s="6">
        <f>SUMIF('Eredeti fejléccel'!$B:$B,'Felosztás eredménykim'!$B66,'Eredeti fejléccel'!$BH:$BH)</f>
        <v>115464.30000000002</v>
      </c>
      <c r="CV66" s="6">
        <f>SUMIF('Eredeti fejléccel'!$B:$B,'Felosztás eredménykim'!$B66,'Eredeti fejléccel'!$BI:$BI)</f>
        <v>16811</v>
      </c>
      <c r="CW66" s="6">
        <f>SUMIF('Eredeti fejléccel'!$B:$B,'Felosztás eredménykim'!$B66,'Eredeti fejléccel'!$BL:$BL)</f>
        <v>0</v>
      </c>
      <c r="CX66" s="6">
        <f t="shared" ref="CX66:CX131" si="77">SUM(CS66:CW66)</f>
        <v>228171.58000000002</v>
      </c>
      <c r="CY66" s="6">
        <f>SUMIF('Eredeti fejléccel'!$B:$B,'Felosztás eredménykim'!$B66,'Eredeti fejléccel'!$BJ:$BJ)</f>
        <v>34093</v>
      </c>
      <c r="CZ66" s="6">
        <f>SUMIF('Eredeti fejléccel'!$B:$B,'Felosztás eredménykim'!$B66,'Eredeti fejléccel'!$BK:$BK)</f>
        <v>0</v>
      </c>
      <c r="DA66" s="99">
        <f t="shared" si="47"/>
        <v>262264.58</v>
      </c>
      <c r="DC66" s="36">
        <f t="shared" si="20"/>
        <v>32688.571933232459</v>
      </c>
      <c r="DD66" s="6">
        <f>SUMIF('Eredeti fejléccel'!$B:$B,'Felosztás eredménykim'!$B66,'Eredeti fejléccel'!$J:$J)</f>
        <v>0</v>
      </c>
      <c r="DE66" s="6">
        <f>SUMIF('Eredeti fejléccel'!$B:$B,'Felosztás eredménykim'!$B66,'Eredeti fejléccel'!$BM:$BM)</f>
        <v>66363.039999999994</v>
      </c>
      <c r="DF66" s="6">
        <f t="shared" si="48"/>
        <v>0</v>
      </c>
      <c r="DG66" s="8">
        <f t="shared" si="21"/>
        <v>0</v>
      </c>
      <c r="DH66" s="8">
        <f t="shared" si="49"/>
        <v>66363.039999999994</v>
      </c>
      <c r="DJ66" s="6">
        <f>SUMIF('Eredeti fejléccel'!$B:$B,'Felosztás eredménykim'!$B66,'Eredeti fejléccel'!$BN:$BN)</f>
        <v>27641.010000000002</v>
      </c>
      <c r="DK66" s="6">
        <f>SUMIF('Eredeti fejléccel'!$B:$B,'Felosztás eredménykim'!$B66,'Eredeti fejléccel'!$BZ:$BZ)</f>
        <v>0</v>
      </c>
      <c r="DL66" s="8">
        <f t="shared" si="50"/>
        <v>27641.010000000002</v>
      </c>
      <c r="DM66" s="6">
        <f>SUMIF('Eredeti fejléccel'!$B:$B,'Felosztás eredménykim'!$B66,'Eredeti fejléccel'!$BR:$BR)</f>
        <v>0</v>
      </c>
      <c r="DN66" s="6">
        <f>SUMIF('Eredeti fejléccel'!$B:$B,'Felosztás eredménykim'!$B66,'Eredeti fejléccel'!$BS:$BS)</f>
        <v>0</v>
      </c>
      <c r="DO66" s="6">
        <f>SUMIF('Eredeti fejléccel'!$B:$B,'Felosztás eredménykim'!$B66,'Eredeti fejléccel'!$BO:$BO)</f>
        <v>0</v>
      </c>
      <c r="DP66" s="6">
        <f>SUMIF('Eredeti fejléccel'!$B:$B,'Felosztás eredménykim'!$B66,'Eredeti fejléccel'!$BP:$BP)</f>
        <v>0</v>
      </c>
      <c r="DQ66" s="6">
        <f>SUMIF('Eredeti fejléccel'!$B:$B,'Felosztás eredménykim'!$B66,'Eredeti fejléccel'!$BQ:$BQ)</f>
        <v>0</v>
      </c>
      <c r="DS66" s="8"/>
      <c r="DU66" s="6">
        <f>SUMIF('Eredeti fejléccel'!$B:$B,'Felosztás eredménykim'!$B66,'Eredeti fejléccel'!$BT:$BT)</f>
        <v>0</v>
      </c>
      <c r="DV66" s="6">
        <f>SUMIF('Eredeti fejléccel'!$B:$B,'Felosztás eredménykim'!$B66,'Eredeti fejléccel'!$BU:$BU)</f>
        <v>0</v>
      </c>
      <c r="DW66" s="6">
        <f>SUMIF('Eredeti fejléccel'!$B:$B,'Felosztás eredménykim'!$B66,'Eredeti fejléccel'!$BV:$BV)</f>
        <v>0</v>
      </c>
      <c r="DX66" s="6">
        <f>SUMIF('Eredeti fejléccel'!$B:$B,'Felosztás eredménykim'!$B66,'Eredeti fejléccel'!$BW:$BW)</f>
        <v>0</v>
      </c>
      <c r="DY66" s="6">
        <f>SUMIF('Eredeti fejléccel'!$B:$B,'Felosztás eredménykim'!$B66,'Eredeti fejléccel'!$BX:$BX)</f>
        <v>0</v>
      </c>
      <c r="EA66" s="6"/>
      <c r="EC66" s="6"/>
      <c r="EE66" s="6">
        <f>SUMIF('Eredeti fejléccel'!$B:$B,'Felosztás eredménykim'!$B66,'Eredeti fejléccel'!$CA:$CA)</f>
        <v>0</v>
      </c>
      <c r="EF66" s="6">
        <f>SUMIF('Eredeti fejléccel'!$B:$B,'Felosztás eredménykim'!$B66,'Eredeti fejléccel'!$CB:$CB)</f>
        <v>0</v>
      </c>
      <c r="EG66" s="6">
        <f>SUMIF('Eredeti fejléccel'!$B:$B,'Felosztás eredménykim'!$B66,'Eredeti fejléccel'!$CC:$CC)</f>
        <v>0</v>
      </c>
      <c r="EH66" s="6">
        <f>SUMIF('Eredeti fejléccel'!$B:$B,'Felosztás eredménykim'!$B66,'Eredeti fejléccel'!$CD:$CD)</f>
        <v>0</v>
      </c>
      <c r="EK66" s="6">
        <f>SUMIF('Eredeti fejléccel'!$B:$B,'Felosztás eredménykim'!$B66,'Eredeti fejléccel'!$CE:$CE)</f>
        <v>0</v>
      </c>
      <c r="EN66" s="6">
        <f>SUMIF('Eredeti fejléccel'!$B:$B,'Felosztás eredménykim'!$B66,'Eredeti fejléccel'!$CF:$CF)</f>
        <v>0</v>
      </c>
      <c r="EP66" s="6">
        <f>SUMIF('Eredeti fejléccel'!$B:$B,'Felosztás eredménykim'!$B66,'Eredeti fejléccel'!$CG:$CG)</f>
        <v>0</v>
      </c>
      <c r="ES66" s="6">
        <f>SUMIF('Eredeti fejléccel'!$B:$B,'Felosztás eredménykim'!$B66,'Eredeti fejléccel'!$CH:$CH)</f>
        <v>0</v>
      </c>
      <c r="ET66" s="6">
        <f>SUMIF('Eredeti fejléccel'!$B:$B,'Felosztás eredménykim'!$B66,'Eredeti fejléccel'!$CI:$CI)</f>
        <v>0</v>
      </c>
      <c r="EW66" s="8">
        <f t="shared" si="22"/>
        <v>0</v>
      </c>
      <c r="EX66" s="8">
        <f t="shared" ref="EX66:EX131" si="78">SUM(EE66:EV66)</f>
        <v>0</v>
      </c>
      <c r="EY66" s="8">
        <f t="shared" si="52"/>
        <v>66363.039999999994</v>
      </c>
      <c r="EZ66" s="8">
        <f t="shared" si="23"/>
        <v>94004.049999999988</v>
      </c>
      <c r="FA66" s="8">
        <f t="shared" si="24"/>
        <v>66363.039999999979</v>
      </c>
      <c r="FC66" s="6">
        <f>SUMIF('Eredeti fejléccel'!$B:$B,'Felosztás eredménykim'!$B66,'Eredeti fejléccel'!$L:$L)</f>
        <v>0</v>
      </c>
      <c r="FD66" s="6">
        <f>SUMIF('Eredeti fejléccel'!$B:$B,'Felosztás eredménykim'!$B66,'Eredeti fejléccel'!$CJ:$CJ)</f>
        <v>60393.759999999987</v>
      </c>
      <c r="FE66" s="6">
        <f>SUMIF('Eredeti fejléccel'!$B:$B,'Felosztás eredménykim'!$B66,'Eredeti fejléccel'!$CL:$CL)</f>
        <v>0</v>
      </c>
      <c r="FG66" s="99">
        <f t="shared" ref="FG66:FG131" si="79">SUM(FC66:FF66)</f>
        <v>60393.759999999987</v>
      </c>
      <c r="FH66" s="6">
        <f>SUMIF('Eredeti fejléccel'!$B:$B,'Felosztás eredménykim'!$B66,'Eredeti fejléccel'!$CK:$CK)</f>
        <v>0</v>
      </c>
      <c r="FI66" s="36">
        <f t="shared" si="68"/>
        <v>38460.176505950418</v>
      </c>
      <c r="FJ66" s="101">
        <f t="shared" si="26"/>
        <v>13392.084371867419</v>
      </c>
      <c r="FK66" s="6">
        <f>SUMIF('Eredeti fejléccel'!$B:$B,'Felosztás eredménykim'!$B66,'Eredeti fejléccel'!$CM:$CM)</f>
        <v>45550.759999999995</v>
      </c>
      <c r="FL66" s="6">
        <f>SUMIF('Eredeti fejléccel'!$B:$B,'Felosztás eredménykim'!$B66,'Eredeti fejléccel'!$CN:$CN)</f>
        <v>0</v>
      </c>
      <c r="FM66" s="8">
        <f t="shared" ref="FM66:FM131" si="80">SUM(FJ66:FL66)</f>
        <v>58942.84437186741</v>
      </c>
      <c r="FN66" s="36">
        <f t="shared" si="69"/>
        <v>32697.459574143777</v>
      </c>
      <c r="FO66" s="101">
        <f t="shared" si="28"/>
        <v>11385.46874050121</v>
      </c>
      <c r="FP66" s="6">
        <f>SUMIF('Eredeti fejléccel'!$B:$B,'Felosztás eredménykim'!$B66,'Eredeti fejléccel'!$CO:$CO)</f>
        <v>81810.540000000008</v>
      </c>
      <c r="FQ66" s="6">
        <f>'Eredeti fejléccel'!CP66</f>
        <v>27227.579999999994</v>
      </c>
      <c r="FR66" s="6">
        <f>'Eredeti fejléccel'!CQ66</f>
        <v>0</v>
      </c>
      <c r="FS66" s="103">
        <f t="shared" si="55"/>
        <v>120423.5887405012</v>
      </c>
      <c r="FT66" s="36">
        <f t="shared" si="70"/>
        <v>90254.522846811116</v>
      </c>
      <c r="FU66" s="101">
        <f t="shared" si="30"/>
        <v>31427.213671786576</v>
      </c>
      <c r="FV66" s="101"/>
      <c r="FW66" s="6">
        <f>SUMIF('Eredeti fejléccel'!$B:$B,'Felosztás eredménykim'!$B66,'Eredeti fejléccel'!$CR:$CR)</f>
        <v>270426.48999999987</v>
      </c>
      <c r="FX66" s="6">
        <f>SUMIF('Eredeti fejléccel'!$B:$B,'Felosztás eredménykim'!$B66,'Eredeti fejléccel'!$CS:$CS)</f>
        <v>0</v>
      </c>
      <c r="FY66" s="6">
        <f>SUMIF('Eredeti fejléccel'!$B:$B,'Felosztás eredménykim'!$B66,'Eredeti fejléccel'!$CT:$CT)</f>
        <v>19478.88</v>
      </c>
      <c r="FZ66" s="6">
        <f>SUMIF('Eredeti fejléccel'!$B:$B,'Felosztás eredménykim'!$B66,'Eredeti fejléccel'!$CU:$CU)</f>
        <v>0</v>
      </c>
      <c r="GA66" s="103">
        <f t="shared" ref="GA66:GA131" si="81">SUM(FU66:FZ66)</f>
        <v>321332.58367178647</v>
      </c>
      <c r="GB66" s="36">
        <f t="shared" si="71"/>
        <v>12030.197390486861</v>
      </c>
      <c r="GC66" s="101">
        <f t="shared" si="32"/>
        <v>4188.9932158447855</v>
      </c>
      <c r="GD66" s="6">
        <f>SUMIF('Eredeti fejléccel'!$B:$B,'Felosztás eredménykim'!$B66,'Eredeti fejléccel'!$CV:$CV)</f>
        <v>46699.21</v>
      </c>
      <c r="GE66" s="6">
        <f>SUMIF('Eredeti fejléccel'!$B:$B,'Felosztás eredménykim'!$B66,'Eredeti fejléccel'!$CW:$CW)</f>
        <v>0</v>
      </c>
      <c r="GF66" s="103">
        <f t="shared" ref="GF66:GF131" si="82">SUM(GC66:GE66)</f>
        <v>50888.203215844784</v>
      </c>
      <c r="GG66" s="36">
        <f t="shared" si="33"/>
        <v>0</v>
      </c>
      <c r="GM66" s="6">
        <f>SUMIF('Eredeti fejléccel'!$B:$B,'Felosztás eredménykim'!$B66,'Eredeti fejléccel'!$CX:$CX)</f>
        <v>0</v>
      </c>
      <c r="GN66" s="6">
        <f>SUMIF('Eredeti fejléccel'!$B:$B,'Felosztás eredménykim'!$B66,'Eredeti fejléccel'!$CY:$CY)</f>
        <v>0</v>
      </c>
      <c r="GO66" s="6">
        <f>SUMIF('Eredeti fejléccel'!$B:$B,'Felosztás eredménykim'!$B66,'Eredeti fejléccel'!$CZ:$CZ)</f>
        <v>0</v>
      </c>
      <c r="GP66" s="6">
        <f>SUMIF('Eredeti fejléccel'!$B:$B,'Felosztás eredménykim'!$B66,'Eredeti fejléccel'!$DA:$DA)</f>
        <v>0</v>
      </c>
      <c r="GQ66" s="6">
        <f>SUMIF('Eredeti fejléccel'!$B:$B,'Felosztás eredménykim'!$B66,'Eredeti fejléccel'!$DB:$DB)</f>
        <v>0</v>
      </c>
      <c r="GR66" s="103">
        <f t="shared" ref="GR66:GR131" si="83">SUM(GH66:GQ66)</f>
        <v>0</v>
      </c>
      <c r="GW66" s="36">
        <f t="shared" si="34"/>
        <v>20651.134388409529</v>
      </c>
      <c r="GX66" s="6">
        <f>SUMIF('Eredeti fejléccel'!$B:$B,'Felosztás eredménykim'!$B66,'Eredeti fejléccel'!$M:$M)</f>
        <v>0</v>
      </c>
      <c r="GY66" s="6">
        <f>SUMIF('Eredeti fejléccel'!$B:$B,'Felosztás eredménykim'!$B66,'Eredeti fejléccel'!$DC:$DC)</f>
        <v>23024.360000000004</v>
      </c>
      <c r="GZ66" s="6">
        <f>SUMIF('Eredeti fejléccel'!$B:$B,'Felosztás eredménykim'!$B66,'Eredeti fejléccel'!$DD:$DD)</f>
        <v>0</v>
      </c>
      <c r="HA66" s="6">
        <f>SUMIF('Eredeti fejléccel'!$B:$B,'Felosztás eredménykim'!$B66,'Eredeti fejléccel'!$DE:$DE)</f>
        <v>0</v>
      </c>
      <c r="HB66" s="103">
        <f t="shared" ref="HB66:HB131" si="84">SUM(GX66:HA66)</f>
        <v>23024.360000000004</v>
      </c>
      <c r="HD66" s="9">
        <f t="shared" si="72"/>
        <v>2076457.8999999978</v>
      </c>
      <c r="HE66" s="9">
        <v>2076457.9000000001</v>
      </c>
      <c r="HF66" s="476"/>
      <c r="HH66" s="34">
        <f t="shared" ref="HH66:HH131" si="85">+HD66-HE66</f>
        <v>-2.3283064365386963E-9</v>
      </c>
    </row>
    <row r="67" spans="1:218" x14ac:dyDescent="0.25">
      <c r="A67" s="4" t="s">
        <v>152</v>
      </c>
      <c r="B67" s="4" t="s">
        <v>152</v>
      </c>
      <c r="C67" s="1" t="s">
        <v>153</v>
      </c>
      <c r="D67" s="6">
        <f>SUMIF('Eredeti fejléccel'!$B:$B,'Felosztás eredménykim'!$B67,'Eredeti fejléccel'!$D:$D)</f>
        <v>0</v>
      </c>
      <c r="E67" s="6">
        <f>SUMIF('Eredeti fejléccel'!$B:$B,'Felosztás eredménykim'!$B67,'Eredeti fejléccel'!$E:$E)</f>
        <v>0</v>
      </c>
      <c r="F67" s="6">
        <f>SUMIF('Eredeti fejléccel'!$B:$B,'Felosztás eredménykim'!$B67,'Eredeti fejléccel'!$F:$F)</f>
        <v>0</v>
      </c>
      <c r="G67" s="6">
        <f>SUMIF('Eredeti fejléccel'!$B:$B,'Felosztás eredménykim'!$B67,'Eredeti fejléccel'!$G:$G)</f>
        <v>0</v>
      </c>
      <c r="H67" s="6"/>
      <c r="I67" s="6">
        <f>SUMIF('Eredeti fejléccel'!$B:$B,'Felosztás eredménykim'!$B67,'Eredeti fejléccel'!$O:$O)</f>
        <v>0</v>
      </c>
      <c r="J67" s="6">
        <f>SUMIF('Eredeti fejléccel'!$B:$B,'Felosztás eredménykim'!$B67,'Eredeti fejléccel'!$P:$P)</f>
        <v>0</v>
      </c>
      <c r="K67" s="6">
        <f>SUMIF('Eredeti fejléccel'!$B:$B,'Felosztás eredménykim'!$B67,'Eredeti fejléccel'!$Q:$Q)</f>
        <v>0</v>
      </c>
      <c r="L67" s="6">
        <f>SUMIF('Eredeti fejléccel'!$B:$B,'Felosztás eredménykim'!$B67,'Eredeti fejléccel'!$R:$R)</f>
        <v>0</v>
      </c>
      <c r="M67" s="6">
        <f>SUMIF('Eredeti fejléccel'!$B:$B,'Felosztás eredménykim'!$B67,'Eredeti fejléccel'!$T:$T)</f>
        <v>0</v>
      </c>
      <c r="N67" s="6">
        <f>SUMIF('Eredeti fejléccel'!$B:$B,'Felosztás eredménykim'!$B67,'Eredeti fejléccel'!$U:$U)</f>
        <v>0</v>
      </c>
      <c r="O67" s="6">
        <f>SUMIF('Eredeti fejléccel'!$B:$B,'Felosztás eredménykim'!$B67,'Eredeti fejléccel'!$V:$V)</f>
        <v>0</v>
      </c>
      <c r="P67" s="6">
        <f>SUMIF('Eredeti fejléccel'!$B:$B,'Felosztás eredménykim'!$B67,'Eredeti fejléccel'!$W:$W)</f>
        <v>0</v>
      </c>
      <c r="Q67" s="6">
        <f>SUMIF('Eredeti fejléccel'!$B:$B,'Felosztás eredménykim'!$B67,'Eredeti fejléccel'!$X:$X)</f>
        <v>0</v>
      </c>
      <c r="R67" s="6">
        <f>SUMIF('Eredeti fejléccel'!$B:$B,'Felosztás eredménykim'!$B67,'Eredeti fejléccel'!$Y:$Y)</f>
        <v>0</v>
      </c>
      <c r="S67" s="6">
        <f>SUMIF('Eredeti fejléccel'!$B:$B,'Felosztás eredménykim'!$B67,'Eredeti fejléccel'!$Z:$Z)</f>
        <v>0</v>
      </c>
      <c r="T67" s="6">
        <f>SUMIF('Eredeti fejléccel'!$B:$B,'Felosztás eredménykim'!$B67,'Eredeti fejléccel'!$AA:$AA)</f>
        <v>0</v>
      </c>
      <c r="U67" s="6">
        <f>SUMIF('Eredeti fejléccel'!$B:$B,'Felosztás eredménykim'!$B67,'Eredeti fejléccel'!$D:$D)</f>
        <v>0</v>
      </c>
      <c r="V67" s="6">
        <f>SUMIF('Eredeti fejléccel'!$B:$B,'Felosztás eredménykim'!$B67,'Eredeti fejléccel'!$AT:$AT)</f>
        <v>0</v>
      </c>
      <c r="X67" s="36">
        <f t="shared" si="0"/>
        <v>0</v>
      </c>
      <c r="Z67" s="6">
        <f>SUMIF('Eredeti fejléccel'!$B:$B,'Felosztás eredménykim'!$B67,'Eredeti fejléccel'!$K:$K)</f>
        <v>0</v>
      </c>
      <c r="AB67" s="6">
        <f>SUMIF('Eredeti fejléccel'!$B:$B,'Felosztás eredménykim'!$B67,'Eredeti fejléccel'!$AB:$AB)</f>
        <v>0</v>
      </c>
      <c r="AC67" s="6">
        <f>SUMIF('Eredeti fejléccel'!$B:$B,'Felosztás eredménykim'!$B67,'Eredeti fejléccel'!$AQ:$AQ)</f>
        <v>0</v>
      </c>
      <c r="AE67" s="73">
        <f t="shared" si="1"/>
        <v>0</v>
      </c>
      <c r="AF67" s="36">
        <f t="shared" si="61"/>
        <v>0</v>
      </c>
      <c r="AG67" s="8">
        <f t="shared" si="3"/>
        <v>0</v>
      </c>
      <c r="AI67" s="6">
        <f>SUMIF('Eredeti fejléccel'!$B:$B,'Felosztás eredménykim'!$B67,'Eredeti fejléccel'!$BB:$BB)</f>
        <v>0</v>
      </c>
      <c r="AJ67" s="6">
        <f>SUMIF('Eredeti fejléccel'!$B:$B,'Felosztás eredménykim'!$B67,'Eredeti fejléccel'!$AF:$AF)</f>
        <v>0</v>
      </c>
      <c r="AK67" s="8">
        <f t="shared" si="73"/>
        <v>0</v>
      </c>
      <c r="AL67" s="36">
        <f t="shared" si="62"/>
        <v>0</v>
      </c>
      <c r="AM67" s="8">
        <f t="shared" si="6"/>
        <v>0</v>
      </c>
      <c r="AN67" s="6">
        <f t="shared" si="36"/>
        <v>0</v>
      </c>
      <c r="AO67" s="6">
        <f>SUMIF('Eredeti fejléccel'!$B:$B,'Felosztás eredménykim'!$B67,'Eredeti fejléccel'!$AC:$AC)</f>
        <v>0</v>
      </c>
      <c r="AP67" s="6">
        <f>SUMIF('Eredeti fejléccel'!$B:$B,'Felosztás eredménykim'!$B67,'Eredeti fejléccel'!$AD:$AD)</f>
        <v>0</v>
      </c>
      <c r="AQ67" s="6">
        <f>SUMIF('Eredeti fejléccel'!$B:$B,'Felosztás eredménykim'!$B67,'Eredeti fejléccel'!$AE:$AE)</f>
        <v>0</v>
      </c>
      <c r="AR67" s="6">
        <f>SUMIF('Eredeti fejléccel'!$B:$B,'Felosztás eredménykim'!$B67,'Eredeti fejléccel'!$AG:$AG)</f>
        <v>0</v>
      </c>
      <c r="AS67" s="6">
        <f t="shared" si="37"/>
        <v>0</v>
      </c>
      <c r="AT67" s="36">
        <f t="shared" si="63"/>
        <v>0</v>
      </c>
      <c r="AU67" s="8">
        <f t="shared" si="8"/>
        <v>0</v>
      </c>
      <c r="AV67" s="6">
        <f>SUMIF('Eredeti fejléccel'!$B:$B,'Felosztás eredménykim'!$B67,'Eredeti fejléccel'!$AI:$AI)</f>
        <v>0</v>
      </c>
      <c r="AW67" s="6">
        <f>SUMIF('Eredeti fejléccel'!$B:$B,'Felosztás eredménykim'!$B67,'Eredeti fejléccel'!$AJ:$AJ)</f>
        <v>0</v>
      </c>
      <c r="AX67" s="6">
        <f>SUMIF('Eredeti fejléccel'!$B:$B,'Felosztás eredménykim'!$B67,'Eredeti fejléccel'!$AK:$AK)</f>
        <v>0</v>
      </c>
      <c r="AY67" s="6">
        <f>SUMIF('Eredeti fejléccel'!$B:$B,'Felosztás eredménykim'!$B67,'Eredeti fejléccel'!$AL:$AL)</f>
        <v>0</v>
      </c>
      <c r="AZ67" s="6">
        <f>SUMIF('Eredeti fejléccel'!$B:$B,'Felosztás eredménykim'!$B67,'Eredeti fejléccel'!$AM:$AM)</f>
        <v>0</v>
      </c>
      <c r="BA67" s="6">
        <f>SUMIF('Eredeti fejléccel'!$B:$B,'Felosztás eredménykim'!$B67,'Eredeti fejléccel'!$AN:$AN)</f>
        <v>0</v>
      </c>
      <c r="BB67" s="6">
        <f>SUMIF('Eredeti fejléccel'!$B:$B,'Felosztás eredménykim'!$B67,'Eredeti fejléccel'!$AP:$AP)</f>
        <v>0</v>
      </c>
      <c r="BD67" s="6">
        <f>SUMIF('Eredeti fejléccel'!$B:$B,'Felosztás eredménykim'!$B67,'Eredeti fejléccel'!$AS:$AS)</f>
        <v>0</v>
      </c>
      <c r="BE67" s="8">
        <f t="shared" si="74"/>
        <v>0</v>
      </c>
      <c r="BF67" s="36">
        <f t="shared" si="64"/>
        <v>0</v>
      </c>
      <c r="BG67" s="8">
        <f t="shared" si="10"/>
        <v>0</v>
      </c>
      <c r="BH67" s="6">
        <f t="shared" si="39"/>
        <v>0</v>
      </c>
      <c r="BI67" s="6">
        <f>SUMIF('Eredeti fejléccel'!$B:$B,'Felosztás eredménykim'!$B67,'Eredeti fejléccel'!$AH:$AH)</f>
        <v>0</v>
      </c>
      <c r="BJ67" s="6">
        <f>SUMIF('Eredeti fejléccel'!$B:$B,'Felosztás eredménykim'!$B67,'Eredeti fejléccel'!$AO:$AO)</f>
        <v>0</v>
      </c>
      <c r="BK67" s="6">
        <f>SUMIF('Eredeti fejléccel'!$B:$B,'Felosztás eredménykim'!$B67,'Eredeti fejléccel'!$BF:$BF)</f>
        <v>0</v>
      </c>
      <c r="BL67" s="8">
        <f t="shared" si="40"/>
        <v>0</v>
      </c>
      <c r="BM67" s="36">
        <f t="shared" si="65"/>
        <v>0</v>
      </c>
      <c r="BN67" s="8">
        <f t="shared" si="12"/>
        <v>0</v>
      </c>
      <c r="BP67" s="8">
        <f t="shared" si="41"/>
        <v>0</v>
      </c>
      <c r="BQ67" s="6">
        <f>SUMIF('Eredeti fejléccel'!$B:$B,'Felosztás eredménykim'!$B67,'Eredeti fejléccel'!$N:$N)</f>
        <v>0</v>
      </c>
      <c r="BR67" s="6">
        <f>SUMIF('Eredeti fejléccel'!$B:$B,'Felosztás eredménykim'!$B67,'Eredeti fejléccel'!$S:$S)</f>
        <v>0</v>
      </c>
      <c r="BT67" s="6">
        <f>SUMIF('Eredeti fejléccel'!$B:$B,'Felosztás eredménykim'!$B67,'Eredeti fejléccel'!$AR:$AR)</f>
        <v>0</v>
      </c>
      <c r="BU67" s="6">
        <f>SUMIF('Eredeti fejléccel'!$B:$B,'Felosztás eredménykim'!$B67,'Eredeti fejléccel'!$AU:$AU)</f>
        <v>0</v>
      </c>
      <c r="BV67" s="6">
        <f>SUMIF('Eredeti fejléccel'!$B:$B,'Felosztás eredménykim'!$B67,'Eredeti fejléccel'!$AV:$AV)</f>
        <v>0</v>
      </c>
      <c r="BW67" s="6">
        <f>SUMIF('Eredeti fejléccel'!$B:$B,'Felosztás eredménykim'!$B67,'Eredeti fejléccel'!$AW:$AW)</f>
        <v>0</v>
      </c>
      <c r="BX67" s="6">
        <f>SUMIF('Eredeti fejléccel'!$B:$B,'Felosztás eredménykim'!$B67,'Eredeti fejléccel'!$AX:$AX)</f>
        <v>0</v>
      </c>
      <c r="BY67" s="6">
        <f>SUMIF('Eredeti fejléccel'!$B:$B,'Felosztás eredménykim'!$B67,'Eredeti fejléccel'!$AY:$AY)</f>
        <v>0</v>
      </c>
      <c r="BZ67" s="6">
        <f>SUMIF('Eredeti fejléccel'!$B:$B,'Felosztás eredménykim'!$B67,'Eredeti fejléccel'!$AZ:$AZ)</f>
        <v>0</v>
      </c>
      <c r="CA67" s="6">
        <f>SUMIF('Eredeti fejléccel'!$B:$B,'Felosztás eredménykim'!$B67,'Eredeti fejléccel'!$BA:$BA)</f>
        <v>0</v>
      </c>
      <c r="CB67" s="6">
        <f t="shared" si="13"/>
        <v>0</v>
      </c>
      <c r="CC67" s="36">
        <f t="shared" si="66"/>
        <v>0</v>
      </c>
      <c r="CD67" s="8">
        <f t="shared" si="15"/>
        <v>0</v>
      </c>
      <c r="CE67" s="6">
        <f>SUMIF('Eredeti fejléccel'!$B:$B,'Felosztás eredménykim'!$B67,'Eredeti fejléccel'!$BC:$BC)</f>
        <v>0</v>
      </c>
      <c r="CF67" s="8">
        <f t="shared" si="42"/>
        <v>0</v>
      </c>
      <c r="CG67" s="6">
        <f>SUMIF('Eredeti fejléccel'!$B:$B,'Felosztás eredménykim'!$B67,'Eredeti fejléccel'!$H:$H)</f>
        <v>0</v>
      </c>
      <c r="CH67" s="6">
        <f>SUMIF('Eredeti fejléccel'!$B:$B,'Felosztás eredménykim'!$B67,'Eredeti fejléccel'!$BE:$BE)</f>
        <v>0</v>
      </c>
      <c r="CI67" s="6">
        <f t="shared" si="75"/>
        <v>0</v>
      </c>
      <c r="CJ67" s="36">
        <f t="shared" si="67"/>
        <v>0</v>
      </c>
      <c r="CK67" s="8">
        <f t="shared" si="17"/>
        <v>0</v>
      </c>
      <c r="CL67" s="8">
        <f t="shared" si="44"/>
        <v>0</v>
      </c>
      <c r="CM67" s="6">
        <f>SUMIF('Eredeti fejléccel'!$B:$B,'Felosztás eredménykim'!$B67,'Eredeti fejléccel'!$BD:$BD)</f>
        <v>0</v>
      </c>
      <c r="CN67" s="8">
        <f t="shared" si="76"/>
        <v>0</v>
      </c>
      <c r="CO67" s="8">
        <f t="shared" si="18"/>
        <v>0</v>
      </c>
      <c r="CR67" s="36">
        <f t="shared" si="19"/>
        <v>0</v>
      </c>
      <c r="CS67" s="6">
        <f>SUMIF('Eredeti fejléccel'!$B:$B,'Felosztás eredménykim'!$B67,'Eredeti fejléccel'!$I:$I)</f>
        <v>0</v>
      </c>
      <c r="CT67" s="6">
        <f>SUMIF('Eredeti fejléccel'!$B:$B,'Felosztás eredménykim'!$B67,'Eredeti fejléccel'!$BG:$BG)</f>
        <v>0</v>
      </c>
      <c r="CU67" s="6">
        <f>SUMIF('Eredeti fejléccel'!$B:$B,'Felosztás eredménykim'!$B67,'Eredeti fejléccel'!$BH:$BH)</f>
        <v>0</v>
      </c>
      <c r="CV67" s="6">
        <f>SUMIF('Eredeti fejléccel'!$B:$B,'Felosztás eredménykim'!$B67,'Eredeti fejléccel'!$BI:$BI)</f>
        <v>0</v>
      </c>
      <c r="CW67" s="6">
        <f>SUMIF('Eredeti fejléccel'!$B:$B,'Felosztás eredménykim'!$B67,'Eredeti fejléccel'!$BL:$BL)</f>
        <v>2494737.54</v>
      </c>
      <c r="CX67" s="6">
        <f t="shared" si="77"/>
        <v>2494737.54</v>
      </c>
      <c r="CY67" s="6">
        <f>SUMIF('Eredeti fejléccel'!$B:$B,'Felosztás eredménykim'!$B67,'Eredeti fejléccel'!$BJ:$BJ)</f>
        <v>0</v>
      </c>
      <c r="CZ67" s="6">
        <f>SUMIF('Eredeti fejléccel'!$B:$B,'Felosztás eredménykim'!$B67,'Eredeti fejléccel'!$BK:$BK)</f>
        <v>0</v>
      </c>
      <c r="DA67" s="99">
        <f t="shared" si="47"/>
        <v>2494737.54</v>
      </c>
      <c r="DC67" s="36">
        <f t="shared" si="20"/>
        <v>0</v>
      </c>
      <c r="DD67" s="6">
        <f>SUMIF('Eredeti fejléccel'!$B:$B,'Felosztás eredménykim'!$B67,'Eredeti fejléccel'!$J:$J)</f>
        <v>0</v>
      </c>
      <c r="DE67" s="6">
        <f>SUMIF('Eredeti fejléccel'!$B:$B,'Felosztás eredménykim'!$B67,'Eredeti fejléccel'!$BM:$BM)</f>
        <v>0</v>
      </c>
      <c r="DF67" s="6">
        <f t="shared" si="48"/>
        <v>0</v>
      </c>
      <c r="DG67" s="8">
        <f t="shared" si="21"/>
        <v>0</v>
      </c>
      <c r="DH67" s="8">
        <f t="shared" si="49"/>
        <v>0</v>
      </c>
      <c r="DJ67" s="6">
        <f>SUMIF('Eredeti fejléccel'!$B:$B,'Felosztás eredménykim'!$B67,'Eredeti fejléccel'!$BN:$BN)</f>
        <v>0</v>
      </c>
      <c r="DK67" s="6">
        <f>SUMIF('Eredeti fejléccel'!$B:$B,'Felosztás eredménykim'!$B67,'Eredeti fejléccel'!$BZ:$BZ)</f>
        <v>0</v>
      </c>
      <c r="DL67" s="8">
        <f t="shared" si="50"/>
        <v>0</v>
      </c>
      <c r="DM67" s="6">
        <f>SUMIF('Eredeti fejléccel'!$B:$B,'Felosztás eredménykim'!$B67,'Eredeti fejléccel'!$BR:$BR)</f>
        <v>0</v>
      </c>
      <c r="DN67" s="6">
        <f>SUMIF('Eredeti fejléccel'!$B:$B,'Felosztás eredménykim'!$B67,'Eredeti fejléccel'!$BS:$BS)</f>
        <v>0</v>
      </c>
      <c r="DO67" s="6">
        <f>SUMIF('Eredeti fejléccel'!$B:$B,'Felosztás eredménykim'!$B67,'Eredeti fejléccel'!$BO:$BO)</f>
        <v>0</v>
      </c>
      <c r="DP67" s="6">
        <f>SUMIF('Eredeti fejléccel'!$B:$B,'Felosztás eredménykim'!$B67,'Eredeti fejléccel'!$BP:$BP)</f>
        <v>0</v>
      </c>
      <c r="DQ67" s="6">
        <f>SUMIF('Eredeti fejléccel'!$B:$B,'Felosztás eredménykim'!$B67,'Eredeti fejléccel'!$BQ:$BQ)</f>
        <v>0</v>
      </c>
      <c r="DS67" s="8"/>
      <c r="DU67" s="6">
        <f>SUMIF('Eredeti fejléccel'!$B:$B,'Felosztás eredménykim'!$B67,'Eredeti fejléccel'!$BT:$BT)</f>
        <v>0</v>
      </c>
      <c r="DV67" s="6">
        <f>SUMIF('Eredeti fejléccel'!$B:$B,'Felosztás eredménykim'!$B67,'Eredeti fejléccel'!$BU:$BU)</f>
        <v>0</v>
      </c>
      <c r="DW67" s="6">
        <f>SUMIF('Eredeti fejléccel'!$B:$B,'Felosztás eredménykim'!$B67,'Eredeti fejléccel'!$BV:$BV)</f>
        <v>0</v>
      </c>
      <c r="DX67" s="6">
        <f>SUMIF('Eredeti fejléccel'!$B:$B,'Felosztás eredménykim'!$B67,'Eredeti fejléccel'!$BW:$BW)</f>
        <v>0</v>
      </c>
      <c r="DY67" s="6">
        <f>SUMIF('Eredeti fejléccel'!$B:$B,'Felosztás eredménykim'!$B67,'Eredeti fejléccel'!$BX:$BX)</f>
        <v>0</v>
      </c>
      <c r="EA67" s="6"/>
      <c r="EC67" s="6"/>
      <c r="EE67" s="6">
        <f>SUMIF('Eredeti fejléccel'!$B:$B,'Felosztás eredménykim'!$B67,'Eredeti fejléccel'!$CA:$CA)</f>
        <v>0</v>
      </c>
      <c r="EF67" s="6">
        <f>SUMIF('Eredeti fejléccel'!$B:$B,'Felosztás eredménykim'!$B67,'Eredeti fejléccel'!$CB:$CB)</f>
        <v>0</v>
      </c>
      <c r="EG67" s="6">
        <f>SUMIF('Eredeti fejléccel'!$B:$B,'Felosztás eredménykim'!$B67,'Eredeti fejléccel'!$CC:$CC)</f>
        <v>0</v>
      </c>
      <c r="EH67" s="6">
        <f>SUMIF('Eredeti fejléccel'!$B:$B,'Felosztás eredménykim'!$B67,'Eredeti fejléccel'!$CD:$CD)</f>
        <v>0</v>
      </c>
      <c r="EK67" s="6">
        <f>SUMIF('Eredeti fejléccel'!$B:$B,'Felosztás eredménykim'!$B67,'Eredeti fejléccel'!$CE:$CE)</f>
        <v>0</v>
      </c>
      <c r="EN67" s="6">
        <f>SUMIF('Eredeti fejléccel'!$B:$B,'Felosztás eredménykim'!$B67,'Eredeti fejléccel'!$CF:$CF)</f>
        <v>0</v>
      </c>
      <c r="EP67" s="6">
        <f>SUMIF('Eredeti fejléccel'!$B:$B,'Felosztás eredménykim'!$B67,'Eredeti fejléccel'!$CG:$CG)</f>
        <v>0</v>
      </c>
      <c r="ES67" s="6">
        <f>SUMIF('Eredeti fejléccel'!$B:$B,'Felosztás eredménykim'!$B67,'Eredeti fejléccel'!$CH:$CH)</f>
        <v>0</v>
      </c>
      <c r="ET67" s="6">
        <f>SUMIF('Eredeti fejléccel'!$B:$B,'Felosztás eredménykim'!$B67,'Eredeti fejléccel'!$CI:$CI)</f>
        <v>0</v>
      </c>
      <c r="EW67" s="8">
        <f t="shared" si="22"/>
        <v>0</v>
      </c>
      <c r="EX67" s="8">
        <f t="shared" si="78"/>
        <v>0</v>
      </c>
      <c r="EY67" s="8">
        <f t="shared" si="52"/>
        <v>0</v>
      </c>
      <c r="EZ67" s="8">
        <f t="shared" si="23"/>
        <v>0</v>
      </c>
      <c r="FA67" s="8">
        <f t="shared" si="24"/>
        <v>0</v>
      </c>
      <c r="FC67" s="6">
        <f>SUMIF('Eredeti fejléccel'!$B:$B,'Felosztás eredménykim'!$B67,'Eredeti fejléccel'!$L:$L)</f>
        <v>0</v>
      </c>
      <c r="FD67" s="6">
        <f>SUMIF('Eredeti fejléccel'!$B:$B,'Felosztás eredménykim'!$B67,'Eredeti fejléccel'!$CJ:$CJ)</f>
        <v>0</v>
      </c>
      <c r="FE67" s="6">
        <f>SUMIF('Eredeti fejléccel'!$B:$B,'Felosztás eredménykim'!$B67,'Eredeti fejléccel'!$CL:$CL)</f>
        <v>0</v>
      </c>
      <c r="FG67" s="99">
        <f t="shared" si="79"/>
        <v>0</v>
      </c>
      <c r="FH67" s="6">
        <f>SUMIF('Eredeti fejléccel'!$B:$B,'Felosztás eredménykim'!$B67,'Eredeti fejléccel'!$CK:$CK)</f>
        <v>0</v>
      </c>
      <c r="FI67" s="36">
        <f t="shared" si="68"/>
        <v>0</v>
      </c>
      <c r="FJ67" s="101">
        <f t="shared" si="26"/>
        <v>0</v>
      </c>
      <c r="FK67" s="6">
        <f>SUMIF('Eredeti fejléccel'!$B:$B,'Felosztás eredménykim'!$B67,'Eredeti fejléccel'!$CM:$CM)</f>
        <v>0</v>
      </c>
      <c r="FL67" s="6">
        <f>SUMIF('Eredeti fejléccel'!$B:$B,'Felosztás eredménykim'!$B67,'Eredeti fejléccel'!$CN:$CN)</f>
        <v>0</v>
      </c>
      <c r="FM67" s="8">
        <f t="shared" si="80"/>
        <v>0</v>
      </c>
      <c r="FN67" s="36">
        <f t="shared" si="69"/>
        <v>0</v>
      </c>
      <c r="FO67" s="101">
        <f t="shared" si="28"/>
        <v>0</v>
      </c>
      <c r="FP67" s="6">
        <f>SUMIF('Eredeti fejléccel'!$B:$B,'Felosztás eredménykim'!$B67,'Eredeti fejléccel'!$CO:$CO)</f>
        <v>0</v>
      </c>
      <c r="FQ67" s="6">
        <f>'Eredeti fejléccel'!CP67</f>
        <v>0</v>
      </c>
      <c r="FR67" s="6">
        <f>'Eredeti fejléccel'!CQ67</f>
        <v>0</v>
      </c>
      <c r="FS67" s="103">
        <f t="shared" si="55"/>
        <v>0</v>
      </c>
      <c r="FT67" s="36">
        <f t="shared" si="70"/>
        <v>0</v>
      </c>
      <c r="FU67" s="101">
        <f t="shared" si="30"/>
        <v>0</v>
      </c>
      <c r="FV67" s="101"/>
      <c r="FW67" s="6">
        <f>SUMIF('Eredeti fejléccel'!$B:$B,'Felosztás eredménykim'!$B67,'Eredeti fejléccel'!$CR:$CR)</f>
        <v>0</v>
      </c>
      <c r="FX67" s="6">
        <f>SUMIF('Eredeti fejléccel'!$B:$B,'Felosztás eredménykim'!$B67,'Eredeti fejléccel'!$CS:$CS)</f>
        <v>0</v>
      </c>
      <c r="FY67" s="6">
        <f>SUMIF('Eredeti fejléccel'!$B:$B,'Felosztás eredménykim'!$B67,'Eredeti fejléccel'!$CT:$CT)</f>
        <v>0</v>
      </c>
      <c r="FZ67" s="6">
        <f>SUMIF('Eredeti fejléccel'!$B:$B,'Felosztás eredménykim'!$B67,'Eredeti fejléccel'!$CU:$CU)</f>
        <v>0</v>
      </c>
      <c r="GA67" s="103">
        <f t="shared" si="81"/>
        <v>0</v>
      </c>
      <c r="GB67" s="36">
        <f t="shared" si="71"/>
        <v>0</v>
      </c>
      <c r="GC67" s="101">
        <f t="shared" si="32"/>
        <v>0</v>
      </c>
      <c r="GD67" s="6">
        <f>SUMIF('Eredeti fejléccel'!$B:$B,'Felosztás eredménykim'!$B67,'Eredeti fejléccel'!$CV:$CV)</f>
        <v>0</v>
      </c>
      <c r="GE67" s="6">
        <f>SUMIF('Eredeti fejléccel'!$B:$B,'Felosztás eredménykim'!$B67,'Eredeti fejléccel'!$CW:$CW)</f>
        <v>0</v>
      </c>
      <c r="GF67" s="103">
        <f t="shared" si="82"/>
        <v>0</v>
      </c>
      <c r="GG67" s="36">
        <f t="shared" si="33"/>
        <v>0</v>
      </c>
      <c r="GM67" s="6">
        <f>SUMIF('Eredeti fejléccel'!$B:$B,'Felosztás eredménykim'!$B67,'Eredeti fejléccel'!$CX:$CX)</f>
        <v>0</v>
      </c>
      <c r="GN67" s="6">
        <f>SUMIF('Eredeti fejléccel'!$B:$B,'Felosztás eredménykim'!$B67,'Eredeti fejléccel'!$CY:$CY)</f>
        <v>0</v>
      </c>
      <c r="GO67" s="6">
        <f>SUMIF('Eredeti fejléccel'!$B:$B,'Felosztás eredménykim'!$B67,'Eredeti fejléccel'!$CZ:$CZ)</f>
        <v>0</v>
      </c>
      <c r="GP67" s="6">
        <f>SUMIF('Eredeti fejléccel'!$B:$B,'Felosztás eredménykim'!$B67,'Eredeti fejléccel'!$DA:$DA)</f>
        <v>0</v>
      </c>
      <c r="GQ67" s="6">
        <f>SUMIF('Eredeti fejléccel'!$B:$B,'Felosztás eredménykim'!$B67,'Eredeti fejléccel'!$DB:$DB)</f>
        <v>0</v>
      </c>
      <c r="GR67" s="103">
        <f t="shared" si="83"/>
        <v>0</v>
      </c>
      <c r="GW67" s="36">
        <f t="shared" si="34"/>
        <v>0</v>
      </c>
      <c r="GX67" s="6">
        <f>SUMIF('Eredeti fejléccel'!$B:$B,'Felosztás eredménykim'!$B67,'Eredeti fejléccel'!$M:$M)</f>
        <v>0</v>
      </c>
      <c r="GY67" s="6">
        <f>SUMIF('Eredeti fejléccel'!$B:$B,'Felosztás eredménykim'!$B67,'Eredeti fejléccel'!$DC:$DC)</f>
        <v>0</v>
      </c>
      <c r="GZ67" s="6">
        <f>SUMIF('Eredeti fejléccel'!$B:$B,'Felosztás eredménykim'!$B67,'Eredeti fejléccel'!$DD:$DD)</f>
        <v>0</v>
      </c>
      <c r="HA67" s="6">
        <f>SUMIF('Eredeti fejléccel'!$B:$B,'Felosztás eredménykim'!$B67,'Eredeti fejléccel'!$DE:$DE)</f>
        <v>0</v>
      </c>
      <c r="HB67" s="103">
        <f t="shared" si="84"/>
        <v>0</v>
      </c>
      <c r="HD67" s="9">
        <f t="shared" si="72"/>
        <v>2494737.54</v>
      </c>
      <c r="HE67" s="9">
        <v>2494737.54</v>
      </c>
      <c r="HF67" s="476"/>
      <c r="HH67" s="34">
        <f t="shared" si="85"/>
        <v>0</v>
      </c>
    </row>
    <row r="68" spans="1:218" x14ac:dyDescent="0.25">
      <c r="A68" s="4" t="s">
        <v>154</v>
      </c>
      <c r="B68" s="4" t="s">
        <v>154</v>
      </c>
      <c r="C68" s="1" t="s">
        <v>155</v>
      </c>
      <c r="D68" s="6">
        <f>SUMIF('Eredeti fejléccel'!$B:$B,'Felosztás eredménykim'!$B68,'Eredeti fejléccel'!$D:$D)</f>
        <v>0</v>
      </c>
      <c r="E68" s="6">
        <f>SUMIF('Eredeti fejléccel'!$B:$B,'Felosztás eredménykim'!$B68,'Eredeti fejléccel'!$E:$E)</f>
        <v>835820.65999999992</v>
      </c>
      <c r="F68" s="6">
        <f>SUMIF('Eredeti fejléccel'!$B:$B,'Felosztás eredménykim'!$B68,'Eredeti fejléccel'!$F:$F)</f>
        <v>0</v>
      </c>
      <c r="G68" s="6">
        <f>SUMIF('Eredeti fejléccel'!$B:$B,'Felosztás eredménykim'!$B68,'Eredeti fejléccel'!$G:$G)</f>
        <v>33101</v>
      </c>
      <c r="H68" s="6"/>
      <c r="I68" s="6">
        <f>SUMIF('Eredeti fejléccel'!$B:$B,'Felosztás eredménykim'!$B68,'Eredeti fejléccel'!$O:$O)</f>
        <v>0</v>
      </c>
      <c r="J68" s="6">
        <f>SUMIF('Eredeti fejléccel'!$B:$B,'Felosztás eredménykim'!$B68,'Eredeti fejléccel'!$P:$P)</f>
        <v>0</v>
      </c>
      <c r="K68" s="6">
        <f>SUMIF('Eredeti fejléccel'!$B:$B,'Felosztás eredménykim'!$B68,'Eredeti fejléccel'!$Q:$Q)</f>
        <v>0</v>
      </c>
      <c r="L68" s="6">
        <f>SUMIF('Eredeti fejléccel'!$B:$B,'Felosztás eredménykim'!$B68,'Eredeti fejléccel'!$R:$R)</f>
        <v>445234</v>
      </c>
      <c r="M68" s="6">
        <f>SUMIF('Eredeti fejléccel'!$B:$B,'Felosztás eredménykim'!$B68,'Eredeti fejléccel'!$T:$T)</f>
        <v>0</v>
      </c>
      <c r="N68" s="6">
        <f>SUMIF('Eredeti fejléccel'!$B:$B,'Felosztás eredménykim'!$B68,'Eredeti fejléccel'!$U:$U)</f>
        <v>0</v>
      </c>
      <c r="O68" s="6">
        <f>SUMIF('Eredeti fejléccel'!$B:$B,'Felosztás eredménykim'!$B68,'Eredeti fejléccel'!$V:$V)</f>
        <v>0</v>
      </c>
      <c r="P68" s="6">
        <f>SUMIF('Eredeti fejléccel'!$B:$B,'Felosztás eredménykim'!$B68,'Eredeti fejléccel'!$W:$W)</f>
        <v>112360.33000000002</v>
      </c>
      <c r="Q68" s="6">
        <f>SUMIF('Eredeti fejléccel'!$B:$B,'Felosztás eredménykim'!$B68,'Eredeti fejléccel'!$X:$X)</f>
        <v>0</v>
      </c>
      <c r="R68" s="6">
        <f>SUMIF('Eredeti fejléccel'!$B:$B,'Felosztás eredménykim'!$B68,'Eredeti fejléccel'!$Y:$Y)</f>
        <v>0</v>
      </c>
      <c r="S68" s="6">
        <f>SUMIF('Eredeti fejléccel'!$B:$B,'Felosztás eredménykim'!$B68,'Eredeti fejléccel'!$Z:$Z)</f>
        <v>47030.75</v>
      </c>
      <c r="T68" s="6">
        <f>SUMIF('Eredeti fejléccel'!$B:$B,'Felosztás eredménykim'!$B68,'Eredeti fejléccel'!$AA:$AA)</f>
        <v>0</v>
      </c>
      <c r="U68" s="6">
        <f>SUMIF('Eredeti fejléccel'!$B:$B,'Felosztás eredménykim'!$B68,'Eredeti fejléccel'!$D:$D)</f>
        <v>0</v>
      </c>
      <c r="V68" s="6">
        <f>SUMIF('Eredeti fejléccel'!$B:$B,'Felosztás eredménykim'!$B68,'Eredeti fejléccel'!$AT:$AT)</f>
        <v>0</v>
      </c>
      <c r="X68" s="36">
        <f t="shared" si="0"/>
        <v>1473546.74</v>
      </c>
      <c r="Z68" s="6">
        <f>SUMIF('Eredeti fejléccel'!$B:$B,'Felosztás eredménykim'!$B68,'Eredeti fejléccel'!$K:$K)</f>
        <v>83019.16</v>
      </c>
      <c r="AB68" s="6">
        <f>SUMIF('Eredeti fejléccel'!$B:$B,'Felosztás eredménykim'!$B68,'Eredeti fejléccel'!$AB:$AB)</f>
        <v>0</v>
      </c>
      <c r="AC68" s="6">
        <f>SUMIF('Eredeti fejléccel'!$B:$B,'Felosztás eredménykim'!$B68,'Eredeti fejléccel'!$AQ:$AQ)</f>
        <v>0</v>
      </c>
      <c r="AE68" s="73">
        <f t="shared" si="1"/>
        <v>83019.16</v>
      </c>
      <c r="AF68" s="36">
        <f t="shared" si="61"/>
        <v>175786.23013206074</v>
      </c>
      <c r="AG68" s="8">
        <f t="shared" si="3"/>
        <v>26470.199928450049</v>
      </c>
      <c r="AI68" s="6">
        <f>SUMIF('Eredeti fejléccel'!$B:$B,'Felosztás eredménykim'!$B68,'Eredeti fejléccel'!$BB:$BB)</f>
        <v>0</v>
      </c>
      <c r="AJ68" s="6">
        <f>SUMIF('Eredeti fejléccel'!$B:$B,'Felosztás eredménykim'!$B68,'Eredeti fejléccel'!$AF:$AF)</f>
        <v>0</v>
      </c>
      <c r="AK68" s="8">
        <f t="shared" si="73"/>
        <v>26470.199928450049</v>
      </c>
      <c r="AL68" s="36">
        <f t="shared" si="62"/>
        <v>69821.403048246299</v>
      </c>
      <c r="AM68" s="8">
        <f t="shared" si="6"/>
        <v>10513.82976120204</v>
      </c>
      <c r="AN68" s="6">
        <f t="shared" si="36"/>
        <v>0</v>
      </c>
      <c r="AO68" s="6">
        <f>SUMIF('Eredeti fejléccel'!$B:$B,'Felosztás eredménykim'!$B68,'Eredeti fejléccel'!$AC:$AC)</f>
        <v>0</v>
      </c>
      <c r="AP68" s="6">
        <f>SUMIF('Eredeti fejléccel'!$B:$B,'Felosztás eredménykim'!$B68,'Eredeti fejléccel'!$AD:$AD)</f>
        <v>0</v>
      </c>
      <c r="AQ68" s="6">
        <f>SUMIF('Eredeti fejléccel'!$B:$B,'Felosztás eredménykim'!$B68,'Eredeti fejléccel'!$AE:$AE)</f>
        <v>0</v>
      </c>
      <c r="AR68" s="6">
        <f>SUMIF('Eredeti fejléccel'!$B:$B,'Felosztás eredménykim'!$B68,'Eredeti fejléccel'!$AG:$AG)</f>
        <v>0</v>
      </c>
      <c r="AS68" s="6">
        <f t="shared" si="37"/>
        <v>10513.82976120204</v>
      </c>
      <c r="AT68" s="36">
        <f t="shared" si="63"/>
        <v>113410.47105294243</v>
      </c>
      <c r="AU68" s="8">
        <f t="shared" si="8"/>
        <v>17077.548340935515</v>
      </c>
      <c r="AV68" s="6">
        <f>SUMIF('Eredeti fejléccel'!$B:$B,'Felosztás eredménykim'!$B68,'Eredeti fejléccel'!$AI:$AI)</f>
        <v>0</v>
      </c>
      <c r="AW68" s="6">
        <f>SUMIF('Eredeti fejléccel'!$B:$B,'Felosztás eredménykim'!$B68,'Eredeti fejléccel'!$AJ:$AJ)</f>
        <v>0</v>
      </c>
      <c r="AX68" s="6">
        <f>SUMIF('Eredeti fejléccel'!$B:$B,'Felosztás eredménykim'!$B68,'Eredeti fejléccel'!$AK:$AK)</f>
        <v>0</v>
      </c>
      <c r="AY68" s="6">
        <f>SUMIF('Eredeti fejléccel'!$B:$B,'Felosztás eredménykim'!$B68,'Eredeti fejléccel'!$AL:$AL)</f>
        <v>0</v>
      </c>
      <c r="AZ68" s="6">
        <f>SUMIF('Eredeti fejléccel'!$B:$B,'Felosztás eredménykim'!$B68,'Eredeti fejléccel'!$AM:$AM)</f>
        <v>0</v>
      </c>
      <c r="BA68" s="6">
        <f>SUMIF('Eredeti fejléccel'!$B:$B,'Felosztás eredménykim'!$B68,'Eredeti fejléccel'!$AN:$AN)</f>
        <v>0</v>
      </c>
      <c r="BB68" s="6">
        <f>SUMIF('Eredeti fejléccel'!$B:$B,'Felosztás eredménykim'!$B68,'Eredeti fejléccel'!$AP:$AP)</f>
        <v>0</v>
      </c>
      <c r="BD68" s="6">
        <f>SUMIF('Eredeti fejléccel'!$B:$B,'Felosztás eredménykim'!$B68,'Eredeti fejléccel'!$AS:$AS)</f>
        <v>0</v>
      </c>
      <c r="BE68" s="8">
        <f t="shared" si="74"/>
        <v>17077.548340935515</v>
      </c>
      <c r="BF68" s="36">
        <f t="shared" si="64"/>
        <v>29585.340274680631</v>
      </c>
      <c r="BG68" s="8">
        <f t="shared" si="10"/>
        <v>4455.0126106788302</v>
      </c>
      <c r="BH68" s="6">
        <f t="shared" si="39"/>
        <v>0</v>
      </c>
      <c r="BI68" s="6">
        <f>SUMIF('Eredeti fejléccel'!$B:$B,'Felosztás eredménykim'!$B68,'Eredeti fejléccel'!$AH:$AH)</f>
        <v>0</v>
      </c>
      <c r="BJ68" s="6">
        <f>SUMIF('Eredeti fejléccel'!$B:$B,'Felosztás eredménykim'!$B68,'Eredeti fejléccel'!$AO:$AO)</f>
        <v>0</v>
      </c>
      <c r="BK68" s="6">
        <f>SUMIF('Eredeti fejléccel'!$B:$B,'Felosztás eredménykim'!$B68,'Eredeti fejléccel'!$BF:$BF)</f>
        <v>0</v>
      </c>
      <c r="BL68" s="8">
        <f t="shared" si="40"/>
        <v>4455.0126106788302</v>
      </c>
      <c r="BM68" s="36">
        <f t="shared" si="65"/>
        <v>110846.40822913678</v>
      </c>
      <c r="BN68" s="8">
        <f t="shared" si="12"/>
        <v>16691.447248010016</v>
      </c>
      <c r="BP68" s="8">
        <f t="shared" si="41"/>
        <v>0</v>
      </c>
      <c r="BQ68" s="6">
        <f>SUMIF('Eredeti fejléccel'!$B:$B,'Felosztás eredménykim'!$B68,'Eredeti fejléccel'!$N:$N)</f>
        <v>0</v>
      </c>
      <c r="BR68" s="6">
        <f>SUMIF('Eredeti fejléccel'!$B:$B,'Felosztás eredménykim'!$B68,'Eredeti fejléccel'!$S:$S)</f>
        <v>0</v>
      </c>
      <c r="BT68" s="6">
        <f>SUMIF('Eredeti fejléccel'!$B:$B,'Felosztás eredménykim'!$B68,'Eredeti fejléccel'!$AR:$AR)</f>
        <v>0</v>
      </c>
      <c r="BU68" s="6">
        <f>SUMIF('Eredeti fejléccel'!$B:$B,'Felosztás eredménykim'!$B68,'Eredeti fejléccel'!$AU:$AU)</f>
        <v>0</v>
      </c>
      <c r="BV68" s="6">
        <f>SUMIF('Eredeti fejléccel'!$B:$B,'Felosztás eredménykim'!$B68,'Eredeti fejléccel'!$AV:$AV)</f>
        <v>0</v>
      </c>
      <c r="BW68" s="6">
        <f>SUMIF('Eredeti fejléccel'!$B:$B,'Felosztás eredménykim'!$B68,'Eredeti fejléccel'!$AW:$AW)</f>
        <v>0</v>
      </c>
      <c r="BX68" s="6">
        <f>SUMIF('Eredeti fejléccel'!$B:$B,'Felosztás eredménykim'!$B68,'Eredeti fejléccel'!$AX:$AX)</f>
        <v>0</v>
      </c>
      <c r="BY68" s="6">
        <f>SUMIF('Eredeti fejléccel'!$B:$B,'Felosztás eredménykim'!$B68,'Eredeti fejléccel'!$AY:$AY)</f>
        <v>0</v>
      </c>
      <c r="BZ68" s="6">
        <f>SUMIF('Eredeti fejléccel'!$B:$B,'Felosztás eredménykim'!$B68,'Eredeti fejléccel'!$AZ:$AZ)</f>
        <v>0</v>
      </c>
      <c r="CA68" s="6">
        <f>SUMIF('Eredeti fejléccel'!$B:$B,'Felosztás eredménykim'!$B68,'Eredeti fejléccel'!$BA:$BA)</f>
        <v>0</v>
      </c>
      <c r="CB68" s="6">
        <f t="shared" si="13"/>
        <v>16691.447248010016</v>
      </c>
      <c r="CC68" s="36">
        <f t="shared" si="66"/>
        <v>30177.047080174245</v>
      </c>
      <c r="CD68" s="8">
        <f t="shared" si="15"/>
        <v>4544.1128628924071</v>
      </c>
      <c r="CE68" s="6">
        <f>SUMIF('Eredeti fejléccel'!$B:$B,'Felosztás eredménykim'!$B68,'Eredeti fejléccel'!$BC:$BC)</f>
        <v>0</v>
      </c>
      <c r="CF68" s="8">
        <f t="shared" si="42"/>
        <v>0</v>
      </c>
      <c r="CG68" s="6">
        <f>SUMIF('Eredeti fejléccel'!$B:$B,'Felosztás eredménykim'!$B68,'Eredeti fejléccel'!$H:$H)</f>
        <v>0</v>
      </c>
      <c r="CH68" s="6">
        <f>SUMIF('Eredeti fejléccel'!$B:$B,'Felosztás eredménykim'!$B68,'Eredeti fejléccel'!$BE:$BE)</f>
        <v>0</v>
      </c>
      <c r="CI68" s="6">
        <f t="shared" si="75"/>
        <v>4544.1128628924071</v>
      </c>
      <c r="CJ68" s="36">
        <f t="shared" si="67"/>
        <v>21695.916201432468</v>
      </c>
      <c r="CK68" s="8">
        <f t="shared" si="17"/>
        <v>3267.0092478311421</v>
      </c>
      <c r="CL68" s="8">
        <f t="shared" si="44"/>
        <v>0</v>
      </c>
      <c r="CM68" s="6">
        <f>SUMIF('Eredeti fejléccel'!$B:$B,'Felosztás eredménykim'!$B68,'Eredeti fejléccel'!$BD:$BD)</f>
        <v>0</v>
      </c>
      <c r="CN68" s="8">
        <f t="shared" si="76"/>
        <v>3267.0092478311421</v>
      </c>
      <c r="CO68" s="8">
        <f t="shared" si="18"/>
        <v>634341.97601867362</v>
      </c>
      <c r="CR68" s="36">
        <f t="shared" si="19"/>
        <v>130323.01657372828</v>
      </c>
      <c r="CS68" s="6">
        <f>SUMIF('Eredeti fejléccel'!$B:$B,'Felosztás eredménykim'!$B68,'Eredeti fejléccel'!$I:$I)</f>
        <v>0</v>
      </c>
      <c r="CT68" s="6">
        <f>SUMIF('Eredeti fejléccel'!$B:$B,'Felosztás eredménykim'!$B68,'Eredeti fejléccel'!$BG:$BG)</f>
        <v>0</v>
      </c>
      <c r="CU68" s="6">
        <f>SUMIF('Eredeti fejléccel'!$B:$B,'Felosztás eredménykim'!$B68,'Eredeti fejléccel'!$BH:$BH)</f>
        <v>0</v>
      </c>
      <c r="CV68" s="6">
        <f>SUMIF('Eredeti fejléccel'!$B:$B,'Felosztás eredménykim'!$B68,'Eredeti fejléccel'!$BI:$BI)</f>
        <v>0</v>
      </c>
      <c r="CW68" s="6">
        <f>SUMIF('Eredeti fejléccel'!$B:$B,'Felosztás eredménykim'!$B68,'Eredeti fejléccel'!$BL:$BL)</f>
        <v>0</v>
      </c>
      <c r="CX68" s="6">
        <f t="shared" si="77"/>
        <v>0</v>
      </c>
      <c r="CY68" s="6">
        <f>SUMIF('Eredeti fejléccel'!$B:$B,'Felosztás eredménykim'!$B68,'Eredeti fejléccel'!$BJ:$BJ)</f>
        <v>0</v>
      </c>
      <c r="CZ68" s="6">
        <f>SUMIF('Eredeti fejléccel'!$B:$B,'Felosztás eredménykim'!$B68,'Eredeti fejléccel'!$BK:$BK)</f>
        <v>0</v>
      </c>
      <c r="DA68" s="99">
        <f t="shared" si="47"/>
        <v>0</v>
      </c>
      <c r="DC68" s="36">
        <f t="shared" si="20"/>
        <v>114145.31411590472</v>
      </c>
      <c r="DD68" s="6">
        <f>SUMIF('Eredeti fejléccel'!$B:$B,'Felosztás eredménykim'!$B68,'Eredeti fejléccel'!$J:$J)</f>
        <v>0</v>
      </c>
      <c r="DE68" s="6">
        <f>SUMIF('Eredeti fejléccel'!$B:$B,'Felosztás eredménykim'!$B68,'Eredeti fejléccel'!$BM:$BM)</f>
        <v>0</v>
      </c>
      <c r="DF68" s="6">
        <f t="shared" si="48"/>
        <v>0</v>
      </c>
      <c r="DG68" s="8">
        <f t="shared" si="21"/>
        <v>0</v>
      </c>
      <c r="DH68" s="8">
        <f t="shared" si="49"/>
        <v>0</v>
      </c>
      <c r="DJ68" s="6">
        <f>SUMIF('Eredeti fejléccel'!$B:$B,'Felosztás eredménykim'!$B68,'Eredeti fejléccel'!$BN:$BN)</f>
        <v>0</v>
      </c>
      <c r="DK68" s="6">
        <f>SUMIF('Eredeti fejléccel'!$B:$B,'Felosztás eredménykim'!$B68,'Eredeti fejléccel'!$BZ:$BZ)</f>
        <v>0</v>
      </c>
      <c r="DL68" s="8">
        <f t="shared" si="50"/>
        <v>0</v>
      </c>
      <c r="DM68" s="6">
        <f>SUMIF('Eredeti fejléccel'!$B:$B,'Felosztás eredménykim'!$B68,'Eredeti fejléccel'!$BR:$BR)</f>
        <v>0</v>
      </c>
      <c r="DN68" s="6">
        <f>SUMIF('Eredeti fejléccel'!$B:$B,'Felosztás eredménykim'!$B68,'Eredeti fejléccel'!$BS:$BS)</f>
        <v>0</v>
      </c>
      <c r="DO68" s="6">
        <f>SUMIF('Eredeti fejléccel'!$B:$B,'Felosztás eredménykim'!$B68,'Eredeti fejléccel'!$BO:$BO)</f>
        <v>0</v>
      </c>
      <c r="DP68" s="6">
        <f>SUMIF('Eredeti fejléccel'!$B:$B,'Felosztás eredménykim'!$B68,'Eredeti fejléccel'!$BP:$BP)</f>
        <v>0</v>
      </c>
      <c r="DQ68" s="6">
        <f>SUMIF('Eredeti fejléccel'!$B:$B,'Felosztás eredménykim'!$B68,'Eredeti fejléccel'!$BQ:$BQ)</f>
        <v>0</v>
      </c>
      <c r="DS68" s="8"/>
      <c r="DU68" s="6">
        <f>SUMIF('Eredeti fejléccel'!$B:$B,'Felosztás eredménykim'!$B68,'Eredeti fejléccel'!$BT:$BT)</f>
        <v>0</v>
      </c>
      <c r="DV68" s="6">
        <f>SUMIF('Eredeti fejléccel'!$B:$B,'Felosztás eredménykim'!$B68,'Eredeti fejléccel'!$BU:$BU)</f>
        <v>0</v>
      </c>
      <c r="DW68" s="6">
        <f>SUMIF('Eredeti fejléccel'!$B:$B,'Felosztás eredménykim'!$B68,'Eredeti fejléccel'!$BV:$BV)</f>
        <v>0</v>
      </c>
      <c r="DX68" s="6">
        <f>SUMIF('Eredeti fejléccel'!$B:$B,'Felosztás eredménykim'!$B68,'Eredeti fejléccel'!$BW:$BW)</f>
        <v>0</v>
      </c>
      <c r="DY68" s="6">
        <f>SUMIF('Eredeti fejléccel'!$B:$B,'Felosztás eredménykim'!$B68,'Eredeti fejléccel'!$BX:$BX)</f>
        <v>0</v>
      </c>
      <c r="EA68" s="6"/>
      <c r="EC68" s="6"/>
      <c r="EE68" s="6">
        <f>SUMIF('Eredeti fejléccel'!$B:$B,'Felosztás eredménykim'!$B68,'Eredeti fejléccel'!$CA:$CA)</f>
        <v>0</v>
      </c>
      <c r="EF68" s="6">
        <f>SUMIF('Eredeti fejléccel'!$B:$B,'Felosztás eredménykim'!$B68,'Eredeti fejléccel'!$CB:$CB)</f>
        <v>0</v>
      </c>
      <c r="EG68" s="6">
        <f>SUMIF('Eredeti fejléccel'!$B:$B,'Felosztás eredménykim'!$B68,'Eredeti fejléccel'!$CC:$CC)</f>
        <v>0</v>
      </c>
      <c r="EH68" s="6">
        <f>SUMIF('Eredeti fejléccel'!$B:$B,'Felosztás eredménykim'!$B68,'Eredeti fejléccel'!$CD:$CD)</f>
        <v>0</v>
      </c>
      <c r="EK68" s="6">
        <f>SUMIF('Eredeti fejléccel'!$B:$B,'Felosztás eredménykim'!$B68,'Eredeti fejléccel'!$CE:$CE)</f>
        <v>0</v>
      </c>
      <c r="EN68" s="6">
        <f>SUMIF('Eredeti fejléccel'!$B:$B,'Felosztás eredménykim'!$B68,'Eredeti fejléccel'!$CF:$CF)</f>
        <v>0</v>
      </c>
      <c r="EP68" s="6">
        <f>SUMIF('Eredeti fejléccel'!$B:$B,'Felosztás eredménykim'!$B68,'Eredeti fejléccel'!$CG:$CG)</f>
        <v>0</v>
      </c>
      <c r="ES68" s="6">
        <f>SUMIF('Eredeti fejléccel'!$B:$B,'Felosztás eredménykim'!$B68,'Eredeti fejléccel'!$CH:$CH)</f>
        <v>0</v>
      </c>
      <c r="ET68" s="6">
        <f>SUMIF('Eredeti fejléccel'!$B:$B,'Felosztás eredménykim'!$B68,'Eredeti fejléccel'!$CI:$CI)</f>
        <v>0</v>
      </c>
      <c r="EW68" s="8">
        <f t="shared" si="22"/>
        <v>0</v>
      </c>
      <c r="EX68" s="8">
        <f t="shared" si="78"/>
        <v>0</v>
      </c>
      <c r="EY68" s="8">
        <f t="shared" si="52"/>
        <v>0</v>
      </c>
      <c r="EZ68" s="8">
        <f t="shared" si="23"/>
        <v>0</v>
      </c>
      <c r="FA68" s="8">
        <f t="shared" si="24"/>
        <v>0</v>
      </c>
      <c r="FC68" s="6">
        <f>SUMIF('Eredeti fejléccel'!$B:$B,'Felosztás eredménykim'!$B68,'Eredeti fejléccel'!$L:$L)</f>
        <v>0</v>
      </c>
      <c r="FD68" s="6">
        <f>SUMIF('Eredeti fejléccel'!$B:$B,'Felosztás eredménykim'!$B68,'Eredeti fejléccel'!$CJ:$CJ)</f>
        <v>0</v>
      </c>
      <c r="FE68" s="6">
        <f>SUMIF('Eredeti fejléccel'!$B:$B,'Felosztás eredménykim'!$B68,'Eredeti fejléccel'!$CL:$CL)</f>
        <v>0</v>
      </c>
      <c r="FG68" s="99">
        <f t="shared" si="79"/>
        <v>0</v>
      </c>
      <c r="FH68" s="6">
        <f>SUMIF('Eredeti fejléccel'!$B:$B,'Felosztás eredménykim'!$B68,'Eredeti fejléccel'!$CK:$CK)</f>
        <v>0</v>
      </c>
      <c r="FI68" s="36">
        <f t="shared" si="68"/>
        <v>134299.19597563567</v>
      </c>
      <c r="FJ68" s="101">
        <f t="shared" si="26"/>
        <v>0</v>
      </c>
      <c r="FK68" s="6">
        <f>SUMIF('Eredeti fejléccel'!$B:$B,'Felosztás eredménykim'!$B68,'Eredeti fejléccel'!$CM:$CM)</f>
        <v>0</v>
      </c>
      <c r="FL68" s="6">
        <f>SUMIF('Eredeti fejléccel'!$B:$B,'Felosztás eredménykim'!$B68,'Eredeti fejléccel'!$CN:$CN)</f>
        <v>0</v>
      </c>
      <c r="FM68" s="8">
        <f t="shared" si="80"/>
        <v>0</v>
      </c>
      <c r="FN68" s="36">
        <f t="shared" si="69"/>
        <v>114176.3488936137</v>
      </c>
      <c r="FO68" s="101">
        <f t="shared" si="28"/>
        <v>0</v>
      </c>
      <c r="FP68" s="6">
        <f>SUMIF('Eredeti fejléccel'!$B:$B,'Felosztás eredménykim'!$B68,'Eredeti fejléccel'!$CO:$CO)</f>
        <v>0</v>
      </c>
      <c r="FQ68" s="6">
        <f>'Eredeti fejléccel'!CP68</f>
        <v>0</v>
      </c>
      <c r="FR68" s="6">
        <f>'Eredeti fejléccel'!CQ68</f>
        <v>0</v>
      </c>
      <c r="FS68" s="103">
        <f t="shared" si="55"/>
        <v>0</v>
      </c>
      <c r="FT68" s="36">
        <f t="shared" si="70"/>
        <v>315160.0162213514</v>
      </c>
      <c r="FU68" s="101">
        <f t="shared" si="30"/>
        <v>0</v>
      </c>
      <c r="FV68" s="101"/>
      <c r="FW68" s="6">
        <f>SUMIF('Eredeti fejléccel'!$B:$B,'Felosztás eredménykim'!$B68,'Eredeti fejléccel'!$CR:$CR)</f>
        <v>0</v>
      </c>
      <c r="FX68" s="6">
        <f>SUMIF('Eredeti fejléccel'!$B:$B,'Felosztás eredménykim'!$B68,'Eredeti fejléccel'!$CS:$CS)</f>
        <v>0</v>
      </c>
      <c r="FY68" s="6">
        <f>SUMIF('Eredeti fejléccel'!$B:$B,'Felosztás eredménykim'!$B68,'Eredeti fejléccel'!$CT:$CT)</f>
        <v>0</v>
      </c>
      <c r="FZ68" s="6">
        <f>SUMIF('Eredeti fejléccel'!$B:$B,'Felosztás eredménykim'!$B68,'Eredeti fejléccel'!$CU:$CU)</f>
        <v>0</v>
      </c>
      <c r="GA68" s="103">
        <f t="shared" si="81"/>
        <v>0</v>
      </c>
      <c r="GB68" s="36">
        <f t="shared" si="71"/>
        <v>42008.279309914469</v>
      </c>
      <c r="GC68" s="101">
        <f t="shared" si="32"/>
        <v>0</v>
      </c>
      <c r="GD68" s="6">
        <f>SUMIF('Eredeti fejléccel'!$B:$B,'Felosztás eredménykim'!$B68,'Eredeti fejléccel'!$CV:$CV)</f>
        <v>0</v>
      </c>
      <c r="GE68" s="6">
        <f>SUMIF('Eredeti fejléccel'!$B:$B,'Felosztás eredménykim'!$B68,'Eredeti fejléccel'!$CW:$CW)</f>
        <v>0</v>
      </c>
      <c r="GF68" s="103">
        <f t="shared" si="82"/>
        <v>0</v>
      </c>
      <c r="GG68" s="36">
        <f t="shared" si="33"/>
        <v>0</v>
      </c>
      <c r="GM68" s="6">
        <f>SUMIF('Eredeti fejléccel'!$B:$B,'Felosztás eredménykim'!$B68,'Eredeti fejléccel'!$CX:$CX)</f>
        <v>0</v>
      </c>
      <c r="GN68" s="6">
        <f>SUMIF('Eredeti fejléccel'!$B:$B,'Felosztás eredménykim'!$B68,'Eredeti fejléccel'!$CY:$CY)</f>
        <v>0</v>
      </c>
      <c r="GO68" s="6">
        <f>SUMIF('Eredeti fejléccel'!$B:$B,'Felosztás eredménykim'!$B68,'Eredeti fejléccel'!$CZ:$CZ)</f>
        <v>0</v>
      </c>
      <c r="GP68" s="6">
        <f>SUMIF('Eredeti fejléccel'!$B:$B,'Felosztás eredménykim'!$B68,'Eredeti fejléccel'!$DA:$DA)</f>
        <v>0</v>
      </c>
      <c r="GQ68" s="6">
        <f>SUMIF('Eredeti fejléccel'!$B:$B,'Felosztás eredménykim'!$B68,'Eredeti fejléccel'!$DB:$DB)</f>
        <v>0</v>
      </c>
      <c r="GR68" s="103">
        <f t="shared" si="83"/>
        <v>0</v>
      </c>
      <c r="GW68" s="36">
        <f t="shared" si="34"/>
        <v>72111.752891178374</v>
      </c>
      <c r="GX68" s="6">
        <f>SUMIF('Eredeti fejléccel'!$B:$B,'Felosztás eredménykim'!$B68,'Eredeti fejléccel'!$M:$M)</f>
        <v>0</v>
      </c>
      <c r="GY68" s="6">
        <f>SUMIF('Eredeti fejléccel'!$B:$B,'Felosztás eredménykim'!$B68,'Eredeti fejléccel'!$DC:$DC)</f>
        <v>0</v>
      </c>
      <c r="GZ68" s="6">
        <f>SUMIF('Eredeti fejléccel'!$B:$B,'Felosztás eredménykim'!$B68,'Eredeti fejléccel'!$DD:$DD)</f>
        <v>0</v>
      </c>
      <c r="HA68" s="6">
        <f>SUMIF('Eredeti fejléccel'!$B:$B,'Felosztás eredménykim'!$B68,'Eredeti fejléccel'!$DE:$DE)</f>
        <v>0</v>
      </c>
      <c r="HB68" s="103">
        <f t="shared" si="84"/>
        <v>0</v>
      </c>
      <c r="HD68" s="9">
        <f t="shared" si="72"/>
        <v>1556565.8999999985</v>
      </c>
      <c r="HE68" s="9">
        <v>1556565.9</v>
      </c>
      <c r="HF68" s="476"/>
      <c r="HH68" s="34">
        <f t="shared" si="85"/>
        <v>0</v>
      </c>
    </row>
    <row r="69" spans="1:218" x14ac:dyDescent="0.25">
      <c r="A69" s="4" t="s">
        <v>156</v>
      </c>
      <c r="B69" s="4" t="s">
        <v>156</v>
      </c>
      <c r="C69" s="1" t="s">
        <v>157</v>
      </c>
      <c r="D69" s="6">
        <f>SUMIF('Eredeti fejléccel'!$B:$B,'Felosztás eredménykim'!$B69,'Eredeti fejléccel'!$D:$D)</f>
        <v>0</v>
      </c>
      <c r="E69" s="6">
        <f>SUMIF('Eredeti fejléccel'!$B:$B,'Felosztás eredménykim'!$B69,'Eredeti fejléccel'!$E:$E)</f>
        <v>414283.12640000007</v>
      </c>
      <c r="F69" s="6">
        <f>SUMIF('Eredeti fejléccel'!$B:$B,'Felosztás eredménykim'!$B69,'Eredeti fejléccel'!$F:$F)</f>
        <v>-4.6566128730773926E-10</v>
      </c>
      <c r="G69" s="6">
        <f>SUMIF('Eredeti fejléccel'!$B:$B,'Felosztás eredménykim'!$B69,'Eredeti fejléccel'!$G:$G)</f>
        <v>6507</v>
      </c>
      <c r="H69" s="6"/>
      <c r="I69" s="6">
        <f>SUMIF('Eredeti fejléccel'!$B:$B,'Felosztás eredménykim'!$B69,'Eredeti fejléccel'!$O:$O)</f>
        <v>99789.965599999996</v>
      </c>
      <c r="J69" s="6">
        <f>SUMIF('Eredeti fejléccel'!$B:$B,'Felosztás eredménykim'!$B69,'Eredeti fejléccel'!$P:$P)</f>
        <v>0</v>
      </c>
      <c r="K69" s="6">
        <f>SUMIF('Eredeti fejléccel'!$B:$B,'Felosztás eredménykim'!$B69,'Eredeti fejléccel'!$Q:$Q)</f>
        <v>0</v>
      </c>
      <c r="L69" s="6">
        <f>SUMIF('Eredeti fejléccel'!$B:$B,'Felosztás eredménykim'!$B69,'Eredeti fejléccel'!$R:$R)</f>
        <v>68768.69</v>
      </c>
      <c r="M69" s="6">
        <f>SUMIF('Eredeti fejléccel'!$B:$B,'Felosztás eredménykim'!$B69,'Eredeti fejléccel'!$T:$T)</f>
        <v>0</v>
      </c>
      <c r="N69" s="6">
        <f>SUMIF('Eredeti fejléccel'!$B:$B,'Felosztás eredménykim'!$B69,'Eredeti fejléccel'!$U:$U)</f>
        <v>0</v>
      </c>
      <c r="O69" s="6">
        <f>SUMIF('Eredeti fejléccel'!$B:$B,'Felosztás eredménykim'!$B69,'Eredeti fejléccel'!$V:$V)</f>
        <v>366956.32760000002</v>
      </c>
      <c r="P69" s="6">
        <f>SUMIF('Eredeti fejléccel'!$B:$B,'Felosztás eredménykim'!$B69,'Eredeti fejléccel'!$W:$W)</f>
        <v>88886.5</v>
      </c>
      <c r="Q69" s="6">
        <f>SUMIF('Eredeti fejléccel'!$B:$B,'Felosztás eredménykim'!$B69,'Eredeti fejléccel'!$X:$X)</f>
        <v>41745.56</v>
      </c>
      <c r="R69" s="6">
        <f>SUMIF('Eredeti fejléccel'!$B:$B,'Felosztás eredménykim'!$B69,'Eredeti fejléccel'!$Y:$Y)</f>
        <v>21596.73</v>
      </c>
      <c r="S69" s="6">
        <f>SUMIF('Eredeti fejléccel'!$B:$B,'Felosztás eredménykim'!$B69,'Eredeti fejléccel'!$Z:$Z)</f>
        <v>25882.97</v>
      </c>
      <c r="T69" s="6">
        <f>SUMIF('Eredeti fejléccel'!$B:$B,'Felosztás eredménykim'!$B69,'Eredeti fejléccel'!$AA:$AA)</f>
        <v>0</v>
      </c>
      <c r="U69" s="6">
        <f>SUMIF('Eredeti fejléccel'!$B:$B,'Felosztás eredménykim'!$B69,'Eredeti fejléccel'!$D:$D)</f>
        <v>0</v>
      </c>
      <c r="V69" s="6">
        <f>SUMIF('Eredeti fejléccel'!$B:$B,'Felosztás eredménykim'!$B69,'Eredeti fejléccel'!$AT:$AT)</f>
        <v>53898.57</v>
      </c>
      <c r="X69" s="36">
        <f t="shared" si="0"/>
        <v>1188315.4395999997</v>
      </c>
      <c r="Z69" s="6">
        <f>SUMIF('Eredeti fejléccel'!$B:$B,'Felosztás eredménykim'!$B69,'Eredeti fejléccel'!$K:$K)</f>
        <v>456952.28599999996</v>
      </c>
      <c r="AA69" s="6">
        <v>0</v>
      </c>
      <c r="AB69" s="6">
        <f>SUMIF('Eredeti fejléccel'!$B:$B,'Felosztás eredménykim'!$B69,'Eredeti fejléccel'!$AB:$AB)</f>
        <v>0</v>
      </c>
      <c r="AC69" s="6">
        <f>SUMIF('Eredeti fejléccel'!$B:$B,'Felosztás eredménykim'!$B69,'Eredeti fejléccel'!$AQ:$AQ)</f>
        <v>0</v>
      </c>
      <c r="AE69" s="73">
        <f t="shared" si="1"/>
        <v>456952.28599999996</v>
      </c>
      <c r="AF69" s="36">
        <f t="shared" si="61"/>
        <v>141759.66439653383</v>
      </c>
      <c r="AG69" s="8">
        <f t="shared" si="3"/>
        <v>145696.70866559338</v>
      </c>
      <c r="AI69" s="6">
        <f>SUMIF('Eredeti fejléccel'!$B:$B,'Felosztás eredménykim'!$B69,'Eredeti fejléccel'!$BB:$BB)</f>
        <v>31331.778599999991</v>
      </c>
      <c r="AJ69" s="6">
        <f>SUMIF('Eredeti fejléccel'!$B:$B,'Felosztás eredménykim'!$B69,'Eredeti fejléccel'!$AF:$AF)</f>
        <v>0</v>
      </c>
      <c r="AK69" s="8">
        <f t="shared" si="73"/>
        <v>177028.48726559337</v>
      </c>
      <c r="AL69" s="36">
        <f t="shared" si="62"/>
        <v>56306.222941231958</v>
      </c>
      <c r="AM69" s="8">
        <f t="shared" si="6"/>
        <v>57869.997046418022</v>
      </c>
      <c r="AN69" s="6">
        <f t="shared" si="36"/>
        <v>-24633.9552</v>
      </c>
      <c r="AO69" s="6">
        <f>SUMIF('Eredeti fejléccel'!$B:$B,'Felosztás eredménykim'!$B69,'Eredeti fejléccel'!$AC:$AC)</f>
        <v>49267.910400000001</v>
      </c>
      <c r="AP69" s="6">
        <f>SUMIF('Eredeti fejléccel'!$B:$B,'Felosztás eredménykim'!$B69,'Eredeti fejléccel'!$AD:$AD)</f>
        <v>0</v>
      </c>
      <c r="AQ69" s="6">
        <f>SUMIF('Eredeti fejléccel'!$B:$B,'Felosztás eredménykim'!$B69,'Eredeti fejléccel'!$AE:$AE)</f>
        <v>0</v>
      </c>
      <c r="AR69" s="6">
        <f>SUMIF('Eredeti fejléccel'!$B:$B,'Felosztás eredménykim'!$B69,'Eredeti fejléccel'!$AG:$AG)</f>
        <v>179367.41</v>
      </c>
      <c r="AS69" s="6">
        <f t="shared" si="37"/>
        <v>261871.36224641802</v>
      </c>
      <c r="AT69" s="36">
        <f t="shared" si="63"/>
        <v>91457.847997763776</v>
      </c>
      <c r="AU69" s="8">
        <f t="shared" si="8"/>
        <v>93997.876558447344</v>
      </c>
      <c r="AV69" s="6">
        <f>SUMIF('Eredeti fejléccel'!$B:$B,'Felosztás eredménykim'!$B69,'Eredeti fejléccel'!$AI:$AI)</f>
        <v>0</v>
      </c>
      <c r="AW69" s="6">
        <f>SUMIF('Eredeti fejléccel'!$B:$B,'Felosztás eredménykim'!$B69,'Eredeti fejléccel'!$AJ:$AJ)</f>
        <v>57895.610399999998</v>
      </c>
      <c r="AX69" s="6">
        <f>SUMIF('Eredeti fejléccel'!$B:$B,'Felosztás eredménykim'!$B69,'Eredeti fejléccel'!$AK:$AK)</f>
        <v>337496.6876</v>
      </c>
      <c r="AY69" s="6">
        <f>SUMIF('Eredeti fejléccel'!$B:$B,'Felosztás eredménykim'!$B69,'Eredeti fejléccel'!$AL:$AL)</f>
        <v>131797.47600000002</v>
      </c>
      <c r="AZ69" s="6">
        <f>SUMIF('Eredeti fejléccel'!$B:$B,'Felosztás eredménykim'!$B69,'Eredeti fejléccel'!$AM:$AM)</f>
        <v>247595.36679999999</v>
      </c>
      <c r="BA69" s="6">
        <f>SUMIF('Eredeti fejléccel'!$B:$B,'Felosztás eredménykim'!$B69,'Eredeti fejléccel'!$AN:$AN)</f>
        <v>0</v>
      </c>
      <c r="BB69" s="6">
        <f>SUMIF('Eredeti fejléccel'!$B:$B,'Felosztás eredménykim'!$B69,'Eredeti fejléccel'!$AP:$AP)</f>
        <v>6460.37</v>
      </c>
      <c r="BD69" s="6">
        <f>SUMIF('Eredeti fejléccel'!$B:$B,'Felosztás eredménykim'!$B69,'Eredeti fejléccel'!$AS:$AS)</f>
        <v>0</v>
      </c>
      <c r="BE69" s="8">
        <f t="shared" si="74"/>
        <v>875243.3873584473</v>
      </c>
      <c r="BF69" s="36">
        <f t="shared" si="64"/>
        <v>23858.569042894895</v>
      </c>
      <c r="BG69" s="8">
        <f t="shared" si="10"/>
        <v>24521.185189160176</v>
      </c>
      <c r="BH69" s="6">
        <f t="shared" si="39"/>
        <v>24633.9552</v>
      </c>
      <c r="BI69" s="6">
        <f>SUMIF('Eredeti fejléccel'!$B:$B,'Felosztás eredménykim'!$B69,'Eredeti fejléccel'!$AH:$AH)</f>
        <v>263452.49680000002</v>
      </c>
      <c r="BJ69" s="6">
        <f>SUMIF('Eredeti fejléccel'!$B:$B,'Felosztás eredménykim'!$B69,'Eredeti fejléccel'!$AO:$AO)</f>
        <v>0</v>
      </c>
      <c r="BK69" s="6">
        <f>SUMIF('Eredeti fejléccel'!$B:$B,'Felosztás eredménykim'!$B69,'Eredeti fejléccel'!$BF:$BF)</f>
        <v>0</v>
      </c>
      <c r="BL69" s="8">
        <f t="shared" si="40"/>
        <v>312607.63718916022</v>
      </c>
      <c r="BM69" s="36">
        <f t="shared" si="65"/>
        <v>89390.105347379547</v>
      </c>
      <c r="BN69" s="8">
        <f t="shared" si="12"/>
        <v>91872.707175386793</v>
      </c>
      <c r="BP69" s="8">
        <f t="shared" si="41"/>
        <v>0</v>
      </c>
      <c r="BQ69" s="6">
        <f>SUMIF('Eredeti fejléccel'!$B:$B,'Felosztás eredménykim'!$B69,'Eredeti fejléccel'!$N:$N)</f>
        <v>0</v>
      </c>
      <c r="BR69" s="6">
        <f>SUMIF('Eredeti fejléccel'!$B:$B,'Felosztás eredménykim'!$B69,'Eredeti fejléccel'!$S:$S)</f>
        <v>0</v>
      </c>
      <c r="BT69" s="6">
        <f>SUMIF('Eredeti fejléccel'!$B:$B,'Felosztás eredménykim'!$B69,'Eredeti fejléccel'!$AR:$AR)</f>
        <v>0</v>
      </c>
      <c r="BU69" s="6">
        <f>SUMIF('Eredeti fejléccel'!$B:$B,'Felosztás eredménykim'!$B69,'Eredeti fejléccel'!$AU:$AU)</f>
        <v>0</v>
      </c>
      <c r="BV69" s="6">
        <f>SUMIF('Eredeti fejléccel'!$B:$B,'Felosztás eredménykim'!$B69,'Eredeti fejléccel'!$AV:$AV)</f>
        <v>91379.94</v>
      </c>
      <c r="BW69" s="6">
        <f>SUMIF('Eredeti fejléccel'!$B:$B,'Felosztás eredménykim'!$B69,'Eredeti fejléccel'!$AW:$AW)</f>
        <v>0</v>
      </c>
      <c r="BX69" s="6">
        <f>SUMIF('Eredeti fejléccel'!$B:$B,'Felosztás eredménykim'!$B69,'Eredeti fejléccel'!$AX:$AX)</f>
        <v>0</v>
      </c>
      <c r="BY69" s="6">
        <f>SUMIF('Eredeti fejléccel'!$B:$B,'Felosztás eredménykim'!$B69,'Eredeti fejléccel'!$AY:$AY)</f>
        <v>0</v>
      </c>
      <c r="BZ69" s="6">
        <f>SUMIF('Eredeti fejléccel'!$B:$B,'Felosztás eredménykim'!$B69,'Eredeti fejléccel'!$AZ:$AZ)</f>
        <v>0</v>
      </c>
      <c r="CA69" s="6">
        <f>SUMIF('Eredeti fejléccel'!$B:$B,'Felosztás eredménykim'!$B69,'Eredeti fejléccel'!$BA:$BA)</f>
        <v>803403.01300000027</v>
      </c>
      <c r="CB69" s="6">
        <f t="shared" si="13"/>
        <v>986655.66017538705</v>
      </c>
      <c r="CC69" s="36">
        <f t="shared" si="66"/>
        <v>24335.740423752792</v>
      </c>
      <c r="CD69" s="8">
        <f t="shared" si="15"/>
        <v>25011.608892943383</v>
      </c>
      <c r="CE69" s="6">
        <f>SUMIF('Eredeti fejléccel'!$B:$B,'Felosztás eredménykim'!$B69,'Eredeti fejléccel'!$BC:$BC)</f>
        <v>57895.610400000005</v>
      </c>
      <c r="CF69" s="8">
        <f t="shared" si="42"/>
        <v>-28947.805200000003</v>
      </c>
      <c r="CG69" s="6">
        <f>SUMIF('Eredeti fejléccel'!$B:$B,'Felosztás eredménykim'!$B69,'Eredeti fejléccel'!$H:$H)</f>
        <v>0</v>
      </c>
      <c r="CH69" s="6">
        <f>SUMIF('Eredeti fejléccel'!$B:$B,'Felosztás eredménykim'!$B69,'Eredeti fejléccel'!$BE:$BE)</f>
        <v>414380.58280000009</v>
      </c>
      <c r="CI69" s="6">
        <f t="shared" si="75"/>
        <v>468339.99689294351</v>
      </c>
      <c r="CJ69" s="36">
        <f t="shared" si="67"/>
        <v>17496.283964789593</v>
      </c>
      <c r="CK69" s="8">
        <f t="shared" si="17"/>
        <v>17982.202472050798</v>
      </c>
      <c r="CL69" s="8">
        <f t="shared" si="44"/>
        <v>28947.805200000003</v>
      </c>
      <c r="CM69" s="6">
        <f>SUMIF('Eredeti fejléccel'!$B:$B,'Felosztás eredménykim'!$B69,'Eredeti fejléccel'!$BD:$BD)</f>
        <v>215005.87160000001</v>
      </c>
      <c r="CN69" s="8">
        <f t="shared" si="76"/>
        <v>261935.87927205081</v>
      </c>
      <c r="CO69" s="8">
        <f t="shared" si="18"/>
        <v>3788286.8445143467</v>
      </c>
      <c r="CR69" s="36">
        <f t="shared" si="19"/>
        <v>105096.6681449195</v>
      </c>
      <c r="CS69" s="6">
        <f>SUMIF('Eredeti fejléccel'!$B:$B,'Felosztás eredménykim'!$B69,'Eredeti fejléccel'!$I:$I)</f>
        <v>13208.86</v>
      </c>
      <c r="CT69" s="6">
        <f>SUMIF('Eredeti fejléccel'!$B:$B,'Felosztás eredménykim'!$B69,'Eredeti fejléccel'!$BG:$BG)</f>
        <v>0</v>
      </c>
      <c r="CU69" s="6">
        <f>SUMIF('Eredeti fejléccel'!$B:$B,'Felosztás eredménykim'!$B69,'Eredeti fejléccel'!$BH:$BH)</f>
        <v>100011</v>
      </c>
      <c r="CV69" s="6">
        <f>SUMIF('Eredeti fejléccel'!$B:$B,'Felosztás eredménykim'!$B69,'Eredeti fejléccel'!$BI:$BI)</f>
        <v>14466.86</v>
      </c>
      <c r="CW69" s="6">
        <f>SUMIF('Eredeti fejléccel'!$B:$B,'Felosztás eredménykim'!$B69,'Eredeti fejléccel'!$BL:$BL)</f>
        <v>965674.55000000028</v>
      </c>
      <c r="CX69" s="6">
        <f t="shared" si="77"/>
        <v>1093361.2700000003</v>
      </c>
      <c r="CY69" s="6">
        <f>SUMIF('Eredeti fejléccel'!$B:$B,'Felosztás eredménykim'!$B69,'Eredeti fejléccel'!$BJ:$BJ)</f>
        <v>162196.81999999998</v>
      </c>
      <c r="CZ69" s="6">
        <f>SUMIF('Eredeti fejléccel'!$B:$B,'Felosztás eredménykim'!$B69,'Eredeti fejléccel'!$BK:$BK)</f>
        <v>8840</v>
      </c>
      <c r="DA69" s="99">
        <f t="shared" si="47"/>
        <v>1264398.0900000003</v>
      </c>
      <c r="DC69" s="36">
        <f t="shared" si="20"/>
        <v>92050.449055943332</v>
      </c>
      <c r="DD69" s="6">
        <f>SUMIF('Eredeti fejléccel'!$B:$B,'Felosztás eredménykim'!$B69,'Eredeti fejléccel'!$J:$J)</f>
        <v>0</v>
      </c>
      <c r="DE69" s="6">
        <f>SUMIF('Eredeti fejléccel'!$B:$B,'Felosztás eredménykim'!$B69,'Eredeti fejléccel'!$BM:$BM)</f>
        <v>59695.959999999992</v>
      </c>
      <c r="DF69" s="6">
        <f t="shared" si="48"/>
        <v>0</v>
      </c>
      <c r="DG69" s="8">
        <f t="shared" si="21"/>
        <v>0</v>
      </c>
      <c r="DH69" s="8">
        <f t="shared" si="49"/>
        <v>59695.959999999992</v>
      </c>
      <c r="DJ69" s="6">
        <f>SUMIF('Eredeti fejléccel'!$B:$B,'Felosztás eredménykim'!$B69,'Eredeti fejléccel'!$BN:$BN)</f>
        <v>24441.96</v>
      </c>
      <c r="DK69" s="6">
        <f>SUMIF('Eredeti fejléccel'!$B:$B,'Felosztás eredménykim'!$B69,'Eredeti fejléccel'!$BZ:$BZ)</f>
        <v>0</v>
      </c>
      <c r="DL69" s="8">
        <f t="shared" si="50"/>
        <v>24441.96</v>
      </c>
      <c r="DM69" s="6">
        <f>SUMIF('Eredeti fejléccel'!$B:$B,'Felosztás eredménykim'!$B69,'Eredeti fejléccel'!$BR:$BR)</f>
        <v>0</v>
      </c>
      <c r="DN69" s="6">
        <f>SUMIF('Eredeti fejléccel'!$B:$B,'Felosztás eredménykim'!$B69,'Eredeti fejléccel'!$BS:$BS)</f>
        <v>0</v>
      </c>
      <c r="DO69" s="6">
        <f>SUMIF('Eredeti fejléccel'!$B:$B,'Felosztás eredménykim'!$B69,'Eredeti fejléccel'!$BO:$BO)</f>
        <v>0</v>
      </c>
      <c r="DP69" s="6">
        <f>SUMIF('Eredeti fejléccel'!$B:$B,'Felosztás eredménykim'!$B69,'Eredeti fejléccel'!$BP:$BP)</f>
        <v>0</v>
      </c>
      <c r="DQ69" s="6">
        <f>SUMIF('Eredeti fejléccel'!$B:$B,'Felosztás eredménykim'!$B69,'Eredeti fejléccel'!$BQ:$BQ)</f>
        <v>0</v>
      </c>
      <c r="DS69" s="8"/>
      <c r="DU69" s="6">
        <f>SUMIF('Eredeti fejléccel'!$B:$B,'Felosztás eredménykim'!$B69,'Eredeti fejléccel'!$BT:$BT)</f>
        <v>0</v>
      </c>
      <c r="DV69" s="6">
        <f>SUMIF('Eredeti fejléccel'!$B:$B,'Felosztás eredménykim'!$B69,'Eredeti fejléccel'!$BU:$BU)</f>
        <v>0</v>
      </c>
      <c r="DW69" s="6">
        <f>SUMIF('Eredeti fejléccel'!$B:$B,'Felosztás eredménykim'!$B69,'Eredeti fejléccel'!$BV:$BV)</f>
        <v>0</v>
      </c>
      <c r="DX69" s="6">
        <f>SUMIF('Eredeti fejléccel'!$B:$B,'Felosztás eredménykim'!$B69,'Eredeti fejléccel'!$BW:$BW)</f>
        <v>0</v>
      </c>
      <c r="DY69" s="6">
        <f>SUMIF('Eredeti fejléccel'!$B:$B,'Felosztás eredménykim'!$B69,'Eredeti fejléccel'!$BX:$BX)</f>
        <v>0</v>
      </c>
      <c r="EA69" s="6"/>
      <c r="EC69" s="6"/>
      <c r="EE69" s="6">
        <f>SUMIF('Eredeti fejléccel'!$B:$B,'Felosztás eredménykim'!$B69,'Eredeti fejléccel'!$CA:$CA)</f>
        <v>0</v>
      </c>
      <c r="EF69" s="6">
        <f>SUMIF('Eredeti fejléccel'!$B:$B,'Felosztás eredménykim'!$B69,'Eredeti fejléccel'!$CB:$CB)</f>
        <v>0</v>
      </c>
      <c r="EG69" s="6">
        <f>SUMIF('Eredeti fejléccel'!$B:$B,'Felosztás eredménykim'!$B69,'Eredeti fejléccel'!$CC:$CC)</f>
        <v>0</v>
      </c>
      <c r="EH69" s="6">
        <f>SUMIF('Eredeti fejléccel'!$B:$B,'Felosztás eredménykim'!$B69,'Eredeti fejléccel'!$CD:$CD)</f>
        <v>0</v>
      </c>
      <c r="EK69" s="6">
        <f>SUMIF('Eredeti fejléccel'!$B:$B,'Felosztás eredménykim'!$B69,'Eredeti fejléccel'!$CE:$CE)</f>
        <v>0</v>
      </c>
      <c r="EN69" s="6">
        <f>SUMIF('Eredeti fejléccel'!$B:$B,'Felosztás eredménykim'!$B69,'Eredeti fejléccel'!$CF:$CF)</f>
        <v>0</v>
      </c>
      <c r="EP69" s="6">
        <f>SUMIF('Eredeti fejléccel'!$B:$B,'Felosztás eredménykim'!$B69,'Eredeti fejléccel'!$CG:$CG)</f>
        <v>0</v>
      </c>
      <c r="ES69" s="6">
        <f>SUMIF('Eredeti fejléccel'!$B:$B,'Felosztás eredménykim'!$B69,'Eredeti fejléccel'!$CH:$CH)</f>
        <v>0</v>
      </c>
      <c r="ET69" s="6">
        <f>SUMIF('Eredeti fejléccel'!$B:$B,'Felosztás eredménykim'!$B69,'Eredeti fejléccel'!$CI:$CI)</f>
        <v>0</v>
      </c>
      <c r="EW69" s="8">
        <f t="shared" si="22"/>
        <v>0</v>
      </c>
      <c r="EX69" s="8">
        <f t="shared" si="78"/>
        <v>0</v>
      </c>
      <c r="EY69" s="8">
        <f t="shared" si="52"/>
        <v>59695.959999999992</v>
      </c>
      <c r="EZ69" s="8">
        <f t="shared" si="23"/>
        <v>84137.919999999984</v>
      </c>
      <c r="FA69" s="8">
        <f t="shared" si="24"/>
        <v>59695.959999999985</v>
      </c>
      <c r="FC69" s="6">
        <f>SUMIF('Eredeti fejléccel'!$B:$B,'Felosztás eredménykim'!$B69,'Eredeti fejléccel'!$L:$L)</f>
        <v>0</v>
      </c>
      <c r="FD69" s="6">
        <f>SUMIF('Eredeti fejléccel'!$B:$B,'Felosztás eredménykim'!$B69,'Eredeti fejléccel'!$CJ:$CJ)</f>
        <v>108244.54000000001</v>
      </c>
      <c r="FE69" s="6">
        <f>SUMIF('Eredeti fejléccel'!$B:$B,'Felosztás eredménykim'!$B69,'Eredeti fejléccel'!$CL:$CL)</f>
        <v>0</v>
      </c>
      <c r="FG69" s="99">
        <f t="shared" si="79"/>
        <v>108244.54000000001</v>
      </c>
      <c r="FH69" s="6">
        <f>SUMIF('Eredeti fejléccel'!$B:$B,'Felosztás eredménykim'!$B69,'Eredeti fejléccel'!$CK:$CK)</f>
        <v>0</v>
      </c>
      <c r="FI69" s="36">
        <f t="shared" si="68"/>
        <v>108303.18697845581</v>
      </c>
      <c r="FJ69" s="101">
        <f t="shared" si="26"/>
        <v>24002.811092966855</v>
      </c>
      <c r="FK69" s="6">
        <f>SUMIF('Eredeti fejléccel'!$B:$B,'Felosztás eredménykim'!$B69,'Eredeti fejléccel'!$CM:$CM)</f>
        <v>35484.189999999995</v>
      </c>
      <c r="FL69" s="6">
        <f>SUMIF('Eredeti fejléccel'!$B:$B,'Felosztás eredménykim'!$B69,'Eredeti fejléccel'!$CN:$CN)</f>
        <v>0</v>
      </c>
      <c r="FM69" s="8">
        <f t="shared" si="80"/>
        <v>59487.00109296685</v>
      </c>
      <c r="FN69" s="36">
        <f t="shared" si="69"/>
        <v>92075.476497907031</v>
      </c>
      <c r="FO69" s="101">
        <f t="shared" si="28"/>
        <v>20406.327185125305</v>
      </c>
      <c r="FP69" s="6">
        <f>SUMIF('Eredeti fejléccel'!$B:$B,'Felosztás eredménykim'!$B69,'Eredeti fejléccel'!$CO:$CO)</f>
        <v>167781.02</v>
      </c>
      <c r="FQ69" s="6">
        <f>'Eredeti fejléccel'!CP69</f>
        <v>21060.339999999997</v>
      </c>
      <c r="FR69" s="6">
        <f>'Eredeti fejléccel'!CQ69</f>
        <v>0</v>
      </c>
      <c r="FS69" s="103">
        <f t="shared" si="55"/>
        <v>209247.68718512528</v>
      </c>
      <c r="FT69" s="36">
        <f t="shared" si="70"/>
        <v>254155.16390095523</v>
      </c>
      <c r="FU69" s="101">
        <f t="shared" si="30"/>
        <v>56327.413417946649</v>
      </c>
      <c r="FV69" s="101"/>
      <c r="FW69" s="6">
        <f>SUMIF('Eredeti fejléccel'!$B:$B,'Felosztás eredménykim'!$B69,'Eredeti fejléccel'!$CR:$CR)</f>
        <v>595948.42000000004</v>
      </c>
      <c r="FX69" s="6">
        <f>SUMIF('Eredeti fejléccel'!$B:$B,'Felosztás eredménykim'!$B69,'Eredeti fejléccel'!$CS:$CS)</f>
        <v>0</v>
      </c>
      <c r="FY69" s="6">
        <f>SUMIF('Eredeti fejléccel'!$B:$B,'Felosztás eredménykim'!$B69,'Eredeti fejléccel'!$CT:$CT)</f>
        <v>14423.85</v>
      </c>
      <c r="FZ69" s="6">
        <f>SUMIF('Eredeti fejléccel'!$B:$B,'Felosztás eredménykim'!$B69,'Eredeti fejléccel'!$CU:$CU)</f>
        <v>0</v>
      </c>
      <c r="GA69" s="103">
        <f t="shared" si="81"/>
        <v>666699.68341794668</v>
      </c>
      <c r="GB69" s="36">
        <f t="shared" si="71"/>
        <v>33876.826258663903</v>
      </c>
      <c r="GC69" s="101">
        <f t="shared" si="32"/>
        <v>7507.9883039611968</v>
      </c>
      <c r="GD69" s="6">
        <f>SUMIF('Eredeti fejléccel'!$B:$B,'Felosztás eredménykim'!$B69,'Eredeti fejléccel'!$CV:$CV)</f>
        <v>123209.89000000003</v>
      </c>
      <c r="GE69" s="6">
        <f>SUMIF('Eredeti fejléccel'!$B:$B,'Felosztás eredménykim'!$B69,'Eredeti fejléccel'!$CW:$CW)</f>
        <v>0</v>
      </c>
      <c r="GF69" s="103">
        <f t="shared" si="82"/>
        <v>130717.87830396123</v>
      </c>
      <c r="GG69" s="36">
        <f t="shared" si="33"/>
        <v>0</v>
      </c>
      <c r="GM69" s="6">
        <f>SUMIF('Eredeti fejléccel'!$B:$B,'Felosztás eredménykim'!$B69,'Eredeti fejléccel'!$CX:$CX)</f>
        <v>0</v>
      </c>
      <c r="GN69" s="6">
        <f>SUMIF('Eredeti fejléccel'!$B:$B,'Felosztás eredménykim'!$B69,'Eredeti fejléccel'!$CY:$CY)</f>
        <v>0</v>
      </c>
      <c r="GO69" s="6">
        <f>SUMIF('Eredeti fejléccel'!$B:$B,'Felosztás eredménykim'!$B69,'Eredeti fejléccel'!$CZ:$CZ)</f>
        <v>0</v>
      </c>
      <c r="GP69" s="6">
        <f>SUMIF('Eredeti fejléccel'!$B:$B,'Felosztás eredménykim'!$B69,'Eredeti fejléccel'!$DA:$DA)</f>
        <v>0</v>
      </c>
      <c r="GQ69" s="6">
        <f>SUMIF('Eredeti fejléccel'!$B:$B,'Felosztás eredménykim'!$B69,'Eredeti fejléccel'!$DB:$DB)</f>
        <v>0</v>
      </c>
      <c r="GR69" s="103">
        <f t="shared" si="83"/>
        <v>0</v>
      </c>
      <c r="GW69" s="36">
        <f t="shared" si="34"/>
        <v>58153.23464880875</v>
      </c>
      <c r="GX69" s="6">
        <f>SUMIF('Eredeti fejléccel'!$B:$B,'Felosztás eredménykim'!$B69,'Eredeti fejléccel'!$M:$M)</f>
        <v>0</v>
      </c>
      <c r="GY69" s="6">
        <f>SUMIF('Eredeti fejléccel'!$B:$B,'Felosztás eredménykim'!$B69,'Eredeti fejléccel'!$DC:$DC)</f>
        <v>115659.06</v>
      </c>
      <c r="GZ69" s="6">
        <f>SUMIF('Eredeti fejléccel'!$B:$B,'Felosztás eredménykim'!$B69,'Eredeti fejléccel'!$DD:$DD)</f>
        <v>0</v>
      </c>
      <c r="HA69" s="6">
        <f>SUMIF('Eredeti fejléccel'!$B:$B,'Felosztás eredménykim'!$B69,'Eredeti fejléccel'!$DE:$DE)</f>
        <v>0</v>
      </c>
      <c r="HB69" s="103">
        <f t="shared" si="84"/>
        <v>115659.06</v>
      </c>
      <c r="HD69" s="9">
        <f t="shared" si="72"/>
        <v>7062345.1699999981</v>
      </c>
      <c r="HE69" s="9">
        <v>7062345.1699999999</v>
      </c>
      <c r="HF69" s="476"/>
      <c r="HH69" s="34">
        <f t="shared" si="85"/>
        <v>0</v>
      </c>
    </row>
    <row r="70" spans="1:218" x14ac:dyDescent="0.25">
      <c r="A70" s="4" t="s">
        <v>158</v>
      </c>
      <c r="B70" s="4" t="s">
        <v>158</v>
      </c>
      <c r="C70" s="1" t="s">
        <v>159</v>
      </c>
      <c r="D70" s="6">
        <f>SUMIF('Eredeti fejléccel'!$B:$B,'Felosztás eredménykim'!$B70,'Eredeti fejléccel'!$D:$D)</f>
        <v>0</v>
      </c>
      <c r="E70" s="6">
        <f>SUMIF('Eredeti fejléccel'!$B:$B,'Felosztás eredménykim'!$B70,'Eredeti fejléccel'!$E:$E)</f>
        <v>4724</v>
      </c>
      <c r="F70" s="6">
        <f>SUMIF('Eredeti fejléccel'!$B:$B,'Felosztás eredménykim'!$B70,'Eredeti fejléccel'!$F:$F)</f>
        <v>0</v>
      </c>
      <c r="G70" s="6">
        <f>SUMIF('Eredeti fejléccel'!$B:$B,'Felosztás eredménykim'!$B70,'Eredeti fejléccel'!$G:$G)</f>
        <v>2362</v>
      </c>
      <c r="H70" s="6"/>
      <c r="I70" s="6">
        <f>SUMIF('Eredeti fejléccel'!$B:$B,'Felosztás eredménykim'!$B70,'Eredeti fejléccel'!$O:$O)</f>
        <v>0</v>
      </c>
      <c r="J70" s="6">
        <f>SUMIF('Eredeti fejléccel'!$B:$B,'Felosztás eredménykim'!$B70,'Eredeti fejléccel'!$P:$P)</f>
        <v>0</v>
      </c>
      <c r="K70" s="6">
        <f>SUMIF('Eredeti fejléccel'!$B:$B,'Felosztás eredménykim'!$B70,'Eredeti fejléccel'!$Q:$Q)</f>
        <v>0</v>
      </c>
      <c r="L70" s="6">
        <f>SUMIF('Eredeti fejléccel'!$B:$B,'Felosztás eredménykim'!$B70,'Eredeti fejléccel'!$R:$R)</f>
        <v>0</v>
      </c>
      <c r="M70" s="6">
        <f>SUMIF('Eredeti fejléccel'!$B:$B,'Felosztás eredménykim'!$B70,'Eredeti fejléccel'!$T:$T)</f>
        <v>0</v>
      </c>
      <c r="N70" s="6">
        <f>SUMIF('Eredeti fejléccel'!$B:$B,'Felosztás eredménykim'!$B70,'Eredeti fejléccel'!$U:$U)</f>
        <v>0</v>
      </c>
      <c r="O70" s="6">
        <f>SUMIF('Eredeti fejléccel'!$B:$B,'Felosztás eredménykim'!$B70,'Eredeti fejléccel'!$V:$V)</f>
        <v>0</v>
      </c>
      <c r="P70" s="6">
        <f>SUMIF('Eredeti fejléccel'!$B:$B,'Felosztás eredménykim'!$B70,'Eredeti fejléccel'!$W:$W)</f>
        <v>0</v>
      </c>
      <c r="Q70" s="6">
        <f>SUMIF('Eredeti fejléccel'!$B:$B,'Felosztás eredménykim'!$B70,'Eredeti fejléccel'!$X:$X)</f>
        <v>0</v>
      </c>
      <c r="R70" s="6">
        <f>SUMIF('Eredeti fejléccel'!$B:$B,'Felosztás eredménykim'!$B70,'Eredeti fejléccel'!$Y:$Y)</f>
        <v>0</v>
      </c>
      <c r="S70" s="6">
        <f>SUMIF('Eredeti fejléccel'!$B:$B,'Felosztás eredménykim'!$B70,'Eredeti fejléccel'!$Z:$Z)</f>
        <v>0</v>
      </c>
      <c r="T70" s="6">
        <f>SUMIF('Eredeti fejléccel'!$B:$B,'Felosztás eredménykim'!$B70,'Eredeti fejléccel'!$AA:$AA)</f>
        <v>0</v>
      </c>
      <c r="U70" s="6">
        <f>SUMIF('Eredeti fejléccel'!$B:$B,'Felosztás eredménykim'!$B70,'Eredeti fejléccel'!$D:$D)</f>
        <v>0</v>
      </c>
      <c r="V70" s="6">
        <f>SUMIF('Eredeti fejléccel'!$B:$B,'Felosztás eredménykim'!$B70,'Eredeti fejléccel'!$AT:$AT)</f>
        <v>0</v>
      </c>
      <c r="X70" s="36">
        <f t="shared" ref="X70:X133" si="86">SUM(D70:W70)</f>
        <v>7086</v>
      </c>
      <c r="Z70" s="6">
        <f>SUMIF('Eredeti fejléccel'!$B:$B,'Felosztás eredménykim'!$B70,'Eredeti fejléccel'!$K:$K)</f>
        <v>2362</v>
      </c>
      <c r="AB70" s="6">
        <f>SUMIF('Eredeti fejléccel'!$B:$B,'Felosztás eredménykim'!$B70,'Eredeti fejléccel'!$AB:$AB)</f>
        <v>0</v>
      </c>
      <c r="AC70" s="6">
        <f>SUMIF('Eredeti fejléccel'!$B:$B,'Felosztás eredménykim'!$B70,'Eredeti fejléccel'!$AQ:$AQ)</f>
        <v>0</v>
      </c>
      <c r="AE70" s="73">
        <f t="shared" si="1"/>
        <v>2362</v>
      </c>
      <c r="AF70" s="36">
        <f t="shared" ref="AF70:AF101" si="87">$X70/$HD$290*(AG$290+AG$291)</f>
        <v>845.32182991072443</v>
      </c>
      <c r="AG70" s="8">
        <f t="shared" ref="AG70:AG133" si="88">$AE70/$HD$291*AG$290</f>
        <v>753.11063411143891</v>
      </c>
      <c r="AI70" s="6">
        <f>SUMIF('Eredeti fejléccel'!$B:$B,'Felosztás eredménykim'!$B70,'Eredeti fejléccel'!$BB:$BB)</f>
        <v>0</v>
      </c>
      <c r="AJ70" s="6">
        <f>SUMIF('Eredeti fejléccel'!$B:$B,'Felosztás eredménykim'!$B70,'Eredeti fejléccel'!$AF:$AF)</f>
        <v>0</v>
      </c>
      <c r="AK70" s="8">
        <f t="shared" si="73"/>
        <v>753.11063411143891</v>
      </c>
      <c r="AL70" s="36">
        <f t="shared" ref="AL70:AL101" si="89">$X70/$HD$290*(AM$290+AM$291)</f>
        <v>335.75756273592873</v>
      </c>
      <c r="AM70" s="8">
        <f t="shared" ref="AM70:AM133" si="90">$AE70/$HD$291*AM$290</f>
        <v>299.13174134692775</v>
      </c>
      <c r="AN70" s="6">
        <f t="shared" si="36"/>
        <v>0</v>
      </c>
      <c r="AO70" s="6">
        <f>SUMIF('Eredeti fejléccel'!$B:$B,'Felosztás eredménykim'!$B70,'Eredeti fejléccel'!$AC:$AC)</f>
        <v>0</v>
      </c>
      <c r="AP70" s="6">
        <f>SUMIF('Eredeti fejléccel'!$B:$B,'Felosztás eredménykim'!$B70,'Eredeti fejléccel'!$AD:$AD)</f>
        <v>0</v>
      </c>
      <c r="AQ70" s="6">
        <f>SUMIF('Eredeti fejléccel'!$B:$B,'Felosztás eredménykim'!$B70,'Eredeti fejléccel'!$AE:$AE)</f>
        <v>0</v>
      </c>
      <c r="AR70" s="6">
        <f>SUMIF('Eredeti fejléccel'!$B:$B,'Felosztás eredménykim'!$B70,'Eredeti fejléccel'!$AG:$AG)</f>
        <v>0</v>
      </c>
      <c r="AS70" s="6">
        <f t="shared" si="37"/>
        <v>299.13174134692775</v>
      </c>
      <c r="AT70" s="36">
        <f t="shared" ref="AT70:AT101" si="91">$X70/$HD$290*(AU$290+AU$291)</f>
        <v>545.36892252304813</v>
      </c>
      <c r="AU70" s="8">
        <f t="shared" ref="AU70:AU133" si="92">$AE70/$HD$291*AU$290</f>
        <v>485.87782845899284</v>
      </c>
      <c r="AV70" s="6">
        <f>SUMIF('Eredeti fejléccel'!$B:$B,'Felosztás eredménykim'!$B70,'Eredeti fejléccel'!$AI:$AI)</f>
        <v>0</v>
      </c>
      <c r="AW70" s="6">
        <f>SUMIF('Eredeti fejléccel'!$B:$B,'Felosztás eredménykim'!$B70,'Eredeti fejléccel'!$AJ:$AJ)</f>
        <v>0</v>
      </c>
      <c r="AX70" s="6">
        <f>SUMIF('Eredeti fejléccel'!$B:$B,'Felosztás eredménykim'!$B70,'Eredeti fejléccel'!$AK:$AK)</f>
        <v>0</v>
      </c>
      <c r="AY70" s="6">
        <f>SUMIF('Eredeti fejléccel'!$B:$B,'Felosztás eredménykim'!$B70,'Eredeti fejléccel'!$AL:$AL)</f>
        <v>0</v>
      </c>
      <c r="AZ70" s="6">
        <f>SUMIF('Eredeti fejléccel'!$B:$B,'Felosztás eredménykim'!$B70,'Eredeti fejléccel'!$AM:$AM)</f>
        <v>0</v>
      </c>
      <c r="BA70" s="6">
        <f>SUMIF('Eredeti fejléccel'!$B:$B,'Felosztás eredménykim'!$B70,'Eredeti fejléccel'!$AN:$AN)</f>
        <v>0</v>
      </c>
      <c r="BB70" s="6">
        <f>SUMIF('Eredeti fejléccel'!$B:$B,'Felosztás eredménykim'!$B70,'Eredeti fejléccel'!$AP:$AP)</f>
        <v>0</v>
      </c>
      <c r="BD70" s="6">
        <f>SUMIF('Eredeti fejléccel'!$B:$B,'Felosztás eredménykim'!$B70,'Eredeti fejléccel'!$AS:$AS)</f>
        <v>0</v>
      </c>
      <c r="BE70" s="8">
        <f t="shared" si="74"/>
        <v>485.87782845899284</v>
      </c>
      <c r="BF70" s="36">
        <f t="shared" ref="BF70:BF101" si="93">$X70/$HD$290*(BG$290+BG$291)</f>
        <v>142.2701537016647</v>
      </c>
      <c r="BG70" s="8">
        <f t="shared" ref="BG70:BG133" si="94">$AE70/$HD$291*BG$290</f>
        <v>126.75073785886769</v>
      </c>
      <c r="BH70" s="6">
        <f t="shared" si="39"/>
        <v>0</v>
      </c>
      <c r="BI70" s="6">
        <f>SUMIF('Eredeti fejléccel'!$B:$B,'Felosztás eredménykim'!$B70,'Eredeti fejléccel'!$AH:$AH)</f>
        <v>0</v>
      </c>
      <c r="BJ70" s="6">
        <f>SUMIF('Eredeti fejléccel'!$B:$B,'Felosztás eredménykim'!$B70,'Eredeti fejléccel'!$AO:$AO)</f>
        <v>0</v>
      </c>
      <c r="BK70" s="6">
        <f>SUMIF('Eredeti fejléccel'!$B:$B,'Felosztás eredménykim'!$B70,'Eredeti fejléccel'!$BF:$BF)</f>
        <v>0</v>
      </c>
      <c r="BL70" s="8">
        <f t="shared" si="40"/>
        <v>126.75073785886769</v>
      </c>
      <c r="BM70" s="36">
        <f t="shared" ref="BM70:BM101" si="95">$X70/$HD$290*(BN$290+BN$291)</f>
        <v>533.03884253557055</v>
      </c>
      <c r="BN70" s="8">
        <f t="shared" ref="BN70:BN133" si="96">$AE70/$HD$291*BN$290</f>
        <v>474.89276451122436</v>
      </c>
      <c r="BP70" s="8">
        <f t="shared" si="41"/>
        <v>0</v>
      </c>
      <c r="BQ70" s="6">
        <f>SUMIF('Eredeti fejléccel'!$B:$B,'Felosztás eredménykim'!$B70,'Eredeti fejléccel'!$N:$N)</f>
        <v>0</v>
      </c>
      <c r="BR70" s="6">
        <f>SUMIF('Eredeti fejléccel'!$B:$B,'Felosztás eredménykim'!$B70,'Eredeti fejléccel'!$S:$S)</f>
        <v>0</v>
      </c>
      <c r="BT70" s="6">
        <f>SUMIF('Eredeti fejléccel'!$B:$B,'Felosztás eredménykim'!$B70,'Eredeti fejléccel'!$AR:$AR)</f>
        <v>0</v>
      </c>
      <c r="BU70" s="6">
        <f>SUMIF('Eredeti fejléccel'!$B:$B,'Felosztás eredménykim'!$B70,'Eredeti fejléccel'!$AU:$AU)</f>
        <v>0</v>
      </c>
      <c r="BV70" s="6">
        <f>SUMIF('Eredeti fejléccel'!$B:$B,'Felosztás eredménykim'!$B70,'Eredeti fejléccel'!$AV:$AV)</f>
        <v>0</v>
      </c>
      <c r="BW70" s="6">
        <f>SUMIF('Eredeti fejléccel'!$B:$B,'Felosztás eredménykim'!$B70,'Eredeti fejléccel'!$AW:$AW)</f>
        <v>0</v>
      </c>
      <c r="BX70" s="6">
        <f>SUMIF('Eredeti fejléccel'!$B:$B,'Felosztás eredménykim'!$B70,'Eredeti fejléccel'!$AX:$AX)</f>
        <v>0</v>
      </c>
      <c r="BY70" s="6">
        <f>SUMIF('Eredeti fejléccel'!$B:$B,'Felosztás eredménykim'!$B70,'Eredeti fejléccel'!$AY:$AY)</f>
        <v>0</v>
      </c>
      <c r="BZ70" s="6">
        <f>SUMIF('Eredeti fejléccel'!$B:$B,'Felosztás eredménykim'!$B70,'Eredeti fejléccel'!$AZ:$AZ)</f>
        <v>0</v>
      </c>
      <c r="CA70" s="6">
        <f>SUMIF('Eredeti fejléccel'!$B:$B,'Felosztás eredménykim'!$B70,'Eredeti fejléccel'!$BA:$BA)</f>
        <v>0</v>
      </c>
      <c r="CB70" s="6">
        <f t="shared" si="13"/>
        <v>474.89276451122436</v>
      </c>
      <c r="CC70" s="36">
        <f t="shared" ref="CC70:CC101" si="97">$X70/$HD$290*(CD$290+CD$291)</f>
        <v>145.115556775698</v>
      </c>
      <c r="CD70" s="8">
        <f t="shared" ref="CD70:CD133" si="98">$AE70/$HD$291*CD$290</f>
        <v>129.28575261604504</v>
      </c>
      <c r="CE70" s="6">
        <f>SUMIF('Eredeti fejléccel'!$B:$B,'Felosztás eredménykim'!$B70,'Eredeti fejléccel'!$BC:$BC)</f>
        <v>0</v>
      </c>
      <c r="CF70" s="8">
        <f t="shared" si="42"/>
        <v>0</v>
      </c>
      <c r="CG70" s="6">
        <f>SUMIF('Eredeti fejléccel'!$B:$B,'Felosztás eredménykim'!$B70,'Eredeti fejléccel'!$H:$H)</f>
        <v>0</v>
      </c>
      <c r="CH70" s="6">
        <f>SUMIF('Eredeti fejléccel'!$B:$B,'Felosztás eredménykim'!$B70,'Eredeti fejléccel'!$BE:$BE)</f>
        <v>0</v>
      </c>
      <c r="CI70" s="6">
        <f t="shared" si="75"/>
        <v>129.28575261604504</v>
      </c>
      <c r="CJ70" s="36">
        <f t="shared" ref="CJ70:CJ101" si="99">$X70/$HD$290*(CK$290+CK$291)</f>
        <v>104.33144604788747</v>
      </c>
      <c r="CK70" s="8">
        <f t="shared" ref="CK70:CK133" si="100">$AE70/$HD$291*CK$290</f>
        <v>92.950541096502988</v>
      </c>
      <c r="CL70" s="8">
        <f t="shared" si="44"/>
        <v>0</v>
      </c>
      <c r="CM70" s="6">
        <f>SUMIF('Eredeti fejléccel'!$B:$B,'Felosztás eredménykim'!$B70,'Eredeti fejléccel'!$BD:$BD)</f>
        <v>0</v>
      </c>
      <c r="CN70" s="8">
        <f t="shared" si="76"/>
        <v>92.950541096502988</v>
      </c>
      <c r="CO70" s="8">
        <f t="shared" si="18"/>
        <v>5013.204314230522</v>
      </c>
      <c r="CR70" s="36">
        <f t="shared" ref="CR70:CR133" si="101">$X70/$HD$290*CR$290</f>
        <v>626.6980682549904</v>
      </c>
      <c r="CS70" s="6">
        <f>SUMIF('Eredeti fejléccel'!$B:$B,'Felosztás eredménykim'!$B70,'Eredeti fejléccel'!$I:$I)</f>
        <v>0</v>
      </c>
      <c r="CT70" s="6">
        <f>SUMIF('Eredeti fejléccel'!$B:$B,'Felosztás eredménykim'!$B70,'Eredeti fejléccel'!$BG:$BG)</f>
        <v>0</v>
      </c>
      <c r="CU70" s="6">
        <f>SUMIF('Eredeti fejléccel'!$B:$B,'Felosztás eredménykim'!$B70,'Eredeti fejléccel'!$BH:$BH)</f>
        <v>0</v>
      </c>
      <c r="CV70" s="6">
        <f>SUMIF('Eredeti fejléccel'!$B:$B,'Felosztás eredménykim'!$B70,'Eredeti fejléccel'!$BI:$BI)</f>
        <v>0</v>
      </c>
      <c r="CW70" s="6">
        <f>SUMIF('Eredeti fejléccel'!$B:$B,'Felosztás eredménykim'!$B70,'Eredeti fejléccel'!$BL:$BL)</f>
        <v>10275</v>
      </c>
      <c r="CX70" s="6">
        <f t="shared" si="77"/>
        <v>10275</v>
      </c>
      <c r="CY70" s="6">
        <f>SUMIF('Eredeti fejléccel'!$B:$B,'Felosztás eredménykim'!$B70,'Eredeti fejléccel'!$BJ:$BJ)</f>
        <v>1701</v>
      </c>
      <c r="CZ70" s="6">
        <f>SUMIF('Eredeti fejléccel'!$B:$B,'Felosztás eredménykim'!$B70,'Eredeti fejléccel'!$BK:$BK)</f>
        <v>0</v>
      </c>
      <c r="DA70" s="99">
        <f t="shared" si="47"/>
        <v>11976</v>
      </c>
      <c r="DC70" s="36">
        <f t="shared" ref="DC70:DC133" si="102">$X70/$HD$290*DC$290</f>
        <v>548.90264005151334</v>
      </c>
      <c r="DD70" s="6">
        <f>SUMIF('Eredeti fejléccel'!$B:$B,'Felosztás eredménykim'!$B70,'Eredeti fejléccel'!$J:$J)</f>
        <v>0</v>
      </c>
      <c r="DE70" s="6">
        <f>SUMIF('Eredeti fejléccel'!$B:$B,'Felosztás eredménykim'!$B70,'Eredeti fejléccel'!$BM:$BM)</f>
        <v>7086</v>
      </c>
      <c r="DF70" s="6">
        <f t="shared" si="48"/>
        <v>0</v>
      </c>
      <c r="DG70" s="8">
        <f t="shared" si="21"/>
        <v>0</v>
      </c>
      <c r="DH70" s="8">
        <f t="shared" si="49"/>
        <v>7086</v>
      </c>
      <c r="DJ70" s="6">
        <f>SUMIF('Eredeti fejléccel'!$B:$B,'Felosztás eredménykim'!$B70,'Eredeti fejléccel'!$BN:$BN)</f>
        <v>0</v>
      </c>
      <c r="DK70" s="6">
        <f>SUMIF('Eredeti fejléccel'!$B:$B,'Felosztás eredménykim'!$B70,'Eredeti fejléccel'!$BZ:$BZ)</f>
        <v>0</v>
      </c>
      <c r="DL70" s="8">
        <f t="shared" si="50"/>
        <v>0</v>
      </c>
      <c r="DM70" s="6">
        <f>SUMIF('Eredeti fejléccel'!$B:$B,'Felosztás eredménykim'!$B70,'Eredeti fejléccel'!$BR:$BR)</f>
        <v>0</v>
      </c>
      <c r="DN70" s="6">
        <f>SUMIF('Eredeti fejléccel'!$B:$B,'Felosztás eredménykim'!$B70,'Eredeti fejléccel'!$BS:$BS)</f>
        <v>0</v>
      </c>
      <c r="DO70" s="6">
        <f>SUMIF('Eredeti fejléccel'!$B:$B,'Felosztás eredménykim'!$B70,'Eredeti fejléccel'!$BO:$BO)</f>
        <v>0</v>
      </c>
      <c r="DP70" s="6">
        <f>SUMIF('Eredeti fejléccel'!$B:$B,'Felosztás eredménykim'!$B70,'Eredeti fejléccel'!$BP:$BP)</f>
        <v>0</v>
      </c>
      <c r="DQ70" s="6">
        <f>SUMIF('Eredeti fejléccel'!$B:$B,'Felosztás eredménykim'!$B70,'Eredeti fejléccel'!$BQ:$BQ)</f>
        <v>0</v>
      </c>
      <c r="DS70" s="8"/>
      <c r="DU70" s="6">
        <f>SUMIF('Eredeti fejléccel'!$B:$B,'Felosztás eredménykim'!$B70,'Eredeti fejléccel'!$BT:$BT)</f>
        <v>0</v>
      </c>
      <c r="DV70" s="6">
        <f>SUMIF('Eredeti fejléccel'!$B:$B,'Felosztás eredménykim'!$B70,'Eredeti fejléccel'!$BU:$BU)</f>
        <v>0</v>
      </c>
      <c r="DW70" s="6">
        <f>SUMIF('Eredeti fejléccel'!$B:$B,'Felosztás eredménykim'!$B70,'Eredeti fejléccel'!$BV:$BV)</f>
        <v>0</v>
      </c>
      <c r="DX70" s="6">
        <f>SUMIF('Eredeti fejléccel'!$B:$B,'Felosztás eredménykim'!$B70,'Eredeti fejléccel'!$BW:$BW)</f>
        <v>0</v>
      </c>
      <c r="DY70" s="6">
        <f>SUMIF('Eredeti fejléccel'!$B:$B,'Felosztás eredménykim'!$B70,'Eredeti fejléccel'!$BX:$BX)</f>
        <v>0</v>
      </c>
      <c r="EA70" s="6"/>
      <c r="EC70" s="6"/>
      <c r="EE70" s="6">
        <f>SUMIF('Eredeti fejléccel'!$B:$B,'Felosztás eredménykim'!$B70,'Eredeti fejléccel'!$CA:$CA)</f>
        <v>0</v>
      </c>
      <c r="EF70" s="6">
        <f>SUMIF('Eredeti fejléccel'!$B:$B,'Felosztás eredménykim'!$B70,'Eredeti fejléccel'!$CB:$CB)</f>
        <v>0</v>
      </c>
      <c r="EG70" s="6">
        <f>SUMIF('Eredeti fejléccel'!$B:$B,'Felosztás eredménykim'!$B70,'Eredeti fejléccel'!$CC:$CC)</f>
        <v>0</v>
      </c>
      <c r="EH70" s="6">
        <f>SUMIF('Eredeti fejléccel'!$B:$B,'Felosztás eredménykim'!$B70,'Eredeti fejléccel'!$CD:$CD)</f>
        <v>0</v>
      </c>
      <c r="EK70" s="6">
        <f>SUMIF('Eredeti fejléccel'!$B:$B,'Felosztás eredménykim'!$B70,'Eredeti fejléccel'!$CE:$CE)</f>
        <v>0</v>
      </c>
      <c r="EN70" s="6">
        <f>SUMIF('Eredeti fejléccel'!$B:$B,'Felosztás eredménykim'!$B70,'Eredeti fejléccel'!$CF:$CF)</f>
        <v>0</v>
      </c>
      <c r="EP70" s="6">
        <f>SUMIF('Eredeti fejléccel'!$B:$B,'Felosztás eredménykim'!$B70,'Eredeti fejléccel'!$CG:$CG)</f>
        <v>0</v>
      </c>
      <c r="ES70" s="6">
        <f>SUMIF('Eredeti fejléccel'!$B:$B,'Felosztás eredménykim'!$B70,'Eredeti fejléccel'!$CH:$CH)</f>
        <v>0</v>
      </c>
      <c r="ET70" s="6">
        <f>SUMIF('Eredeti fejléccel'!$B:$B,'Felosztás eredménykim'!$B70,'Eredeti fejléccel'!$CI:$CI)</f>
        <v>0</v>
      </c>
      <c r="EW70" s="8">
        <f t="shared" si="22"/>
        <v>0</v>
      </c>
      <c r="EX70" s="8">
        <f t="shared" si="78"/>
        <v>0</v>
      </c>
      <c r="EY70" s="8">
        <f t="shared" si="52"/>
        <v>7086</v>
      </c>
      <c r="EZ70" s="8">
        <f t="shared" si="23"/>
        <v>7086</v>
      </c>
      <c r="FA70" s="8">
        <f t="shared" si="24"/>
        <v>7086</v>
      </c>
      <c r="FC70" s="6">
        <f>SUMIF('Eredeti fejléccel'!$B:$B,'Felosztás eredménykim'!$B70,'Eredeti fejléccel'!$L:$L)</f>
        <v>0</v>
      </c>
      <c r="FD70" s="6">
        <f>SUMIF('Eredeti fejléccel'!$B:$B,'Felosztás eredménykim'!$B70,'Eredeti fejléccel'!$CJ:$CJ)</f>
        <v>7724</v>
      </c>
      <c r="FE70" s="6">
        <f>SUMIF('Eredeti fejléccel'!$B:$B,'Felosztás eredménykim'!$B70,'Eredeti fejléccel'!$CL:$CL)</f>
        <v>0</v>
      </c>
      <c r="FG70" s="99">
        <f t="shared" si="79"/>
        <v>7724</v>
      </c>
      <c r="FH70" s="6">
        <f>SUMIF('Eredeti fejléccel'!$B:$B,'Felosztás eredménykim'!$B70,'Eredeti fejléccel'!$CK:$CK)</f>
        <v>0</v>
      </c>
      <c r="FI70" s="36">
        <f t="shared" ref="FI70:FI101" si="103">$X70/$HD$290*(FJ$290+FJ$293)</f>
        <v>645.81874252821751</v>
      </c>
      <c r="FJ70" s="101">
        <f t="shared" ref="FJ70:FJ133" si="104">$FG70/$HD$292*FJ$292</f>
        <v>1712.7673403395311</v>
      </c>
      <c r="FK70" s="6">
        <f>SUMIF('Eredeti fejléccel'!$B:$B,'Felosztás eredménykim'!$B70,'Eredeti fejléccel'!$CM:$CM)</f>
        <v>0</v>
      </c>
      <c r="FL70" s="6">
        <f>SUMIF('Eredeti fejléccel'!$B:$B,'Felosztás eredménykim'!$B70,'Eredeti fejléccel'!$CN:$CN)</f>
        <v>0</v>
      </c>
      <c r="FM70" s="8">
        <f t="shared" si="80"/>
        <v>1712.7673403395311</v>
      </c>
      <c r="FN70" s="36">
        <f t="shared" ref="FN70:FN101" si="105">$X70/$HD$290*(FO$290+FO$293)</f>
        <v>549.05188026824771</v>
      </c>
      <c r="FO70" s="101">
        <f t="shared" ref="FO70:FO133" si="106">$FG70/$HD$292*FO$292</f>
        <v>1456.133225545675</v>
      </c>
      <c r="FP70" s="6">
        <f>SUMIF('Eredeti fejléccel'!$B:$B,'Felosztás eredménykim'!$B70,'Eredeti fejléccel'!$CO:$CO)</f>
        <v>4724</v>
      </c>
      <c r="FQ70" s="6">
        <f>'Eredeti fejléccel'!CP70</f>
        <v>0</v>
      </c>
      <c r="FR70" s="6">
        <f>'Eredeti fejléccel'!CQ70</f>
        <v>0</v>
      </c>
      <c r="FS70" s="103">
        <f t="shared" si="55"/>
        <v>6180.1332255456746</v>
      </c>
      <c r="FT70" s="36">
        <f t="shared" ref="FT70:FT101" si="107">$X70/$HD$290*(FU$290+FU$293)</f>
        <v>1515.5432904316942</v>
      </c>
      <c r="FU70" s="101">
        <f t="shared" ref="FU70:FU133" si="108">$FG70/$HD$292*FU$292</f>
        <v>4019.3523039611964</v>
      </c>
      <c r="FV70" s="101"/>
      <c r="FW70" s="6">
        <f>SUMIF('Eredeti fejléccel'!$B:$B,'Felosztás eredménykim'!$B70,'Eredeti fejléccel'!$CR:$CR)</f>
        <v>21258</v>
      </c>
      <c r="FX70" s="6">
        <f>SUMIF('Eredeti fejléccel'!$B:$B,'Felosztás eredménykim'!$B70,'Eredeti fejléccel'!$CS:$CS)</f>
        <v>0</v>
      </c>
      <c r="FY70" s="6">
        <f>SUMIF('Eredeti fejléccel'!$B:$B,'Felosztás eredménykim'!$B70,'Eredeti fejléccel'!$CT:$CT)</f>
        <v>0</v>
      </c>
      <c r="FZ70" s="6">
        <f>SUMIF('Eredeti fejléccel'!$B:$B,'Felosztás eredménykim'!$B70,'Eredeti fejléccel'!$CU:$CU)</f>
        <v>0</v>
      </c>
      <c r="GA70" s="103">
        <f t="shared" si="81"/>
        <v>25277.352303961197</v>
      </c>
      <c r="GB70" s="36">
        <f t="shared" ref="GB70:GB101" si="109">$X70/$HD$290*(GC$290+GC$293)</f>
        <v>202.00965406095904</v>
      </c>
      <c r="GC70" s="101">
        <f t="shared" ref="GC70:GC133" si="110">$FG70/$HD$292*GC$292</f>
        <v>535.74713015359737</v>
      </c>
      <c r="GD70" s="6">
        <f>SUMIF('Eredeti fejléccel'!$B:$B,'Felosztás eredménykim'!$B70,'Eredeti fejléccel'!$CV:$CV)</f>
        <v>7086</v>
      </c>
      <c r="GE70" s="6">
        <f>SUMIF('Eredeti fejléccel'!$B:$B,'Felosztás eredménykim'!$B70,'Eredeti fejléccel'!$CW:$CW)</f>
        <v>0</v>
      </c>
      <c r="GF70" s="103">
        <f t="shared" si="82"/>
        <v>7621.747130153597</v>
      </c>
      <c r="GG70" s="36">
        <f t="shared" ref="GG70:GG133" si="111">$X70/$HD$290*GG$290</f>
        <v>0</v>
      </c>
      <c r="GM70" s="6">
        <f>SUMIF('Eredeti fejléccel'!$B:$B,'Felosztás eredménykim'!$B70,'Eredeti fejléccel'!$CX:$CX)</f>
        <v>0</v>
      </c>
      <c r="GN70" s="6">
        <f>SUMIF('Eredeti fejléccel'!$B:$B,'Felosztás eredménykim'!$B70,'Eredeti fejléccel'!$CY:$CY)</f>
        <v>0</v>
      </c>
      <c r="GO70" s="6">
        <f>SUMIF('Eredeti fejléccel'!$B:$B,'Felosztás eredménykim'!$B70,'Eredeti fejléccel'!$CZ:$CZ)</f>
        <v>0</v>
      </c>
      <c r="GP70" s="6">
        <f>SUMIF('Eredeti fejléccel'!$B:$B,'Felosztás eredménykim'!$B70,'Eredeti fejléccel'!$DA:$DA)</f>
        <v>0</v>
      </c>
      <c r="GQ70" s="6">
        <f>SUMIF('Eredeti fejléccel'!$B:$B,'Felosztás eredménykim'!$B70,'Eredeti fejléccel'!$DB:$DB)</f>
        <v>0</v>
      </c>
      <c r="GR70" s="103">
        <f t="shared" si="83"/>
        <v>0</v>
      </c>
      <c r="GW70" s="36">
        <f t="shared" ref="GW70:GW133" si="112">$X70/$HD$290*GW$290</f>
        <v>346.77141017385708</v>
      </c>
      <c r="GX70" s="6">
        <f>SUMIF('Eredeti fejléccel'!$B:$B,'Felosztás eredménykim'!$B70,'Eredeti fejléccel'!$M:$M)</f>
        <v>0</v>
      </c>
      <c r="GY70" s="6">
        <f>SUMIF('Eredeti fejléccel'!$B:$B,'Felosztás eredménykim'!$B70,'Eredeti fejléccel'!$DC:$DC)</f>
        <v>0</v>
      </c>
      <c r="GZ70" s="6">
        <f>SUMIF('Eredeti fejléccel'!$B:$B,'Felosztás eredménykim'!$B70,'Eredeti fejléccel'!$DD:$DD)</f>
        <v>0</v>
      </c>
      <c r="HA70" s="6">
        <f>SUMIF('Eredeti fejléccel'!$B:$B,'Felosztás eredménykim'!$B70,'Eredeti fejléccel'!$DE:$DE)</f>
        <v>0</v>
      </c>
      <c r="HB70" s="103">
        <f t="shared" si="84"/>
        <v>0</v>
      </c>
      <c r="HD70" s="9">
        <f t="shared" ref="HD70:HD87" si="113">SUM(D70:HA70)-W70-X70-AD70-AE70-AF70-AG70-AK70-AL70-AM70-AS70-AT70-AU70-BE70-BF70-BG70-BL70-BM70-BN70-CB70-CC70-CD70-CI70-CJ70-CK70-CN70-CO70-CP70-CR70-CX70-DA70-DC70-DG70-DH70-DL70-EW70-EX70-EY70-EZ70-FA70-FF70-FG70-FI70-FJ70-FM70-FN70-FO70-FS70-FT70-FU70-GA70-GB70-GC70-GF70-GG70-GR70-GS70-GT70-GU70-GW70</f>
        <v>69301.999999999956</v>
      </c>
      <c r="HE70" s="9">
        <v>69302</v>
      </c>
      <c r="HF70" s="476"/>
      <c r="HH70" s="34">
        <f t="shared" si="85"/>
        <v>0</v>
      </c>
    </row>
    <row r="71" spans="1:218" x14ac:dyDescent="0.25">
      <c r="A71" s="4" t="s">
        <v>160</v>
      </c>
      <c r="B71" s="4" t="s">
        <v>160</v>
      </c>
      <c r="C71" s="1" t="s">
        <v>161</v>
      </c>
      <c r="D71" s="6">
        <f>SUMIF('Eredeti fejléccel'!$B:$B,'Felosztás eredménykim'!$B71,'Eredeti fejléccel'!$D:$D)</f>
        <v>0</v>
      </c>
      <c r="E71" s="6">
        <f>SUMIF('Eredeti fejléccel'!$B:$B,'Felosztás eredménykim'!$B71,'Eredeti fejléccel'!$E:$E)</f>
        <v>4445</v>
      </c>
      <c r="F71" s="6">
        <f>SUMIF('Eredeti fejléccel'!$B:$B,'Felosztás eredménykim'!$B71,'Eredeti fejléccel'!$F:$F)</f>
        <v>0</v>
      </c>
      <c r="G71" s="6">
        <f>SUMIF('Eredeti fejléccel'!$B:$B,'Felosztás eredménykim'!$B71,'Eredeti fejléccel'!$G:$G)</f>
        <v>141096</v>
      </c>
      <c r="H71" s="6"/>
      <c r="I71" s="6">
        <f>SUMIF('Eredeti fejléccel'!$B:$B,'Felosztás eredménykim'!$B71,'Eredeti fejléccel'!$O:$O)</f>
        <v>1905</v>
      </c>
      <c r="J71" s="6">
        <f>SUMIF('Eredeti fejléccel'!$B:$B,'Felosztás eredménykim'!$B71,'Eredeti fejléccel'!$P:$P)</f>
        <v>0</v>
      </c>
      <c r="K71" s="6">
        <f>SUMIF('Eredeti fejléccel'!$B:$B,'Felosztás eredménykim'!$B71,'Eredeti fejléccel'!$Q:$Q)</f>
        <v>0</v>
      </c>
      <c r="L71" s="6">
        <f>SUMIF('Eredeti fejléccel'!$B:$B,'Felosztás eredménykim'!$B71,'Eredeti fejléccel'!$R:$R)</f>
        <v>116844</v>
      </c>
      <c r="M71" s="6">
        <f>SUMIF('Eredeti fejléccel'!$B:$B,'Felosztás eredménykim'!$B71,'Eredeti fejléccel'!$T:$T)</f>
        <v>0</v>
      </c>
      <c r="N71" s="6">
        <f>SUMIF('Eredeti fejléccel'!$B:$B,'Felosztás eredménykim'!$B71,'Eredeti fejléccel'!$U:$U)</f>
        <v>0</v>
      </c>
      <c r="O71" s="6">
        <f>SUMIF('Eredeti fejléccel'!$B:$B,'Felosztás eredménykim'!$B71,'Eredeti fejléccel'!$V:$V)</f>
        <v>8255</v>
      </c>
      <c r="P71" s="6">
        <f>SUMIF('Eredeti fejléccel'!$B:$B,'Felosztás eredménykim'!$B71,'Eredeti fejléccel'!$W:$W)</f>
        <v>33500</v>
      </c>
      <c r="Q71" s="6">
        <f>SUMIF('Eredeti fejléccel'!$B:$B,'Felosztás eredménykim'!$B71,'Eredeti fejléccel'!$X:$X)</f>
        <v>4000</v>
      </c>
      <c r="R71" s="6">
        <f>SUMIF('Eredeti fejléccel'!$B:$B,'Felosztás eredménykim'!$B71,'Eredeti fejléccel'!$Y:$Y)</f>
        <v>0</v>
      </c>
      <c r="S71" s="6">
        <f>SUMIF('Eredeti fejléccel'!$B:$B,'Felosztás eredménykim'!$B71,'Eredeti fejléccel'!$Z:$Z)</f>
        <v>0</v>
      </c>
      <c r="T71" s="6">
        <f>SUMIF('Eredeti fejléccel'!$B:$B,'Felosztás eredménykim'!$B71,'Eredeti fejléccel'!$AA:$AA)</f>
        <v>0</v>
      </c>
      <c r="U71" s="6">
        <f>SUMIF('Eredeti fejléccel'!$B:$B,'Felosztás eredménykim'!$B71,'Eredeti fejléccel'!$D:$D)</f>
        <v>0</v>
      </c>
      <c r="V71" s="6">
        <f>SUMIF('Eredeti fejléccel'!$B:$B,'Felosztás eredménykim'!$B71,'Eredeti fejléccel'!$AT:$AT)</f>
        <v>0</v>
      </c>
      <c r="X71" s="36">
        <f t="shared" si="86"/>
        <v>310045</v>
      </c>
      <c r="Z71" s="6">
        <f>SUMIF('Eredeti fejléccel'!$B:$B,'Felosztás eredménykim'!$B71,'Eredeti fejléccel'!$K:$K)</f>
        <v>3175</v>
      </c>
      <c r="AB71" s="6">
        <f>SUMIF('Eredeti fejléccel'!$B:$B,'Felosztás eredménykim'!$B71,'Eredeti fejléccel'!$AB:$AB)</f>
        <v>0</v>
      </c>
      <c r="AC71" s="6">
        <f>SUMIF('Eredeti fejléccel'!$B:$B,'Felosztás eredménykim'!$B71,'Eredeti fejléccel'!$AQ:$AQ)</f>
        <v>0</v>
      </c>
      <c r="AE71" s="73">
        <f t="shared" si="1"/>
        <v>3175</v>
      </c>
      <c r="AF71" s="36">
        <f t="shared" si="87"/>
        <v>36986.707134444056</v>
      </c>
      <c r="AG71" s="8">
        <f t="shared" si="88"/>
        <v>1012.3311868348088</v>
      </c>
      <c r="AI71" s="6">
        <f>SUMIF('Eredeti fejléccel'!$B:$B,'Felosztás eredménykim'!$B71,'Eredeti fejléccel'!$BB:$BB)</f>
        <v>330155.18639999983</v>
      </c>
      <c r="AJ71" s="6">
        <f>SUMIF('Eredeti fejléccel'!$B:$B,'Felosztás eredménykim'!$B71,'Eredeti fejléccel'!$AF:$AF)</f>
        <v>0</v>
      </c>
      <c r="AK71" s="8">
        <f t="shared" si="73"/>
        <v>331167.51758683461</v>
      </c>
      <c r="AL71" s="36">
        <f t="shared" si="89"/>
        <v>14690.933324648748</v>
      </c>
      <c r="AM71" s="8">
        <f t="shared" si="90"/>
        <v>402.09283606117515</v>
      </c>
      <c r="AN71" s="6">
        <f t="shared" si="36"/>
        <v>-635</v>
      </c>
      <c r="AO71" s="6">
        <f>SUMIF('Eredeti fejléccel'!$B:$B,'Felosztás eredménykim'!$B71,'Eredeti fejléccel'!$AC:$AC)</f>
        <v>1270</v>
      </c>
      <c r="AP71" s="6">
        <f>SUMIF('Eredeti fejléccel'!$B:$B,'Felosztás eredménykim'!$B71,'Eredeti fejléccel'!$AD:$AD)</f>
        <v>0</v>
      </c>
      <c r="AQ71" s="6">
        <f>SUMIF('Eredeti fejléccel'!$B:$B,'Felosztás eredménykim'!$B71,'Eredeti fejléccel'!$AE:$AE)</f>
        <v>0</v>
      </c>
      <c r="AR71" s="6">
        <f>SUMIF('Eredeti fejléccel'!$B:$B,'Felosztás eredménykim'!$B71,'Eredeti fejléccel'!$AG:$AG)</f>
        <v>116844</v>
      </c>
      <c r="AS71" s="6">
        <f t="shared" si="37"/>
        <v>117881.09283606117</v>
      </c>
      <c r="AT71" s="36">
        <f t="shared" si="91"/>
        <v>23862.391699641328</v>
      </c>
      <c r="AU71" s="8">
        <f t="shared" si="92"/>
        <v>653.11689473213482</v>
      </c>
      <c r="AV71" s="6">
        <f>SUMIF('Eredeti fejléccel'!$B:$B,'Felosztás eredménykim'!$B71,'Eredeti fejléccel'!$AI:$AI)</f>
        <v>0</v>
      </c>
      <c r="AW71" s="6">
        <f>SUMIF('Eredeti fejléccel'!$B:$B,'Felosztás eredménykim'!$B71,'Eredeti fejléccel'!$AJ:$AJ)</f>
        <v>1270</v>
      </c>
      <c r="AX71" s="6">
        <f>SUMIF('Eredeti fejléccel'!$B:$B,'Felosztás eredménykim'!$B71,'Eredeti fejléccel'!$AK:$AK)</f>
        <v>8255</v>
      </c>
      <c r="AY71" s="6">
        <f>SUMIF('Eredeti fejléccel'!$B:$B,'Felosztás eredménykim'!$B71,'Eredeti fejléccel'!$AL:$AL)</f>
        <v>3175</v>
      </c>
      <c r="AZ71" s="6">
        <f>SUMIF('Eredeti fejléccel'!$B:$B,'Felosztás eredménykim'!$B71,'Eredeti fejléccel'!$AM:$AM)</f>
        <v>5715</v>
      </c>
      <c r="BA71" s="6">
        <f>SUMIF('Eredeti fejléccel'!$B:$B,'Felosztás eredménykim'!$B71,'Eredeti fejléccel'!$AN:$AN)</f>
        <v>0</v>
      </c>
      <c r="BB71" s="6">
        <f>SUMIF('Eredeti fejléccel'!$B:$B,'Felosztás eredménykim'!$B71,'Eredeti fejléccel'!$AP:$AP)</f>
        <v>0</v>
      </c>
      <c r="BD71" s="6">
        <f>SUMIF('Eredeti fejléccel'!$B:$B,'Felosztás eredménykim'!$B71,'Eredeti fejléccel'!$AS:$AS)</f>
        <v>0</v>
      </c>
      <c r="BE71" s="8">
        <f t="shared" si="74"/>
        <v>19068.116894732135</v>
      </c>
      <c r="BF71" s="36">
        <f t="shared" si="93"/>
        <v>6224.9717477325194</v>
      </c>
      <c r="BG71" s="8">
        <f t="shared" si="94"/>
        <v>170.37832036490471</v>
      </c>
      <c r="BH71" s="6">
        <f t="shared" si="39"/>
        <v>635</v>
      </c>
      <c r="BI71" s="6">
        <f>SUMIF('Eredeti fejléccel'!$B:$B,'Felosztás eredménykim'!$B71,'Eredeti fejléccel'!$AH:$AH)</f>
        <v>5715</v>
      </c>
      <c r="BJ71" s="6">
        <f>SUMIF('Eredeti fejléccel'!$B:$B,'Felosztás eredménykim'!$B71,'Eredeti fejléccel'!$AO:$AO)</f>
        <v>0</v>
      </c>
      <c r="BK71" s="6">
        <f>SUMIF('Eredeti fejléccel'!$B:$B,'Felosztás eredménykim'!$B71,'Eredeti fejléccel'!$BF:$BF)</f>
        <v>0</v>
      </c>
      <c r="BL71" s="8">
        <f t="shared" si="40"/>
        <v>6520.3783203649045</v>
      </c>
      <c r="BM71" s="36">
        <f t="shared" si="95"/>
        <v>23322.894148171177</v>
      </c>
      <c r="BN71" s="8">
        <f t="shared" si="96"/>
        <v>638.350773633843</v>
      </c>
      <c r="BP71" s="8">
        <f t="shared" si="41"/>
        <v>0</v>
      </c>
      <c r="BQ71" s="6">
        <f>SUMIF('Eredeti fejléccel'!$B:$B,'Felosztás eredménykim'!$B71,'Eredeti fejléccel'!$N:$N)</f>
        <v>0</v>
      </c>
      <c r="BR71" s="6">
        <f>SUMIF('Eredeti fejléccel'!$B:$B,'Felosztás eredménykim'!$B71,'Eredeti fejléccel'!$S:$S)</f>
        <v>0</v>
      </c>
      <c r="BT71" s="6">
        <f>SUMIF('Eredeti fejléccel'!$B:$B,'Felosztás eredménykim'!$B71,'Eredeti fejléccel'!$AR:$AR)</f>
        <v>0</v>
      </c>
      <c r="BU71" s="6">
        <f>SUMIF('Eredeti fejléccel'!$B:$B,'Felosztás eredménykim'!$B71,'Eredeti fejléccel'!$AU:$AU)</f>
        <v>0</v>
      </c>
      <c r="BV71" s="6">
        <f>SUMIF('Eredeti fejléccel'!$B:$B,'Felosztás eredménykim'!$B71,'Eredeti fejléccel'!$AV:$AV)</f>
        <v>42327</v>
      </c>
      <c r="BW71" s="6">
        <f>SUMIF('Eredeti fejléccel'!$B:$B,'Felosztás eredménykim'!$B71,'Eredeti fejléccel'!$AW:$AW)</f>
        <v>0</v>
      </c>
      <c r="BX71" s="6">
        <f>SUMIF('Eredeti fejléccel'!$B:$B,'Felosztás eredménykim'!$B71,'Eredeti fejléccel'!$AX:$AX)</f>
        <v>0</v>
      </c>
      <c r="BY71" s="6">
        <f>SUMIF('Eredeti fejléccel'!$B:$B,'Felosztás eredménykim'!$B71,'Eredeti fejléccel'!$AY:$AY)</f>
        <v>0</v>
      </c>
      <c r="BZ71" s="6">
        <f>SUMIF('Eredeti fejléccel'!$B:$B,'Felosztás eredménykim'!$B71,'Eredeti fejléccel'!$AZ:$AZ)</f>
        <v>0</v>
      </c>
      <c r="CA71" s="6">
        <f>SUMIF('Eredeti fejléccel'!$B:$B,'Felosztás eredménykim'!$B71,'Eredeti fejléccel'!$BA:$BA)</f>
        <v>98200.693599999955</v>
      </c>
      <c r="CB71" s="6">
        <f t="shared" ref="CB71:CB138" si="114">SUM(BN71:CA71)</f>
        <v>141166.04437363381</v>
      </c>
      <c r="CC71" s="36">
        <f t="shared" si="97"/>
        <v>6349.4711826871699</v>
      </c>
      <c r="CD71" s="8">
        <f t="shared" si="98"/>
        <v>173.78588677220282</v>
      </c>
      <c r="CE71" s="6">
        <f>SUMIF('Eredeti fejléccel'!$B:$B,'Felosztás eredménykim'!$B71,'Eredeti fejléccel'!$BC:$BC)</f>
        <v>1270</v>
      </c>
      <c r="CF71" s="8">
        <f t="shared" si="42"/>
        <v>-635</v>
      </c>
      <c r="CG71" s="6">
        <f>SUMIF('Eredeti fejléccel'!$B:$B,'Felosztás eredménykim'!$B71,'Eredeti fejléccel'!$H:$H)</f>
        <v>0</v>
      </c>
      <c r="CH71" s="6">
        <f>SUMIF('Eredeti fejléccel'!$B:$B,'Felosztás eredménykim'!$B71,'Eredeti fejléccel'!$BE:$BE)</f>
        <v>8890</v>
      </c>
      <c r="CI71" s="6">
        <f t="shared" si="75"/>
        <v>9698.7858867722025</v>
      </c>
      <c r="CJ71" s="36">
        <f t="shared" si="99"/>
        <v>4564.9792816705158</v>
      </c>
      <c r="CK71" s="8">
        <f t="shared" si="100"/>
        <v>124.94410160093014</v>
      </c>
      <c r="CL71" s="8">
        <f t="shared" si="44"/>
        <v>635</v>
      </c>
      <c r="CM71" s="6">
        <f>SUMIF('Eredeti fejléccel'!$B:$B,'Felosztás eredménykim'!$B71,'Eredeti fejléccel'!$BD:$BD)</f>
        <v>5080</v>
      </c>
      <c r="CN71" s="8">
        <f t="shared" si="76"/>
        <v>5839.9441016009305</v>
      </c>
      <c r="CO71" s="8">
        <f t="shared" ref="CO71:CO138" si="115">+AF71+AK71+AL71+AS71+AT71+BE71+BF71+BL71+BM71+CB71+CC71+CI71+CJ71+CN71</f>
        <v>747344.22851899522</v>
      </c>
      <c r="CR71" s="36">
        <f t="shared" si="101"/>
        <v>27420.914842240829</v>
      </c>
      <c r="CS71" s="6">
        <f>SUMIF('Eredeti fejléccel'!$B:$B,'Felosztás eredménykim'!$B71,'Eredeti fejléccel'!$I:$I)</f>
        <v>0</v>
      </c>
      <c r="CT71" s="6">
        <f>SUMIF('Eredeti fejléccel'!$B:$B,'Felosztás eredménykim'!$B71,'Eredeti fejléccel'!$BG:$BG)</f>
        <v>0</v>
      </c>
      <c r="CU71" s="6">
        <f>SUMIF('Eredeti fejléccel'!$B:$B,'Felosztás eredménykim'!$B71,'Eredeti fejléccel'!$BH:$BH)</f>
        <v>0</v>
      </c>
      <c r="CV71" s="6">
        <f>SUMIF('Eredeti fejléccel'!$B:$B,'Felosztás eredménykim'!$B71,'Eredeti fejléccel'!$BI:$BI)</f>
        <v>0</v>
      </c>
      <c r="CW71" s="6">
        <f>SUMIF('Eredeti fejléccel'!$B:$B,'Felosztás eredménykim'!$B71,'Eredeti fejléccel'!$BL:$BL)</f>
        <v>417344.28</v>
      </c>
      <c r="CX71" s="6">
        <f t="shared" si="77"/>
        <v>417344.28</v>
      </c>
      <c r="CY71" s="6">
        <f>SUMIF('Eredeti fejléccel'!$B:$B,'Felosztás eredménykim'!$B71,'Eredeti fejléccel'!$BJ:$BJ)</f>
        <v>62361.840000000004</v>
      </c>
      <c r="CZ71" s="6">
        <f>SUMIF('Eredeti fejléccel'!$B:$B,'Felosztás eredménykim'!$B71,'Eredeti fejléccel'!$BK:$BK)</f>
        <v>5196.82</v>
      </c>
      <c r="DA71" s="99">
        <f t="shared" ref="DA71:DA134" si="116">SUM(CX71:CZ71)</f>
        <v>484902.94000000006</v>
      </c>
      <c r="DC71" s="36">
        <f t="shared" si="102"/>
        <v>24017.008048937547</v>
      </c>
      <c r="DD71" s="6">
        <f>SUMIF('Eredeti fejléccel'!$B:$B,'Felosztás eredménykim'!$B71,'Eredeti fejléccel'!$J:$J)</f>
        <v>0</v>
      </c>
      <c r="DE71" s="6">
        <f>SUMIF('Eredeti fejléccel'!$B:$B,'Felosztás eredménykim'!$B71,'Eredeti fejléccel'!$BM:$BM)</f>
        <v>81540</v>
      </c>
      <c r="DF71" s="6">
        <f t="shared" si="48"/>
        <v>0</v>
      </c>
      <c r="DG71" s="8">
        <f t="shared" ref="DG71:DG138" si="117">-BO71</f>
        <v>0</v>
      </c>
      <c r="DH71" s="8">
        <f t="shared" si="49"/>
        <v>81540</v>
      </c>
      <c r="DJ71" s="6">
        <f>SUMIF('Eredeti fejléccel'!$B:$B,'Felosztás eredménykim'!$B71,'Eredeti fejléccel'!$BN:$BN)</f>
        <v>0</v>
      </c>
      <c r="DK71" s="6">
        <f>SUMIF('Eredeti fejléccel'!$B:$B,'Felosztás eredménykim'!$B71,'Eredeti fejléccel'!$BZ:$BZ)</f>
        <v>0</v>
      </c>
      <c r="DL71" s="8">
        <f t="shared" si="50"/>
        <v>0</v>
      </c>
      <c r="DM71" s="6">
        <f>SUMIF('Eredeti fejléccel'!$B:$B,'Felosztás eredménykim'!$B71,'Eredeti fejléccel'!$BR:$BR)</f>
        <v>0</v>
      </c>
      <c r="DN71" s="6">
        <f>SUMIF('Eredeti fejléccel'!$B:$B,'Felosztás eredménykim'!$B71,'Eredeti fejléccel'!$BS:$BS)</f>
        <v>0</v>
      </c>
      <c r="DO71" s="6">
        <f>SUMIF('Eredeti fejléccel'!$B:$B,'Felosztás eredménykim'!$B71,'Eredeti fejléccel'!$BO:$BO)</f>
        <v>0</v>
      </c>
      <c r="DP71" s="6">
        <f>SUMIF('Eredeti fejléccel'!$B:$B,'Felosztás eredménykim'!$B71,'Eredeti fejléccel'!$BP:$BP)</f>
        <v>0</v>
      </c>
      <c r="DQ71" s="6">
        <f>SUMIF('Eredeti fejléccel'!$B:$B,'Felosztás eredménykim'!$B71,'Eredeti fejléccel'!$BQ:$BQ)</f>
        <v>0</v>
      </c>
      <c r="DS71" s="8"/>
      <c r="DU71" s="6">
        <f>SUMIF('Eredeti fejléccel'!$B:$B,'Felosztás eredménykim'!$B71,'Eredeti fejléccel'!$BT:$BT)</f>
        <v>0</v>
      </c>
      <c r="DV71" s="6">
        <f>SUMIF('Eredeti fejléccel'!$B:$B,'Felosztás eredménykim'!$B71,'Eredeti fejléccel'!$BU:$BU)</f>
        <v>0</v>
      </c>
      <c r="DW71" s="6">
        <f>SUMIF('Eredeti fejléccel'!$B:$B,'Felosztás eredménykim'!$B71,'Eredeti fejléccel'!$BV:$BV)</f>
        <v>0</v>
      </c>
      <c r="DX71" s="6">
        <f>SUMIF('Eredeti fejléccel'!$B:$B,'Felosztás eredménykim'!$B71,'Eredeti fejléccel'!$BW:$BW)</f>
        <v>0</v>
      </c>
      <c r="DY71" s="6">
        <f>SUMIF('Eredeti fejléccel'!$B:$B,'Felosztás eredménykim'!$B71,'Eredeti fejléccel'!$BX:$BX)</f>
        <v>0</v>
      </c>
      <c r="EA71" s="6"/>
      <c r="EC71" s="6"/>
      <c r="EE71" s="6">
        <f>SUMIF('Eredeti fejléccel'!$B:$B,'Felosztás eredménykim'!$B71,'Eredeti fejléccel'!$CA:$CA)</f>
        <v>0</v>
      </c>
      <c r="EF71" s="6">
        <f>SUMIF('Eredeti fejléccel'!$B:$B,'Felosztás eredménykim'!$B71,'Eredeti fejléccel'!$CB:$CB)</f>
        <v>0</v>
      </c>
      <c r="EG71" s="6">
        <f>SUMIF('Eredeti fejléccel'!$B:$B,'Felosztás eredménykim'!$B71,'Eredeti fejléccel'!$CC:$CC)</f>
        <v>0</v>
      </c>
      <c r="EH71" s="6">
        <f>SUMIF('Eredeti fejléccel'!$B:$B,'Felosztás eredménykim'!$B71,'Eredeti fejléccel'!$CD:$CD)</f>
        <v>0</v>
      </c>
      <c r="EK71" s="6">
        <f>SUMIF('Eredeti fejléccel'!$B:$B,'Felosztás eredménykim'!$B71,'Eredeti fejléccel'!$CE:$CE)</f>
        <v>0</v>
      </c>
      <c r="EN71" s="6">
        <f>SUMIF('Eredeti fejléccel'!$B:$B,'Felosztás eredménykim'!$B71,'Eredeti fejléccel'!$CF:$CF)</f>
        <v>0</v>
      </c>
      <c r="EP71" s="6">
        <f>SUMIF('Eredeti fejléccel'!$B:$B,'Felosztás eredménykim'!$B71,'Eredeti fejléccel'!$CG:$CG)</f>
        <v>0</v>
      </c>
      <c r="ES71" s="6">
        <f>SUMIF('Eredeti fejléccel'!$B:$B,'Felosztás eredménykim'!$B71,'Eredeti fejléccel'!$CH:$CH)</f>
        <v>0</v>
      </c>
      <c r="ET71" s="6">
        <f>SUMIF('Eredeti fejléccel'!$B:$B,'Felosztás eredménykim'!$B71,'Eredeti fejléccel'!$CI:$CI)</f>
        <v>0</v>
      </c>
      <c r="EW71" s="8">
        <f t="shared" ref="EW71:EW142" si="118">SUM(DR71:ED71)</f>
        <v>0</v>
      </c>
      <c r="EX71" s="8">
        <f t="shared" si="78"/>
        <v>0</v>
      </c>
      <c r="EY71" s="8">
        <f t="shared" ref="EY71:EY134" si="119">SUM(DR71:EV71)+DH71+DN71+DP71-DS71-DT71</f>
        <v>81540</v>
      </c>
      <c r="EZ71" s="8">
        <f t="shared" ref="EZ71:EZ142" si="120">EY71+DL71+DM71+DN71+DO71+DP71+DQ71</f>
        <v>81540</v>
      </c>
      <c r="FA71" s="8">
        <f t="shared" ref="FA71:FA142" si="121">EZ71-DL71-DM71</f>
        <v>81540</v>
      </c>
      <c r="FC71" s="6">
        <f>SUMIF('Eredeti fejléccel'!$B:$B,'Felosztás eredménykim'!$B71,'Eredeti fejléccel'!$L:$L)</f>
        <v>0</v>
      </c>
      <c r="FD71" s="6">
        <f>SUMIF('Eredeti fejléccel'!$B:$B,'Felosztás eredménykim'!$B71,'Eredeti fejléccel'!$CJ:$CJ)</f>
        <v>42327</v>
      </c>
      <c r="FE71" s="6">
        <f>SUMIF('Eredeti fejléccel'!$B:$B,'Felosztás eredménykim'!$B71,'Eredeti fejléccel'!$CL:$CL)</f>
        <v>0</v>
      </c>
      <c r="FG71" s="99">
        <f t="shared" si="79"/>
        <v>42327</v>
      </c>
      <c r="FH71" s="6">
        <f>SUMIF('Eredeti fejléccel'!$B:$B,'Felosztás eredménykim'!$B71,'Eredeti fejléccel'!$CK:$CK)</f>
        <v>0</v>
      </c>
      <c r="FI71" s="36">
        <f t="shared" si="103"/>
        <v>28257.532038831669</v>
      </c>
      <c r="FJ71" s="101">
        <f t="shared" si="104"/>
        <v>9385.8497170573974</v>
      </c>
      <c r="FK71" s="6">
        <f>SUMIF('Eredeti fejléccel'!$B:$B,'Felosztás eredménykim'!$B71,'Eredeti fejléccel'!$CM:$CM)</f>
        <v>0</v>
      </c>
      <c r="FL71" s="6">
        <f>SUMIF('Eredeti fejléccel'!$B:$B,'Felosztás eredménykim'!$B71,'Eredeti fejléccel'!$CN:$CN)</f>
        <v>0</v>
      </c>
      <c r="FM71" s="8">
        <f t="shared" si="80"/>
        <v>9385.8497170573974</v>
      </c>
      <c r="FN71" s="36">
        <f t="shared" si="105"/>
        <v>24023.537992911213</v>
      </c>
      <c r="FO71" s="101">
        <f t="shared" si="106"/>
        <v>7979.512045270817</v>
      </c>
      <c r="FP71" s="6">
        <f>SUMIF('Eredeti fejléccel'!$B:$B,'Felosztás eredménykim'!$B71,'Eredeti fejléccel'!$CO:$CO)</f>
        <v>0</v>
      </c>
      <c r="FQ71" s="6">
        <f>'Eredeti fejléccel'!CP71</f>
        <v>0</v>
      </c>
      <c r="FR71" s="6">
        <f>'Eredeti fejléccel'!CQ71</f>
        <v>0</v>
      </c>
      <c r="FS71" s="103">
        <f t="shared" ref="FS71:FS134" si="122">SUM(FO71:FR71)</f>
        <v>7979.512045270817</v>
      </c>
      <c r="FT71" s="36">
        <f t="shared" si="107"/>
        <v>66311.970008734774</v>
      </c>
      <c r="FU71" s="101">
        <f t="shared" si="108"/>
        <v>22025.780032336301</v>
      </c>
      <c r="FV71" s="101"/>
      <c r="FW71" s="6">
        <f>SUMIF('Eredeti fejléccel'!$B:$B,'Felosztás eredménykim'!$B71,'Eredeti fejléccel'!$CR:$CR)</f>
        <v>31520426</v>
      </c>
      <c r="FX71" s="6">
        <f>SUMIF('Eredeti fejléccel'!$B:$B,'Felosztás eredménykim'!$B71,'Eredeti fejléccel'!$CS:$CS)</f>
        <v>0</v>
      </c>
      <c r="FY71" s="6">
        <f>SUMIF('Eredeti fejléccel'!$B:$B,'Felosztás eredménykim'!$B71,'Eredeti fejléccel'!$CT:$CT)</f>
        <v>0</v>
      </c>
      <c r="FZ71" s="6">
        <f>SUMIF('Eredeti fejléccel'!$B:$B,'Felosztás eredménykim'!$B71,'Eredeti fejléccel'!$CU:$CU)</f>
        <v>0</v>
      </c>
      <c r="GA71" s="103">
        <f t="shared" si="81"/>
        <v>31542451.780032337</v>
      </c>
      <c r="GB71" s="36">
        <f t="shared" si="109"/>
        <v>8838.8488841843136</v>
      </c>
      <c r="GC71" s="101">
        <f t="shared" si="110"/>
        <v>2935.8582053354889</v>
      </c>
      <c r="GD71" s="6">
        <f>SUMIF('Eredeti fejléccel'!$B:$B,'Felosztás eredménykim'!$B71,'Eredeti fejléccel'!$CV:$CV)</f>
        <v>0</v>
      </c>
      <c r="GE71" s="6">
        <f>SUMIF('Eredeti fejléccel'!$B:$B,'Felosztás eredménykim'!$B71,'Eredeti fejléccel'!$CW:$CW)</f>
        <v>0</v>
      </c>
      <c r="GF71" s="103">
        <f t="shared" si="82"/>
        <v>2935.8582053354889</v>
      </c>
      <c r="GG71" s="36">
        <f t="shared" si="111"/>
        <v>0</v>
      </c>
      <c r="GM71" s="6">
        <f>SUMIF('Eredeti fejléccel'!$B:$B,'Felosztás eredménykim'!$B71,'Eredeti fejléccel'!$CX:$CX)</f>
        <v>0</v>
      </c>
      <c r="GN71" s="6">
        <f>SUMIF('Eredeti fejléccel'!$B:$B,'Felosztás eredménykim'!$B71,'Eredeti fejléccel'!$CY:$CY)</f>
        <v>0</v>
      </c>
      <c r="GO71" s="6">
        <f>SUMIF('Eredeti fejléccel'!$B:$B,'Felosztás eredménykim'!$B71,'Eredeti fejléccel'!$CZ:$CZ)</f>
        <v>0</v>
      </c>
      <c r="GP71" s="6">
        <f>SUMIF('Eredeti fejléccel'!$B:$B,'Felosztás eredménykim'!$B71,'Eredeti fejléccel'!$DA:$DA)</f>
        <v>0</v>
      </c>
      <c r="GQ71" s="6">
        <f>SUMIF('Eredeti fejléccel'!$B:$B,'Felosztás eredménykim'!$B71,'Eredeti fejléccel'!$DB:$DB)</f>
        <v>0</v>
      </c>
      <c r="GR71" s="103">
        <f t="shared" si="83"/>
        <v>0</v>
      </c>
      <c r="GW71" s="36">
        <f t="shared" si="112"/>
        <v>15172.8396651642</v>
      </c>
      <c r="GX71" s="6">
        <f>SUMIF('Eredeti fejléccel'!$B:$B,'Felosztás eredménykim'!$B71,'Eredeti fejléccel'!$M:$M)</f>
        <v>0</v>
      </c>
      <c r="GY71" s="6">
        <f>SUMIF('Eredeti fejléccel'!$B:$B,'Felosztás eredménykim'!$B71,'Eredeti fejléccel'!$DC:$DC)</f>
        <v>4746951</v>
      </c>
      <c r="GZ71" s="6">
        <f>SUMIF('Eredeti fejléccel'!$B:$B,'Felosztás eredménykim'!$B71,'Eredeti fejléccel'!$DD:$DD)</f>
        <v>0</v>
      </c>
      <c r="HA71" s="6">
        <f>SUMIF('Eredeti fejléccel'!$B:$B,'Felosztás eredménykim'!$B71,'Eredeti fejléccel'!$DE:$DE)</f>
        <v>0</v>
      </c>
      <c r="HB71" s="103">
        <f t="shared" si="84"/>
        <v>4746951</v>
      </c>
      <c r="HD71" s="9">
        <f t="shared" si="113"/>
        <v>37817533.819999993</v>
      </c>
      <c r="HE71" s="9">
        <v>37817533.82</v>
      </c>
      <c r="HF71" s="476"/>
      <c r="HH71" s="34">
        <f t="shared" si="85"/>
        <v>0</v>
      </c>
    </row>
    <row r="72" spans="1:218" x14ac:dyDescent="0.25">
      <c r="A72" s="4" t="s">
        <v>162</v>
      </c>
      <c r="B72" s="4" t="s">
        <v>162</v>
      </c>
      <c r="C72" s="1" t="s">
        <v>163</v>
      </c>
      <c r="D72" s="6">
        <f>SUMIF('Eredeti fejléccel'!$B:$B,'Felosztás eredménykim'!$B72,'Eredeti fejléccel'!$D:$D)</f>
        <v>0</v>
      </c>
      <c r="E72" s="6">
        <f>SUMIF('Eredeti fejléccel'!$B:$B,'Felosztás eredménykim'!$B72,'Eredeti fejléccel'!$E:$E)</f>
        <v>0</v>
      </c>
      <c r="F72" s="6">
        <f>SUMIF('Eredeti fejléccel'!$B:$B,'Felosztás eredménykim'!$B72,'Eredeti fejléccel'!$F:$F)</f>
        <v>0</v>
      </c>
      <c r="G72" s="6">
        <f>SUMIF('Eredeti fejléccel'!$B:$B,'Felosztás eredménykim'!$B72,'Eredeti fejléccel'!$G:$G)</f>
        <v>0</v>
      </c>
      <c r="H72" s="6"/>
      <c r="I72" s="6">
        <f>SUMIF('Eredeti fejléccel'!$B:$B,'Felosztás eredménykim'!$B72,'Eredeti fejléccel'!$O:$O)</f>
        <v>0</v>
      </c>
      <c r="J72" s="6">
        <f>SUMIF('Eredeti fejléccel'!$B:$B,'Felosztás eredménykim'!$B72,'Eredeti fejléccel'!$P:$P)</f>
        <v>0</v>
      </c>
      <c r="K72" s="6">
        <f>SUMIF('Eredeti fejléccel'!$B:$B,'Felosztás eredménykim'!$B72,'Eredeti fejléccel'!$Q:$Q)</f>
        <v>0</v>
      </c>
      <c r="L72" s="6">
        <f>SUMIF('Eredeti fejléccel'!$B:$B,'Felosztás eredménykim'!$B72,'Eredeti fejléccel'!$R:$R)</f>
        <v>0</v>
      </c>
      <c r="M72" s="6">
        <f>SUMIF('Eredeti fejléccel'!$B:$B,'Felosztás eredménykim'!$B72,'Eredeti fejléccel'!$T:$T)</f>
        <v>0</v>
      </c>
      <c r="N72" s="6">
        <f>SUMIF('Eredeti fejléccel'!$B:$B,'Felosztás eredménykim'!$B72,'Eredeti fejléccel'!$U:$U)</f>
        <v>0</v>
      </c>
      <c r="O72" s="6">
        <f>SUMIF('Eredeti fejléccel'!$B:$B,'Felosztás eredménykim'!$B72,'Eredeti fejléccel'!$V:$V)</f>
        <v>0</v>
      </c>
      <c r="P72" s="6">
        <f>SUMIF('Eredeti fejléccel'!$B:$B,'Felosztás eredménykim'!$B72,'Eredeti fejléccel'!$W:$W)</f>
        <v>0</v>
      </c>
      <c r="Q72" s="6">
        <f>SUMIF('Eredeti fejléccel'!$B:$B,'Felosztás eredménykim'!$B72,'Eredeti fejléccel'!$X:$X)</f>
        <v>0</v>
      </c>
      <c r="R72" s="6">
        <f>SUMIF('Eredeti fejléccel'!$B:$B,'Felosztás eredménykim'!$B72,'Eredeti fejléccel'!$Y:$Y)</f>
        <v>0</v>
      </c>
      <c r="S72" s="6">
        <f>SUMIF('Eredeti fejléccel'!$B:$B,'Felosztás eredménykim'!$B72,'Eredeti fejléccel'!$Z:$Z)</f>
        <v>0</v>
      </c>
      <c r="T72" s="6">
        <f>SUMIF('Eredeti fejléccel'!$B:$B,'Felosztás eredménykim'!$B72,'Eredeti fejléccel'!$AA:$AA)</f>
        <v>0</v>
      </c>
      <c r="U72" s="6">
        <f>SUMIF('Eredeti fejléccel'!$B:$B,'Felosztás eredménykim'!$B72,'Eredeti fejléccel'!$D:$D)</f>
        <v>0</v>
      </c>
      <c r="V72" s="6">
        <f>SUMIF('Eredeti fejléccel'!$B:$B,'Felosztás eredménykim'!$B72,'Eredeti fejléccel'!$AT:$AT)</f>
        <v>0</v>
      </c>
      <c r="X72" s="36">
        <f t="shared" si="86"/>
        <v>0</v>
      </c>
      <c r="Z72" s="6">
        <f>SUMIF('Eredeti fejléccel'!$B:$B,'Felosztás eredménykim'!$B72,'Eredeti fejléccel'!$K:$K)</f>
        <v>0</v>
      </c>
      <c r="AB72" s="6">
        <f>SUMIF('Eredeti fejléccel'!$B:$B,'Felosztás eredménykim'!$B72,'Eredeti fejléccel'!$AB:$AB)</f>
        <v>0</v>
      </c>
      <c r="AC72" s="6">
        <f>SUMIF('Eredeti fejléccel'!$B:$B,'Felosztás eredménykim'!$B72,'Eredeti fejléccel'!$AQ:$AQ)</f>
        <v>0</v>
      </c>
      <c r="AE72" s="73">
        <f t="shared" si="1"/>
        <v>0</v>
      </c>
      <c r="AF72" s="36">
        <f t="shared" si="87"/>
        <v>0</v>
      </c>
      <c r="AG72" s="8">
        <f t="shared" si="88"/>
        <v>0</v>
      </c>
      <c r="AI72" s="6">
        <f>SUMIF('Eredeti fejléccel'!$B:$B,'Felosztás eredménykim'!$B72,'Eredeti fejléccel'!$BB:$BB)</f>
        <v>0</v>
      </c>
      <c r="AJ72" s="6">
        <f>SUMIF('Eredeti fejléccel'!$B:$B,'Felosztás eredménykim'!$B72,'Eredeti fejléccel'!$AF:$AF)</f>
        <v>0</v>
      </c>
      <c r="AK72" s="8">
        <f t="shared" si="73"/>
        <v>0</v>
      </c>
      <c r="AL72" s="36">
        <f t="shared" si="89"/>
        <v>0</v>
      </c>
      <c r="AM72" s="8">
        <f t="shared" si="90"/>
        <v>0</v>
      </c>
      <c r="AN72" s="6">
        <f t="shared" si="36"/>
        <v>0</v>
      </c>
      <c r="AO72" s="6">
        <f>SUMIF('Eredeti fejléccel'!$B:$B,'Felosztás eredménykim'!$B72,'Eredeti fejléccel'!$AC:$AC)</f>
        <v>0</v>
      </c>
      <c r="AP72" s="6">
        <f>SUMIF('Eredeti fejléccel'!$B:$B,'Felosztás eredménykim'!$B72,'Eredeti fejléccel'!$AD:$AD)</f>
        <v>0</v>
      </c>
      <c r="AQ72" s="6">
        <f>SUMIF('Eredeti fejléccel'!$B:$B,'Felosztás eredménykim'!$B72,'Eredeti fejléccel'!$AE:$AE)</f>
        <v>0</v>
      </c>
      <c r="AR72" s="6">
        <f>SUMIF('Eredeti fejléccel'!$B:$B,'Felosztás eredménykim'!$B72,'Eredeti fejléccel'!$AG:$AG)</f>
        <v>0</v>
      </c>
      <c r="AS72" s="6">
        <f t="shared" si="37"/>
        <v>0</v>
      </c>
      <c r="AT72" s="36">
        <f t="shared" si="91"/>
        <v>0</v>
      </c>
      <c r="AU72" s="8">
        <f t="shared" si="92"/>
        <v>0</v>
      </c>
      <c r="AV72" s="6">
        <f>SUMIF('Eredeti fejléccel'!$B:$B,'Felosztás eredménykim'!$B72,'Eredeti fejléccel'!$AI:$AI)</f>
        <v>0</v>
      </c>
      <c r="AW72" s="6">
        <f>SUMIF('Eredeti fejléccel'!$B:$B,'Felosztás eredménykim'!$B72,'Eredeti fejléccel'!$AJ:$AJ)</f>
        <v>0</v>
      </c>
      <c r="AX72" s="6">
        <f>SUMIF('Eredeti fejléccel'!$B:$B,'Felosztás eredménykim'!$B72,'Eredeti fejléccel'!$AK:$AK)</f>
        <v>0</v>
      </c>
      <c r="AY72" s="6">
        <f>SUMIF('Eredeti fejléccel'!$B:$B,'Felosztás eredménykim'!$B72,'Eredeti fejléccel'!$AL:$AL)</f>
        <v>0</v>
      </c>
      <c r="AZ72" s="6">
        <f>SUMIF('Eredeti fejléccel'!$B:$B,'Felosztás eredménykim'!$B72,'Eredeti fejléccel'!$AM:$AM)</f>
        <v>0</v>
      </c>
      <c r="BA72" s="6">
        <f>SUMIF('Eredeti fejléccel'!$B:$B,'Felosztás eredménykim'!$B72,'Eredeti fejléccel'!$AN:$AN)</f>
        <v>0</v>
      </c>
      <c r="BB72" s="6">
        <f>SUMIF('Eredeti fejléccel'!$B:$B,'Felosztás eredménykim'!$B72,'Eredeti fejléccel'!$AP:$AP)</f>
        <v>0</v>
      </c>
      <c r="BD72" s="6">
        <f>SUMIF('Eredeti fejléccel'!$B:$B,'Felosztás eredménykim'!$B72,'Eredeti fejléccel'!$AS:$AS)</f>
        <v>0</v>
      </c>
      <c r="BE72" s="8">
        <f t="shared" si="74"/>
        <v>0</v>
      </c>
      <c r="BF72" s="36">
        <f t="shared" si="93"/>
        <v>0</v>
      </c>
      <c r="BG72" s="8">
        <f t="shared" si="94"/>
        <v>0</v>
      </c>
      <c r="BH72" s="6">
        <f t="shared" si="39"/>
        <v>0</v>
      </c>
      <c r="BI72" s="6">
        <f>SUMIF('Eredeti fejléccel'!$B:$B,'Felosztás eredménykim'!$B72,'Eredeti fejléccel'!$AH:$AH)</f>
        <v>0</v>
      </c>
      <c r="BJ72" s="6">
        <f>SUMIF('Eredeti fejléccel'!$B:$B,'Felosztás eredménykim'!$B72,'Eredeti fejléccel'!$AO:$AO)</f>
        <v>0</v>
      </c>
      <c r="BK72" s="6">
        <f>SUMIF('Eredeti fejléccel'!$B:$B,'Felosztás eredménykim'!$B72,'Eredeti fejléccel'!$BF:$BF)</f>
        <v>0</v>
      </c>
      <c r="BL72" s="8">
        <f t="shared" si="40"/>
        <v>0</v>
      </c>
      <c r="BM72" s="36">
        <f t="shared" si="95"/>
        <v>0</v>
      </c>
      <c r="BN72" s="8">
        <f t="shared" si="96"/>
        <v>0</v>
      </c>
      <c r="BP72" s="8">
        <f t="shared" si="41"/>
        <v>0</v>
      </c>
      <c r="BQ72" s="6">
        <f>SUMIF('Eredeti fejléccel'!$B:$B,'Felosztás eredménykim'!$B72,'Eredeti fejléccel'!$N:$N)</f>
        <v>0</v>
      </c>
      <c r="BR72" s="6">
        <f>SUMIF('Eredeti fejléccel'!$B:$B,'Felosztás eredménykim'!$B72,'Eredeti fejléccel'!$S:$S)</f>
        <v>0</v>
      </c>
      <c r="BT72" s="6">
        <f>SUMIF('Eredeti fejléccel'!$B:$B,'Felosztás eredménykim'!$B72,'Eredeti fejléccel'!$AR:$AR)</f>
        <v>0</v>
      </c>
      <c r="BU72" s="6">
        <f>SUMIF('Eredeti fejléccel'!$B:$B,'Felosztás eredménykim'!$B72,'Eredeti fejléccel'!$AU:$AU)</f>
        <v>0</v>
      </c>
      <c r="BV72" s="6">
        <f>SUMIF('Eredeti fejléccel'!$B:$B,'Felosztás eredménykim'!$B72,'Eredeti fejléccel'!$AV:$AV)</f>
        <v>0</v>
      </c>
      <c r="BW72" s="6">
        <f>SUMIF('Eredeti fejléccel'!$B:$B,'Felosztás eredménykim'!$B72,'Eredeti fejléccel'!$AW:$AW)</f>
        <v>0</v>
      </c>
      <c r="BX72" s="6">
        <f>SUMIF('Eredeti fejléccel'!$B:$B,'Felosztás eredménykim'!$B72,'Eredeti fejléccel'!$AX:$AX)</f>
        <v>0</v>
      </c>
      <c r="BY72" s="6">
        <f>SUMIF('Eredeti fejléccel'!$B:$B,'Felosztás eredménykim'!$B72,'Eredeti fejléccel'!$AY:$AY)</f>
        <v>0</v>
      </c>
      <c r="BZ72" s="6">
        <f>SUMIF('Eredeti fejléccel'!$B:$B,'Felosztás eredménykim'!$B72,'Eredeti fejléccel'!$AZ:$AZ)</f>
        <v>0</v>
      </c>
      <c r="CA72" s="6">
        <f>SUMIF('Eredeti fejléccel'!$B:$B,'Felosztás eredménykim'!$B72,'Eredeti fejléccel'!$BA:$BA)</f>
        <v>0</v>
      </c>
      <c r="CB72" s="6">
        <f t="shared" si="114"/>
        <v>0</v>
      </c>
      <c r="CC72" s="36">
        <f t="shared" si="97"/>
        <v>0</v>
      </c>
      <c r="CD72" s="8">
        <f t="shared" si="98"/>
        <v>0</v>
      </c>
      <c r="CE72" s="6">
        <f>SUMIF('Eredeti fejléccel'!$B:$B,'Felosztás eredménykim'!$B72,'Eredeti fejléccel'!$BC:$BC)</f>
        <v>0</v>
      </c>
      <c r="CF72" s="8">
        <f t="shared" si="42"/>
        <v>0</v>
      </c>
      <c r="CG72" s="6">
        <f>SUMIF('Eredeti fejléccel'!$B:$B,'Felosztás eredménykim'!$B72,'Eredeti fejléccel'!$H:$H)</f>
        <v>0</v>
      </c>
      <c r="CH72" s="6">
        <f>SUMIF('Eredeti fejléccel'!$B:$B,'Felosztás eredménykim'!$B72,'Eredeti fejléccel'!$BE:$BE)</f>
        <v>0</v>
      </c>
      <c r="CI72" s="6">
        <f t="shared" si="75"/>
        <v>0</v>
      </c>
      <c r="CJ72" s="36">
        <f t="shared" si="99"/>
        <v>0</v>
      </c>
      <c r="CK72" s="8">
        <f t="shared" si="100"/>
        <v>0</v>
      </c>
      <c r="CL72" s="8">
        <f t="shared" si="44"/>
        <v>0</v>
      </c>
      <c r="CM72" s="6">
        <f>SUMIF('Eredeti fejléccel'!$B:$B,'Felosztás eredménykim'!$B72,'Eredeti fejléccel'!$BD:$BD)</f>
        <v>0</v>
      </c>
      <c r="CN72" s="8">
        <f t="shared" si="76"/>
        <v>0</v>
      </c>
      <c r="CO72" s="8">
        <f t="shared" si="115"/>
        <v>0</v>
      </c>
      <c r="CR72" s="36">
        <f t="shared" si="101"/>
        <v>0</v>
      </c>
      <c r="CS72" s="6">
        <f>SUMIF('Eredeti fejléccel'!$B:$B,'Felosztás eredménykim'!$B72,'Eredeti fejléccel'!$I:$I)</f>
        <v>0</v>
      </c>
      <c r="CT72" s="6">
        <f>SUMIF('Eredeti fejléccel'!$B:$B,'Felosztás eredménykim'!$B72,'Eredeti fejléccel'!$BG:$BG)</f>
        <v>0</v>
      </c>
      <c r="CU72" s="6">
        <f>SUMIF('Eredeti fejléccel'!$B:$B,'Felosztás eredménykim'!$B72,'Eredeti fejléccel'!$BH:$BH)</f>
        <v>0</v>
      </c>
      <c r="CV72" s="6">
        <f>SUMIF('Eredeti fejléccel'!$B:$B,'Felosztás eredménykim'!$B72,'Eredeti fejléccel'!$BI:$BI)</f>
        <v>0</v>
      </c>
      <c r="CW72" s="6">
        <f>SUMIF('Eredeti fejléccel'!$B:$B,'Felosztás eredménykim'!$B72,'Eredeti fejléccel'!$BL:$BL)</f>
        <v>0</v>
      </c>
      <c r="CX72" s="6">
        <f t="shared" si="77"/>
        <v>0</v>
      </c>
      <c r="CY72" s="6">
        <f>SUMIF('Eredeti fejléccel'!$B:$B,'Felosztás eredménykim'!$B72,'Eredeti fejléccel'!$BJ:$BJ)</f>
        <v>0</v>
      </c>
      <c r="CZ72" s="6">
        <f>SUMIF('Eredeti fejléccel'!$B:$B,'Felosztás eredménykim'!$B72,'Eredeti fejléccel'!$BK:$BK)</f>
        <v>0</v>
      </c>
      <c r="DA72" s="99">
        <f t="shared" si="116"/>
        <v>0</v>
      </c>
      <c r="DC72" s="36">
        <f t="shared" si="102"/>
        <v>0</v>
      </c>
      <c r="DD72" s="6">
        <f>SUMIF('Eredeti fejléccel'!$B:$B,'Felosztás eredménykim'!$B72,'Eredeti fejléccel'!$J:$J)</f>
        <v>0</v>
      </c>
      <c r="DE72" s="6">
        <f>SUMIF('Eredeti fejléccel'!$B:$B,'Felosztás eredménykim'!$B72,'Eredeti fejléccel'!$BM:$BM)</f>
        <v>0</v>
      </c>
      <c r="DF72" s="6">
        <f t="shared" si="48"/>
        <v>0</v>
      </c>
      <c r="DG72" s="8">
        <f t="shared" si="117"/>
        <v>0</v>
      </c>
      <c r="DH72" s="8">
        <f t="shared" si="49"/>
        <v>0</v>
      </c>
      <c r="DJ72" s="6">
        <f>SUMIF('Eredeti fejléccel'!$B:$B,'Felosztás eredménykim'!$B72,'Eredeti fejléccel'!$BN:$BN)</f>
        <v>0</v>
      </c>
      <c r="DK72" s="6">
        <f>SUMIF('Eredeti fejléccel'!$B:$B,'Felosztás eredménykim'!$B72,'Eredeti fejléccel'!$BZ:$BZ)</f>
        <v>0</v>
      </c>
      <c r="DL72" s="8">
        <f t="shared" si="50"/>
        <v>0</v>
      </c>
      <c r="DM72" s="6">
        <f>SUMIF('Eredeti fejléccel'!$B:$B,'Felosztás eredménykim'!$B72,'Eredeti fejléccel'!$BR:$BR)</f>
        <v>0</v>
      </c>
      <c r="DN72" s="6">
        <f>SUMIF('Eredeti fejléccel'!$B:$B,'Felosztás eredménykim'!$B72,'Eredeti fejléccel'!$BS:$BS)</f>
        <v>0</v>
      </c>
      <c r="DO72" s="6">
        <f>SUMIF('Eredeti fejléccel'!$B:$B,'Felosztás eredménykim'!$B72,'Eredeti fejléccel'!$BO:$BO)</f>
        <v>0</v>
      </c>
      <c r="DP72" s="6">
        <f>SUMIF('Eredeti fejléccel'!$B:$B,'Felosztás eredménykim'!$B72,'Eredeti fejléccel'!$BP:$BP)</f>
        <v>0</v>
      </c>
      <c r="DQ72" s="6">
        <f>SUMIF('Eredeti fejléccel'!$B:$B,'Felosztás eredménykim'!$B72,'Eredeti fejléccel'!$BQ:$BQ)</f>
        <v>0</v>
      </c>
      <c r="DS72" s="8"/>
      <c r="DU72" s="6">
        <f>SUMIF('Eredeti fejléccel'!$B:$B,'Felosztás eredménykim'!$B72,'Eredeti fejléccel'!$BT:$BT)</f>
        <v>0</v>
      </c>
      <c r="DV72" s="6">
        <f>SUMIF('Eredeti fejléccel'!$B:$B,'Felosztás eredménykim'!$B72,'Eredeti fejléccel'!$BU:$BU)</f>
        <v>0</v>
      </c>
      <c r="DW72" s="6">
        <f>SUMIF('Eredeti fejléccel'!$B:$B,'Felosztás eredménykim'!$B72,'Eredeti fejléccel'!$BV:$BV)</f>
        <v>0</v>
      </c>
      <c r="DX72" s="6">
        <f>SUMIF('Eredeti fejléccel'!$B:$B,'Felosztás eredménykim'!$B72,'Eredeti fejléccel'!$BW:$BW)</f>
        <v>0</v>
      </c>
      <c r="DY72" s="6">
        <f>SUMIF('Eredeti fejléccel'!$B:$B,'Felosztás eredménykim'!$B72,'Eredeti fejléccel'!$BX:$BX)</f>
        <v>0</v>
      </c>
      <c r="EA72" s="6"/>
      <c r="EC72" s="6"/>
      <c r="EE72" s="6">
        <f>SUMIF('Eredeti fejléccel'!$B:$B,'Felosztás eredménykim'!$B72,'Eredeti fejléccel'!$CA:$CA)</f>
        <v>0</v>
      </c>
      <c r="EF72" s="6">
        <f>SUMIF('Eredeti fejléccel'!$B:$B,'Felosztás eredménykim'!$B72,'Eredeti fejléccel'!$CB:$CB)</f>
        <v>0</v>
      </c>
      <c r="EG72" s="6">
        <f>SUMIF('Eredeti fejléccel'!$B:$B,'Felosztás eredménykim'!$B72,'Eredeti fejléccel'!$CC:$CC)</f>
        <v>0</v>
      </c>
      <c r="EH72" s="6">
        <f>SUMIF('Eredeti fejléccel'!$B:$B,'Felosztás eredménykim'!$B72,'Eredeti fejléccel'!$CD:$CD)</f>
        <v>0</v>
      </c>
      <c r="EK72" s="6">
        <f>SUMIF('Eredeti fejléccel'!$B:$B,'Felosztás eredménykim'!$B72,'Eredeti fejléccel'!$CE:$CE)</f>
        <v>0</v>
      </c>
      <c r="EN72" s="6">
        <f>SUMIF('Eredeti fejléccel'!$B:$B,'Felosztás eredménykim'!$B72,'Eredeti fejléccel'!$CF:$CF)</f>
        <v>0</v>
      </c>
      <c r="EP72" s="6">
        <f>SUMIF('Eredeti fejléccel'!$B:$B,'Felosztás eredménykim'!$B72,'Eredeti fejléccel'!$CG:$CG)</f>
        <v>0</v>
      </c>
      <c r="ES72" s="6">
        <f>SUMIF('Eredeti fejléccel'!$B:$B,'Felosztás eredménykim'!$B72,'Eredeti fejléccel'!$CH:$CH)</f>
        <v>0</v>
      </c>
      <c r="ET72" s="6">
        <f>SUMIF('Eredeti fejléccel'!$B:$B,'Felosztás eredménykim'!$B72,'Eredeti fejléccel'!$CI:$CI)</f>
        <v>0</v>
      </c>
      <c r="EW72" s="8">
        <f t="shared" si="118"/>
        <v>0</v>
      </c>
      <c r="EX72" s="8">
        <f t="shared" si="78"/>
        <v>0</v>
      </c>
      <c r="EY72" s="8">
        <f t="shared" si="119"/>
        <v>0</v>
      </c>
      <c r="EZ72" s="8">
        <f t="shared" si="120"/>
        <v>0</v>
      </c>
      <c r="FA72" s="8">
        <f t="shared" si="121"/>
        <v>0</v>
      </c>
      <c r="FC72" s="6">
        <f>SUMIF('Eredeti fejléccel'!$B:$B,'Felosztás eredménykim'!$B72,'Eredeti fejléccel'!$L:$L)</f>
        <v>0</v>
      </c>
      <c r="FD72" s="6">
        <f>SUMIF('Eredeti fejléccel'!$B:$B,'Felosztás eredménykim'!$B72,'Eredeti fejléccel'!$CJ:$CJ)</f>
        <v>0</v>
      </c>
      <c r="FE72" s="6">
        <f>SUMIF('Eredeti fejléccel'!$B:$B,'Felosztás eredménykim'!$B72,'Eredeti fejléccel'!$CL:$CL)</f>
        <v>0</v>
      </c>
      <c r="FG72" s="99">
        <f t="shared" si="79"/>
        <v>0</v>
      </c>
      <c r="FH72" s="6">
        <f>SUMIF('Eredeti fejléccel'!$B:$B,'Felosztás eredménykim'!$B72,'Eredeti fejléccel'!$CK:$CK)</f>
        <v>0</v>
      </c>
      <c r="FI72" s="36">
        <f t="shared" si="103"/>
        <v>0</v>
      </c>
      <c r="FJ72" s="101">
        <f t="shared" si="104"/>
        <v>0</v>
      </c>
      <c r="FK72" s="6">
        <f>SUMIF('Eredeti fejléccel'!$B:$B,'Felosztás eredménykim'!$B72,'Eredeti fejléccel'!$CM:$CM)</f>
        <v>0</v>
      </c>
      <c r="FL72" s="6">
        <f>SUMIF('Eredeti fejléccel'!$B:$B,'Felosztás eredménykim'!$B72,'Eredeti fejléccel'!$CN:$CN)</f>
        <v>0</v>
      </c>
      <c r="FM72" s="8">
        <f t="shared" si="80"/>
        <v>0</v>
      </c>
      <c r="FN72" s="36">
        <f t="shared" si="105"/>
        <v>0</v>
      </c>
      <c r="FO72" s="101">
        <f t="shared" si="106"/>
        <v>0</v>
      </c>
      <c r="FP72" s="6">
        <f>SUMIF('Eredeti fejléccel'!$B:$B,'Felosztás eredménykim'!$B72,'Eredeti fejléccel'!$CO:$CO)</f>
        <v>0</v>
      </c>
      <c r="FQ72" s="6">
        <f>'Eredeti fejléccel'!CP72</f>
        <v>0</v>
      </c>
      <c r="FR72" s="6">
        <f>'Eredeti fejléccel'!CQ72</f>
        <v>0</v>
      </c>
      <c r="FS72" s="103">
        <f t="shared" si="122"/>
        <v>0</v>
      </c>
      <c r="FT72" s="36">
        <f t="shared" si="107"/>
        <v>0</v>
      </c>
      <c r="FU72" s="101">
        <f t="shared" si="108"/>
        <v>0</v>
      </c>
      <c r="FV72" s="101"/>
      <c r="FW72" s="6">
        <f>SUMIF('Eredeti fejléccel'!$B:$B,'Felosztás eredménykim'!$B72,'Eredeti fejléccel'!$CR:$CR)</f>
        <v>0</v>
      </c>
      <c r="FX72" s="6">
        <f>SUMIF('Eredeti fejléccel'!$B:$B,'Felosztás eredménykim'!$B72,'Eredeti fejléccel'!$CS:$CS)</f>
        <v>0</v>
      </c>
      <c r="FY72" s="6">
        <f>SUMIF('Eredeti fejléccel'!$B:$B,'Felosztás eredménykim'!$B72,'Eredeti fejléccel'!$CT:$CT)</f>
        <v>0</v>
      </c>
      <c r="FZ72" s="6">
        <f>SUMIF('Eredeti fejléccel'!$B:$B,'Felosztás eredménykim'!$B72,'Eredeti fejléccel'!$CU:$CU)</f>
        <v>0</v>
      </c>
      <c r="GA72" s="103">
        <f t="shared" si="81"/>
        <v>0</v>
      </c>
      <c r="GB72" s="36">
        <f t="shared" si="109"/>
        <v>0</v>
      </c>
      <c r="GC72" s="101">
        <f t="shared" si="110"/>
        <v>0</v>
      </c>
      <c r="GD72" s="6">
        <f>SUMIF('Eredeti fejléccel'!$B:$B,'Felosztás eredménykim'!$B72,'Eredeti fejléccel'!$CV:$CV)</f>
        <v>0</v>
      </c>
      <c r="GE72" s="6">
        <f>SUMIF('Eredeti fejléccel'!$B:$B,'Felosztás eredménykim'!$B72,'Eredeti fejléccel'!$CW:$CW)</f>
        <v>0</v>
      </c>
      <c r="GF72" s="103">
        <f t="shared" si="82"/>
        <v>0</v>
      </c>
      <c r="GG72" s="36">
        <f t="shared" si="111"/>
        <v>0</v>
      </c>
      <c r="GM72" s="6">
        <f>SUMIF('Eredeti fejléccel'!$B:$B,'Felosztás eredménykim'!$B72,'Eredeti fejléccel'!$CX:$CX)</f>
        <v>0</v>
      </c>
      <c r="GN72" s="6">
        <f>SUMIF('Eredeti fejléccel'!$B:$B,'Felosztás eredménykim'!$B72,'Eredeti fejléccel'!$CY:$CY)</f>
        <v>0</v>
      </c>
      <c r="GO72" s="6">
        <f>SUMIF('Eredeti fejléccel'!$B:$B,'Felosztás eredménykim'!$B72,'Eredeti fejléccel'!$CZ:$CZ)</f>
        <v>0</v>
      </c>
      <c r="GP72" s="6">
        <f>SUMIF('Eredeti fejléccel'!$B:$B,'Felosztás eredménykim'!$B72,'Eredeti fejléccel'!$DA:$DA)</f>
        <v>0</v>
      </c>
      <c r="GQ72" s="6">
        <f>SUMIF('Eredeti fejléccel'!$B:$B,'Felosztás eredménykim'!$B72,'Eredeti fejléccel'!$DB:$DB)</f>
        <v>0</v>
      </c>
      <c r="GR72" s="103">
        <f t="shared" si="83"/>
        <v>0</v>
      </c>
      <c r="GW72" s="36">
        <f t="shared" si="112"/>
        <v>0</v>
      </c>
      <c r="GX72" s="6">
        <f>SUMIF('Eredeti fejléccel'!$B:$B,'Felosztás eredménykim'!$B72,'Eredeti fejléccel'!$M:$M)</f>
        <v>0</v>
      </c>
      <c r="GY72" s="6">
        <f>SUMIF('Eredeti fejléccel'!$B:$B,'Felosztás eredménykim'!$B72,'Eredeti fejléccel'!$DC:$DC)</f>
        <v>0</v>
      </c>
      <c r="GZ72" s="6">
        <f>SUMIF('Eredeti fejléccel'!$B:$B,'Felosztás eredménykim'!$B72,'Eredeti fejléccel'!$DD:$DD)</f>
        <v>0</v>
      </c>
      <c r="HA72" s="6">
        <f>SUMIF('Eredeti fejléccel'!$B:$B,'Felosztás eredménykim'!$B72,'Eredeti fejléccel'!$DE:$DE)</f>
        <v>0</v>
      </c>
      <c r="HB72" s="103">
        <f t="shared" si="84"/>
        <v>0</v>
      </c>
      <c r="HD72" s="9">
        <f t="shared" si="113"/>
        <v>0</v>
      </c>
      <c r="HE72" s="9"/>
      <c r="HF72" s="476"/>
      <c r="HH72" s="34">
        <f t="shared" si="85"/>
        <v>0</v>
      </c>
    </row>
    <row r="73" spans="1:218" x14ac:dyDescent="0.25">
      <c r="A73" s="4" t="s">
        <v>164</v>
      </c>
      <c r="B73" s="4" t="s">
        <v>164</v>
      </c>
      <c r="C73" s="1" t="s">
        <v>165</v>
      </c>
      <c r="D73" s="6">
        <f>SUMIF('Eredeti fejléccel'!$B:$B,'Felosztás eredménykim'!$B73,'Eredeti fejléccel'!$D:$D)</f>
        <v>0</v>
      </c>
      <c r="E73" s="6">
        <f>SUMIF('Eredeti fejléccel'!$B:$B,'Felosztás eredménykim'!$B73,'Eredeti fejléccel'!$E:$E)</f>
        <v>334670.00000000006</v>
      </c>
      <c r="F73" s="6">
        <f>SUMIF('Eredeti fejléccel'!$B:$B,'Felosztás eredménykim'!$B73,'Eredeti fejléccel'!$F:$F)</f>
        <v>0</v>
      </c>
      <c r="G73" s="6">
        <f>SUMIF('Eredeti fejléccel'!$B:$B,'Felosztás eredménykim'!$B73,'Eredeti fejléccel'!$G:$G)</f>
        <v>3309000</v>
      </c>
      <c r="H73" s="6"/>
      <c r="I73" s="6">
        <f>SUMIF('Eredeti fejléccel'!$B:$B,'Felosztás eredménykim'!$B73,'Eredeti fejléccel'!$O:$O)</f>
        <v>143430</v>
      </c>
      <c r="J73" s="6">
        <f>SUMIF('Eredeti fejléccel'!$B:$B,'Felosztás eredménykim'!$B73,'Eredeti fejléccel'!$P:$P)</f>
        <v>0</v>
      </c>
      <c r="K73" s="6">
        <f>SUMIF('Eredeti fejléccel'!$B:$B,'Felosztás eredménykim'!$B73,'Eredeti fejléccel'!$Q:$Q)</f>
        <v>0</v>
      </c>
      <c r="L73" s="6">
        <f>SUMIF('Eredeti fejléccel'!$B:$B,'Felosztás eredménykim'!$B73,'Eredeti fejléccel'!$R:$R)</f>
        <v>0</v>
      </c>
      <c r="M73" s="6">
        <f>SUMIF('Eredeti fejléccel'!$B:$B,'Felosztás eredménykim'!$B73,'Eredeti fejléccel'!$T:$T)</f>
        <v>0</v>
      </c>
      <c r="N73" s="6">
        <f>SUMIF('Eredeti fejléccel'!$B:$B,'Felosztás eredménykim'!$B73,'Eredeti fejléccel'!$U:$U)</f>
        <v>0</v>
      </c>
      <c r="O73" s="6">
        <f>SUMIF('Eredeti fejléccel'!$B:$B,'Felosztás eredménykim'!$B73,'Eredeti fejléccel'!$V:$V)</f>
        <v>621530</v>
      </c>
      <c r="P73" s="6">
        <f>SUMIF('Eredeti fejléccel'!$B:$B,'Felosztás eredménykim'!$B73,'Eredeti fejléccel'!$W:$W)</f>
        <v>0</v>
      </c>
      <c r="Q73" s="6">
        <f>SUMIF('Eredeti fejléccel'!$B:$B,'Felosztás eredménykim'!$B73,'Eredeti fejléccel'!$X:$X)</f>
        <v>0</v>
      </c>
      <c r="R73" s="6">
        <f>SUMIF('Eredeti fejléccel'!$B:$B,'Felosztás eredménykim'!$B73,'Eredeti fejléccel'!$Y:$Y)</f>
        <v>0</v>
      </c>
      <c r="S73" s="6">
        <f>SUMIF('Eredeti fejléccel'!$B:$B,'Felosztás eredménykim'!$B73,'Eredeti fejléccel'!$Z:$Z)</f>
        <v>0</v>
      </c>
      <c r="T73" s="6">
        <f>SUMIF('Eredeti fejléccel'!$B:$B,'Felosztás eredménykim'!$B73,'Eredeti fejléccel'!$AA:$AA)</f>
        <v>0</v>
      </c>
      <c r="U73" s="6">
        <f>SUMIF('Eredeti fejléccel'!$B:$B,'Felosztás eredménykim'!$B73,'Eredeti fejléccel'!$D:$D)</f>
        <v>0</v>
      </c>
      <c r="V73" s="6">
        <f>SUMIF('Eredeti fejléccel'!$B:$B,'Felosztás eredménykim'!$B73,'Eredeti fejléccel'!$AT:$AT)</f>
        <v>0</v>
      </c>
      <c r="X73" s="36">
        <f t="shared" si="86"/>
        <v>4408630</v>
      </c>
      <c r="Z73" s="6">
        <f>SUMIF('Eredeti fejléccel'!$B:$B,'Felosztás eredménykim'!$B73,'Eredeti fejléccel'!$K:$K)</f>
        <v>239050</v>
      </c>
      <c r="AB73" s="6">
        <f>SUMIF('Eredeti fejléccel'!$B:$B,'Felosztás eredménykim'!$B73,'Eredeti fejléccel'!$AB:$AB)</f>
        <v>0</v>
      </c>
      <c r="AC73" s="6">
        <f>SUMIF('Eredeti fejléccel'!$B:$B,'Felosztás eredménykim'!$B73,'Eredeti fejléccel'!$AQ:$AQ)</f>
        <v>0</v>
      </c>
      <c r="AE73" s="73">
        <f t="shared" si="1"/>
        <v>239050</v>
      </c>
      <c r="AF73" s="36">
        <f t="shared" si="87"/>
        <v>525925.93550653639</v>
      </c>
      <c r="AG73" s="8">
        <f t="shared" si="88"/>
        <v>76219.770145783012</v>
      </c>
      <c r="AI73" s="6">
        <f>SUMIF('Eredeti fejléccel'!$B:$B,'Felosztás eredménykim'!$B73,'Eredeti fejléccel'!$BB:$BB)</f>
        <v>1330680</v>
      </c>
      <c r="AJ73" s="6">
        <f>SUMIF('Eredeti fejléccel'!$B:$B,'Felosztás eredménykim'!$B73,'Eredeti fejléccel'!$AF:$AF)</f>
        <v>0</v>
      </c>
      <c r="AK73" s="8">
        <f t="shared" si="73"/>
        <v>1406899.770145783</v>
      </c>
      <c r="AL73" s="36">
        <f t="shared" si="89"/>
        <v>208895.1261366776</v>
      </c>
      <c r="AM73" s="8">
        <f t="shared" si="90"/>
        <v>30274.107861550841</v>
      </c>
      <c r="AN73" s="6">
        <f t="shared" si="36"/>
        <v>-47810</v>
      </c>
      <c r="AO73" s="6">
        <f>SUMIF('Eredeti fejléccel'!$B:$B,'Felosztás eredménykim'!$B73,'Eredeti fejléccel'!$AC:$AC)</f>
        <v>95620</v>
      </c>
      <c r="AP73" s="6">
        <f>SUMIF('Eredeti fejléccel'!$B:$B,'Felosztás eredménykim'!$B73,'Eredeti fejléccel'!$AD:$AD)</f>
        <v>0</v>
      </c>
      <c r="AQ73" s="6">
        <f>SUMIF('Eredeti fejléccel'!$B:$B,'Felosztás eredménykim'!$B73,'Eredeti fejléccel'!$AE:$AE)</f>
        <v>0</v>
      </c>
      <c r="AR73" s="6">
        <f>SUMIF('Eredeti fejléccel'!$B:$B,'Felosztás eredménykim'!$B73,'Eredeti fejléccel'!$AG:$AG)</f>
        <v>1318500</v>
      </c>
      <c r="AS73" s="6">
        <f t="shared" si="37"/>
        <v>1396584.1078615508</v>
      </c>
      <c r="AT73" s="36">
        <f t="shared" si="91"/>
        <v>339307.05516550737</v>
      </c>
      <c r="AU73" s="8">
        <f t="shared" si="92"/>
        <v>49174.045255343881</v>
      </c>
      <c r="AV73" s="6">
        <f>SUMIF('Eredeti fejléccel'!$B:$B,'Felosztás eredménykim'!$B73,'Eredeti fejléccel'!$AI:$AI)</f>
        <v>0</v>
      </c>
      <c r="AW73" s="6">
        <f>SUMIF('Eredeti fejléccel'!$B:$B,'Felosztás eredménykim'!$B73,'Eredeti fejléccel'!$AJ:$AJ)</f>
        <v>95620</v>
      </c>
      <c r="AX73" s="6">
        <f>SUMIF('Eredeti fejléccel'!$B:$B,'Felosztás eredménykim'!$B73,'Eredeti fejléccel'!$AK:$AK)</f>
        <v>621530</v>
      </c>
      <c r="AY73" s="6">
        <f>SUMIF('Eredeti fejléccel'!$B:$B,'Felosztás eredménykim'!$B73,'Eredeti fejléccel'!$AL:$AL)</f>
        <v>239050</v>
      </c>
      <c r="AZ73" s="6">
        <f>SUMIF('Eredeti fejléccel'!$B:$B,'Felosztás eredménykim'!$B73,'Eredeti fejléccel'!$AM:$AM)</f>
        <v>430290</v>
      </c>
      <c r="BA73" s="6">
        <f>SUMIF('Eredeti fejléccel'!$B:$B,'Felosztás eredménykim'!$B73,'Eredeti fejléccel'!$AN:$AN)</f>
        <v>0</v>
      </c>
      <c r="BB73" s="6">
        <f>SUMIF('Eredeti fejléccel'!$B:$B,'Felosztás eredménykim'!$B73,'Eredeti fejléccel'!$AP:$AP)</f>
        <v>0</v>
      </c>
      <c r="BD73" s="6">
        <f>SUMIF('Eredeti fejléccel'!$B:$B,'Felosztás eredménykim'!$B73,'Eredeti fejléccel'!$AS:$AS)</f>
        <v>0</v>
      </c>
      <c r="BE73" s="8">
        <f t="shared" si="74"/>
        <v>1435664.0452553439</v>
      </c>
      <c r="BF73" s="36">
        <f t="shared" si="93"/>
        <v>88514.883956219302</v>
      </c>
      <c r="BG73" s="8">
        <f t="shared" si="94"/>
        <v>12828.011805741882</v>
      </c>
      <c r="BH73" s="6">
        <f t="shared" si="39"/>
        <v>47810</v>
      </c>
      <c r="BI73" s="6">
        <f>SUMIF('Eredeti fejléccel'!$B:$B,'Felosztás eredménykim'!$B73,'Eredeti fejléccel'!$AH:$AH)</f>
        <v>430290</v>
      </c>
      <c r="BJ73" s="6">
        <f>SUMIF('Eredeti fejléccel'!$B:$B,'Felosztás eredménykim'!$B73,'Eredeti fejléccel'!$AO:$AO)</f>
        <v>0</v>
      </c>
      <c r="BK73" s="6">
        <f>SUMIF('Eredeti fejléccel'!$B:$B,'Felosztás eredménykim'!$B73,'Eredeti fejléccel'!$BF:$BF)</f>
        <v>0</v>
      </c>
      <c r="BL73" s="8">
        <f t="shared" si="40"/>
        <v>490928.01180574187</v>
      </c>
      <c r="BM73" s="36">
        <f t="shared" si="95"/>
        <v>331635.76522263506</v>
      </c>
      <c r="BN73" s="8">
        <f t="shared" si="96"/>
        <v>48062.284232179583</v>
      </c>
      <c r="BP73" s="8">
        <f t="shared" si="41"/>
        <v>0</v>
      </c>
      <c r="BQ73" s="6">
        <f>SUMIF('Eredeti fejléccel'!$B:$B,'Felosztás eredménykim'!$B73,'Eredeti fejléccel'!$N:$N)</f>
        <v>0</v>
      </c>
      <c r="BR73" s="6">
        <f>SUMIF('Eredeti fejléccel'!$B:$B,'Felosztás eredménykim'!$B73,'Eredeti fejléccel'!$S:$S)</f>
        <v>0</v>
      </c>
      <c r="BT73" s="6">
        <f>SUMIF('Eredeti fejléccel'!$B:$B,'Felosztás eredménykim'!$B73,'Eredeti fejléccel'!$AR:$AR)</f>
        <v>0</v>
      </c>
      <c r="BU73" s="6">
        <f>SUMIF('Eredeti fejléccel'!$B:$B,'Felosztás eredménykim'!$B73,'Eredeti fejléccel'!$AU:$AU)</f>
        <v>0</v>
      </c>
      <c r="BV73" s="6">
        <f>SUMIF('Eredeti fejléccel'!$B:$B,'Felosztás eredménykim'!$B73,'Eredeti fejléccel'!$AV:$AV)</f>
        <v>299512.5</v>
      </c>
      <c r="BW73" s="6">
        <f>SUMIF('Eredeti fejléccel'!$B:$B,'Felosztás eredménykim'!$B73,'Eredeti fejléccel'!$AW:$AW)</f>
        <v>0</v>
      </c>
      <c r="BX73" s="6">
        <f>SUMIF('Eredeti fejléccel'!$B:$B,'Felosztás eredménykim'!$B73,'Eredeti fejléccel'!$AX:$AX)</f>
        <v>0</v>
      </c>
      <c r="BY73" s="6">
        <f>SUMIF('Eredeti fejléccel'!$B:$B,'Felosztás eredménykim'!$B73,'Eredeti fejléccel'!$AY:$AY)</f>
        <v>0</v>
      </c>
      <c r="BZ73" s="6">
        <f>SUMIF('Eredeti fejléccel'!$B:$B,'Felosztás eredménykim'!$B73,'Eredeti fejléccel'!$AZ:$AZ)</f>
        <v>0</v>
      </c>
      <c r="CA73" s="6">
        <f>SUMIF('Eredeti fejléccel'!$B:$B,'Felosztás eredménykim'!$B73,'Eredeti fejléccel'!$BA:$BA)</f>
        <v>757800</v>
      </c>
      <c r="CB73" s="6">
        <f t="shared" si="114"/>
        <v>1105374.7842321796</v>
      </c>
      <c r="CC73" s="36">
        <f t="shared" si="97"/>
        <v>90285.181635343703</v>
      </c>
      <c r="CD73" s="8">
        <f t="shared" si="98"/>
        <v>13084.57204185672</v>
      </c>
      <c r="CE73" s="6">
        <f>SUMIF('Eredeti fejléccel'!$B:$B,'Felosztás eredménykim'!$B73,'Eredeti fejléccel'!$BC:$BC)</f>
        <v>95620</v>
      </c>
      <c r="CF73" s="8">
        <f t="shared" si="42"/>
        <v>-47810</v>
      </c>
      <c r="CG73" s="6">
        <f>SUMIF('Eredeti fejléccel'!$B:$B,'Felosztás eredménykim'!$B73,'Eredeti fejléccel'!$H:$H)</f>
        <v>0</v>
      </c>
      <c r="CH73" s="6">
        <f>SUMIF('Eredeti fejléccel'!$B:$B,'Felosztás eredménykim'!$B73,'Eredeti fejléccel'!$BE:$BE)</f>
        <v>669340.00000000012</v>
      </c>
      <c r="CI73" s="6">
        <f t="shared" si="75"/>
        <v>730234.57204185682</v>
      </c>
      <c r="CJ73" s="36">
        <f t="shared" si="99"/>
        <v>64910.914901227508</v>
      </c>
      <c r="CK73" s="8">
        <f t="shared" si="100"/>
        <v>9407.208657544048</v>
      </c>
      <c r="CL73" s="8">
        <f t="shared" si="44"/>
        <v>47810</v>
      </c>
      <c r="CM73" s="6">
        <f>SUMIF('Eredeti fejléccel'!$B:$B,'Felosztás eredménykim'!$B73,'Eredeti fejléccel'!$BD:$BD)</f>
        <v>382480</v>
      </c>
      <c r="CN73" s="8">
        <f t="shared" si="76"/>
        <v>439697.20865754405</v>
      </c>
      <c r="CO73" s="8">
        <f t="shared" si="115"/>
        <v>8654857.3625241462</v>
      </c>
      <c r="CR73" s="36">
        <f t="shared" si="101"/>
        <v>389906.84513844171</v>
      </c>
      <c r="CS73" s="6">
        <f>SUMIF('Eredeti fejléccel'!$B:$B,'Felosztás eredménykim'!$B73,'Eredeti fejléccel'!$I:$I)</f>
        <v>0</v>
      </c>
      <c r="CT73" s="6">
        <f>SUMIF('Eredeti fejléccel'!$B:$B,'Felosztás eredménykim'!$B73,'Eredeti fejléccel'!$BG:$BG)</f>
        <v>0</v>
      </c>
      <c r="CU73" s="6">
        <f>SUMIF('Eredeti fejléccel'!$B:$B,'Felosztás eredménykim'!$B73,'Eredeti fejléccel'!$BH:$BH)</f>
        <v>0</v>
      </c>
      <c r="CV73" s="6">
        <f>SUMIF('Eredeti fejléccel'!$B:$B,'Felosztás eredménykim'!$B73,'Eredeti fejléccel'!$BI:$BI)</f>
        <v>0</v>
      </c>
      <c r="CW73" s="6">
        <f>SUMIF('Eredeti fejléccel'!$B:$B,'Felosztás eredménykim'!$B73,'Eredeti fejléccel'!$BL:$BL)</f>
        <v>2957561.4</v>
      </c>
      <c r="CX73" s="6">
        <f t="shared" si="77"/>
        <v>2957561.4</v>
      </c>
      <c r="CY73" s="6">
        <f>SUMIF('Eredeti fejléccel'!$B:$B,'Felosztás eredménykim'!$B73,'Eredeti fejléccel'!$BJ:$BJ)</f>
        <v>434316.85</v>
      </c>
      <c r="CZ73" s="6">
        <f>SUMIF('Eredeti fejléccel'!$B:$B,'Felosztás eredménykim'!$B73,'Eredeti fejléccel'!$BK:$BK)</f>
        <v>34144.5</v>
      </c>
      <c r="DA73" s="99">
        <f t="shared" si="116"/>
        <v>3426022.75</v>
      </c>
      <c r="DC73" s="36">
        <f t="shared" si="102"/>
        <v>341505.59497746301</v>
      </c>
      <c r="DD73" s="6">
        <f>SUMIF('Eredeti fejléccel'!$B:$B,'Felosztás eredménykim'!$B73,'Eredeti fejléccel'!$J:$J)</f>
        <v>0</v>
      </c>
      <c r="DE73" s="6">
        <f>SUMIF('Eredeti fejléccel'!$B:$B,'Felosztás eredménykim'!$B73,'Eredeti fejléccel'!$BM:$BM)</f>
        <v>0</v>
      </c>
      <c r="DF73" s="6">
        <f t="shared" si="48"/>
        <v>0</v>
      </c>
      <c r="DG73" s="8">
        <f t="shared" si="117"/>
        <v>0</v>
      </c>
      <c r="DH73" s="8">
        <f t="shared" si="49"/>
        <v>0</v>
      </c>
      <c r="DJ73" s="6">
        <f>SUMIF('Eredeti fejléccel'!$B:$B,'Felosztás eredménykim'!$B73,'Eredeti fejléccel'!$BN:$BN)</f>
        <v>1004250</v>
      </c>
      <c r="DK73" s="6">
        <f>SUMIF('Eredeti fejléccel'!$B:$B,'Felosztás eredménykim'!$B73,'Eredeti fejléccel'!$BZ:$BZ)</f>
        <v>0</v>
      </c>
      <c r="DL73" s="8">
        <f t="shared" si="50"/>
        <v>1004250</v>
      </c>
      <c r="DM73" s="6">
        <f>SUMIF('Eredeti fejléccel'!$B:$B,'Felosztás eredménykim'!$B73,'Eredeti fejléccel'!$BR:$BR)</f>
        <v>0</v>
      </c>
      <c r="DN73" s="6">
        <f>SUMIF('Eredeti fejléccel'!$B:$B,'Felosztás eredménykim'!$B73,'Eredeti fejléccel'!$BS:$BS)</f>
        <v>0</v>
      </c>
      <c r="DO73" s="6">
        <f>SUMIF('Eredeti fejléccel'!$B:$B,'Felosztás eredménykim'!$B73,'Eredeti fejléccel'!$BO:$BO)</f>
        <v>0</v>
      </c>
      <c r="DP73" s="6">
        <f>SUMIF('Eredeti fejléccel'!$B:$B,'Felosztás eredménykim'!$B73,'Eredeti fejléccel'!$BP:$BP)</f>
        <v>0</v>
      </c>
      <c r="DQ73" s="6">
        <f>SUMIF('Eredeti fejléccel'!$B:$B,'Felosztás eredménykim'!$B73,'Eredeti fejléccel'!$BQ:$BQ)</f>
        <v>0</v>
      </c>
      <c r="DS73" s="8"/>
      <c r="DU73" s="6">
        <f>SUMIF('Eredeti fejléccel'!$B:$B,'Felosztás eredménykim'!$B73,'Eredeti fejléccel'!$BT:$BT)</f>
        <v>0</v>
      </c>
      <c r="DV73" s="6">
        <f>SUMIF('Eredeti fejléccel'!$B:$B,'Felosztás eredménykim'!$B73,'Eredeti fejléccel'!$BU:$BU)</f>
        <v>0</v>
      </c>
      <c r="DW73" s="6">
        <f>SUMIF('Eredeti fejléccel'!$B:$B,'Felosztás eredménykim'!$B73,'Eredeti fejléccel'!$BV:$BV)</f>
        <v>0</v>
      </c>
      <c r="DX73" s="6">
        <f>SUMIF('Eredeti fejléccel'!$B:$B,'Felosztás eredménykim'!$B73,'Eredeti fejléccel'!$BW:$BW)</f>
        <v>0</v>
      </c>
      <c r="DY73" s="6">
        <f>SUMIF('Eredeti fejléccel'!$B:$B,'Felosztás eredménykim'!$B73,'Eredeti fejléccel'!$BX:$BX)</f>
        <v>0</v>
      </c>
      <c r="EA73" s="6"/>
      <c r="EC73" s="6"/>
      <c r="EE73" s="6">
        <f>SUMIF('Eredeti fejléccel'!$B:$B,'Felosztás eredménykim'!$B73,'Eredeti fejléccel'!$CA:$CA)</f>
        <v>0</v>
      </c>
      <c r="EF73" s="6">
        <f>SUMIF('Eredeti fejléccel'!$B:$B,'Felosztás eredménykim'!$B73,'Eredeti fejléccel'!$CB:$CB)</f>
        <v>0</v>
      </c>
      <c r="EG73" s="6">
        <f>SUMIF('Eredeti fejléccel'!$B:$B,'Felosztás eredménykim'!$B73,'Eredeti fejléccel'!$CC:$CC)</f>
        <v>0</v>
      </c>
      <c r="EH73" s="6">
        <f>SUMIF('Eredeti fejléccel'!$B:$B,'Felosztás eredménykim'!$B73,'Eredeti fejléccel'!$CD:$CD)</f>
        <v>0</v>
      </c>
      <c r="EK73" s="6">
        <f>SUMIF('Eredeti fejléccel'!$B:$B,'Felosztás eredménykim'!$B73,'Eredeti fejléccel'!$CE:$CE)</f>
        <v>0</v>
      </c>
      <c r="EN73" s="6">
        <f>SUMIF('Eredeti fejléccel'!$B:$B,'Felosztás eredménykim'!$B73,'Eredeti fejléccel'!$CF:$CF)</f>
        <v>0</v>
      </c>
      <c r="EP73" s="6">
        <f>SUMIF('Eredeti fejléccel'!$B:$B,'Felosztás eredménykim'!$B73,'Eredeti fejléccel'!$CG:$CG)</f>
        <v>0</v>
      </c>
      <c r="ES73" s="6">
        <f>SUMIF('Eredeti fejléccel'!$B:$B,'Felosztás eredménykim'!$B73,'Eredeti fejléccel'!$CH:$CH)</f>
        <v>0</v>
      </c>
      <c r="ET73" s="6">
        <f>SUMIF('Eredeti fejléccel'!$B:$B,'Felosztás eredménykim'!$B73,'Eredeti fejléccel'!$CI:$CI)</f>
        <v>0</v>
      </c>
      <c r="EW73" s="8">
        <f t="shared" si="118"/>
        <v>0</v>
      </c>
      <c r="EX73" s="8">
        <f t="shared" si="78"/>
        <v>0</v>
      </c>
      <c r="EY73" s="8">
        <f t="shared" si="119"/>
        <v>0</v>
      </c>
      <c r="EZ73" s="8">
        <f t="shared" si="120"/>
        <v>1004250</v>
      </c>
      <c r="FA73" s="8">
        <f t="shared" si="121"/>
        <v>0</v>
      </c>
      <c r="FC73" s="6">
        <f>SUMIF('Eredeti fejléccel'!$B:$B,'Felosztás eredménykim'!$B73,'Eredeti fejléccel'!$L:$L)</f>
        <v>0</v>
      </c>
      <c r="FD73" s="6">
        <f>SUMIF('Eredeti fejléccel'!$B:$B,'Felosztás eredménykim'!$B73,'Eredeti fejléccel'!$CJ:$CJ)</f>
        <v>299512.5</v>
      </c>
      <c r="FE73" s="6">
        <f>SUMIF('Eredeti fejléccel'!$B:$B,'Felosztás eredménykim'!$B73,'Eredeti fejléccel'!$CL:$CL)</f>
        <v>0</v>
      </c>
      <c r="FG73" s="99">
        <f t="shared" si="79"/>
        <v>299512.5</v>
      </c>
      <c r="FH73" s="6">
        <f>SUMIF('Eredeti fejléccel'!$B:$B,'Felosztás eredménykim'!$B73,'Eredeti fejléccel'!$CK:$CK)</f>
        <v>0</v>
      </c>
      <c r="FI73" s="36">
        <f t="shared" si="103"/>
        <v>401802.97528537613</v>
      </c>
      <c r="FJ73" s="101">
        <f t="shared" si="104"/>
        <v>66415.746766370241</v>
      </c>
      <c r="FK73" s="6">
        <f>SUMIF('Eredeti fejléccel'!$B:$B,'Felosztás eredménykim'!$B73,'Eredeti fejléccel'!$CM:$CM)</f>
        <v>0</v>
      </c>
      <c r="FL73" s="6">
        <f>SUMIF('Eredeti fejléccel'!$B:$B,'Felosztás eredménykim'!$B73,'Eredeti fejléccel'!$CN:$CN)</f>
        <v>0</v>
      </c>
      <c r="FM73" s="8">
        <f t="shared" si="80"/>
        <v>66415.746766370241</v>
      </c>
      <c r="FN73" s="36">
        <f t="shared" si="105"/>
        <v>341598.44636000629</v>
      </c>
      <c r="FO73" s="101">
        <f t="shared" si="106"/>
        <v>56464.280517380757</v>
      </c>
      <c r="FP73" s="6">
        <f>SUMIF('Eredeti fejléccel'!$B:$B,'Felosztás eredménykim'!$B73,'Eredeti fejléccel'!$CO:$CO)</f>
        <v>0</v>
      </c>
      <c r="FQ73" s="6">
        <f>'Eredeti fejléccel'!CP73</f>
        <v>0</v>
      </c>
      <c r="FR73" s="6">
        <f>'Eredeti fejléccel'!CQ73</f>
        <v>0</v>
      </c>
      <c r="FS73" s="103">
        <f t="shared" si="122"/>
        <v>56464.280517380757</v>
      </c>
      <c r="FT73" s="36">
        <f t="shared" si="107"/>
        <v>942911.32041996601</v>
      </c>
      <c r="FU73" s="101">
        <f t="shared" si="108"/>
        <v>155857.87894098627</v>
      </c>
      <c r="FV73" s="101"/>
      <c r="FW73" s="6">
        <f>SUMIF('Eredeti fejléccel'!$B:$B,'Felosztás eredménykim'!$B73,'Eredeti fejléccel'!$CR:$CR)</f>
        <v>1782000</v>
      </c>
      <c r="FX73" s="6">
        <f>SUMIF('Eredeti fejléccel'!$B:$B,'Felosztás eredménykim'!$B73,'Eredeti fejléccel'!$CS:$CS)</f>
        <v>0</v>
      </c>
      <c r="FY73" s="6">
        <f>SUMIF('Eredeti fejléccel'!$B:$B,'Felosztás eredménykim'!$B73,'Eredeti fejléccel'!$CT:$CT)</f>
        <v>0</v>
      </c>
      <c r="FZ73" s="6">
        <f>SUMIF('Eredeti fejléccel'!$B:$B,'Felosztás eredménykim'!$B73,'Eredeti fejléccel'!$CU:$CU)</f>
        <v>0</v>
      </c>
      <c r="GA73" s="103">
        <f t="shared" si="81"/>
        <v>1937857.8789409862</v>
      </c>
      <c r="GB73" s="36">
        <f t="shared" si="109"/>
        <v>125682.44724566268</v>
      </c>
      <c r="GC73" s="101">
        <f t="shared" si="110"/>
        <v>20774.593775262732</v>
      </c>
      <c r="GD73" s="6">
        <f>SUMIF('Eredeti fejléccel'!$B:$B,'Felosztás eredménykim'!$B73,'Eredeti fejléccel'!$CV:$CV)</f>
        <v>0</v>
      </c>
      <c r="GE73" s="6">
        <f>SUMIF('Eredeti fejléccel'!$B:$B,'Felosztás eredménykim'!$B73,'Eredeti fejléccel'!$CW:$CW)</f>
        <v>0</v>
      </c>
      <c r="GF73" s="103">
        <f t="shared" si="82"/>
        <v>20774.593775262732</v>
      </c>
      <c r="GG73" s="36">
        <f t="shared" si="111"/>
        <v>0</v>
      </c>
      <c r="GM73" s="6">
        <f>SUMIF('Eredeti fejléccel'!$B:$B,'Felosztás eredménykim'!$B73,'Eredeti fejléccel'!$CX:$CX)</f>
        <v>0</v>
      </c>
      <c r="GN73" s="6">
        <f>SUMIF('Eredeti fejléccel'!$B:$B,'Felosztás eredménykim'!$B73,'Eredeti fejléccel'!$CY:$CY)</f>
        <v>0</v>
      </c>
      <c r="GO73" s="6">
        <f>SUMIF('Eredeti fejléccel'!$B:$B,'Felosztás eredménykim'!$B73,'Eredeti fejléccel'!$CZ:$CZ)</f>
        <v>0</v>
      </c>
      <c r="GP73" s="6">
        <f>SUMIF('Eredeti fejléccel'!$B:$B,'Felosztás eredménykim'!$B73,'Eredeti fejléccel'!$DA:$DA)</f>
        <v>0</v>
      </c>
      <c r="GQ73" s="6">
        <f>SUMIF('Eredeti fejléccel'!$B:$B,'Felosztás eredménykim'!$B73,'Eredeti fejléccel'!$DB:$DB)</f>
        <v>0</v>
      </c>
      <c r="GR73" s="103">
        <f t="shared" si="83"/>
        <v>0</v>
      </c>
      <c r="GW73" s="36">
        <f t="shared" si="112"/>
        <v>215747.50804893754</v>
      </c>
      <c r="GX73" s="6">
        <f>SUMIF('Eredeti fejléccel'!$B:$B,'Felosztás eredménykim'!$B73,'Eredeti fejléccel'!$M:$M)</f>
        <v>0</v>
      </c>
      <c r="GY73" s="6">
        <f>SUMIF('Eredeti fejléccel'!$B:$B,'Felosztás eredménykim'!$B73,'Eredeti fejléccel'!$DC:$DC)</f>
        <v>0</v>
      </c>
      <c r="GZ73" s="6">
        <f>SUMIF('Eredeti fejléccel'!$B:$B,'Felosztás eredménykim'!$B73,'Eredeti fejléccel'!$DD:$DD)</f>
        <v>0</v>
      </c>
      <c r="HA73" s="6">
        <f>SUMIF('Eredeti fejléccel'!$B:$B,'Felosztás eredménykim'!$B73,'Eredeti fejléccel'!$DE:$DE)</f>
        <v>0</v>
      </c>
      <c r="HB73" s="103">
        <f t="shared" si="84"/>
        <v>0</v>
      </c>
      <c r="HD73" s="9">
        <f t="shared" si="113"/>
        <v>17925797.75000006</v>
      </c>
      <c r="HE73" s="9">
        <v>17925797.75</v>
      </c>
      <c r="HF73" s="476"/>
      <c r="HH73" s="34">
        <f t="shared" si="85"/>
        <v>5.9604644775390625E-8</v>
      </c>
    </row>
    <row r="74" spans="1:218" x14ac:dyDescent="0.25">
      <c r="A74" s="4" t="s">
        <v>166</v>
      </c>
      <c r="B74" s="4" t="s">
        <v>166</v>
      </c>
      <c r="C74" s="1" t="s">
        <v>167</v>
      </c>
      <c r="D74" s="6">
        <f>SUMIF('Eredeti fejléccel'!$B:$B,'Felosztás eredménykim'!$B74,'Eredeti fejléccel'!$D:$D)</f>
        <v>0</v>
      </c>
      <c r="E74" s="6">
        <f>SUMIF('Eredeti fejléccel'!$B:$B,'Felosztás eredménykim'!$B74,'Eredeti fejléccel'!$E:$E)</f>
        <v>0</v>
      </c>
      <c r="F74" s="6">
        <f>SUMIF('Eredeti fejléccel'!$B:$B,'Felosztás eredménykim'!$B74,'Eredeti fejléccel'!$F:$F)</f>
        <v>-1.862645149230957E-9</v>
      </c>
      <c r="G74" s="6">
        <f>SUMIF('Eredeti fejléccel'!$B:$B,'Felosztás eredménykim'!$B74,'Eredeti fejléccel'!$G:$G)</f>
        <v>0</v>
      </c>
      <c r="H74" s="6"/>
      <c r="I74" s="6">
        <f>SUMIF('Eredeti fejléccel'!$B:$B,'Felosztás eredménykim'!$B74,'Eredeti fejléccel'!$O:$O)</f>
        <v>0</v>
      </c>
      <c r="J74" s="6">
        <f>SUMIF('Eredeti fejléccel'!$B:$B,'Felosztás eredménykim'!$B74,'Eredeti fejléccel'!$P:$P)</f>
        <v>0</v>
      </c>
      <c r="K74" s="6">
        <f>SUMIF('Eredeti fejléccel'!$B:$B,'Felosztás eredménykim'!$B74,'Eredeti fejléccel'!$Q:$Q)</f>
        <v>0</v>
      </c>
      <c r="L74" s="6">
        <f>SUMIF('Eredeti fejléccel'!$B:$B,'Felosztás eredménykim'!$B74,'Eredeti fejléccel'!$R:$R)</f>
        <v>0</v>
      </c>
      <c r="M74" s="6">
        <f>SUMIF('Eredeti fejléccel'!$B:$B,'Felosztás eredménykim'!$B74,'Eredeti fejléccel'!$T:$T)</f>
        <v>0</v>
      </c>
      <c r="N74" s="6">
        <f>SUMIF('Eredeti fejléccel'!$B:$B,'Felosztás eredménykim'!$B74,'Eredeti fejléccel'!$U:$U)</f>
        <v>0</v>
      </c>
      <c r="O74" s="6">
        <f>SUMIF('Eredeti fejléccel'!$B:$B,'Felosztás eredménykim'!$B74,'Eredeti fejléccel'!$V:$V)</f>
        <v>0</v>
      </c>
      <c r="P74" s="6">
        <f>SUMIF('Eredeti fejléccel'!$B:$B,'Felosztás eredménykim'!$B74,'Eredeti fejléccel'!$W:$W)</f>
        <v>0</v>
      </c>
      <c r="Q74" s="6">
        <f>SUMIF('Eredeti fejléccel'!$B:$B,'Felosztás eredménykim'!$B74,'Eredeti fejléccel'!$X:$X)</f>
        <v>0</v>
      </c>
      <c r="R74" s="6">
        <f>SUMIF('Eredeti fejléccel'!$B:$B,'Felosztás eredménykim'!$B74,'Eredeti fejléccel'!$Y:$Y)</f>
        <v>0</v>
      </c>
      <c r="S74" s="6">
        <f>SUMIF('Eredeti fejléccel'!$B:$B,'Felosztás eredménykim'!$B74,'Eredeti fejléccel'!$Z:$Z)</f>
        <v>0</v>
      </c>
      <c r="T74" s="6">
        <f>SUMIF('Eredeti fejléccel'!$B:$B,'Felosztás eredménykim'!$B74,'Eredeti fejléccel'!$AA:$AA)</f>
        <v>0</v>
      </c>
      <c r="U74" s="6">
        <f>SUMIF('Eredeti fejléccel'!$B:$B,'Felosztás eredménykim'!$B74,'Eredeti fejléccel'!$D:$D)</f>
        <v>0</v>
      </c>
      <c r="V74" s="6">
        <f>SUMIF('Eredeti fejléccel'!$B:$B,'Felosztás eredménykim'!$B74,'Eredeti fejléccel'!$AT:$AT)</f>
        <v>0</v>
      </c>
      <c r="X74" s="36">
        <f t="shared" si="86"/>
        <v>-1.862645149230957E-9</v>
      </c>
      <c r="Z74" s="6">
        <f>SUMIF('Eredeti fejléccel'!$B:$B,'Felosztás eredménykim'!$B74,'Eredeti fejléccel'!$K:$K)</f>
        <v>0</v>
      </c>
      <c r="AB74" s="6">
        <f>SUMIF('Eredeti fejléccel'!$B:$B,'Felosztás eredménykim'!$B74,'Eredeti fejléccel'!$AB:$AB)</f>
        <v>0</v>
      </c>
      <c r="AC74" s="6">
        <f>SUMIF('Eredeti fejléccel'!$B:$B,'Felosztás eredménykim'!$B74,'Eredeti fejléccel'!$AQ:$AQ)</f>
        <v>0</v>
      </c>
      <c r="AE74" s="73">
        <f t="shared" si="1"/>
        <v>0</v>
      </c>
      <c r="AF74" s="36">
        <f t="shared" si="87"/>
        <v>-2.2220358538276135E-10</v>
      </c>
      <c r="AG74" s="8">
        <f t="shared" si="88"/>
        <v>0</v>
      </c>
      <c r="AI74" s="6">
        <f>SUMIF('Eredeti fejléccel'!$B:$B,'Felosztás eredménykim'!$B74,'Eredeti fejléccel'!$BB:$BB)</f>
        <v>0</v>
      </c>
      <c r="AJ74" s="6">
        <f>SUMIF('Eredeti fejléccel'!$B:$B,'Felosztás eredménykim'!$B74,'Eredeti fejléccel'!$AF:$AF)</f>
        <v>0</v>
      </c>
      <c r="AK74" s="8">
        <f t="shared" si="73"/>
        <v>0</v>
      </c>
      <c r="AL74" s="36">
        <f t="shared" si="89"/>
        <v>-8.8258142188496523E-11</v>
      </c>
      <c r="AM74" s="8">
        <f t="shared" si="90"/>
        <v>0</v>
      </c>
      <c r="AN74" s="6">
        <f t="shared" ref="AN74:AN146" si="123">-AO74/2</f>
        <v>0</v>
      </c>
      <c r="AO74" s="6">
        <f>SUMIF('Eredeti fejléccel'!$B:$B,'Felosztás eredménykim'!$B74,'Eredeti fejléccel'!$AC:$AC)</f>
        <v>0</v>
      </c>
      <c r="AP74" s="6">
        <f>SUMIF('Eredeti fejléccel'!$B:$B,'Felosztás eredménykim'!$B74,'Eredeti fejléccel'!$AD:$AD)</f>
        <v>0</v>
      </c>
      <c r="AQ74" s="6">
        <f>SUMIF('Eredeti fejléccel'!$B:$B,'Felosztás eredménykim'!$B74,'Eredeti fejléccel'!$AE:$AE)</f>
        <v>0</v>
      </c>
      <c r="AR74" s="6">
        <f>SUMIF('Eredeti fejléccel'!$B:$B,'Felosztás eredménykim'!$B74,'Eredeti fejléccel'!$AG:$AG)</f>
        <v>0</v>
      </c>
      <c r="AS74" s="6">
        <f t="shared" ref="AS74:AS146" si="124">SUM(AM74:AR74)</f>
        <v>0</v>
      </c>
      <c r="AT74" s="36">
        <f t="shared" si="91"/>
        <v>-1.4335715185984605E-10</v>
      </c>
      <c r="AU74" s="8">
        <f t="shared" si="92"/>
        <v>0</v>
      </c>
      <c r="AV74" s="6">
        <f>SUMIF('Eredeti fejléccel'!$B:$B,'Felosztás eredménykim'!$B74,'Eredeti fejléccel'!$AI:$AI)</f>
        <v>0</v>
      </c>
      <c r="AW74" s="6">
        <f>SUMIF('Eredeti fejléccel'!$B:$B,'Felosztás eredménykim'!$B74,'Eredeti fejléccel'!$AJ:$AJ)</f>
        <v>0</v>
      </c>
      <c r="AX74" s="6">
        <f>SUMIF('Eredeti fejléccel'!$B:$B,'Felosztás eredménykim'!$B74,'Eredeti fejléccel'!$AK:$AK)</f>
        <v>0</v>
      </c>
      <c r="AY74" s="6">
        <f>SUMIF('Eredeti fejléccel'!$B:$B,'Felosztás eredménykim'!$B74,'Eredeti fejléccel'!$AL:$AL)</f>
        <v>0</v>
      </c>
      <c r="AZ74" s="6">
        <f>SUMIF('Eredeti fejléccel'!$B:$B,'Felosztás eredménykim'!$B74,'Eredeti fejléccel'!$AM:$AM)</f>
        <v>0</v>
      </c>
      <c r="BA74" s="6">
        <f>SUMIF('Eredeti fejléccel'!$B:$B,'Felosztás eredménykim'!$B74,'Eredeti fejléccel'!$AN:$AN)</f>
        <v>0</v>
      </c>
      <c r="BB74" s="6">
        <f>SUMIF('Eredeti fejléccel'!$B:$B,'Felosztás eredménykim'!$B74,'Eredeti fejléccel'!$AP:$AP)</f>
        <v>0</v>
      </c>
      <c r="BD74" s="6">
        <f>SUMIF('Eredeti fejléccel'!$B:$B,'Felosztás eredménykim'!$B74,'Eredeti fejléccel'!$AS:$AS)</f>
        <v>0</v>
      </c>
      <c r="BE74" s="8">
        <f t="shared" si="74"/>
        <v>0</v>
      </c>
      <c r="BF74" s="36">
        <f t="shared" si="93"/>
        <v>-3.7397517876481575E-11</v>
      </c>
      <c r="BG74" s="8">
        <f t="shared" si="94"/>
        <v>0</v>
      </c>
      <c r="BH74" s="6">
        <f t="shared" ref="BH74:BH146" si="125">AO74/2</f>
        <v>0</v>
      </c>
      <c r="BI74" s="6">
        <f>SUMIF('Eredeti fejléccel'!$B:$B,'Felosztás eredménykim'!$B74,'Eredeti fejléccel'!$AH:$AH)</f>
        <v>0</v>
      </c>
      <c r="BJ74" s="6">
        <f>SUMIF('Eredeti fejléccel'!$B:$B,'Felosztás eredménykim'!$B74,'Eredeti fejléccel'!$AO:$AO)</f>
        <v>0</v>
      </c>
      <c r="BK74" s="6">
        <f>SUMIF('Eredeti fejléccel'!$B:$B,'Felosztás eredménykim'!$B74,'Eredeti fejléccel'!$BF:$BF)</f>
        <v>0</v>
      </c>
      <c r="BL74" s="8">
        <f t="shared" ref="BL74:BL146" si="126">SUM(BG74:BK74)</f>
        <v>0</v>
      </c>
      <c r="BM74" s="36">
        <f t="shared" si="95"/>
        <v>-1.4011603364388432E-10</v>
      </c>
      <c r="BN74" s="8">
        <f t="shared" si="96"/>
        <v>0</v>
      </c>
      <c r="BP74" s="8">
        <f t="shared" ref="BP74:BP146" si="127">-FV74</f>
        <v>0</v>
      </c>
      <c r="BQ74" s="6">
        <f>SUMIF('Eredeti fejléccel'!$B:$B,'Felosztás eredménykim'!$B74,'Eredeti fejléccel'!$N:$N)</f>
        <v>0</v>
      </c>
      <c r="BR74" s="6">
        <f>SUMIF('Eredeti fejléccel'!$B:$B,'Felosztás eredménykim'!$B74,'Eredeti fejléccel'!$S:$S)</f>
        <v>0</v>
      </c>
      <c r="BT74" s="6">
        <f>SUMIF('Eredeti fejléccel'!$B:$B,'Felosztás eredménykim'!$B74,'Eredeti fejléccel'!$AR:$AR)</f>
        <v>0</v>
      </c>
      <c r="BU74" s="6">
        <f>SUMIF('Eredeti fejléccel'!$B:$B,'Felosztás eredménykim'!$B74,'Eredeti fejléccel'!$AU:$AU)</f>
        <v>0</v>
      </c>
      <c r="BV74" s="6">
        <f>SUMIF('Eredeti fejléccel'!$B:$B,'Felosztás eredménykim'!$B74,'Eredeti fejléccel'!$AV:$AV)</f>
        <v>0</v>
      </c>
      <c r="BW74" s="6">
        <f>SUMIF('Eredeti fejléccel'!$B:$B,'Felosztás eredménykim'!$B74,'Eredeti fejléccel'!$AW:$AW)</f>
        <v>0</v>
      </c>
      <c r="BX74" s="6">
        <f>SUMIF('Eredeti fejléccel'!$B:$B,'Felosztás eredménykim'!$B74,'Eredeti fejléccel'!$AX:$AX)</f>
        <v>0</v>
      </c>
      <c r="BY74" s="6">
        <f>SUMIF('Eredeti fejléccel'!$B:$B,'Felosztás eredménykim'!$B74,'Eredeti fejléccel'!$AY:$AY)</f>
        <v>0</v>
      </c>
      <c r="BZ74" s="6">
        <f>SUMIF('Eredeti fejléccel'!$B:$B,'Felosztás eredménykim'!$B74,'Eredeti fejléccel'!$AZ:$AZ)</f>
        <v>0</v>
      </c>
      <c r="CA74" s="6">
        <f>SUMIF('Eredeti fejléccel'!$B:$B,'Felosztás eredménykim'!$B74,'Eredeti fejléccel'!$BA:$BA)</f>
        <v>0</v>
      </c>
      <c r="CB74" s="6">
        <f t="shared" si="114"/>
        <v>0</v>
      </c>
      <c r="CC74" s="36">
        <f t="shared" si="97"/>
        <v>-3.8145468234011205E-11</v>
      </c>
      <c r="CD74" s="8">
        <f t="shared" si="98"/>
        <v>0</v>
      </c>
      <c r="CE74" s="6">
        <f>SUMIF('Eredeti fejléccel'!$B:$B,'Felosztás eredménykim'!$B74,'Eredeti fejléccel'!$BC:$BC)</f>
        <v>0</v>
      </c>
      <c r="CF74" s="8">
        <f t="shared" si="42"/>
        <v>0</v>
      </c>
      <c r="CG74" s="6">
        <f>SUMIF('Eredeti fejléccel'!$B:$B,'Felosztás eredménykim'!$B74,'Eredeti fejléccel'!$H:$H)</f>
        <v>0</v>
      </c>
      <c r="CH74" s="6">
        <f>SUMIF('Eredeti fejléccel'!$B:$B,'Felosztás eredménykim'!$B74,'Eredeti fejléccel'!$BE:$BE)</f>
        <v>0</v>
      </c>
      <c r="CI74" s="6">
        <f t="shared" si="75"/>
        <v>0</v>
      </c>
      <c r="CJ74" s="36">
        <f t="shared" si="99"/>
        <v>-2.742484644275316E-11</v>
      </c>
      <c r="CK74" s="8">
        <f t="shared" si="100"/>
        <v>0</v>
      </c>
      <c r="CL74" s="8">
        <f t="shared" si="44"/>
        <v>0</v>
      </c>
      <c r="CM74" s="6">
        <f>SUMIF('Eredeti fejléccel'!$B:$B,'Felosztás eredménykim'!$B74,'Eredeti fejléccel'!$BD:$BD)</f>
        <v>0</v>
      </c>
      <c r="CN74" s="8">
        <f t="shared" si="76"/>
        <v>0</v>
      </c>
      <c r="CO74" s="8">
        <f t="shared" si="115"/>
        <v>-6.9690274562823423E-10</v>
      </c>
      <c r="CR74" s="36">
        <f t="shared" si="101"/>
        <v>-1.6473555135020732E-10</v>
      </c>
      <c r="CS74" s="6">
        <f>SUMIF('Eredeti fejléccel'!$B:$B,'Felosztás eredménykim'!$B74,'Eredeti fejléccel'!$I:$I)</f>
        <v>0</v>
      </c>
      <c r="CT74" s="6">
        <f>SUMIF('Eredeti fejléccel'!$B:$B,'Felosztás eredménykim'!$B74,'Eredeti fejléccel'!$BG:$BG)</f>
        <v>0</v>
      </c>
      <c r="CU74" s="6">
        <f>SUMIF('Eredeti fejléccel'!$B:$B,'Felosztás eredménykim'!$B74,'Eredeti fejléccel'!$BH:$BH)</f>
        <v>0</v>
      </c>
      <c r="CV74" s="6">
        <f>SUMIF('Eredeti fejléccel'!$B:$B,'Felosztás eredménykim'!$B74,'Eredeti fejléccel'!$BI:$BI)</f>
        <v>0</v>
      </c>
      <c r="CW74" s="6">
        <f>SUMIF('Eredeti fejléccel'!$B:$B,'Felosztás eredménykim'!$B74,'Eredeti fejléccel'!$BL:$BL)</f>
        <v>0</v>
      </c>
      <c r="CX74" s="6">
        <f t="shared" si="77"/>
        <v>0</v>
      </c>
      <c r="CY74" s="6">
        <f>SUMIF('Eredeti fejléccel'!$B:$B,'Felosztás eredménykim'!$B74,'Eredeti fejléccel'!$BJ:$BJ)</f>
        <v>0</v>
      </c>
      <c r="CZ74" s="6">
        <f>SUMIF('Eredeti fejléccel'!$B:$B,'Felosztás eredménykim'!$B74,'Eredeti fejléccel'!$BK:$BK)</f>
        <v>0</v>
      </c>
      <c r="DA74" s="99">
        <f t="shared" si="116"/>
        <v>0</v>
      </c>
      <c r="DC74" s="36">
        <f t="shared" si="102"/>
        <v>-1.4428603441885652E-10</v>
      </c>
      <c r="DD74" s="6">
        <f>SUMIF('Eredeti fejléccel'!$B:$B,'Felosztás eredménykim'!$B74,'Eredeti fejléccel'!$J:$J)</f>
        <v>0</v>
      </c>
      <c r="DE74" s="6">
        <f>SUMIF('Eredeti fejléccel'!$B:$B,'Felosztás eredménykim'!$B74,'Eredeti fejléccel'!$BM:$BM)</f>
        <v>0</v>
      </c>
      <c r="DF74" s="6">
        <f t="shared" ref="DF74:DF146" si="128">-DI74</f>
        <v>0</v>
      </c>
      <c r="DG74" s="8">
        <f t="shared" si="117"/>
        <v>0</v>
      </c>
      <c r="DH74" s="8">
        <f t="shared" ref="DH74:DH146" si="129">SUM(DD74:DG74)</f>
        <v>0</v>
      </c>
      <c r="DJ74" s="6">
        <f>SUMIF('Eredeti fejléccel'!$B:$B,'Felosztás eredménykim'!$B74,'Eredeti fejléccel'!$BN:$BN)</f>
        <v>0</v>
      </c>
      <c r="DK74" s="6">
        <f>SUMIF('Eredeti fejléccel'!$B:$B,'Felosztás eredménykim'!$B74,'Eredeti fejléccel'!$BZ:$BZ)</f>
        <v>0</v>
      </c>
      <c r="DL74" s="8">
        <f t="shared" ref="DL74:DL146" si="130">SUM(DI74:DK74)</f>
        <v>0</v>
      </c>
      <c r="DM74" s="6">
        <f>SUMIF('Eredeti fejléccel'!$B:$B,'Felosztás eredménykim'!$B74,'Eredeti fejléccel'!$BR:$BR)</f>
        <v>0</v>
      </c>
      <c r="DN74" s="6">
        <f>SUMIF('Eredeti fejléccel'!$B:$B,'Felosztás eredménykim'!$B74,'Eredeti fejléccel'!$BS:$BS)</f>
        <v>0</v>
      </c>
      <c r="DO74" s="6">
        <f>SUMIF('Eredeti fejléccel'!$B:$B,'Felosztás eredménykim'!$B74,'Eredeti fejléccel'!$BO:$BO)</f>
        <v>0</v>
      </c>
      <c r="DP74" s="6">
        <f>SUMIF('Eredeti fejléccel'!$B:$B,'Felosztás eredménykim'!$B74,'Eredeti fejléccel'!$BP:$BP)</f>
        <v>0</v>
      </c>
      <c r="DQ74" s="6">
        <f>SUMIF('Eredeti fejléccel'!$B:$B,'Felosztás eredménykim'!$B74,'Eredeti fejléccel'!$BQ:$BQ)</f>
        <v>0</v>
      </c>
      <c r="DS74" s="8"/>
      <c r="DU74" s="6">
        <f>SUMIF('Eredeti fejléccel'!$B:$B,'Felosztás eredménykim'!$B74,'Eredeti fejléccel'!$BT:$BT)</f>
        <v>0</v>
      </c>
      <c r="DV74" s="6">
        <f>SUMIF('Eredeti fejléccel'!$B:$B,'Felosztás eredménykim'!$B74,'Eredeti fejléccel'!$BU:$BU)</f>
        <v>0</v>
      </c>
      <c r="DW74" s="6">
        <f>SUMIF('Eredeti fejléccel'!$B:$B,'Felosztás eredménykim'!$B74,'Eredeti fejléccel'!$BV:$BV)</f>
        <v>0</v>
      </c>
      <c r="DX74" s="6">
        <f>SUMIF('Eredeti fejléccel'!$B:$B,'Felosztás eredménykim'!$B74,'Eredeti fejléccel'!$BW:$BW)</f>
        <v>0</v>
      </c>
      <c r="DY74" s="6">
        <f>SUMIF('Eredeti fejléccel'!$B:$B,'Felosztás eredménykim'!$B74,'Eredeti fejléccel'!$BX:$BX)</f>
        <v>0</v>
      </c>
      <c r="EA74" s="6"/>
      <c r="EC74" s="6"/>
      <c r="EE74" s="6">
        <f>SUMIF('Eredeti fejléccel'!$B:$B,'Felosztás eredménykim'!$B74,'Eredeti fejléccel'!$CA:$CA)</f>
        <v>0</v>
      </c>
      <c r="EF74" s="6">
        <f>SUMIF('Eredeti fejléccel'!$B:$B,'Felosztás eredménykim'!$B74,'Eredeti fejléccel'!$CB:$CB)</f>
        <v>0</v>
      </c>
      <c r="EG74" s="6">
        <f>SUMIF('Eredeti fejléccel'!$B:$B,'Felosztás eredménykim'!$B74,'Eredeti fejléccel'!$CC:$CC)</f>
        <v>0</v>
      </c>
      <c r="EH74" s="6">
        <f>SUMIF('Eredeti fejléccel'!$B:$B,'Felosztás eredménykim'!$B74,'Eredeti fejléccel'!$CD:$CD)</f>
        <v>0</v>
      </c>
      <c r="EK74" s="6">
        <f>SUMIF('Eredeti fejléccel'!$B:$B,'Felosztás eredménykim'!$B74,'Eredeti fejléccel'!$CE:$CE)</f>
        <v>0</v>
      </c>
      <c r="EN74" s="6">
        <f>SUMIF('Eredeti fejléccel'!$B:$B,'Felosztás eredménykim'!$B74,'Eredeti fejléccel'!$CF:$CF)</f>
        <v>0</v>
      </c>
      <c r="EP74" s="6">
        <f>SUMIF('Eredeti fejléccel'!$B:$B,'Felosztás eredménykim'!$B74,'Eredeti fejléccel'!$CG:$CG)</f>
        <v>0</v>
      </c>
      <c r="ES74" s="6">
        <f>SUMIF('Eredeti fejléccel'!$B:$B,'Felosztás eredménykim'!$B74,'Eredeti fejléccel'!$CH:$CH)</f>
        <v>0</v>
      </c>
      <c r="ET74" s="6">
        <f>SUMIF('Eredeti fejléccel'!$B:$B,'Felosztás eredménykim'!$B74,'Eredeti fejléccel'!$CI:$CI)</f>
        <v>0</v>
      </c>
      <c r="EW74" s="8">
        <f t="shared" si="118"/>
        <v>0</v>
      </c>
      <c r="EX74" s="8">
        <f t="shared" si="78"/>
        <v>0</v>
      </c>
      <c r="EY74" s="8">
        <f t="shared" si="119"/>
        <v>0</v>
      </c>
      <c r="EZ74" s="8">
        <f t="shared" si="120"/>
        <v>0</v>
      </c>
      <c r="FA74" s="8">
        <f t="shared" si="121"/>
        <v>0</v>
      </c>
      <c r="FC74" s="6">
        <f>SUMIF('Eredeti fejléccel'!$B:$B,'Felosztás eredménykim'!$B74,'Eredeti fejléccel'!$L:$L)</f>
        <v>0</v>
      </c>
      <c r="FD74" s="6">
        <f>SUMIF('Eredeti fejléccel'!$B:$B,'Felosztás eredménykim'!$B74,'Eredeti fejléccel'!$CJ:$CJ)</f>
        <v>0</v>
      </c>
      <c r="FE74" s="6">
        <f>SUMIF('Eredeti fejléccel'!$B:$B,'Felosztás eredménykim'!$B74,'Eredeti fejléccel'!$CL:$CL)</f>
        <v>0</v>
      </c>
      <c r="FG74" s="99">
        <f t="shared" si="79"/>
        <v>0</v>
      </c>
      <c r="FH74" s="6">
        <f>SUMIF('Eredeti fejléccel'!$B:$B,'Felosztás eredménykim'!$B74,'Eredeti fejléccel'!$CK:$CK)</f>
        <v>0</v>
      </c>
      <c r="FI74" s="36">
        <f t="shared" si="103"/>
        <v>-1.6976166356937915E-10</v>
      </c>
      <c r="FJ74" s="101">
        <f t="shared" si="104"/>
        <v>0</v>
      </c>
      <c r="FK74" s="6">
        <f>SUMIF('Eredeti fejléccel'!$B:$B,'Felosztás eredménykim'!$B74,'Eredeti fejléccel'!$CM:$CM)</f>
        <v>0</v>
      </c>
      <c r="FL74" s="6">
        <f>SUMIF('Eredeti fejléccel'!$B:$B,'Felosztás eredménykim'!$B74,'Eredeti fejléccel'!$CN:$CN)</f>
        <v>0</v>
      </c>
      <c r="FM74" s="8">
        <f t="shared" si="80"/>
        <v>0</v>
      </c>
      <c r="FN74" s="36">
        <f t="shared" si="105"/>
        <v>-1.4432526410637704E-10</v>
      </c>
      <c r="FO74" s="101">
        <f t="shared" si="106"/>
        <v>0</v>
      </c>
      <c r="FP74" s="6">
        <f>SUMIF('Eredeti fejléccel'!$B:$B,'Felosztás eredménykim'!$B74,'Eredeti fejléccel'!$CO:$CO)</f>
        <v>0</v>
      </c>
      <c r="FQ74" s="6">
        <f>'Eredeti fejléccel'!CP74</f>
        <v>0</v>
      </c>
      <c r="FR74" s="6">
        <f>'Eredeti fejléccel'!CQ74</f>
        <v>0</v>
      </c>
      <c r="FS74" s="103">
        <f t="shared" si="122"/>
        <v>0</v>
      </c>
      <c r="FT74" s="36">
        <f t="shared" si="107"/>
        <v>-3.9837981348745675E-10</v>
      </c>
      <c r="FU74" s="101">
        <f t="shared" si="108"/>
        <v>0</v>
      </c>
      <c r="FV74" s="101"/>
      <c r="FW74" s="6">
        <f>SUMIF('Eredeti fejléccel'!$B:$B,'Felosztás eredménykim'!$B74,'Eredeti fejléccel'!$CR:$CR)</f>
        <v>0</v>
      </c>
      <c r="FX74" s="6">
        <f>SUMIF('Eredeti fejléccel'!$B:$B,'Felosztás eredménykim'!$B74,'Eredeti fejléccel'!$CS:$CS)</f>
        <v>0</v>
      </c>
      <c r="FY74" s="6">
        <f>SUMIF('Eredeti fejléccel'!$B:$B,'Felosztás eredménykim'!$B74,'Eredeti fejléccel'!$CT:$CT)</f>
        <v>0</v>
      </c>
      <c r="FZ74" s="6">
        <f>SUMIF('Eredeti fejléccel'!$B:$B,'Felosztás eredménykim'!$B74,'Eredeti fejléccel'!$CU:$CU)</f>
        <v>0</v>
      </c>
      <c r="GA74" s="103">
        <f t="shared" si="81"/>
        <v>0</v>
      </c>
      <c r="GB74" s="36">
        <f t="shared" si="109"/>
        <v>-5.3100804718384004E-11</v>
      </c>
      <c r="GC74" s="101">
        <f t="shared" si="110"/>
        <v>0</v>
      </c>
      <c r="GD74" s="6">
        <f>SUMIF('Eredeti fejléccel'!$B:$B,'Felosztás eredménykim'!$B74,'Eredeti fejléccel'!$CV:$CV)</f>
        <v>0</v>
      </c>
      <c r="GE74" s="6">
        <f>SUMIF('Eredeti fejléccel'!$B:$B,'Felosztás eredménykim'!$B74,'Eredeti fejléccel'!$CW:$CW)</f>
        <v>0</v>
      </c>
      <c r="GF74" s="103">
        <f t="shared" si="82"/>
        <v>0</v>
      </c>
      <c r="GG74" s="36">
        <f t="shared" si="111"/>
        <v>0</v>
      </c>
      <c r="GM74" s="6">
        <f>SUMIF('Eredeti fejléccel'!$B:$B,'Felosztás eredménykim'!$B74,'Eredeti fejléccel'!$CX:$CX)</f>
        <v>0</v>
      </c>
      <c r="GN74" s="6">
        <f>SUMIF('Eredeti fejléccel'!$B:$B,'Felosztás eredménykim'!$B74,'Eredeti fejléccel'!$CY:$CY)</f>
        <v>0</v>
      </c>
      <c r="GO74" s="6">
        <f>SUMIF('Eredeti fejléccel'!$B:$B,'Felosztás eredménykim'!$B74,'Eredeti fejléccel'!$CZ:$CZ)</f>
        <v>0</v>
      </c>
      <c r="GP74" s="6">
        <f>SUMIF('Eredeti fejléccel'!$B:$B,'Felosztás eredménykim'!$B74,'Eredeti fejléccel'!$DA:$DA)</f>
        <v>0</v>
      </c>
      <c r="GQ74" s="6">
        <f>SUMIF('Eredeti fejléccel'!$B:$B,'Felosztás eredménykim'!$B74,'Eredeti fejléccel'!$DB:$DB)</f>
        <v>0</v>
      </c>
      <c r="GR74" s="103">
        <f t="shared" si="83"/>
        <v>0</v>
      </c>
      <c r="GW74" s="36">
        <f t="shared" si="112"/>
        <v>-9.1153271952062291E-11</v>
      </c>
      <c r="GX74" s="6">
        <f>SUMIF('Eredeti fejléccel'!$B:$B,'Felosztás eredménykim'!$B74,'Eredeti fejléccel'!$M:$M)</f>
        <v>0</v>
      </c>
      <c r="GY74" s="6">
        <f>SUMIF('Eredeti fejléccel'!$B:$B,'Felosztás eredménykim'!$B74,'Eredeti fejléccel'!$DC:$DC)</f>
        <v>0</v>
      </c>
      <c r="GZ74" s="6">
        <f>SUMIF('Eredeti fejléccel'!$B:$B,'Felosztás eredménykim'!$B74,'Eredeti fejléccel'!$DD:$DD)</f>
        <v>0</v>
      </c>
      <c r="HA74" s="6">
        <f>SUMIF('Eredeti fejléccel'!$B:$B,'Felosztás eredménykim'!$B74,'Eredeti fejléccel'!$DE:$DE)</f>
        <v>0</v>
      </c>
      <c r="HB74" s="103">
        <f t="shared" si="84"/>
        <v>0</v>
      </c>
      <c r="HD74" s="9">
        <f t="shared" si="113"/>
        <v>-1.8626451492309587E-9</v>
      </c>
      <c r="HE74" s="9">
        <v>-1.862645149230957E-9</v>
      </c>
      <c r="HF74" s="476"/>
      <c r="HH74" s="34">
        <f t="shared" si="85"/>
        <v>0</v>
      </c>
    </row>
    <row r="75" spans="1:218" x14ac:dyDescent="0.25">
      <c r="A75" s="4" t="s">
        <v>168</v>
      </c>
      <c r="B75" s="4" t="s">
        <v>168</v>
      </c>
      <c r="C75" s="1" t="s">
        <v>169</v>
      </c>
      <c r="D75" s="6">
        <f>SUMIF('Eredeti fejléccel'!$B:$B,'Felosztás eredménykim'!$B75,'Eredeti fejléccel'!$D:$D)</f>
        <v>0</v>
      </c>
      <c r="E75" s="6">
        <f>SUMIF('Eredeti fejléccel'!$B:$B,'Felosztás eredménykim'!$B75,'Eredeti fejléccel'!$E:$E)</f>
        <v>113229.20000000001</v>
      </c>
      <c r="F75" s="6">
        <f>SUMIF('Eredeti fejléccel'!$B:$B,'Felosztás eredménykim'!$B75,'Eredeti fejléccel'!$F:$F)</f>
        <v>0</v>
      </c>
      <c r="G75" s="6">
        <f>SUMIF('Eredeti fejléccel'!$B:$B,'Felosztás eredménykim'!$B75,'Eredeti fejléccel'!$G:$G)</f>
        <v>0</v>
      </c>
      <c r="H75" s="6"/>
      <c r="I75" s="6">
        <f>SUMIF('Eredeti fejléccel'!$B:$B,'Felosztás eredménykim'!$B75,'Eredeti fejléccel'!$O:$O)</f>
        <v>0</v>
      </c>
      <c r="J75" s="6">
        <f>SUMIF('Eredeti fejléccel'!$B:$B,'Felosztás eredménykim'!$B75,'Eredeti fejléccel'!$P:$P)</f>
        <v>0</v>
      </c>
      <c r="K75" s="6">
        <f>SUMIF('Eredeti fejléccel'!$B:$B,'Felosztás eredménykim'!$B75,'Eredeti fejléccel'!$Q:$Q)</f>
        <v>0</v>
      </c>
      <c r="L75" s="6">
        <f>SUMIF('Eredeti fejléccel'!$B:$B,'Felosztás eredménykim'!$B75,'Eredeti fejléccel'!$R:$R)</f>
        <v>47063.100000000006</v>
      </c>
      <c r="M75" s="6">
        <f>SUMIF('Eredeti fejléccel'!$B:$B,'Felosztás eredménykim'!$B75,'Eredeti fejléccel'!$T:$T)</f>
        <v>0</v>
      </c>
      <c r="N75" s="6">
        <f>SUMIF('Eredeti fejléccel'!$B:$B,'Felosztás eredménykim'!$B75,'Eredeti fejléccel'!$U:$U)</f>
        <v>0</v>
      </c>
      <c r="O75" s="6">
        <f>SUMIF('Eredeti fejléccel'!$B:$B,'Felosztás eredménykim'!$B75,'Eredeti fejléccel'!$V:$V)</f>
        <v>59768.80000000001</v>
      </c>
      <c r="P75" s="6">
        <f>SUMIF('Eredeti fejléccel'!$B:$B,'Felosztás eredménykim'!$B75,'Eredeti fejléccel'!$W:$W)</f>
        <v>0</v>
      </c>
      <c r="Q75" s="6">
        <f>SUMIF('Eredeti fejléccel'!$B:$B,'Felosztás eredménykim'!$B75,'Eredeti fejléccel'!$X:$X)</f>
        <v>558604.79999999993</v>
      </c>
      <c r="R75" s="6">
        <f>SUMIF('Eredeti fejléccel'!$B:$B,'Felosztás eredménykim'!$B75,'Eredeti fejléccel'!$Y:$Y)</f>
        <v>94714.2</v>
      </c>
      <c r="S75" s="6">
        <f>SUMIF('Eredeti fejléccel'!$B:$B,'Felosztás eredménykim'!$B75,'Eredeti fejléccel'!$Z:$Z)</f>
        <v>75446.8</v>
      </c>
      <c r="T75" s="6">
        <f>SUMIF('Eredeti fejléccel'!$B:$B,'Felosztás eredménykim'!$B75,'Eredeti fejléccel'!$AA:$AA)</f>
        <v>0</v>
      </c>
      <c r="U75" s="6">
        <f>SUMIF('Eredeti fejléccel'!$B:$B,'Felosztás eredménykim'!$B75,'Eredeti fejléccel'!$D:$D)</f>
        <v>0</v>
      </c>
      <c r="V75" s="6">
        <f>SUMIF('Eredeti fejléccel'!$B:$B,'Felosztás eredménykim'!$B75,'Eredeti fejléccel'!$AT:$AT)</f>
        <v>286205.5</v>
      </c>
      <c r="X75" s="36">
        <f t="shared" si="86"/>
        <v>1235032.3999999999</v>
      </c>
      <c r="Z75" s="6">
        <f>SUMIF('Eredeti fejléccel'!$B:$B,'Felosztás eredménykim'!$B75,'Eredeti fejléccel'!$K:$K)</f>
        <v>228923.09999999998</v>
      </c>
      <c r="AB75" s="6">
        <f>SUMIF('Eredeti fejléccel'!$B:$B,'Felosztás eredménykim'!$B75,'Eredeti fejléccel'!$AB:$AB)</f>
        <v>0</v>
      </c>
      <c r="AC75" s="6">
        <f>SUMIF('Eredeti fejléccel'!$B:$B,'Felosztás eredménykim'!$B75,'Eredeti fejléccel'!$AQ:$AQ)</f>
        <v>0</v>
      </c>
      <c r="AE75" s="73">
        <f t="shared" ref="AE75:AE151" si="131">SUM(Z75:AD75)</f>
        <v>228923.09999999998</v>
      </c>
      <c r="AF75" s="36">
        <f t="shared" si="87"/>
        <v>147332.74744101521</v>
      </c>
      <c r="AG75" s="8">
        <f t="shared" si="88"/>
        <v>72990.864099812155</v>
      </c>
      <c r="AI75" s="6">
        <f>SUMIF('Eredeti fejléccel'!$B:$B,'Felosztás eredménykim'!$B75,'Eredeti fejléccel'!$BB:$BB)</f>
        <v>290304.68220000016</v>
      </c>
      <c r="AJ75" s="6">
        <f>SUMIF('Eredeti fejléccel'!$B:$B,'Felosztás eredménykim'!$B75,'Eredeti fejléccel'!$AF:$AF)</f>
        <v>0</v>
      </c>
      <c r="AK75" s="8">
        <f t="shared" si="73"/>
        <v>363295.54629981233</v>
      </c>
      <c r="AL75" s="36">
        <f t="shared" si="89"/>
        <v>58519.823387511235</v>
      </c>
      <c r="AM75" s="8">
        <f t="shared" si="90"/>
        <v>28991.60268312315</v>
      </c>
      <c r="AN75" s="6">
        <f t="shared" si="123"/>
        <v>0</v>
      </c>
      <c r="AO75" s="6">
        <f>SUMIF('Eredeti fejléccel'!$B:$B,'Felosztás eredménykim'!$B75,'Eredeti fejléccel'!$AC:$AC)</f>
        <v>0</v>
      </c>
      <c r="AP75" s="6">
        <f>SUMIF('Eredeti fejléccel'!$B:$B,'Felosztás eredménykim'!$B75,'Eredeti fejléccel'!$AD:$AD)</f>
        <v>0</v>
      </c>
      <c r="AQ75" s="6">
        <f>SUMIF('Eredeti fejléccel'!$B:$B,'Felosztás eredménykim'!$B75,'Eredeti fejléccel'!$AE:$AE)</f>
        <v>0</v>
      </c>
      <c r="AR75" s="6">
        <f>SUMIF('Eredeti fejléccel'!$B:$B,'Felosztás eredménykim'!$B75,'Eredeti fejléccel'!$AG:$AG)</f>
        <v>763689.40000000014</v>
      </c>
      <c r="AS75" s="6">
        <f t="shared" si="124"/>
        <v>792681.00268312334</v>
      </c>
      <c r="AT75" s="36">
        <f t="shared" si="91"/>
        <v>95053.385445816268</v>
      </c>
      <c r="AU75" s="8">
        <f t="shared" si="92"/>
        <v>47090.880064394943</v>
      </c>
      <c r="AV75" s="6">
        <f>SUMIF('Eredeti fejléccel'!$B:$B,'Felosztás eredménykim'!$B75,'Eredeti fejléccel'!$AI:$AI)</f>
        <v>0</v>
      </c>
      <c r="AW75" s="6">
        <f>SUMIF('Eredeti fejléccel'!$B:$B,'Felosztás eredménykim'!$B75,'Eredeti fejléccel'!$AJ:$AJ)</f>
        <v>371500.1</v>
      </c>
      <c r="AX75" s="6">
        <f>SUMIF('Eredeti fejléccel'!$B:$B,'Felosztás eredménykim'!$B75,'Eredeti fejléccel'!$AK:$AK)</f>
        <v>0</v>
      </c>
      <c r="AY75" s="6">
        <f>SUMIF('Eredeti fejléccel'!$B:$B,'Felosztás eredménykim'!$B75,'Eredeti fejléccel'!$AL:$AL)</f>
        <v>96465.599999999991</v>
      </c>
      <c r="AZ75" s="6">
        <f>SUMIF('Eredeti fejléccel'!$B:$B,'Felosztás eredménykim'!$B75,'Eredeti fejléccel'!$AM:$AM)</f>
        <v>89016.9</v>
      </c>
      <c r="BA75" s="6">
        <f>SUMIF('Eredeti fejléccel'!$B:$B,'Felosztás eredménykim'!$B75,'Eredeti fejléccel'!$AN:$AN)</f>
        <v>0</v>
      </c>
      <c r="BB75" s="6">
        <f>SUMIF('Eredeti fejléccel'!$B:$B,'Felosztás eredménykim'!$B75,'Eredeti fejléccel'!$AP:$AP)</f>
        <v>0</v>
      </c>
      <c r="BD75" s="6">
        <f>SUMIF('Eredeti fejléccel'!$B:$B,'Felosztás eredménykim'!$B75,'Eredeti fejléccel'!$AS:$AS)</f>
        <v>0</v>
      </c>
      <c r="BE75" s="8">
        <f t="shared" si="74"/>
        <v>604073.48006439488</v>
      </c>
      <c r="BF75" s="36">
        <f t="shared" si="93"/>
        <v>24796.535333691198</v>
      </c>
      <c r="BG75" s="8">
        <f t="shared" si="94"/>
        <v>12284.577408103029</v>
      </c>
      <c r="BH75" s="6">
        <f t="shared" si="125"/>
        <v>0</v>
      </c>
      <c r="BI75" s="6">
        <f>SUMIF('Eredeti fejléccel'!$B:$B,'Felosztás eredménykim'!$B75,'Eredeti fejléccel'!$AH:$AH)</f>
        <v>93475.199999999997</v>
      </c>
      <c r="BJ75" s="6">
        <f>SUMIF('Eredeti fejléccel'!$B:$B,'Felosztás eredménykim'!$B75,'Eredeti fejléccel'!$AO:$AO)</f>
        <v>0</v>
      </c>
      <c r="BK75" s="6">
        <f>SUMIF('Eredeti fejléccel'!$B:$B,'Felosztás eredménykim'!$B75,'Eredeti fejléccel'!$BF:$BF)</f>
        <v>0</v>
      </c>
      <c r="BL75" s="8">
        <f t="shared" si="126"/>
        <v>105759.77740810302</v>
      </c>
      <c r="BM75" s="36">
        <f t="shared" si="95"/>
        <v>92904.352383563033</v>
      </c>
      <c r="BN75" s="8">
        <f t="shared" si="96"/>
        <v>46026.21668902602</v>
      </c>
      <c r="BP75" s="8">
        <f t="shared" si="127"/>
        <v>0</v>
      </c>
      <c r="BQ75" s="6">
        <f>SUMIF('Eredeti fejléccel'!$B:$B,'Felosztás eredménykim'!$B75,'Eredeti fejléccel'!$N:$N)</f>
        <v>0</v>
      </c>
      <c r="BR75" s="6">
        <f>SUMIF('Eredeti fejléccel'!$B:$B,'Felosztás eredménykim'!$B75,'Eredeti fejléccel'!$S:$S)</f>
        <v>0</v>
      </c>
      <c r="BT75" s="6">
        <f>SUMIF('Eredeti fejléccel'!$B:$B,'Felosztás eredménykim'!$B75,'Eredeti fejléccel'!$AR:$AR)</f>
        <v>0</v>
      </c>
      <c r="BU75" s="6">
        <f>SUMIF('Eredeti fejléccel'!$B:$B,'Felosztás eredménykim'!$B75,'Eredeti fejléccel'!$AU:$AU)</f>
        <v>0</v>
      </c>
      <c r="BV75" s="6">
        <f>SUMIF('Eredeti fejléccel'!$B:$B,'Felosztás eredménykim'!$B75,'Eredeti fejléccel'!$AV:$AV)</f>
        <v>55050.499999999993</v>
      </c>
      <c r="BW75" s="6">
        <f>SUMIF('Eredeti fejléccel'!$B:$B,'Felosztás eredménykim'!$B75,'Eredeti fejléccel'!$AW:$AW)</f>
        <v>0</v>
      </c>
      <c r="BX75" s="6">
        <f>SUMIF('Eredeti fejléccel'!$B:$B,'Felosztás eredménykim'!$B75,'Eredeti fejléccel'!$AX:$AX)</f>
        <v>0</v>
      </c>
      <c r="BY75" s="6">
        <f>SUMIF('Eredeti fejléccel'!$B:$B,'Felosztás eredménykim'!$B75,'Eredeti fejléccel'!$AY:$AY)</f>
        <v>0</v>
      </c>
      <c r="BZ75" s="6">
        <f>SUMIF('Eredeti fejléccel'!$B:$B,'Felosztás eredménykim'!$B75,'Eredeti fejléccel'!$AZ:$AZ)</f>
        <v>0</v>
      </c>
      <c r="CA75" s="6">
        <f>SUMIF('Eredeti fejléccel'!$B:$B,'Felosztás eredménykim'!$B75,'Eredeti fejléccel'!$BA:$BA)</f>
        <v>345659.00780000002</v>
      </c>
      <c r="CB75" s="6">
        <f t="shared" si="114"/>
        <v>446735.724489026</v>
      </c>
      <c r="CC75" s="36">
        <f t="shared" si="97"/>
        <v>25292.466040365023</v>
      </c>
      <c r="CD75" s="8">
        <f t="shared" si="98"/>
        <v>12530.26895626509</v>
      </c>
      <c r="CE75" s="6">
        <f>SUMIF('Eredeti fejléccel'!$B:$B,'Felosztás eredménykim'!$B75,'Eredeti fejléccel'!$BC:$BC)</f>
        <v>0</v>
      </c>
      <c r="CF75" s="8">
        <f t="shared" si="42"/>
        <v>0</v>
      </c>
      <c r="CG75" s="6">
        <f>SUMIF('Eredeti fejléccel'!$B:$B,'Felosztás eredménykim'!$B75,'Eredeti fejléccel'!$H:$H)</f>
        <v>0</v>
      </c>
      <c r="CH75" s="6">
        <f>SUMIF('Eredeti fejléccel'!$B:$B,'Felosztás eredménykim'!$B75,'Eredeti fejléccel'!$BE:$BE)</f>
        <v>157283.70000000001</v>
      </c>
      <c r="CI75" s="6">
        <f t="shared" si="75"/>
        <v>169813.9689562651</v>
      </c>
      <c r="CJ75" s="36">
        <f t="shared" si="99"/>
        <v>18184.12591137355</v>
      </c>
      <c r="CK75" s="8">
        <f t="shared" si="100"/>
        <v>9008.6900992755545</v>
      </c>
      <c r="CL75" s="8">
        <f t="shared" si="44"/>
        <v>0</v>
      </c>
      <c r="CM75" s="6">
        <f>SUMIF('Eredeti fejléccel'!$B:$B,'Felosztás eredménykim'!$B75,'Eredeti fejléccel'!$BD:$BD)</f>
        <v>93872.099999999991</v>
      </c>
      <c r="CN75" s="8">
        <f t="shared" si="76"/>
        <v>102880.79009927555</v>
      </c>
      <c r="CO75" s="8">
        <f t="shared" si="115"/>
        <v>3047323.7259433358</v>
      </c>
      <c r="CR75" s="36">
        <f t="shared" si="101"/>
        <v>109228.39674179009</v>
      </c>
      <c r="CS75" s="6">
        <f>SUMIF('Eredeti fejléccel'!$B:$B,'Felosztás eredménykim'!$B75,'Eredeti fejléccel'!$I:$I)</f>
        <v>0</v>
      </c>
      <c r="CT75" s="6">
        <f>SUMIF('Eredeti fejléccel'!$B:$B,'Felosztás eredménykim'!$B75,'Eredeti fejléccel'!$BG:$BG)</f>
        <v>0</v>
      </c>
      <c r="CU75" s="6">
        <f>SUMIF('Eredeti fejléccel'!$B:$B,'Felosztás eredménykim'!$B75,'Eredeti fejléccel'!$BH:$BH)</f>
        <v>0</v>
      </c>
      <c r="CV75" s="6">
        <f>SUMIF('Eredeti fejléccel'!$B:$B,'Felosztás eredménykim'!$B75,'Eredeti fejléccel'!$BI:$BI)</f>
        <v>0</v>
      </c>
      <c r="CW75" s="6">
        <f>SUMIF('Eredeti fejléccel'!$B:$B,'Felosztás eredménykim'!$B75,'Eredeti fejléccel'!$BL:$BL)</f>
        <v>666060.99</v>
      </c>
      <c r="CX75" s="6">
        <f t="shared" si="77"/>
        <v>666060.99</v>
      </c>
      <c r="CY75" s="6">
        <f>SUMIF('Eredeti fejléccel'!$B:$B,'Felosztás eredménykim'!$B75,'Eredeti fejléccel'!$BJ:$BJ)</f>
        <v>95096.959999999919</v>
      </c>
      <c r="CZ75" s="6">
        <f>SUMIF('Eredeti fejléccel'!$B:$B,'Felosztás eredménykim'!$B75,'Eredeti fejléccel'!$BK:$BK)</f>
        <v>0</v>
      </c>
      <c r="DA75" s="99">
        <f t="shared" si="116"/>
        <v>761157.95</v>
      </c>
      <c r="DC75" s="36">
        <f t="shared" si="102"/>
        <v>95669.283786220229</v>
      </c>
      <c r="DD75" s="6">
        <f>SUMIF('Eredeti fejléccel'!$B:$B,'Felosztás eredménykim'!$B75,'Eredeti fejléccel'!$J:$J)</f>
        <v>0</v>
      </c>
      <c r="DE75" s="6">
        <f>SUMIF('Eredeti fejléccel'!$B:$B,'Felosztás eredménykim'!$B75,'Eredeti fejléccel'!$BM:$BM)</f>
        <v>156321.50000000003</v>
      </c>
      <c r="DF75" s="6">
        <f t="shared" si="128"/>
        <v>0</v>
      </c>
      <c r="DG75" s="8">
        <f t="shared" si="117"/>
        <v>0</v>
      </c>
      <c r="DH75" s="8">
        <f t="shared" si="129"/>
        <v>156321.50000000003</v>
      </c>
      <c r="DJ75" s="6">
        <f>SUMIF('Eredeti fejléccel'!$B:$B,'Felosztás eredménykim'!$B75,'Eredeti fejléccel'!$BN:$BN)</f>
        <v>0</v>
      </c>
      <c r="DK75" s="6">
        <f>SUMIF('Eredeti fejléccel'!$B:$B,'Felosztás eredménykim'!$B75,'Eredeti fejléccel'!$BZ:$BZ)</f>
        <v>0</v>
      </c>
      <c r="DL75" s="8">
        <f t="shared" si="130"/>
        <v>0</v>
      </c>
      <c r="DM75" s="6">
        <f>SUMIF('Eredeti fejléccel'!$B:$B,'Felosztás eredménykim'!$B75,'Eredeti fejléccel'!$BR:$BR)</f>
        <v>0</v>
      </c>
      <c r="DN75" s="6">
        <f>SUMIF('Eredeti fejléccel'!$B:$B,'Felosztás eredménykim'!$B75,'Eredeti fejléccel'!$BS:$BS)</f>
        <v>0</v>
      </c>
      <c r="DO75" s="6">
        <f>SUMIF('Eredeti fejléccel'!$B:$B,'Felosztás eredménykim'!$B75,'Eredeti fejléccel'!$BO:$BO)</f>
        <v>0</v>
      </c>
      <c r="DP75" s="6">
        <f>SUMIF('Eredeti fejléccel'!$B:$B,'Felosztás eredménykim'!$B75,'Eredeti fejléccel'!$BP:$BP)</f>
        <v>0</v>
      </c>
      <c r="DQ75" s="6">
        <f>SUMIF('Eredeti fejléccel'!$B:$B,'Felosztás eredménykim'!$B75,'Eredeti fejléccel'!$BQ:$BQ)</f>
        <v>0</v>
      </c>
      <c r="DS75" s="8"/>
      <c r="DU75" s="6">
        <f>SUMIF('Eredeti fejléccel'!$B:$B,'Felosztás eredménykim'!$B75,'Eredeti fejléccel'!$BT:$BT)</f>
        <v>0</v>
      </c>
      <c r="DV75" s="6">
        <f>SUMIF('Eredeti fejléccel'!$B:$B,'Felosztás eredménykim'!$B75,'Eredeti fejléccel'!$BU:$BU)</f>
        <v>0</v>
      </c>
      <c r="DW75" s="6">
        <f>SUMIF('Eredeti fejléccel'!$B:$B,'Felosztás eredménykim'!$B75,'Eredeti fejléccel'!$BV:$BV)</f>
        <v>0</v>
      </c>
      <c r="DX75" s="6">
        <f>SUMIF('Eredeti fejléccel'!$B:$B,'Felosztás eredménykim'!$B75,'Eredeti fejléccel'!$BW:$BW)</f>
        <v>0</v>
      </c>
      <c r="DY75" s="6">
        <f>SUMIF('Eredeti fejléccel'!$B:$B,'Felosztás eredménykim'!$B75,'Eredeti fejléccel'!$BX:$BX)</f>
        <v>0</v>
      </c>
      <c r="EA75" s="6"/>
      <c r="EC75" s="6"/>
      <c r="EE75" s="6">
        <f>SUMIF('Eredeti fejléccel'!$B:$B,'Felosztás eredménykim'!$B75,'Eredeti fejléccel'!$CA:$CA)</f>
        <v>0</v>
      </c>
      <c r="EF75" s="6">
        <f>SUMIF('Eredeti fejléccel'!$B:$B,'Felosztás eredménykim'!$B75,'Eredeti fejléccel'!$CB:$CB)</f>
        <v>0</v>
      </c>
      <c r="EG75" s="6">
        <f>SUMIF('Eredeti fejléccel'!$B:$B,'Felosztás eredménykim'!$B75,'Eredeti fejléccel'!$CC:$CC)</f>
        <v>0</v>
      </c>
      <c r="EH75" s="6">
        <f>SUMIF('Eredeti fejléccel'!$B:$B,'Felosztás eredménykim'!$B75,'Eredeti fejléccel'!$CD:$CD)</f>
        <v>0</v>
      </c>
      <c r="EK75" s="6">
        <f>SUMIF('Eredeti fejléccel'!$B:$B,'Felosztás eredménykim'!$B75,'Eredeti fejléccel'!$CE:$CE)</f>
        <v>0</v>
      </c>
      <c r="EN75" s="6">
        <f>SUMIF('Eredeti fejléccel'!$B:$B,'Felosztás eredménykim'!$B75,'Eredeti fejléccel'!$CF:$CF)</f>
        <v>0</v>
      </c>
      <c r="EP75" s="6">
        <f>SUMIF('Eredeti fejléccel'!$B:$B,'Felosztás eredménykim'!$B75,'Eredeti fejléccel'!$CG:$CG)</f>
        <v>0</v>
      </c>
      <c r="ES75" s="6">
        <f>SUMIF('Eredeti fejléccel'!$B:$B,'Felosztás eredménykim'!$B75,'Eredeti fejléccel'!$CH:$CH)</f>
        <v>0</v>
      </c>
      <c r="ET75" s="6">
        <f>SUMIF('Eredeti fejléccel'!$B:$B,'Felosztás eredménykim'!$B75,'Eredeti fejléccel'!$CI:$CI)</f>
        <v>0</v>
      </c>
      <c r="EW75" s="8">
        <f t="shared" si="118"/>
        <v>0</v>
      </c>
      <c r="EX75" s="8">
        <f t="shared" si="78"/>
        <v>0</v>
      </c>
      <c r="EY75" s="8">
        <f t="shared" si="119"/>
        <v>156321.50000000003</v>
      </c>
      <c r="EZ75" s="8">
        <f t="shared" si="120"/>
        <v>156321.50000000003</v>
      </c>
      <c r="FA75" s="8">
        <f t="shared" si="121"/>
        <v>156321.50000000003</v>
      </c>
      <c r="FC75" s="6">
        <f>SUMIF('Eredeti fejléccel'!$B:$B,'Felosztás eredménykim'!$B75,'Eredeti fejléccel'!$L:$L)</f>
        <v>0</v>
      </c>
      <c r="FD75" s="6">
        <f>SUMIF('Eredeti fejléccel'!$B:$B,'Felosztás eredménykim'!$B75,'Eredeti fejléccel'!$CJ:$CJ)</f>
        <v>143929.40000000002</v>
      </c>
      <c r="FE75" s="6">
        <f>SUMIF('Eredeti fejléccel'!$B:$B,'Felosztás eredménykim'!$B75,'Eredeti fejléccel'!$CL:$CL)</f>
        <v>0</v>
      </c>
      <c r="FG75" s="99">
        <f t="shared" si="79"/>
        <v>143929.40000000002</v>
      </c>
      <c r="FH75" s="6">
        <f>SUMIF('Eredeti fejléccel'!$B:$B,'Felosztás eredménykim'!$B75,'Eredeti fejléccel'!$CK:$CK)</f>
        <v>0</v>
      </c>
      <c r="FI75" s="36">
        <f t="shared" si="103"/>
        <v>112560.9753809775</v>
      </c>
      <c r="FJ75" s="101">
        <f t="shared" si="104"/>
        <v>31915.791770412292</v>
      </c>
      <c r="FK75" s="6">
        <f>SUMIF('Eredeti fejléccel'!$B:$B,'Felosztás eredménykim'!$B75,'Eredeti fejléccel'!$CM:$CM)</f>
        <v>0</v>
      </c>
      <c r="FL75" s="6">
        <f>SUMIF('Eredeti fejléccel'!$B:$B,'Felosztás eredménykim'!$B75,'Eredeti fejléccel'!$CN:$CN)</f>
        <v>0</v>
      </c>
      <c r="FM75" s="8">
        <f t="shared" si="80"/>
        <v>31915.791770412292</v>
      </c>
      <c r="FN75" s="36">
        <f t="shared" si="105"/>
        <v>95695.295147079669</v>
      </c>
      <c r="FO75" s="101">
        <f t="shared" si="106"/>
        <v>27133.658916734039</v>
      </c>
      <c r="FP75" s="6">
        <f>SUMIF('Eredeti fejléccel'!$B:$B,'Felosztás eredménykim'!$B75,'Eredeti fejléccel'!$CO:$CO)</f>
        <v>0</v>
      </c>
      <c r="FQ75" s="6">
        <f>'Eredeti fejléccel'!CP75</f>
        <v>0</v>
      </c>
      <c r="FR75" s="6">
        <f>'Eredeti fejléccel'!CQ75</f>
        <v>0</v>
      </c>
      <c r="FS75" s="103">
        <f t="shared" si="122"/>
        <v>27133.658916734039</v>
      </c>
      <c r="FT75" s="36">
        <f t="shared" si="107"/>
        <v>264146.91889440478</v>
      </c>
      <c r="FU75" s="101">
        <f t="shared" si="108"/>
        <v>74896.810654810033</v>
      </c>
      <c r="FV75" s="101"/>
      <c r="FW75" s="6">
        <f>SUMIF('Eredeti fejléccel'!$B:$B,'Felosztás eredménykim'!$B75,'Eredeti fejléccel'!$CR:$CR)</f>
        <v>20600</v>
      </c>
      <c r="FX75" s="6">
        <f>SUMIF('Eredeti fejléccel'!$B:$B,'Felosztás eredménykim'!$B75,'Eredeti fejléccel'!$CS:$CS)</f>
        <v>0</v>
      </c>
      <c r="FY75" s="6">
        <f>SUMIF('Eredeti fejléccel'!$B:$B,'Felosztás eredménykim'!$B75,'Eredeti fejléccel'!$CT:$CT)</f>
        <v>0</v>
      </c>
      <c r="FZ75" s="6">
        <f>SUMIF('Eredeti fejléccel'!$B:$B,'Felosztás eredménykim'!$B75,'Eredeti fejléccel'!$CU:$CU)</f>
        <v>0</v>
      </c>
      <c r="GA75" s="103">
        <f t="shared" si="81"/>
        <v>95496.810654810033</v>
      </c>
      <c r="GB75" s="36">
        <f t="shared" si="109"/>
        <v>35208.64632769912</v>
      </c>
      <c r="GC75" s="101">
        <f t="shared" si="110"/>
        <v>9983.1386580436556</v>
      </c>
      <c r="GD75" s="6">
        <f>SUMIF('Eredeti fejléccel'!$B:$B,'Felosztás eredménykim'!$B75,'Eredeti fejléccel'!$CV:$CV)</f>
        <v>0</v>
      </c>
      <c r="GE75" s="6">
        <f>SUMIF('Eredeti fejléccel'!$B:$B,'Felosztás eredménykim'!$B75,'Eredeti fejléccel'!$CW:$CW)</f>
        <v>0</v>
      </c>
      <c r="GF75" s="103">
        <f t="shared" si="82"/>
        <v>9983.1386580436556</v>
      </c>
      <c r="GG75" s="36">
        <f t="shared" si="111"/>
        <v>0</v>
      </c>
      <c r="GM75" s="6">
        <f>SUMIF('Eredeti fejléccel'!$B:$B,'Felosztás eredménykim'!$B75,'Eredeti fejléccel'!$CX:$CX)</f>
        <v>0</v>
      </c>
      <c r="GN75" s="6">
        <f>SUMIF('Eredeti fejléccel'!$B:$B,'Felosztás eredménykim'!$B75,'Eredeti fejléccel'!$CY:$CY)</f>
        <v>0</v>
      </c>
      <c r="GO75" s="6">
        <f>SUMIF('Eredeti fejléccel'!$B:$B,'Felosztás eredménykim'!$B75,'Eredeti fejléccel'!$CZ:$CZ)</f>
        <v>0</v>
      </c>
      <c r="GP75" s="6">
        <f>SUMIF('Eredeti fejléccel'!$B:$B,'Felosztás eredménykim'!$B75,'Eredeti fejléccel'!$DA:$DA)</f>
        <v>0</v>
      </c>
      <c r="GQ75" s="6">
        <f>SUMIF('Eredeti fejléccel'!$B:$B,'Felosztás eredménykim'!$B75,'Eredeti fejléccel'!$DB:$DB)</f>
        <v>0</v>
      </c>
      <c r="GR75" s="103">
        <f t="shared" si="83"/>
        <v>0</v>
      </c>
      <c r="GW75" s="36">
        <f t="shared" si="112"/>
        <v>60439.447778493239</v>
      </c>
      <c r="GX75" s="6">
        <f>SUMIF('Eredeti fejléccel'!$B:$B,'Felosztás eredménykim'!$B75,'Eredeti fejléccel'!$M:$M)</f>
        <v>0</v>
      </c>
      <c r="GY75" s="6">
        <f>SUMIF('Eredeti fejléccel'!$B:$B,'Felosztás eredménykim'!$B75,'Eredeti fejléccel'!$DC:$DC)</f>
        <v>149685</v>
      </c>
      <c r="GZ75" s="6">
        <f>SUMIF('Eredeti fejléccel'!$B:$B,'Felosztás eredménykim'!$B75,'Eredeti fejléccel'!$DD:$DD)</f>
        <v>0</v>
      </c>
      <c r="HA75" s="6">
        <f>SUMIF('Eredeti fejléccel'!$B:$B,'Felosztás eredménykim'!$B75,'Eredeti fejléccel'!$DE:$DE)</f>
        <v>0</v>
      </c>
      <c r="HB75" s="103">
        <f t="shared" si="84"/>
        <v>149685</v>
      </c>
      <c r="HD75" s="9">
        <f t="shared" si="113"/>
        <v>5051966.5399999982</v>
      </c>
      <c r="HE75" s="9">
        <v>5051966.5399999991</v>
      </c>
      <c r="HF75" s="476"/>
      <c r="HH75" s="34">
        <f t="shared" si="85"/>
        <v>0</v>
      </c>
    </row>
    <row r="76" spans="1:218" x14ac:dyDescent="0.25">
      <c r="A76" s="208" t="s">
        <v>1758</v>
      </c>
      <c r="B76" s="208" t="s">
        <v>1758</v>
      </c>
      <c r="C76" s="209" t="s">
        <v>1759</v>
      </c>
      <c r="D76" s="6">
        <f>SUMIF('Eredeti fejléccel'!$B:$B,'Felosztás eredménykim'!$B76,'Eredeti fejléccel'!$D:$D)</f>
        <v>0</v>
      </c>
      <c r="E76" s="6">
        <f>SUMIF('Eredeti fejléccel'!$B:$B,'Felosztás eredménykim'!$B76,'Eredeti fejléccel'!$E:$E)</f>
        <v>418617</v>
      </c>
      <c r="F76" s="6">
        <f>SUMIF('Eredeti fejléccel'!$B:$B,'Felosztás eredménykim'!$B76,'Eredeti fejléccel'!$F:$F)</f>
        <v>0</v>
      </c>
      <c r="G76" s="6">
        <f>SUMIF('Eredeti fejléccel'!$B:$B,'Felosztás eredménykim'!$B76,'Eredeti fejléccel'!$G:$G)</f>
        <v>53192</v>
      </c>
      <c r="H76" s="6"/>
      <c r="I76" s="6">
        <f>SUMIF('Eredeti fejléccel'!$B:$B,'Felosztás eredménykim'!$B76,'Eredeti fejléccel'!$O:$O)</f>
        <v>0</v>
      </c>
      <c r="J76" s="6">
        <f>SUMIF('Eredeti fejléccel'!$B:$B,'Felosztás eredménykim'!$B76,'Eredeti fejléccel'!$P:$P)</f>
        <v>0</v>
      </c>
      <c r="K76" s="6">
        <f>SUMIF('Eredeti fejléccel'!$B:$B,'Felosztás eredménykim'!$B76,'Eredeti fejléccel'!$Q:$Q)</f>
        <v>0</v>
      </c>
      <c r="L76" s="6">
        <f>SUMIF('Eredeti fejléccel'!$B:$B,'Felosztás eredménykim'!$B76,'Eredeti fejléccel'!$R:$R)</f>
        <v>0</v>
      </c>
      <c r="M76" s="6">
        <f>SUMIF('Eredeti fejléccel'!$B:$B,'Felosztás eredménykim'!$B76,'Eredeti fejléccel'!$T:$T)</f>
        <v>0</v>
      </c>
      <c r="N76" s="6">
        <f>SUMIF('Eredeti fejléccel'!$B:$B,'Felosztás eredménykim'!$B76,'Eredeti fejléccel'!$U:$U)</f>
        <v>0</v>
      </c>
      <c r="O76" s="6">
        <f>SUMIF('Eredeti fejléccel'!$B:$B,'Felosztás eredménykim'!$B76,'Eredeti fejléccel'!$V:$V)</f>
        <v>0</v>
      </c>
      <c r="P76" s="6">
        <f>SUMIF('Eredeti fejléccel'!$B:$B,'Felosztás eredménykim'!$B76,'Eredeti fejléccel'!$W:$W)</f>
        <v>19135</v>
      </c>
      <c r="Q76" s="6">
        <f>SUMIF('Eredeti fejléccel'!$B:$B,'Felosztás eredménykim'!$B76,'Eredeti fejléccel'!$X:$X)</f>
        <v>0</v>
      </c>
      <c r="R76" s="6">
        <f>SUMIF('Eredeti fejléccel'!$B:$B,'Felosztás eredménykim'!$B76,'Eredeti fejléccel'!$Y:$Y)</f>
        <v>0</v>
      </c>
      <c r="S76" s="6">
        <f>SUMIF('Eredeti fejléccel'!$B:$B,'Felosztás eredménykim'!$B76,'Eredeti fejléccel'!$Z:$Z)</f>
        <v>0</v>
      </c>
      <c r="T76" s="6">
        <f>SUMIF('Eredeti fejléccel'!$B:$B,'Felosztás eredménykim'!$B76,'Eredeti fejléccel'!$AA:$AA)</f>
        <v>0</v>
      </c>
      <c r="U76" s="6">
        <f>SUMIF('Eredeti fejléccel'!$B:$B,'Felosztás eredménykim'!$B76,'Eredeti fejléccel'!$D:$D)</f>
        <v>0</v>
      </c>
      <c r="V76" s="6">
        <f>SUMIF('Eredeti fejléccel'!$B:$B,'Felosztás eredménykim'!$B76,'Eredeti fejléccel'!$AT:$AT)</f>
        <v>0</v>
      </c>
      <c r="X76" s="212">
        <f t="shared" si="86"/>
        <v>490944</v>
      </c>
      <c r="Z76" s="6">
        <f>SUMIF('Eredeti fejléccel'!$B:$B,'Felosztás eredménykim'!$B76,'Eredeti fejléccel'!$K:$K)</f>
        <v>129543</v>
      </c>
      <c r="AB76" s="6">
        <f>SUMIF('Eredeti fejléccel'!$B:$B,'Felosztás eredménykim'!$B76,'Eredeti fejléccel'!$AB:$AB)</f>
        <v>0</v>
      </c>
      <c r="AC76" s="6">
        <f>SUMIF('Eredeti fejléccel'!$B:$B,'Felosztás eredménykim'!$B76,'Eredeti fejléccel'!$AQ:$AQ)</f>
        <v>0</v>
      </c>
      <c r="AE76" s="73">
        <f>SUM(Z76:AD76)</f>
        <v>129543</v>
      </c>
      <c r="AF76" s="36">
        <f t="shared" si="87"/>
        <v>58566.988493323552</v>
      </c>
      <c r="AG76" s="8">
        <f t="shared" si="88"/>
        <v>41304.068956265088</v>
      </c>
      <c r="AI76" s="6">
        <f>SUMIF('Eredeti fejléccel'!$B:$B,'Felosztás eredménykim'!$B76,'Eredeti fejléccel'!$BB:$BB)</f>
        <v>0</v>
      </c>
      <c r="AJ76" s="6">
        <f>SUMIF('Eredeti fejléccel'!$B:$B,'Felosztás eredménykim'!$B76,'Eredeti fejléccel'!$AF:$AF)</f>
        <v>0</v>
      </c>
      <c r="AK76" s="8">
        <f>SUM(AG76:AJ76)</f>
        <v>41304.068956265088</v>
      </c>
      <c r="AL76" s="36">
        <f t="shared" si="89"/>
        <v>23262.512119648291</v>
      </c>
      <c r="AM76" s="8">
        <f t="shared" si="90"/>
        <v>16405.767641534745</v>
      </c>
      <c r="AN76" s="6">
        <f>-AO76/2</f>
        <v>0</v>
      </c>
      <c r="AO76" s="6">
        <f>SUMIF('Eredeti fejléccel'!$B:$B,'Felosztás eredménykim'!$B76,'Eredeti fejléccel'!$AC:$AC)</f>
        <v>0</v>
      </c>
      <c r="AP76" s="6">
        <f>SUMIF('Eredeti fejléccel'!$B:$B,'Felosztás eredménykim'!$B76,'Eredeti fejléccel'!$AD:$AD)</f>
        <v>0</v>
      </c>
      <c r="AQ76" s="6">
        <f>SUMIF('Eredeti fejléccel'!$B:$B,'Felosztás eredménykim'!$B76,'Eredeti fejléccel'!$AE:$AE)</f>
        <v>0</v>
      </c>
      <c r="AR76" s="6">
        <f>SUMIF('Eredeti fejléccel'!$B:$B,'Felosztás eredménykim'!$B76,'Eredeti fejléccel'!$AG:$AG)</f>
        <v>0</v>
      </c>
      <c r="AS76" s="6">
        <f>SUM(AM76:AR76)</f>
        <v>16405.767641534745</v>
      </c>
      <c r="AT76" s="36">
        <f t="shared" si="91"/>
        <v>37785.153866660359</v>
      </c>
      <c r="AU76" s="8">
        <f t="shared" si="92"/>
        <v>26647.786423396832</v>
      </c>
      <c r="AV76" s="6">
        <f>SUMIF('Eredeti fejléccel'!$B:$B,'Felosztás eredménykim'!$B76,'Eredeti fejléccel'!$AI:$AI)</f>
        <v>0</v>
      </c>
      <c r="AW76" s="6">
        <f>SUMIF('Eredeti fejléccel'!$B:$B,'Felosztás eredménykim'!$B76,'Eredeti fejléccel'!$AJ:$AJ)</f>
        <v>0</v>
      </c>
      <c r="AX76" s="6">
        <f>SUMIF('Eredeti fejléccel'!$B:$B,'Felosztás eredménykim'!$B76,'Eredeti fejléccel'!$AK:$AK)</f>
        <v>0</v>
      </c>
      <c r="AY76" s="6">
        <f>SUMIF('Eredeti fejléccel'!$B:$B,'Felosztás eredménykim'!$B76,'Eredeti fejléccel'!$AL:$AL)</f>
        <v>0</v>
      </c>
      <c r="AZ76" s="6">
        <f>SUMIF('Eredeti fejléccel'!$B:$B,'Felosztás eredménykim'!$B76,'Eredeti fejléccel'!$AM:$AM)</f>
        <v>0</v>
      </c>
      <c r="BA76" s="6">
        <f>SUMIF('Eredeti fejléccel'!$B:$B,'Felosztás eredménykim'!$B76,'Eredeti fejléccel'!$AN:$AN)</f>
        <v>0</v>
      </c>
      <c r="BB76" s="6">
        <f>SUMIF('Eredeti fejléccel'!$B:$B,'Felosztás eredménykim'!$B76,'Eredeti fejléccel'!$AP:$AP)</f>
        <v>0</v>
      </c>
      <c r="BD76" s="6">
        <f>SUMIF('Eredeti fejléccel'!$B:$B,'Felosztás eredménykim'!$B76,'Eredeti fejléccel'!$AS:$AS)</f>
        <v>0</v>
      </c>
      <c r="BE76" s="8">
        <f>SUM(AU76:BD76)</f>
        <v>26647.786423396832</v>
      </c>
      <c r="BF76" s="36">
        <f t="shared" si="93"/>
        <v>9856.9966608679188</v>
      </c>
      <c r="BG76" s="8">
        <f t="shared" si="94"/>
        <v>6951.5964582774341</v>
      </c>
      <c r="BH76" s="6">
        <f>AO76/2</f>
        <v>0</v>
      </c>
      <c r="BI76" s="6">
        <f>SUMIF('Eredeti fejléccel'!$B:$B,'Felosztás eredménykim'!$B76,'Eredeti fejléccel'!$AH:$AH)</f>
        <v>0</v>
      </c>
      <c r="BJ76" s="6">
        <f>SUMIF('Eredeti fejléccel'!$B:$B,'Felosztás eredménykim'!$B76,'Eredeti fejléccel'!$AO:$AO)</f>
        <v>0</v>
      </c>
      <c r="BK76" s="6">
        <f>SUMIF('Eredeti fejléccel'!$B:$B,'Felosztás eredménykim'!$B76,'Eredeti fejléccel'!$BF:$BF)</f>
        <v>0</v>
      </c>
      <c r="BL76" s="8">
        <f>SUM(BG76:BK76)</f>
        <v>6951.5964582774341</v>
      </c>
      <c r="BM76" s="36">
        <f t="shared" si="95"/>
        <v>36930.880822718478</v>
      </c>
      <c r="BN76" s="8">
        <f t="shared" si="96"/>
        <v>26045.314730346123</v>
      </c>
      <c r="BP76" s="8">
        <f>-FV76</f>
        <v>0</v>
      </c>
      <c r="BQ76" s="6">
        <f>SUMIF('Eredeti fejléccel'!$B:$B,'Felosztás eredménykim'!$B76,'Eredeti fejléccel'!$N:$N)</f>
        <v>0</v>
      </c>
      <c r="BR76" s="6">
        <f>SUMIF('Eredeti fejléccel'!$B:$B,'Felosztás eredménykim'!$B76,'Eredeti fejléccel'!$S:$S)</f>
        <v>0</v>
      </c>
      <c r="BT76" s="6">
        <f>SUMIF('Eredeti fejléccel'!$B:$B,'Felosztás eredménykim'!$B76,'Eredeti fejléccel'!$AR:$AR)</f>
        <v>0</v>
      </c>
      <c r="BU76" s="6">
        <f>SUMIF('Eredeti fejléccel'!$B:$B,'Felosztás eredménykim'!$B76,'Eredeti fejléccel'!$AU:$AU)</f>
        <v>0</v>
      </c>
      <c r="BV76" s="6">
        <f>SUMIF('Eredeti fejléccel'!$B:$B,'Felosztás eredménykim'!$B76,'Eredeti fejléccel'!$AV:$AV)</f>
        <v>0</v>
      </c>
      <c r="BW76" s="6">
        <f>SUMIF('Eredeti fejléccel'!$B:$B,'Felosztás eredménykim'!$B76,'Eredeti fejléccel'!$AW:$AW)</f>
        <v>0</v>
      </c>
      <c r="BX76" s="6">
        <f>SUMIF('Eredeti fejléccel'!$B:$B,'Felosztás eredménykim'!$B76,'Eredeti fejléccel'!$AX:$AX)</f>
        <v>0</v>
      </c>
      <c r="BY76" s="6">
        <f>SUMIF('Eredeti fejléccel'!$B:$B,'Felosztás eredménykim'!$B76,'Eredeti fejléccel'!$AY:$AY)</f>
        <v>0</v>
      </c>
      <c r="BZ76" s="6">
        <f>SUMIF('Eredeti fejléccel'!$B:$B,'Felosztás eredménykim'!$B76,'Eredeti fejléccel'!$AZ:$AZ)</f>
        <v>0</v>
      </c>
      <c r="CA76" s="6">
        <f>SUMIF('Eredeti fejléccel'!$B:$B,'Felosztás eredménykim'!$B76,'Eredeti fejléccel'!$BA:$BA)</f>
        <v>8432.1</v>
      </c>
      <c r="CB76" s="6">
        <f t="shared" ref="CB76" si="132">SUM(BN76:CA76)</f>
        <v>34477.414730346121</v>
      </c>
      <c r="CC76" s="36">
        <f t="shared" si="97"/>
        <v>10054.136594085277</v>
      </c>
      <c r="CD76" s="8">
        <f t="shared" si="98"/>
        <v>7090.6283874429837</v>
      </c>
      <c r="CE76" s="6">
        <f>SUMIF('Eredeti fejléccel'!$B:$B,'Felosztás eredménykim'!$B76,'Eredeti fejléccel'!$BC:$BC)</f>
        <v>0</v>
      </c>
      <c r="CF76" s="8">
        <f>-CE76/2</f>
        <v>0</v>
      </c>
      <c r="CG76" s="6">
        <f>SUMIF('Eredeti fejléccel'!$B:$B,'Felosztás eredménykim'!$B76,'Eredeti fejléccel'!$H:$H)</f>
        <v>0</v>
      </c>
      <c r="CH76" s="6">
        <f>SUMIF('Eredeti fejléccel'!$B:$B,'Felosztás eredménykim'!$B76,'Eredeti fejléccel'!$BE:$BE)</f>
        <v>0</v>
      </c>
      <c r="CI76" s="6">
        <f>SUM(CD76:CH76)</f>
        <v>7090.6283874429837</v>
      </c>
      <c r="CJ76" s="36">
        <f t="shared" si="99"/>
        <v>7228.4642179698085</v>
      </c>
      <c r="CK76" s="8">
        <f t="shared" si="100"/>
        <v>5097.8374027367854</v>
      </c>
      <c r="CL76" s="8">
        <f>CE76/2</f>
        <v>0</v>
      </c>
      <c r="CM76" s="6">
        <f>SUMIF('Eredeti fejléccel'!$B:$B,'Felosztás eredménykim'!$B76,'Eredeti fejléccel'!$BD:$BD)</f>
        <v>0</v>
      </c>
      <c r="CN76" s="8">
        <f>SUM(CK76:CM76)</f>
        <v>5097.8374027367854</v>
      </c>
      <c r="CO76" s="8">
        <f t="shared" ref="CO76" si="133">+AF76+AK76+AL76+AS76+AT76+BE76+BF76+BL76+BM76+CB76+CC76+CI76+CJ76+CN76</f>
        <v>321660.23277527362</v>
      </c>
      <c r="CR76" s="36">
        <f t="shared" si="101"/>
        <v>43419.934578235676</v>
      </c>
      <c r="CS76" s="6">
        <f>SUMIF('Eredeti fejléccel'!$B:$B,'Felosztás eredménykim'!$B76,'Eredeti fejléccel'!$I:$I)</f>
        <v>0</v>
      </c>
      <c r="CT76" s="6">
        <f>SUMIF('Eredeti fejléccel'!$B:$B,'Felosztás eredménykim'!$B76,'Eredeti fejléccel'!$BG:$BG)</f>
        <v>0</v>
      </c>
      <c r="CU76" s="6">
        <f>SUMIF('Eredeti fejléccel'!$B:$B,'Felosztás eredménykim'!$B76,'Eredeti fejléccel'!$BH:$BH)</f>
        <v>0</v>
      </c>
      <c r="CV76" s="6">
        <f>SUMIF('Eredeti fejléccel'!$B:$B,'Felosztás eredménykim'!$B76,'Eredeti fejléccel'!$BI:$BI)</f>
        <v>0</v>
      </c>
      <c r="CW76" s="6">
        <f>SUMIF('Eredeti fejléccel'!$B:$B,'Felosztás eredménykim'!$B76,'Eredeti fejléccel'!$BL:$BL)</f>
        <v>28609</v>
      </c>
      <c r="CX76" s="6">
        <f>SUM(CS76:CW76)</f>
        <v>28609</v>
      </c>
      <c r="CY76" s="6">
        <f>SUMIF('Eredeti fejléccel'!$B:$B,'Felosztás eredménykim'!$B76,'Eredeti fejléccel'!$BJ:$BJ)</f>
        <v>0</v>
      </c>
      <c r="CZ76" s="6">
        <f>SUMIF('Eredeti fejléccel'!$B:$B,'Felosztás eredménykim'!$B76,'Eredeti fejléccel'!$BK:$BK)</f>
        <v>0</v>
      </c>
      <c r="DA76" s="99">
        <f t="shared" si="116"/>
        <v>28609</v>
      </c>
      <c r="DC76" s="36">
        <f t="shared" si="102"/>
        <v>38029.982743077919</v>
      </c>
      <c r="DD76" s="6">
        <f>SUMIF('Eredeti fejléccel'!$B:$B,'Felosztás eredménykim'!$B76,'Eredeti fejléccel'!$J:$J)</f>
        <v>0</v>
      </c>
      <c r="DE76" s="6">
        <f>SUMIF('Eredeti fejléccel'!$B:$B,'Felosztás eredménykim'!$B76,'Eredeti fejléccel'!$BM:$BM)</f>
        <v>227180.96999999991</v>
      </c>
      <c r="DF76" s="6">
        <f>-DI76</f>
        <v>0</v>
      </c>
      <c r="DG76" s="8">
        <f t="shared" ref="DG76" si="134">-BO76</f>
        <v>0</v>
      </c>
      <c r="DH76" s="8">
        <f>SUM(DD76:DG76)</f>
        <v>227180.96999999991</v>
      </c>
      <c r="DJ76" s="6">
        <f>SUMIF('Eredeti fejléccel'!$B:$B,'Felosztás eredménykim'!$B76,'Eredeti fejléccel'!$BN:$BN)</f>
        <v>0</v>
      </c>
      <c r="DK76" s="6">
        <f>SUMIF('Eredeti fejléccel'!$B:$B,'Felosztás eredménykim'!$B76,'Eredeti fejléccel'!$BZ:$BZ)</f>
        <v>0</v>
      </c>
      <c r="DL76" s="8">
        <f>SUM(DI76:DK76)</f>
        <v>0</v>
      </c>
      <c r="DM76" s="6">
        <f>SUMIF('Eredeti fejléccel'!$B:$B,'Felosztás eredménykim'!$B76,'Eredeti fejléccel'!$BR:$BR)</f>
        <v>0</v>
      </c>
      <c r="DN76" s="6">
        <f>SUMIF('Eredeti fejléccel'!$B:$B,'Felosztás eredménykim'!$B76,'Eredeti fejléccel'!$BS:$BS)</f>
        <v>27768.82</v>
      </c>
      <c r="DO76" s="6">
        <f>SUMIF('Eredeti fejléccel'!$B:$B,'Felosztás eredménykim'!$B76,'Eredeti fejléccel'!$BO:$BO)</f>
        <v>0</v>
      </c>
      <c r="DP76" s="6">
        <f>SUMIF('Eredeti fejléccel'!$B:$B,'Felosztás eredménykim'!$B76,'Eredeti fejléccel'!$BP:$BP)</f>
        <v>108000</v>
      </c>
      <c r="DQ76" s="6">
        <f>SUMIF('Eredeti fejléccel'!$B:$B,'Felosztás eredménykim'!$B76,'Eredeti fejléccel'!$BQ:$BQ)</f>
        <v>0</v>
      </c>
      <c r="DS76" s="8"/>
      <c r="DU76" s="6">
        <f>SUMIF('Eredeti fejléccel'!$B:$B,'Felosztás eredménykim'!$B76,'Eredeti fejléccel'!$BT:$BT)</f>
        <v>0</v>
      </c>
      <c r="DV76" s="6">
        <f>SUMIF('Eredeti fejléccel'!$B:$B,'Felosztás eredménykim'!$B76,'Eredeti fejléccel'!$BU:$BU)</f>
        <v>0</v>
      </c>
      <c r="DW76" s="6">
        <f>SUMIF('Eredeti fejléccel'!$B:$B,'Felosztás eredménykim'!$B76,'Eredeti fejléccel'!$BV:$BV)</f>
        <v>0</v>
      </c>
      <c r="DX76" s="6">
        <f>SUMIF('Eredeti fejléccel'!$B:$B,'Felosztás eredménykim'!$B76,'Eredeti fejléccel'!$BW:$BW)</f>
        <v>0</v>
      </c>
      <c r="DY76" s="6">
        <f>SUMIF('Eredeti fejléccel'!$B:$B,'Felosztás eredménykim'!$B76,'Eredeti fejléccel'!$BX:$BX)</f>
        <v>0</v>
      </c>
      <c r="EA76" s="6"/>
      <c r="EC76" s="6"/>
      <c r="EE76" s="6">
        <f>SUMIF('Eredeti fejléccel'!$B:$B,'Felosztás eredménykim'!$B76,'Eredeti fejléccel'!$CA:$CA)</f>
        <v>0</v>
      </c>
      <c r="EF76" s="6">
        <f>SUMIF('Eredeti fejléccel'!$B:$B,'Felosztás eredménykim'!$B76,'Eredeti fejléccel'!$CB:$CB)</f>
        <v>0</v>
      </c>
      <c r="EG76" s="6">
        <f>SUMIF('Eredeti fejléccel'!$B:$B,'Felosztás eredménykim'!$B76,'Eredeti fejléccel'!$CC:$CC)</f>
        <v>0</v>
      </c>
      <c r="EH76" s="6">
        <f>SUMIF('Eredeti fejléccel'!$B:$B,'Felosztás eredménykim'!$B76,'Eredeti fejléccel'!$CD:$CD)</f>
        <v>0</v>
      </c>
      <c r="EK76" s="6">
        <f>SUMIF('Eredeti fejléccel'!$B:$B,'Felosztás eredménykim'!$B76,'Eredeti fejléccel'!$CE:$CE)</f>
        <v>0</v>
      </c>
      <c r="EN76" s="6">
        <f>SUMIF('Eredeti fejléccel'!$B:$B,'Felosztás eredménykim'!$B76,'Eredeti fejléccel'!$CF:$CF)</f>
        <v>0</v>
      </c>
      <c r="EP76" s="6">
        <f>SUMIF('Eredeti fejléccel'!$B:$B,'Felosztás eredménykim'!$B76,'Eredeti fejléccel'!$CG:$CG)</f>
        <v>0</v>
      </c>
      <c r="ES76" s="6">
        <f>SUMIF('Eredeti fejléccel'!$B:$B,'Felosztás eredménykim'!$B76,'Eredeti fejléccel'!$CH:$CH)</f>
        <v>0</v>
      </c>
      <c r="ET76" s="6">
        <f>SUMIF('Eredeti fejléccel'!$B:$B,'Felosztás eredménykim'!$B76,'Eredeti fejléccel'!$CI:$CI)</f>
        <v>0</v>
      </c>
      <c r="EW76" s="8">
        <f>SUM(DR76:ED76)</f>
        <v>0</v>
      </c>
      <c r="EX76" s="8">
        <f>SUM(EE76:EV76)</f>
        <v>0</v>
      </c>
      <c r="EY76" s="8">
        <f t="shared" si="119"/>
        <v>362949.78999999992</v>
      </c>
      <c r="EZ76" s="8">
        <f>EY76+DL76+DM76+DN76+DO76+DP76+DQ76</f>
        <v>498718.60999999993</v>
      </c>
      <c r="FA76" s="8">
        <f>EZ76-DL76-DM76</f>
        <v>498718.60999999993</v>
      </c>
      <c r="FC76" s="6">
        <f>SUMIF('Eredeti fejléccel'!$B:$B,'Felosztás eredménykim'!$B76,'Eredeti fejléccel'!$L:$L)</f>
        <v>0</v>
      </c>
      <c r="FD76" s="6">
        <f>SUMIF('Eredeti fejléccel'!$B:$B,'Felosztás eredménykim'!$B76,'Eredeti fejléccel'!$CJ:$CJ)</f>
        <v>643726.39</v>
      </c>
      <c r="FE76" s="6">
        <f>SUMIF('Eredeti fejléccel'!$B:$B,'Felosztás eredménykim'!$B76,'Eredeti fejléccel'!$CL:$CL)</f>
        <v>0</v>
      </c>
      <c r="FG76" s="99">
        <f>SUM(FC76:FF76)</f>
        <v>643726.39</v>
      </c>
      <c r="FH76" s="6">
        <f>SUMIF('Eredeti fejléccel'!$B:$B,'Felosztás eredménykim'!$B76,'Eredeti fejléccel'!$CK:$CK)</f>
        <v>0</v>
      </c>
      <c r="FI76" s="36">
        <f t="shared" si="103"/>
        <v>44744.684833724699</v>
      </c>
      <c r="FJ76" s="101">
        <f t="shared" si="104"/>
        <v>142743.85511479384</v>
      </c>
      <c r="FK76" s="6">
        <f>SUMIF('Eredeti fejléccel'!$B:$B,'Felosztás eredménykim'!$B76,'Eredeti fejléccel'!$CM:$CM)</f>
        <v>3926.5</v>
      </c>
      <c r="FL76" s="6">
        <f>SUMIF('Eredeti fejléccel'!$B:$B,'Felosztás eredménykim'!$B76,'Eredeti fejléccel'!$CN:$CN)</f>
        <v>0</v>
      </c>
      <c r="FM76" s="8">
        <f>SUM(FJ76:FL76)</f>
        <v>146670.35511479384</v>
      </c>
      <c r="FN76" s="36">
        <f t="shared" si="105"/>
        <v>38040.322651201612</v>
      </c>
      <c r="FO76" s="101">
        <f t="shared" si="106"/>
        <v>121355.69454163298</v>
      </c>
      <c r="FP76" s="6">
        <f>SUMIF('Eredeti fejléccel'!$B:$B,'Felosztás eredménykim'!$B76,'Eredeti fejléccel'!$CO:$CO)</f>
        <v>9928831.120000001</v>
      </c>
      <c r="FQ76" s="6">
        <f>'Eredeti fejléccel'!CP76</f>
        <v>493659.71</v>
      </c>
      <c r="FR76" s="6">
        <f>'Eredeti fejléccel'!CQ76</f>
        <v>0</v>
      </c>
      <c r="FS76" s="103">
        <f t="shared" si="122"/>
        <v>10543846.524541635</v>
      </c>
      <c r="FT76" s="36">
        <f t="shared" si="107"/>
        <v>105002.38289270359</v>
      </c>
      <c r="FU76" s="101">
        <f t="shared" si="108"/>
        <v>334977.103672595</v>
      </c>
      <c r="FV76" s="101"/>
      <c r="FW76" s="6">
        <f>SUMIF('Eredeti fejléccel'!$B:$B,'Felosztás eredménykim'!$B76,'Eredeti fejléccel'!$CR:$CR)</f>
        <v>11145988.480000004</v>
      </c>
      <c r="FX76" s="6">
        <f>SUMIF('Eredeti fejléccel'!$B:$B,'Felosztás eredménykim'!$B76,'Eredeti fejléccel'!$CS:$CS)</f>
        <v>0</v>
      </c>
      <c r="FY76" s="6">
        <f>SUMIF('Eredeti fejléccel'!$B:$B,'Felosztás eredménykim'!$B76,'Eredeti fejléccel'!$CT:$CT)</f>
        <v>0</v>
      </c>
      <c r="FZ76" s="6">
        <f>SUMIF('Eredeti fejléccel'!$B:$B,'Felosztás eredménykim'!$B76,'Eredeti fejléccel'!$CU:$CU)</f>
        <v>0</v>
      </c>
      <c r="GA76" s="103">
        <f>SUM(FU76:FZ76)</f>
        <v>11480965.5836726</v>
      </c>
      <c r="GB76" s="36">
        <f t="shared" si="109"/>
        <v>13995.96776789493</v>
      </c>
      <c r="GC76" s="101">
        <f t="shared" si="110"/>
        <v>44649.736670978171</v>
      </c>
      <c r="GD76" s="6">
        <f>SUMIF('Eredeti fejléccel'!$B:$B,'Felosztás eredménykim'!$B76,'Eredeti fejléccel'!$CV:$CV)</f>
        <v>82457502.860000014</v>
      </c>
      <c r="GE76" s="6">
        <f>SUMIF('Eredeti fejléccel'!$B:$B,'Felosztás eredménykim'!$B76,'Eredeti fejléccel'!$CW:$CW)</f>
        <v>4081.88</v>
      </c>
      <c r="GF76" s="103">
        <f>SUM(GC76:GE76)</f>
        <v>82506234.47667098</v>
      </c>
      <c r="GG76" s="36">
        <f t="shared" si="111"/>
        <v>0</v>
      </c>
      <c r="GM76" s="6">
        <f>SUMIF('Eredeti fejléccel'!$B:$B,'Felosztás eredménykim'!$B76,'Eredeti fejléccel'!$CX:$CX)</f>
        <v>0</v>
      </c>
      <c r="GN76" s="6">
        <f>SUMIF('Eredeti fejléccel'!$B:$B,'Felosztás eredménykim'!$B76,'Eredeti fejléccel'!$CY:$CY)</f>
        <v>0</v>
      </c>
      <c r="GO76" s="6">
        <f>SUMIF('Eredeti fejléccel'!$B:$B,'Felosztás eredménykim'!$B76,'Eredeti fejléccel'!$CZ:$CZ)</f>
        <v>0</v>
      </c>
      <c r="GP76" s="6">
        <f>SUMIF('Eredeti fejléccel'!$B:$B,'Felosztás eredménykim'!$B76,'Eredeti fejléccel'!$DA:$DA)</f>
        <v>0</v>
      </c>
      <c r="GQ76" s="6">
        <f>SUMIF('Eredeti fejléccel'!$B:$B,'Felosztás eredménykim'!$B76,'Eredeti fejléccel'!$DB:$DB)</f>
        <v>0</v>
      </c>
      <c r="GR76" s="103">
        <f>SUM(GH76:GQ76)</f>
        <v>0</v>
      </c>
      <c r="GW76" s="36">
        <f t="shared" si="112"/>
        <v>24025.59175788796</v>
      </c>
      <c r="GX76" s="6">
        <f>SUMIF('Eredeti fejléccel'!$B:$B,'Felosztás eredménykim'!$B76,'Eredeti fejléccel'!$M:$M)</f>
        <v>0</v>
      </c>
      <c r="GY76" s="6">
        <f>SUMIF('Eredeti fejléccel'!$B:$B,'Felosztás eredménykim'!$B76,'Eredeti fejléccel'!$DC:$DC)</f>
        <v>0</v>
      </c>
      <c r="GZ76" s="6">
        <f>SUMIF('Eredeti fejléccel'!$B:$B,'Felosztás eredménykim'!$B76,'Eredeti fejléccel'!$DD:$DD)</f>
        <v>0</v>
      </c>
      <c r="HA76" s="6">
        <f>SUMIF('Eredeti fejléccel'!$B:$B,'Felosztás eredménykim'!$B76,'Eredeti fejléccel'!$DE:$DE)</f>
        <v>0</v>
      </c>
      <c r="HB76" s="103">
        <f>SUM(GX76:HA76)</f>
        <v>0</v>
      </c>
      <c r="HD76" s="9">
        <f t="shared" si="113"/>
        <v>105698194.83000001</v>
      </c>
      <c r="HE76" s="9">
        <v>105698194.83</v>
      </c>
      <c r="HF76" s="476"/>
      <c r="HH76" s="34">
        <f>+HD76-HE76</f>
        <v>0</v>
      </c>
    </row>
    <row r="77" spans="1:218" x14ac:dyDescent="0.25">
      <c r="A77" s="4" t="s">
        <v>856</v>
      </c>
      <c r="B77" s="4" t="s">
        <v>856</v>
      </c>
      <c r="C77" s="1" t="s">
        <v>914</v>
      </c>
      <c r="D77" s="6">
        <f>SUMIF('Eredeti fejléccel'!$B:$B,'Felosztás eredménykim'!$B77,'Eredeti fejléccel'!$D:$D)</f>
        <v>0</v>
      </c>
      <c r="E77" s="6">
        <f>SUMIF('Eredeti fejléccel'!$B:$B,'Felosztás eredménykim'!$B77,'Eredeti fejléccel'!$E:$E)</f>
        <v>0</v>
      </c>
      <c r="F77" s="6">
        <f>SUMIF('Eredeti fejléccel'!$B:$B,'Felosztás eredménykim'!$B77,'Eredeti fejléccel'!$F:$F)</f>
        <v>0</v>
      </c>
      <c r="G77" s="6">
        <f>SUMIF('Eredeti fejléccel'!$B:$B,'Felosztás eredménykim'!$B77,'Eredeti fejléccel'!$G:$G)</f>
        <v>0</v>
      </c>
      <c r="H77" s="6"/>
      <c r="I77" s="6">
        <f>SUMIF('Eredeti fejléccel'!$B:$B,'Felosztás eredménykim'!$B77,'Eredeti fejléccel'!$O:$O)</f>
        <v>0</v>
      </c>
      <c r="J77" s="6">
        <f>SUMIF('Eredeti fejléccel'!$B:$B,'Felosztás eredménykim'!$B77,'Eredeti fejléccel'!$P:$P)</f>
        <v>0</v>
      </c>
      <c r="K77" s="6">
        <f>SUMIF('Eredeti fejléccel'!$B:$B,'Felosztás eredménykim'!$B77,'Eredeti fejléccel'!$Q:$Q)</f>
        <v>0</v>
      </c>
      <c r="L77" s="6">
        <f>SUMIF('Eredeti fejléccel'!$B:$B,'Felosztás eredménykim'!$B77,'Eredeti fejléccel'!$R:$R)</f>
        <v>0</v>
      </c>
      <c r="M77" s="6">
        <f>SUMIF('Eredeti fejléccel'!$B:$B,'Felosztás eredménykim'!$B77,'Eredeti fejléccel'!$T:$T)</f>
        <v>0</v>
      </c>
      <c r="N77" s="6">
        <f>SUMIF('Eredeti fejléccel'!$B:$B,'Felosztás eredménykim'!$B77,'Eredeti fejléccel'!$U:$U)</f>
        <v>0</v>
      </c>
      <c r="O77" s="6">
        <f>SUMIF('Eredeti fejléccel'!$B:$B,'Felosztás eredménykim'!$B77,'Eredeti fejléccel'!$V:$V)</f>
        <v>0</v>
      </c>
      <c r="P77" s="6">
        <f>SUMIF('Eredeti fejléccel'!$B:$B,'Felosztás eredménykim'!$B77,'Eredeti fejléccel'!$W:$W)</f>
        <v>0</v>
      </c>
      <c r="Q77" s="6">
        <f>SUMIF('Eredeti fejléccel'!$B:$B,'Felosztás eredménykim'!$B77,'Eredeti fejléccel'!$X:$X)</f>
        <v>0</v>
      </c>
      <c r="R77" s="6">
        <f>SUMIF('Eredeti fejléccel'!$B:$B,'Felosztás eredménykim'!$B77,'Eredeti fejléccel'!$Y:$Y)</f>
        <v>0</v>
      </c>
      <c r="S77" s="6">
        <f>SUMIF('Eredeti fejléccel'!$B:$B,'Felosztás eredménykim'!$B77,'Eredeti fejléccel'!$Z:$Z)</f>
        <v>0</v>
      </c>
      <c r="T77" s="6">
        <f>SUMIF('Eredeti fejléccel'!$B:$B,'Felosztás eredménykim'!$B77,'Eredeti fejléccel'!$AA:$AA)</f>
        <v>0</v>
      </c>
      <c r="U77" s="6">
        <f>SUMIF('Eredeti fejléccel'!$B:$B,'Felosztás eredménykim'!$B77,'Eredeti fejléccel'!$D:$D)</f>
        <v>0</v>
      </c>
      <c r="V77" s="6">
        <f>SUMIF('Eredeti fejléccel'!$B:$B,'Felosztás eredménykim'!$B77,'Eredeti fejléccel'!$AT:$AT)</f>
        <v>0</v>
      </c>
      <c r="X77" s="36">
        <f t="shared" si="86"/>
        <v>0</v>
      </c>
      <c r="Z77" s="6">
        <f>SUMIF('Eredeti fejléccel'!$B:$B,'Felosztás eredménykim'!$B77,'Eredeti fejléccel'!$K:$K)</f>
        <v>0</v>
      </c>
      <c r="AB77" s="6">
        <f>SUMIF('Eredeti fejléccel'!$B:$B,'Felosztás eredménykim'!$B77,'Eredeti fejléccel'!$AB:$AB)</f>
        <v>0</v>
      </c>
      <c r="AC77" s="6">
        <f>SUMIF('Eredeti fejléccel'!$B:$B,'Felosztás eredménykim'!$B77,'Eredeti fejléccel'!$AQ:$AQ)</f>
        <v>0</v>
      </c>
      <c r="AE77" s="73">
        <f t="shared" si="131"/>
        <v>0</v>
      </c>
      <c r="AF77" s="36">
        <f t="shared" si="87"/>
        <v>0</v>
      </c>
      <c r="AG77" s="8">
        <f t="shared" si="88"/>
        <v>0</v>
      </c>
      <c r="AI77" s="6">
        <f>SUMIF('Eredeti fejléccel'!$B:$B,'Felosztás eredménykim'!$B77,'Eredeti fejléccel'!$BB:$BB)</f>
        <v>0</v>
      </c>
      <c r="AJ77" s="6">
        <f>SUMIF('Eredeti fejléccel'!$B:$B,'Felosztás eredménykim'!$B77,'Eredeti fejléccel'!$AF:$AF)</f>
        <v>0</v>
      </c>
      <c r="AK77" s="8">
        <f t="shared" si="73"/>
        <v>0</v>
      </c>
      <c r="AL77" s="36">
        <f t="shared" si="89"/>
        <v>0</v>
      </c>
      <c r="AM77" s="8">
        <f t="shared" si="90"/>
        <v>0</v>
      </c>
      <c r="AN77" s="6">
        <f t="shared" si="123"/>
        <v>0</v>
      </c>
      <c r="AO77" s="6">
        <f>SUMIF('Eredeti fejléccel'!$B:$B,'Felosztás eredménykim'!$B77,'Eredeti fejléccel'!$AC:$AC)</f>
        <v>0</v>
      </c>
      <c r="AP77" s="6">
        <f>SUMIF('Eredeti fejléccel'!$B:$B,'Felosztás eredménykim'!$B77,'Eredeti fejléccel'!$AD:$AD)</f>
        <v>0</v>
      </c>
      <c r="AQ77" s="6">
        <f>SUMIF('Eredeti fejléccel'!$B:$B,'Felosztás eredménykim'!$B77,'Eredeti fejléccel'!$AE:$AE)</f>
        <v>0</v>
      </c>
      <c r="AR77" s="6">
        <f>SUMIF('Eredeti fejléccel'!$B:$B,'Felosztás eredménykim'!$B77,'Eredeti fejléccel'!$AG:$AG)</f>
        <v>0</v>
      </c>
      <c r="AS77" s="6">
        <f t="shared" si="124"/>
        <v>0</v>
      </c>
      <c r="AT77" s="36">
        <f t="shared" si="91"/>
        <v>0</v>
      </c>
      <c r="AU77" s="8">
        <f t="shared" si="92"/>
        <v>0</v>
      </c>
      <c r="AV77" s="6">
        <f>SUMIF('Eredeti fejléccel'!$B:$B,'Felosztás eredménykim'!$B77,'Eredeti fejléccel'!$AI:$AI)</f>
        <v>0</v>
      </c>
      <c r="AW77" s="6">
        <f>SUMIF('Eredeti fejléccel'!$B:$B,'Felosztás eredménykim'!$B77,'Eredeti fejléccel'!$AJ:$AJ)</f>
        <v>0</v>
      </c>
      <c r="AX77" s="6">
        <f>SUMIF('Eredeti fejléccel'!$B:$B,'Felosztás eredménykim'!$B77,'Eredeti fejléccel'!$AK:$AK)</f>
        <v>0</v>
      </c>
      <c r="AY77" s="6">
        <f>SUMIF('Eredeti fejléccel'!$B:$B,'Felosztás eredménykim'!$B77,'Eredeti fejléccel'!$AL:$AL)</f>
        <v>0</v>
      </c>
      <c r="AZ77" s="6">
        <f>SUMIF('Eredeti fejléccel'!$B:$B,'Felosztás eredménykim'!$B77,'Eredeti fejléccel'!$AM:$AM)</f>
        <v>0</v>
      </c>
      <c r="BA77" s="6">
        <f>SUMIF('Eredeti fejléccel'!$B:$B,'Felosztás eredménykim'!$B77,'Eredeti fejléccel'!$AN:$AN)</f>
        <v>0</v>
      </c>
      <c r="BB77" s="6">
        <f>SUMIF('Eredeti fejléccel'!$B:$B,'Felosztás eredménykim'!$B77,'Eredeti fejléccel'!$AP:$AP)</f>
        <v>0</v>
      </c>
      <c r="BD77" s="6">
        <f>SUMIF('Eredeti fejléccel'!$B:$B,'Felosztás eredménykim'!$B77,'Eredeti fejléccel'!$AS:$AS)</f>
        <v>0</v>
      </c>
      <c r="BE77" s="8">
        <f t="shared" si="74"/>
        <v>0</v>
      </c>
      <c r="BF77" s="36">
        <f t="shared" si="93"/>
        <v>0</v>
      </c>
      <c r="BG77" s="8">
        <f t="shared" si="94"/>
        <v>0</v>
      </c>
      <c r="BH77" s="6">
        <f t="shared" si="125"/>
        <v>0</v>
      </c>
      <c r="BI77" s="6">
        <f>SUMIF('Eredeti fejléccel'!$B:$B,'Felosztás eredménykim'!$B77,'Eredeti fejléccel'!$AH:$AH)</f>
        <v>0</v>
      </c>
      <c r="BJ77" s="6">
        <f>SUMIF('Eredeti fejléccel'!$B:$B,'Felosztás eredménykim'!$B77,'Eredeti fejléccel'!$AO:$AO)</f>
        <v>0</v>
      </c>
      <c r="BK77" s="6">
        <f>SUMIF('Eredeti fejléccel'!$B:$B,'Felosztás eredménykim'!$B77,'Eredeti fejléccel'!$BF:$BF)</f>
        <v>0</v>
      </c>
      <c r="BL77" s="8">
        <f t="shared" si="126"/>
        <v>0</v>
      </c>
      <c r="BM77" s="36">
        <f t="shared" si="95"/>
        <v>0</v>
      </c>
      <c r="BN77" s="8">
        <f t="shared" si="96"/>
        <v>0</v>
      </c>
      <c r="BP77" s="8">
        <f t="shared" si="127"/>
        <v>0</v>
      </c>
      <c r="BQ77" s="6">
        <f>SUMIF('Eredeti fejléccel'!$B:$B,'Felosztás eredménykim'!$B77,'Eredeti fejléccel'!$N:$N)</f>
        <v>0</v>
      </c>
      <c r="BR77" s="6">
        <f>SUMIF('Eredeti fejléccel'!$B:$B,'Felosztás eredménykim'!$B77,'Eredeti fejléccel'!$S:$S)</f>
        <v>0</v>
      </c>
      <c r="BT77" s="6">
        <f>SUMIF('Eredeti fejléccel'!$B:$B,'Felosztás eredménykim'!$B77,'Eredeti fejléccel'!$AR:$AR)</f>
        <v>0</v>
      </c>
      <c r="BU77" s="6">
        <f>SUMIF('Eredeti fejléccel'!$B:$B,'Felosztás eredménykim'!$B77,'Eredeti fejléccel'!$AU:$AU)</f>
        <v>0</v>
      </c>
      <c r="BV77" s="6">
        <f>SUMIF('Eredeti fejléccel'!$B:$B,'Felosztás eredménykim'!$B77,'Eredeti fejléccel'!$AV:$AV)</f>
        <v>0</v>
      </c>
      <c r="BW77" s="6">
        <f>SUMIF('Eredeti fejléccel'!$B:$B,'Felosztás eredménykim'!$B77,'Eredeti fejléccel'!$AW:$AW)</f>
        <v>0</v>
      </c>
      <c r="BX77" s="6">
        <f>SUMIF('Eredeti fejléccel'!$B:$B,'Felosztás eredménykim'!$B77,'Eredeti fejléccel'!$AX:$AX)</f>
        <v>0</v>
      </c>
      <c r="BY77" s="6">
        <f>SUMIF('Eredeti fejléccel'!$B:$B,'Felosztás eredménykim'!$B77,'Eredeti fejléccel'!$AY:$AY)</f>
        <v>0</v>
      </c>
      <c r="BZ77" s="6">
        <f>SUMIF('Eredeti fejléccel'!$B:$B,'Felosztás eredménykim'!$B77,'Eredeti fejléccel'!$AZ:$AZ)</f>
        <v>0</v>
      </c>
      <c r="CA77" s="6">
        <f>SUMIF('Eredeti fejléccel'!$B:$B,'Felosztás eredménykim'!$B77,'Eredeti fejléccel'!$BA:$BA)</f>
        <v>904691</v>
      </c>
      <c r="CB77" s="6">
        <f t="shared" si="114"/>
        <v>904691</v>
      </c>
      <c r="CC77" s="36">
        <f t="shared" si="97"/>
        <v>0</v>
      </c>
      <c r="CD77" s="8">
        <f t="shared" si="98"/>
        <v>0</v>
      </c>
      <c r="CE77" s="6">
        <f>SUMIF('Eredeti fejléccel'!$B:$B,'Felosztás eredménykim'!$B77,'Eredeti fejléccel'!$BC:$BC)</f>
        <v>0</v>
      </c>
      <c r="CF77" s="8">
        <f t="shared" ref="CF77:CF152" si="135">-CE77/2</f>
        <v>0</v>
      </c>
      <c r="CG77" s="6">
        <f>SUMIF('Eredeti fejléccel'!$B:$B,'Felosztás eredménykim'!$B77,'Eredeti fejléccel'!$H:$H)</f>
        <v>0</v>
      </c>
      <c r="CH77" s="6">
        <f>SUMIF('Eredeti fejléccel'!$B:$B,'Felosztás eredménykim'!$B77,'Eredeti fejléccel'!$BE:$BE)</f>
        <v>0</v>
      </c>
      <c r="CI77" s="6">
        <f t="shared" si="75"/>
        <v>0</v>
      </c>
      <c r="CJ77" s="36">
        <f t="shared" si="99"/>
        <v>0</v>
      </c>
      <c r="CK77" s="8">
        <f t="shared" si="100"/>
        <v>0</v>
      </c>
      <c r="CL77" s="8">
        <f t="shared" ref="CL77:CL152" si="136">CE77/2</f>
        <v>0</v>
      </c>
      <c r="CM77" s="6">
        <f>SUMIF('Eredeti fejléccel'!$B:$B,'Felosztás eredménykim'!$B77,'Eredeti fejléccel'!$BD:$BD)</f>
        <v>0</v>
      </c>
      <c r="CN77" s="8">
        <f t="shared" si="76"/>
        <v>0</v>
      </c>
      <c r="CO77" s="8">
        <f t="shared" si="115"/>
        <v>904691</v>
      </c>
      <c r="CR77" s="36">
        <f t="shared" si="101"/>
        <v>0</v>
      </c>
      <c r="CS77" s="6">
        <f>SUMIF('Eredeti fejléccel'!$B:$B,'Felosztás eredménykim'!$B77,'Eredeti fejléccel'!$I:$I)</f>
        <v>0</v>
      </c>
      <c r="CT77" s="6">
        <f>SUMIF('Eredeti fejléccel'!$B:$B,'Felosztás eredménykim'!$B77,'Eredeti fejléccel'!$BG:$BG)</f>
        <v>0</v>
      </c>
      <c r="CU77" s="6">
        <f>SUMIF('Eredeti fejléccel'!$B:$B,'Felosztás eredménykim'!$B77,'Eredeti fejléccel'!$BH:$BH)</f>
        <v>0</v>
      </c>
      <c r="CV77" s="6">
        <f>SUMIF('Eredeti fejléccel'!$B:$B,'Felosztás eredménykim'!$B77,'Eredeti fejléccel'!$BI:$BI)</f>
        <v>0</v>
      </c>
      <c r="CW77" s="6">
        <f>SUMIF('Eredeti fejléccel'!$B:$B,'Felosztás eredménykim'!$B77,'Eredeti fejléccel'!$BL:$BL)</f>
        <v>0</v>
      </c>
      <c r="CX77" s="6">
        <f t="shared" si="77"/>
        <v>0</v>
      </c>
      <c r="CY77" s="6">
        <f>SUMIF('Eredeti fejléccel'!$B:$B,'Felosztás eredménykim'!$B77,'Eredeti fejléccel'!$BJ:$BJ)</f>
        <v>0</v>
      </c>
      <c r="CZ77" s="6">
        <f>SUMIF('Eredeti fejléccel'!$B:$B,'Felosztás eredménykim'!$B77,'Eredeti fejléccel'!$BK:$BK)</f>
        <v>0</v>
      </c>
      <c r="DA77" s="99">
        <f t="shared" si="116"/>
        <v>0</v>
      </c>
      <c r="DC77" s="36">
        <f t="shared" si="102"/>
        <v>0</v>
      </c>
      <c r="DD77" s="6">
        <f>SUMIF('Eredeti fejléccel'!$B:$B,'Felosztás eredménykim'!$B77,'Eredeti fejléccel'!$J:$J)</f>
        <v>0</v>
      </c>
      <c r="DE77" s="6">
        <f>SUMIF('Eredeti fejléccel'!$B:$B,'Felosztás eredménykim'!$B77,'Eredeti fejléccel'!$BM:$BM)</f>
        <v>0</v>
      </c>
      <c r="DF77" s="6">
        <f t="shared" si="128"/>
        <v>0</v>
      </c>
      <c r="DG77" s="8">
        <f t="shared" si="117"/>
        <v>0</v>
      </c>
      <c r="DH77" s="8">
        <f t="shared" si="129"/>
        <v>0</v>
      </c>
      <c r="DJ77" s="6">
        <f>SUMIF('Eredeti fejléccel'!$B:$B,'Felosztás eredménykim'!$B77,'Eredeti fejléccel'!$BN:$BN)</f>
        <v>0</v>
      </c>
      <c r="DK77" s="6">
        <f>SUMIF('Eredeti fejléccel'!$B:$B,'Felosztás eredménykim'!$B77,'Eredeti fejléccel'!$BZ:$BZ)</f>
        <v>0</v>
      </c>
      <c r="DL77" s="8">
        <f t="shared" si="130"/>
        <v>0</v>
      </c>
      <c r="DM77" s="6">
        <f>SUMIF('Eredeti fejléccel'!$B:$B,'Felosztás eredménykim'!$B77,'Eredeti fejléccel'!$BR:$BR)</f>
        <v>0</v>
      </c>
      <c r="DN77" s="6">
        <f>SUMIF('Eredeti fejléccel'!$B:$B,'Felosztás eredménykim'!$B77,'Eredeti fejléccel'!$BS:$BS)</f>
        <v>0</v>
      </c>
      <c r="DO77" s="6">
        <f>SUMIF('Eredeti fejléccel'!$B:$B,'Felosztás eredménykim'!$B77,'Eredeti fejléccel'!$BO:$BO)</f>
        <v>0</v>
      </c>
      <c r="DP77" s="6">
        <f>SUMIF('Eredeti fejléccel'!$B:$B,'Felosztás eredménykim'!$B77,'Eredeti fejléccel'!$BP:$BP)</f>
        <v>0</v>
      </c>
      <c r="DQ77" s="6">
        <f>SUMIF('Eredeti fejléccel'!$B:$B,'Felosztás eredménykim'!$B77,'Eredeti fejléccel'!$BQ:$BQ)</f>
        <v>0</v>
      </c>
      <c r="DS77" s="8"/>
      <c r="DU77" s="6">
        <f>SUMIF('Eredeti fejléccel'!$B:$B,'Felosztás eredménykim'!$B77,'Eredeti fejléccel'!$BT:$BT)</f>
        <v>0</v>
      </c>
      <c r="DV77" s="6">
        <f>SUMIF('Eredeti fejléccel'!$B:$B,'Felosztás eredménykim'!$B77,'Eredeti fejléccel'!$BU:$BU)</f>
        <v>0</v>
      </c>
      <c r="DW77" s="6">
        <f>SUMIF('Eredeti fejléccel'!$B:$B,'Felosztás eredménykim'!$B77,'Eredeti fejléccel'!$BV:$BV)</f>
        <v>0</v>
      </c>
      <c r="DX77" s="6">
        <f>SUMIF('Eredeti fejléccel'!$B:$B,'Felosztás eredménykim'!$B77,'Eredeti fejléccel'!$BW:$BW)</f>
        <v>0</v>
      </c>
      <c r="DY77" s="6">
        <f>SUMIF('Eredeti fejléccel'!$B:$B,'Felosztás eredménykim'!$B77,'Eredeti fejléccel'!$BX:$BX)</f>
        <v>0</v>
      </c>
      <c r="EA77" s="6"/>
      <c r="EC77" s="6"/>
      <c r="EE77" s="6">
        <f>SUMIF('Eredeti fejléccel'!$B:$B,'Felosztás eredménykim'!$B77,'Eredeti fejléccel'!$CA:$CA)</f>
        <v>0</v>
      </c>
      <c r="EF77" s="6">
        <f>SUMIF('Eredeti fejléccel'!$B:$B,'Felosztás eredménykim'!$B77,'Eredeti fejléccel'!$CB:$CB)</f>
        <v>0</v>
      </c>
      <c r="EG77" s="6">
        <f>SUMIF('Eredeti fejléccel'!$B:$B,'Felosztás eredménykim'!$B77,'Eredeti fejléccel'!$CC:$CC)</f>
        <v>0</v>
      </c>
      <c r="EH77" s="6">
        <f>SUMIF('Eredeti fejléccel'!$B:$B,'Felosztás eredménykim'!$B77,'Eredeti fejléccel'!$CD:$CD)</f>
        <v>0</v>
      </c>
      <c r="EK77" s="6">
        <f>SUMIF('Eredeti fejléccel'!$B:$B,'Felosztás eredménykim'!$B77,'Eredeti fejléccel'!$CE:$CE)</f>
        <v>0</v>
      </c>
      <c r="EN77" s="6">
        <f>SUMIF('Eredeti fejléccel'!$B:$B,'Felosztás eredménykim'!$B77,'Eredeti fejléccel'!$CF:$CF)</f>
        <v>0</v>
      </c>
      <c r="EP77" s="6">
        <f>SUMIF('Eredeti fejléccel'!$B:$B,'Felosztás eredménykim'!$B77,'Eredeti fejléccel'!$CG:$CG)</f>
        <v>0</v>
      </c>
      <c r="ES77" s="6">
        <f>SUMIF('Eredeti fejléccel'!$B:$B,'Felosztás eredménykim'!$B77,'Eredeti fejléccel'!$CH:$CH)</f>
        <v>0</v>
      </c>
      <c r="ET77" s="6">
        <f>SUMIF('Eredeti fejléccel'!$B:$B,'Felosztás eredménykim'!$B77,'Eredeti fejléccel'!$CI:$CI)</f>
        <v>0</v>
      </c>
      <c r="EW77" s="8">
        <f t="shared" si="118"/>
        <v>0</v>
      </c>
      <c r="EX77" s="8">
        <f t="shared" si="78"/>
        <v>0</v>
      </c>
      <c r="EY77" s="8">
        <f t="shared" si="119"/>
        <v>0</v>
      </c>
      <c r="EZ77" s="8">
        <f t="shared" si="120"/>
        <v>0</v>
      </c>
      <c r="FA77" s="8">
        <f t="shared" si="121"/>
        <v>0</v>
      </c>
      <c r="FC77" s="6">
        <f>SUMIF('Eredeti fejléccel'!$B:$B,'Felosztás eredménykim'!$B77,'Eredeti fejléccel'!$L:$L)</f>
        <v>0</v>
      </c>
      <c r="FD77" s="6">
        <f>SUMIF('Eredeti fejléccel'!$B:$B,'Felosztás eredménykim'!$B77,'Eredeti fejléccel'!$CJ:$CJ)</f>
        <v>0</v>
      </c>
      <c r="FE77" s="6">
        <f>SUMIF('Eredeti fejléccel'!$B:$B,'Felosztás eredménykim'!$B77,'Eredeti fejléccel'!$CL:$CL)</f>
        <v>0</v>
      </c>
      <c r="FG77" s="99">
        <f t="shared" si="79"/>
        <v>0</v>
      </c>
      <c r="FH77" s="6">
        <f>SUMIF('Eredeti fejléccel'!$B:$B,'Felosztás eredménykim'!$B77,'Eredeti fejléccel'!$CK:$CK)</f>
        <v>0</v>
      </c>
      <c r="FI77" s="36">
        <f t="shared" si="103"/>
        <v>0</v>
      </c>
      <c r="FJ77" s="101">
        <f t="shared" si="104"/>
        <v>0</v>
      </c>
      <c r="FK77" s="6">
        <f>SUMIF('Eredeti fejléccel'!$B:$B,'Felosztás eredménykim'!$B77,'Eredeti fejléccel'!$CM:$CM)</f>
        <v>0</v>
      </c>
      <c r="FL77" s="6">
        <f>SUMIF('Eredeti fejléccel'!$B:$B,'Felosztás eredménykim'!$B77,'Eredeti fejléccel'!$CN:$CN)</f>
        <v>0</v>
      </c>
      <c r="FM77" s="8">
        <f t="shared" si="80"/>
        <v>0</v>
      </c>
      <c r="FN77" s="36">
        <f t="shared" si="105"/>
        <v>0</v>
      </c>
      <c r="FO77" s="101">
        <f t="shared" si="106"/>
        <v>0</v>
      </c>
      <c r="FP77" s="6">
        <f>SUMIF('Eredeti fejléccel'!$B:$B,'Felosztás eredménykim'!$B77,'Eredeti fejléccel'!$CO:$CO)</f>
        <v>0</v>
      </c>
      <c r="FQ77" s="6">
        <f>'Eredeti fejléccel'!CP77</f>
        <v>0</v>
      </c>
      <c r="FR77" s="6">
        <f>'Eredeti fejléccel'!CQ77</f>
        <v>0</v>
      </c>
      <c r="FS77" s="103">
        <f t="shared" si="122"/>
        <v>0</v>
      </c>
      <c r="FT77" s="36">
        <f t="shared" si="107"/>
        <v>0</v>
      </c>
      <c r="FU77" s="101">
        <f t="shared" si="108"/>
        <v>0</v>
      </c>
      <c r="FV77" s="101"/>
      <c r="FW77" s="6">
        <f>SUMIF('Eredeti fejléccel'!$B:$B,'Felosztás eredménykim'!$B77,'Eredeti fejléccel'!$CR:$CR)</f>
        <v>0</v>
      </c>
      <c r="FX77" s="6">
        <f>SUMIF('Eredeti fejléccel'!$B:$B,'Felosztás eredménykim'!$B77,'Eredeti fejléccel'!$CS:$CS)</f>
        <v>0</v>
      </c>
      <c r="FY77" s="6">
        <f>SUMIF('Eredeti fejléccel'!$B:$B,'Felosztás eredménykim'!$B77,'Eredeti fejléccel'!$CT:$CT)</f>
        <v>0</v>
      </c>
      <c r="FZ77" s="6">
        <f>SUMIF('Eredeti fejléccel'!$B:$B,'Felosztás eredménykim'!$B77,'Eredeti fejléccel'!$CU:$CU)</f>
        <v>0</v>
      </c>
      <c r="GA77" s="103">
        <f t="shared" si="81"/>
        <v>0</v>
      </c>
      <c r="GB77" s="36">
        <f t="shared" si="109"/>
        <v>0</v>
      </c>
      <c r="GC77" s="101">
        <f t="shared" si="110"/>
        <v>0</v>
      </c>
      <c r="GD77" s="6">
        <f>SUMIF('Eredeti fejléccel'!$B:$B,'Felosztás eredménykim'!$B77,'Eredeti fejléccel'!$CV:$CV)</f>
        <v>0</v>
      </c>
      <c r="GE77" s="6">
        <f>SUMIF('Eredeti fejléccel'!$B:$B,'Felosztás eredménykim'!$B77,'Eredeti fejléccel'!$CW:$CW)</f>
        <v>0</v>
      </c>
      <c r="GF77" s="103">
        <f t="shared" si="82"/>
        <v>0</v>
      </c>
      <c r="GG77" s="36">
        <f t="shared" si="111"/>
        <v>0</v>
      </c>
      <c r="GM77" s="6">
        <f>SUMIF('Eredeti fejléccel'!$B:$B,'Felosztás eredménykim'!$B77,'Eredeti fejléccel'!$CX:$CX)</f>
        <v>0</v>
      </c>
      <c r="GN77" s="6">
        <f>SUMIF('Eredeti fejléccel'!$B:$B,'Felosztás eredménykim'!$B77,'Eredeti fejléccel'!$CY:$CY)</f>
        <v>0</v>
      </c>
      <c r="GO77" s="6">
        <f>SUMIF('Eredeti fejléccel'!$B:$B,'Felosztás eredménykim'!$B77,'Eredeti fejléccel'!$CZ:$CZ)</f>
        <v>0</v>
      </c>
      <c r="GP77" s="6">
        <f>SUMIF('Eredeti fejléccel'!$B:$B,'Felosztás eredménykim'!$B77,'Eredeti fejléccel'!$DA:$DA)</f>
        <v>0</v>
      </c>
      <c r="GQ77" s="6">
        <f>SUMIF('Eredeti fejléccel'!$B:$B,'Felosztás eredménykim'!$B77,'Eredeti fejléccel'!$DB:$DB)</f>
        <v>0</v>
      </c>
      <c r="GR77" s="103">
        <f t="shared" si="83"/>
        <v>0</v>
      </c>
      <c r="GW77" s="36">
        <f t="shared" si="112"/>
        <v>0</v>
      </c>
      <c r="GX77" s="6">
        <f>SUMIF('Eredeti fejléccel'!$B:$B,'Felosztás eredménykim'!$B77,'Eredeti fejléccel'!$M:$M)</f>
        <v>0</v>
      </c>
      <c r="GY77" s="6">
        <f>SUMIF('Eredeti fejléccel'!$B:$B,'Felosztás eredménykim'!$B77,'Eredeti fejléccel'!$DC:$DC)</f>
        <v>0</v>
      </c>
      <c r="GZ77" s="6">
        <f>SUMIF('Eredeti fejléccel'!$B:$B,'Felosztás eredménykim'!$B77,'Eredeti fejléccel'!$DD:$DD)</f>
        <v>0</v>
      </c>
      <c r="HA77" s="6">
        <f>SUMIF('Eredeti fejléccel'!$B:$B,'Felosztás eredménykim'!$B77,'Eredeti fejléccel'!$DE:$DE)</f>
        <v>0</v>
      </c>
      <c r="HB77" s="103">
        <f t="shared" si="84"/>
        <v>0</v>
      </c>
      <c r="HD77" s="9">
        <f t="shared" si="113"/>
        <v>904691</v>
      </c>
      <c r="HE77" s="9">
        <v>904691</v>
      </c>
      <c r="HF77" s="476"/>
      <c r="HH77" s="34">
        <f t="shared" si="85"/>
        <v>0</v>
      </c>
    </row>
    <row r="78" spans="1:218" x14ac:dyDescent="0.25">
      <c r="A78" s="4" t="s">
        <v>857</v>
      </c>
      <c r="B78" s="4" t="s">
        <v>857</v>
      </c>
      <c r="C78" s="1" t="s">
        <v>915</v>
      </c>
      <c r="D78" s="6">
        <f>SUMIF('Eredeti fejléccel'!$B:$B,'Felosztás eredménykim'!$B78,'Eredeti fejléccel'!$D:$D)</f>
        <v>0</v>
      </c>
      <c r="E78" s="6">
        <f>SUMIF('Eredeti fejléccel'!$B:$B,'Felosztás eredménykim'!$B78,'Eredeti fejléccel'!$E:$E)</f>
        <v>36846</v>
      </c>
      <c r="F78" s="6">
        <f>SUMIF('Eredeti fejléccel'!$B:$B,'Felosztás eredménykim'!$B78,'Eredeti fejléccel'!$F:$F)</f>
        <v>-3.637978807091713E-12</v>
      </c>
      <c r="G78" s="6">
        <f>SUMIF('Eredeti fejléccel'!$B:$B,'Felosztás eredménykim'!$B78,'Eredeti fejléccel'!$G:$G)</f>
        <v>32711</v>
      </c>
      <c r="H78" s="6"/>
      <c r="I78" s="6">
        <f>SUMIF('Eredeti fejléccel'!$B:$B,'Felosztás eredménykim'!$B78,'Eredeti fejléccel'!$O:$O)</f>
        <v>534</v>
      </c>
      <c r="J78" s="6">
        <f>SUMIF('Eredeti fejléccel'!$B:$B,'Felosztás eredménykim'!$B78,'Eredeti fejléccel'!$P:$P)</f>
        <v>0</v>
      </c>
      <c r="K78" s="6">
        <f>SUMIF('Eredeti fejléccel'!$B:$B,'Felosztás eredménykim'!$B78,'Eredeti fejléccel'!$Q:$Q)</f>
        <v>5800</v>
      </c>
      <c r="L78" s="6">
        <f>SUMIF('Eredeti fejléccel'!$B:$B,'Felosztás eredménykim'!$B78,'Eredeti fejléccel'!$R:$R)</f>
        <v>9475</v>
      </c>
      <c r="M78" s="6">
        <f>SUMIF('Eredeti fejléccel'!$B:$B,'Felosztás eredménykim'!$B78,'Eredeti fejléccel'!$T:$T)</f>
        <v>0</v>
      </c>
      <c r="N78" s="6">
        <f>SUMIF('Eredeti fejléccel'!$B:$B,'Felosztás eredménykim'!$B78,'Eredeti fejléccel'!$U:$U)</f>
        <v>0</v>
      </c>
      <c r="O78" s="6">
        <f>SUMIF('Eredeti fejléccel'!$B:$B,'Felosztás eredménykim'!$B78,'Eredeti fejléccel'!$V:$V)</f>
        <v>2314</v>
      </c>
      <c r="P78" s="6">
        <f>SUMIF('Eredeti fejléccel'!$B:$B,'Felosztás eredménykim'!$B78,'Eredeti fejléccel'!$W:$W)</f>
        <v>0</v>
      </c>
      <c r="Q78" s="6">
        <f>SUMIF('Eredeti fejléccel'!$B:$B,'Felosztás eredménykim'!$B78,'Eredeti fejléccel'!$X:$X)</f>
        <v>0</v>
      </c>
      <c r="R78" s="6">
        <f>SUMIF('Eredeti fejléccel'!$B:$B,'Felosztás eredménykim'!$B78,'Eredeti fejléccel'!$Y:$Y)</f>
        <v>0</v>
      </c>
      <c r="S78" s="6">
        <f>SUMIF('Eredeti fejléccel'!$B:$B,'Felosztás eredménykim'!$B78,'Eredeti fejléccel'!$Z:$Z)</f>
        <v>0</v>
      </c>
      <c r="T78" s="6">
        <f>SUMIF('Eredeti fejléccel'!$B:$B,'Felosztás eredménykim'!$B78,'Eredeti fejléccel'!$AA:$AA)</f>
        <v>0</v>
      </c>
      <c r="U78" s="6">
        <f>SUMIF('Eredeti fejléccel'!$B:$B,'Felosztás eredménykim'!$B78,'Eredeti fejléccel'!$D:$D)</f>
        <v>0</v>
      </c>
      <c r="V78" s="6">
        <f>SUMIF('Eredeti fejléccel'!$B:$B,'Felosztás eredménykim'!$B78,'Eredeti fejléccel'!$AT:$AT)</f>
        <v>0</v>
      </c>
      <c r="X78" s="36">
        <f t="shared" si="86"/>
        <v>87680</v>
      </c>
      <c r="Z78" s="6">
        <f>SUMIF('Eredeti fejléccel'!$B:$B,'Felosztás eredménykim'!$B78,'Eredeti fejléccel'!$K:$K)</f>
        <v>31040</v>
      </c>
      <c r="AB78" s="6">
        <f>SUMIF('Eredeti fejléccel'!$B:$B,'Felosztás eredménykim'!$B78,'Eredeti fejléccel'!$AB:$AB)</f>
        <v>0</v>
      </c>
      <c r="AC78" s="6">
        <f>SUMIF('Eredeti fejléccel'!$B:$B,'Felosztás eredménykim'!$B78,'Eredeti fejléccel'!$AQ:$AQ)</f>
        <v>0</v>
      </c>
      <c r="AE78" s="73">
        <f t="shared" si="131"/>
        <v>31040</v>
      </c>
      <c r="AF78" s="36">
        <f t="shared" si="87"/>
        <v>10459.754169711025</v>
      </c>
      <c r="AG78" s="8">
        <f t="shared" si="88"/>
        <v>9896.9322958590456</v>
      </c>
      <c r="AI78" s="6">
        <f>SUMIF('Eredeti fejléccel'!$B:$B,'Felosztás eredménykim'!$B78,'Eredeti fejléccel'!$BB:$BB)</f>
        <v>11232</v>
      </c>
      <c r="AJ78" s="6">
        <f>SUMIF('Eredeti fejléccel'!$B:$B,'Felosztás eredménykim'!$B78,'Eredeti fejléccel'!$AF:$AF)</f>
        <v>0</v>
      </c>
      <c r="AK78" s="8">
        <f t="shared" si="73"/>
        <v>21128.932295859046</v>
      </c>
      <c r="AL78" s="36">
        <f t="shared" si="89"/>
        <v>4154.5615439862031</v>
      </c>
      <c r="AM78" s="8">
        <f t="shared" si="90"/>
        <v>3931.0115374295679</v>
      </c>
      <c r="AN78" s="6">
        <f t="shared" si="123"/>
        <v>-178</v>
      </c>
      <c r="AO78" s="6">
        <f>SUMIF('Eredeti fejléccel'!$B:$B,'Felosztás eredménykim'!$B78,'Eredeti fejléccel'!$AC:$AC)</f>
        <v>356</v>
      </c>
      <c r="AP78" s="6">
        <f>SUMIF('Eredeti fejléccel'!$B:$B,'Felosztás eredménykim'!$B78,'Eredeti fejléccel'!$AD:$AD)</f>
        <v>0</v>
      </c>
      <c r="AQ78" s="6">
        <f>SUMIF('Eredeti fejléccel'!$B:$B,'Felosztás eredménykim'!$B78,'Eredeti fejléccel'!$AE:$AE)</f>
        <v>0</v>
      </c>
      <c r="AR78" s="6">
        <f>SUMIF('Eredeti fejléccel'!$B:$B,'Felosztás eredménykim'!$B78,'Eredeti fejléccel'!$AG:$AG)</f>
        <v>23250</v>
      </c>
      <c r="AS78" s="6">
        <f t="shared" si="124"/>
        <v>27359.011537429567</v>
      </c>
      <c r="AT78" s="36">
        <f t="shared" si="91"/>
        <v>6748.2284965877589</v>
      </c>
      <c r="AU78" s="8">
        <f t="shared" si="92"/>
        <v>6385.1176102316422</v>
      </c>
      <c r="AV78" s="6">
        <f>SUMIF('Eredeti fejléccel'!$B:$B,'Felosztás eredménykim'!$B78,'Eredeti fejléccel'!$AI:$AI)</f>
        <v>0</v>
      </c>
      <c r="AW78" s="6">
        <f>SUMIF('Eredeti fejléccel'!$B:$B,'Felosztás eredménykim'!$B78,'Eredeti fejléccel'!$AJ:$AJ)</f>
        <v>356</v>
      </c>
      <c r="AX78" s="6">
        <f>SUMIF('Eredeti fejléccel'!$B:$B,'Felosztás eredménykim'!$B78,'Eredeti fejléccel'!$AK:$AK)</f>
        <v>2314</v>
      </c>
      <c r="AY78" s="6">
        <f>SUMIF('Eredeti fejléccel'!$B:$B,'Felosztás eredménykim'!$B78,'Eredeti fejléccel'!$AL:$AL)</f>
        <v>890</v>
      </c>
      <c r="AZ78" s="6">
        <f>SUMIF('Eredeti fejléccel'!$B:$B,'Felosztás eredménykim'!$B78,'Eredeti fejléccel'!$AM:$AM)</f>
        <v>1602</v>
      </c>
      <c r="BA78" s="6">
        <f>SUMIF('Eredeti fejléccel'!$B:$B,'Felosztás eredménykim'!$B78,'Eredeti fejléccel'!$AN:$AN)</f>
        <v>0</v>
      </c>
      <c r="BB78" s="6">
        <f>SUMIF('Eredeti fejléccel'!$B:$B,'Felosztás eredménykim'!$B78,'Eredeti fejléccel'!$AP:$AP)</f>
        <v>0</v>
      </c>
      <c r="BD78" s="6">
        <f>SUMIF('Eredeti fejléccel'!$B:$B,'Felosztás eredménykim'!$B78,'Eredeti fejléccel'!$AS:$AS)</f>
        <v>0</v>
      </c>
      <c r="BE78" s="8">
        <f t="shared" si="74"/>
        <v>11547.117610231642</v>
      </c>
      <c r="BF78" s="36">
        <f t="shared" si="93"/>
        <v>1760.4074338924586</v>
      </c>
      <c r="BG78" s="8">
        <f t="shared" si="94"/>
        <v>1665.6828548430371</v>
      </c>
      <c r="BH78" s="6">
        <f t="shared" si="125"/>
        <v>178</v>
      </c>
      <c r="BI78" s="6">
        <f>SUMIF('Eredeti fejléccel'!$B:$B,'Felosztás eredménykim'!$B78,'Eredeti fejléccel'!$AH:$AH)</f>
        <v>1602</v>
      </c>
      <c r="BJ78" s="6">
        <f>SUMIF('Eredeti fejléccel'!$B:$B,'Felosztás eredménykim'!$B78,'Eredeti fejléccel'!$AO:$AO)</f>
        <v>0</v>
      </c>
      <c r="BK78" s="6">
        <f>SUMIF('Eredeti fejléccel'!$B:$B,'Felosztás eredménykim'!$B78,'Eredeti fejléccel'!$BF:$BF)</f>
        <v>0</v>
      </c>
      <c r="BL78" s="8">
        <f t="shared" si="126"/>
        <v>3445.6828548430371</v>
      </c>
      <c r="BM78" s="36">
        <f t="shared" si="95"/>
        <v>6595.6598523170796</v>
      </c>
      <c r="BN78" s="8">
        <f t="shared" si="96"/>
        <v>6240.7584294785793</v>
      </c>
      <c r="BP78" s="8">
        <f t="shared" si="127"/>
        <v>0</v>
      </c>
      <c r="BQ78" s="6">
        <f>SUMIF('Eredeti fejléccel'!$B:$B,'Felosztás eredménykim'!$B78,'Eredeti fejléccel'!$N:$N)</f>
        <v>0</v>
      </c>
      <c r="BR78" s="6">
        <f>SUMIF('Eredeti fejléccel'!$B:$B,'Felosztás eredménykim'!$B78,'Eredeti fejléccel'!$S:$S)</f>
        <v>0</v>
      </c>
      <c r="BT78" s="6">
        <f>SUMIF('Eredeti fejléccel'!$B:$B,'Felosztás eredménykim'!$B78,'Eredeti fejléccel'!$AR:$AR)</f>
        <v>0</v>
      </c>
      <c r="BU78" s="6">
        <f>SUMIF('Eredeti fejléccel'!$B:$B,'Felosztás eredménykim'!$B78,'Eredeti fejléccel'!$AU:$AU)</f>
        <v>0</v>
      </c>
      <c r="BV78" s="6">
        <f>SUMIF('Eredeti fejléccel'!$B:$B,'Felosztás eredménykim'!$B78,'Eredeti fejléccel'!$AV:$AV)</f>
        <v>7702.52</v>
      </c>
      <c r="BW78" s="6">
        <f>SUMIF('Eredeti fejléccel'!$B:$B,'Felosztás eredménykim'!$B78,'Eredeti fejléccel'!$AW:$AW)</f>
        <v>0</v>
      </c>
      <c r="BX78" s="6">
        <f>SUMIF('Eredeti fejléccel'!$B:$B,'Felosztás eredménykim'!$B78,'Eredeti fejléccel'!$AX:$AX)</f>
        <v>0</v>
      </c>
      <c r="BY78" s="6">
        <f>SUMIF('Eredeti fejléccel'!$B:$B,'Felosztás eredménykim'!$B78,'Eredeti fejléccel'!$AY:$AY)</f>
        <v>0</v>
      </c>
      <c r="BZ78" s="6">
        <f>SUMIF('Eredeti fejléccel'!$B:$B,'Felosztás eredménykim'!$B78,'Eredeti fejléccel'!$AZ:$AZ)</f>
        <v>0</v>
      </c>
      <c r="CA78" s="6">
        <f>SUMIF('Eredeti fejléccel'!$B:$B,'Felosztás eredménykim'!$B78,'Eredeti fejléccel'!$BA:$BA)</f>
        <v>6308961</v>
      </c>
      <c r="CB78" s="6">
        <f t="shared" si="114"/>
        <v>6322904.2784294784</v>
      </c>
      <c r="CC78" s="36">
        <f t="shared" si="97"/>
        <v>1795.6155825703079</v>
      </c>
      <c r="CD78" s="8">
        <f t="shared" si="98"/>
        <v>1698.996511939898</v>
      </c>
      <c r="CE78" s="6">
        <f>SUMIF('Eredeti fejléccel'!$B:$B,'Felosztás eredménykim'!$B78,'Eredeti fejléccel'!$BC:$BC)</f>
        <v>356</v>
      </c>
      <c r="CF78" s="8">
        <f t="shared" si="135"/>
        <v>-178</v>
      </c>
      <c r="CG78" s="6">
        <f>SUMIF('Eredeti fejléccel'!$B:$B,'Felosztás eredménykim'!$B78,'Eredeti fejléccel'!$H:$H)</f>
        <v>0</v>
      </c>
      <c r="CH78" s="6">
        <f>SUMIF('Eredeti fejléccel'!$B:$B,'Felosztás eredménykim'!$B78,'Eredeti fejléccel'!$BE:$BE)</f>
        <v>2492.0000000000005</v>
      </c>
      <c r="CI78" s="6">
        <f t="shared" si="75"/>
        <v>4368.9965119398985</v>
      </c>
      <c r="CJ78" s="36">
        <f t="shared" si="99"/>
        <v>1290.9654515211366</v>
      </c>
      <c r="CK78" s="8">
        <f t="shared" si="100"/>
        <v>1221.5007602182272</v>
      </c>
      <c r="CL78" s="8">
        <f t="shared" si="136"/>
        <v>178</v>
      </c>
      <c r="CM78" s="6">
        <f>SUMIF('Eredeti fejléccel'!$B:$B,'Felosztás eredménykim'!$B78,'Eredeti fejléccel'!$BD:$BD)</f>
        <v>1424</v>
      </c>
      <c r="CN78" s="8">
        <f t="shared" si="76"/>
        <v>2823.5007602182272</v>
      </c>
      <c r="CO78" s="8">
        <f t="shared" si="115"/>
        <v>6426382.7125305859</v>
      </c>
      <c r="CR78" s="36">
        <f t="shared" si="101"/>
        <v>7754.5705086928538</v>
      </c>
      <c r="CS78" s="6">
        <f>SUMIF('Eredeti fejléccel'!$B:$B,'Felosztás eredménykim'!$B78,'Eredeti fejléccel'!$I:$I)</f>
        <v>0</v>
      </c>
      <c r="CT78" s="6">
        <f>SUMIF('Eredeti fejléccel'!$B:$B,'Felosztás eredménykim'!$B78,'Eredeti fejléccel'!$BG:$BG)</f>
        <v>0</v>
      </c>
      <c r="CU78" s="6">
        <f>SUMIF('Eredeti fejléccel'!$B:$B,'Felosztás eredménykim'!$B78,'Eredeti fejléccel'!$BH:$BH)</f>
        <v>0</v>
      </c>
      <c r="CV78" s="6">
        <f>SUMIF('Eredeti fejléccel'!$B:$B,'Felosztás eredménykim'!$B78,'Eredeti fejléccel'!$BI:$BI)</f>
        <v>0</v>
      </c>
      <c r="CW78" s="6">
        <f>SUMIF('Eredeti fejléccel'!$B:$B,'Felosztás eredménykim'!$B78,'Eredeti fejléccel'!$BL:$BL)</f>
        <v>75948.62</v>
      </c>
      <c r="CX78" s="6">
        <f t="shared" si="77"/>
        <v>75948.62</v>
      </c>
      <c r="CY78" s="6">
        <f>SUMIF('Eredeti fejléccel'!$B:$B,'Felosztás eredménykim'!$B78,'Eredeti fejléccel'!$BJ:$BJ)</f>
        <v>14525.900000000001</v>
      </c>
      <c r="CZ78" s="6">
        <f>SUMIF('Eredeti fejléccel'!$B:$B,'Felosztás eredménykim'!$B78,'Eredeti fejléccel'!$BK:$BK)</f>
        <v>0</v>
      </c>
      <c r="DA78" s="99">
        <f t="shared" si="116"/>
        <v>90474.51999999999</v>
      </c>
      <c r="DC78" s="36">
        <f t="shared" si="102"/>
        <v>6791.9536381197704</v>
      </c>
      <c r="DD78" s="6">
        <f>SUMIF('Eredeti fejléccel'!$B:$B,'Felosztás eredménykim'!$B78,'Eredeti fejléccel'!$J:$J)</f>
        <v>0</v>
      </c>
      <c r="DE78" s="6">
        <f>SUMIF('Eredeti fejléccel'!$B:$B,'Felosztás eredménykim'!$B78,'Eredeti fejléccel'!$BM:$BM)</f>
        <v>7050</v>
      </c>
      <c r="DF78" s="6">
        <f t="shared" si="128"/>
        <v>0</v>
      </c>
      <c r="DG78" s="8">
        <f t="shared" si="117"/>
        <v>0</v>
      </c>
      <c r="DH78" s="8">
        <f t="shared" si="129"/>
        <v>7050</v>
      </c>
      <c r="DJ78" s="6">
        <f>SUMIF('Eredeti fejléccel'!$B:$B,'Felosztás eredménykim'!$B78,'Eredeti fejléccel'!$BN:$BN)</f>
        <v>0</v>
      </c>
      <c r="DK78" s="6">
        <f>SUMIF('Eredeti fejléccel'!$B:$B,'Felosztás eredménykim'!$B78,'Eredeti fejléccel'!$BZ:$BZ)</f>
        <v>0</v>
      </c>
      <c r="DL78" s="8">
        <f t="shared" si="130"/>
        <v>0</v>
      </c>
      <c r="DM78" s="6">
        <f>SUMIF('Eredeti fejléccel'!$B:$B,'Felosztás eredménykim'!$B78,'Eredeti fejléccel'!$BR:$BR)</f>
        <v>0</v>
      </c>
      <c r="DN78" s="6">
        <f>SUMIF('Eredeti fejléccel'!$B:$B,'Felosztás eredménykim'!$B78,'Eredeti fejléccel'!$BS:$BS)</f>
        <v>0</v>
      </c>
      <c r="DO78" s="6">
        <f>SUMIF('Eredeti fejléccel'!$B:$B,'Felosztás eredménykim'!$B78,'Eredeti fejléccel'!$BO:$BO)</f>
        <v>0</v>
      </c>
      <c r="DP78" s="6">
        <f>SUMIF('Eredeti fejléccel'!$B:$B,'Felosztás eredménykim'!$B78,'Eredeti fejléccel'!$BP:$BP)</f>
        <v>0</v>
      </c>
      <c r="DQ78" s="6">
        <f>SUMIF('Eredeti fejléccel'!$B:$B,'Felosztás eredménykim'!$B78,'Eredeti fejléccel'!$BQ:$BQ)</f>
        <v>0</v>
      </c>
      <c r="DS78" s="8"/>
      <c r="DU78" s="6">
        <f>SUMIF('Eredeti fejléccel'!$B:$B,'Felosztás eredménykim'!$B78,'Eredeti fejléccel'!$BT:$BT)</f>
        <v>0</v>
      </c>
      <c r="DV78" s="6">
        <f>SUMIF('Eredeti fejléccel'!$B:$B,'Felosztás eredménykim'!$B78,'Eredeti fejléccel'!$BU:$BU)</f>
        <v>0</v>
      </c>
      <c r="DW78" s="6">
        <f>SUMIF('Eredeti fejléccel'!$B:$B,'Felosztás eredménykim'!$B78,'Eredeti fejléccel'!$BV:$BV)</f>
        <v>0</v>
      </c>
      <c r="DX78" s="6">
        <f>SUMIF('Eredeti fejléccel'!$B:$B,'Felosztás eredménykim'!$B78,'Eredeti fejléccel'!$BW:$BW)</f>
        <v>0</v>
      </c>
      <c r="DY78" s="6">
        <f>SUMIF('Eredeti fejléccel'!$B:$B,'Felosztás eredménykim'!$B78,'Eredeti fejléccel'!$BX:$BX)</f>
        <v>0</v>
      </c>
      <c r="EA78" s="6"/>
      <c r="EC78" s="6"/>
      <c r="EE78" s="6">
        <f>SUMIF('Eredeti fejléccel'!$B:$B,'Felosztás eredménykim'!$B78,'Eredeti fejléccel'!$CA:$CA)</f>
        <v>0</v>
      </c>
      <c r="EF78" s="6">
        <f>SUMIF('Eredeti fejléccel'!$B:$B,'Felosztás eredménykim'!$B78,'Eredeti fejléccel'!$CB:$CB)</f>
        <v>0</v>
      </c>
      <c r="EG78" s="6">
        <f>SUMIF('Eredeti fejléccel'!$B:$B,'Felosztás eredménykim'!$B78,'Eredeti fejléccel'!$CC:$CC)</f>
        <v>0</v>
      </c>
      <c r="EH78" s="6">
        <f>SUMIF('Eredeti fejléccel'!$B:$B,'Felosztás eredménykim'!$B78,'Eredeti fejléccel'!$CD:$CD)</f>
        <v>0</v>
      </c>
      <c r="EK78" s="6">
        <f>SUMIF('Eredeti fejléccel'!$B:$B,'Felosztás eredménykim'!$B78,'Eredeti fejléccel'!$CE:$CE)</f>
        <v>0</v>
      </c>
      <c r="EN78" s="6">
        <f>SUMIF('Eredeti fejléccel'!$B:$B,'Felosztás eredménykim'!$B78,'Eredeti fejléccel'!$CF:$CF)</f>
        <v>0</v>
      </c>
      <c r="EP78" s="6">
        <f>SUMIF('Eredeti fejléccel'!$B:$B,'Felosztás eredménykim'!$B78,'Eredeti fejléccel'!$CG:$CG)</f>
        <v>0</v>
      </c>
      <c r="ES78" s="6">
        <f>SUMIF('Eredeti fejléccel'!$B:$B,'Felosztás eredménykim'!$B78,'Eredeti fejléccel'!$CH:$CH)</f>
        <v>0</v>
      </c>
      <c r="ET78" s="6">
        <f>SUMIF('Eredeti fejléccel'!$B:$B,'Felosztás eredménykim'!$B78,'Eredeti fejléccel'!$CI:$CI)</f>
        <v>0</v>
      </c>
      <c r="EW78" s="8">
        <f t="shared" si="118"/>
        <v>0</v>
      </c>
      <c r="EX78" s="8">
        <f t="shared" si="78"/>
        <v>0</v>
      </c>
      <c r="EY78" s="8">
        <f t="shared" si="119"/>
        <v>7050</v>
      </c>
      <c r="EZ78" s="8">
        <f t="shared" si="120"/>
        <v>7050</v>
      </c>
      <c r="FA78" s="8">
        <f t="shared" si="121"/>
        <v>7050</v>
      </c>
      <c r="FC78" s="6">
        <f>SUMIF('Eredeti fejléccel'!$B:$B,'Felosztás eredménykim'!$B78,'Eredeti fejléccel'!$L:$L)</f>
        <v>0</v>
      </c>
      <c r="FD78" s="6">
        <f>SUMIF('Eredeti fejléccel'!$B:$B,'Felosztás eredménykim'!$B78,'Eredeti fejléccel'!$CJ:$CJ)</f>
        <v>7702.5199999997858</v>
      </c>
      <c r="FE78" s="6">
        <f>SUMIF('Eredeti fejléccel'!$B:$B,'Felosztás eredménykim'!$B78,'Eredeti fejléccel'!$CL:$CL)</f>
        <v>0</v>
      </c>
      <c r="FG78" s="99">
        <f t="shared" si="79"/>
        <v>7702.5199999997858</v>
      </c>
      <c r="FH78" s="6">
        <f>SUMIF('Eredeti fejléccel'!$B:$B,'Felosztás eredménykim'!$B78,'Eredeti fejléccel'!$CK:$CK)</f>
        <v>0</v>
      </c>
      <c r="FI78" s="36">
        <f t="shared" si="103"/>
        <v>7991.1638928696184</v>
      </c>
      <c r="FJ78" s="101">
        <f t="shared" si="104"/>
        <v>1708.0042328212944</v>
      </c>
      <c r="FK78" s="6">
        <f>SUMIF('Eredeti fejléccel'!$B:$B,'Felosztás eredménykim'!$B78,'Eredeti fejléccel'!$CM:$CM)</f>
        <v>16977</v>
      </c>
      <c r="FL78" s="6">
        <f>SUMIF('Eredeti fejléccel'!$B:$B,'Felosztás eredménykim'!$B78,'Eredeti fejléccel'!$CN:$CN)</f>
        <v>0</v>
      </c>
      <c r="FM78" s="8">
        <f t="shared" si="80"/>
        <v>18685.004232821295</v>
      </c>
      <c r="FN78" s="36">
        <f t="shared" si="105"/>
        <v>6793.8002909850356</v>
      </c>
      <c r="FO78" s="101">
        <f t="shared" si="106"/>
        <v>1452.0838027485449</v>
      </c>
      <c r="FP78" s="6">
        <f>SUMIF('Eredeti fejléccel'!$B:$B,'Felosztás eredménykim'!$B78,'Eredeti fejléccel'!$CO:$CO)</f>
        <v>32385.239999999998</v>
      </c>
      <c r="FQ78" s="6">
        <f>'Eredeti fejléccel'!CP78</f>
        <v>0</v>
      </c>
      <c r="FR78" s="6">
        <f>'Eredeti fejléccel'!CQ78</f>
        <v>0</v>
      </c>
      <c r="FS78" s="103">
        <f t="shared" si="122"/>
        <v>33837.323802748542</v>
      </c>
      <c r="FT78" s="36">
        <f t="shared" si="107"/>
        <v>18752.869842654665</v>
      </c>
      <c r="FU78" s="101">
        <f t="shared" si="108"/>
        <v>4008.1747162488782</v>
      </c>
      <c r="FV78" s="101"/>
      <c r="FW78" s="6">
        <f>SUMIF('Eredeti fejléccel'!$B:$B,'Felosztás eredménykim'!$B78,'Eredeti fejléccel'!$CR:$CR)</f>
        <v>282800.74</v>
      </c>
      <c r="FX78" s="6">
        <f>SUMIF('Eredeti fejléccel'!$B:$B,'Felosztás eredménykim'!$B78,'Eredeti fejléccel'!$CS:$CS)</f>
        <v>0</v>
      </c>
      <c r="FY78" s="6">
        <f>SUMIF('Eredeti fejléccel'!$B:$B,'Felosztás eredménykim'!$B78,'Eredeti fejléccel'!$CT:$CT)</f>
        <v>0</v>
      </c>
      <c r="FZ78" s="6">
        <f>SUMIF('Eredeti fejléccel'!$B:$B,'Felosztás eredménykim'!$B78,'Eredeti fejléccel'!$CU:$CU)</f>
        <v>0</v>
      </c>
      <c r="GA78" s="103">
        <f t="shared" si="81"/>
        <v>286808.91471624887</v>
      </c>
      <c r="GB78" s="36">
        <f t="shared" si="109"/>
        <v>2499.6057674378903</v>
      </c>
      <c r="GC78" s="101">
        <f t="shared" si="110"/>
        <v>534.25724818106835</v>
      </c>
      <c r="GD78" s="6">
        <f>SUMIF('Eredeti fejléccel'!$B:$B,'Felosztás eredménykim'!$B78,'Eredeti fejléccel'!$CV:$CV)</f>
        <v>11400</v>
      </c>
      <c r="GE78" s="6">
        <f>SUMIF('Eredeti fejléccel'!$B:$B,'Felosztás eredménykim'!$B78,'Eredeti fejléccel'!$CW:$CW)</f>
        <v>0</v>
      </c>
      <c r="GF78" s="103">
        <f t="shared" si="82"/>
        <v>11934.257248181068</v>
      </c>
      <c r="GG78" s="36">
        <f t="shared" si="111"/>
        <v>0</v>
      </c>
      <c r="GM78" s="6">
        <f>SUMIF('Eredeti fejléccel'!$B:$B,'Felosztás eredménykim'!$B78,'Eredeti fejléccel'!$CX:$CX)</f>
        <v>0</v>
      </c>
      <c r="GN78" s="6">
        <f>SUMIF('Eredeti fejléccel'!$B:$B,'Felosztás eredménykim'!$B78,'Eredeti fejléccel'!$CY:$CY)</f>
        <v>0</v>
      </c>
      <c r="GO78" s="6">
        <f>SUMIF('Eredeti fejléccel'!$B:$B,'Felosztás eredménykim'!$B78,'Eredeti fejléccel'!$CZ:$CZ)</f>
        <v>0</v>
      </c>
      <c r="GP78" s="6">
        <f>SUMIF('Eredeti fejléccel'!$B:$B,'Felosztás eredménykim'!$B78,'Eredeti fejléccel'!$DA:$DA)</f>
        <v>0</v>
      </c>
      <c r="GQ78" s="6">
        <f>SUMIF('Eredeti fejléccel'!$B:$B,'Felosztás eredménykim'!$B78,'Eredeti fejléccel'!$DB:$DB)</f>
        <v>0</v>
      </c>
      <c r="GR78" s="103">
        <f t="shared" si="83"/>
        <v>0</v>
      </c>
      <c r="GW78" s="36">
        <f t="shared" si="112"/>
        <v>4290.8435286542181</v>
      </c>
      <c r="GX78" s="6">
        <f>SUMIF('Eredeti fejléccel'!$B:$B,'Felosztás eredménykim'!$B78,'Eredeti fejléccel'!$M:$M)</f>
        <v>0</v>
      </c>
      <c r="GY78" s="6">
        <f>SUMIF('Eredeti fejléccel'!$B:$B,'Felosztás eredménykim'!$B78,'Eredeti fejléccel'!$DC:$DC)</f>
        <v>195000</v>
      </c>
      <c r="GZ78" s="6">
        <f>SUMIF('Eredeti fejléccel'!$B:$B,'Felosztás eredménykim'!$B78,'Eredeti fejléccel'!$DD:$DD)</f>
        <v>0</v>
      </c>
      <c r="HA78" s="6">
        <f>SUMIF('Eredeti fejléccel'!$B:$B,'Felosztás eredménykim'!$B78,'Eredeti fejléccel'!$DE:$DE)</f>
        <v>0</v>
      </c>
      <c r="HB78" s="103">
        <f t="shared" si="84"/>
        <v>195000</v>
      </c>
      <c r="HD78" s="9">
        <f t="shared" si="113"/>
        <v>7125047.5399999972</v>
      </c>
      <c r="HE78" s="9">
        <v>7125047.54</v>
      </c>
      <c r="HF78" s="476"/>
      <c r="HH78" s="34">
        <f t="shared" si="85"/>
        <v>0</v>
      </c>
    </row>
    <row r="79" spans="1:218" x14ac:dyDescent="0.25">
      <c r="A79" s="4" t="s">
        <v>858</v>
      </c>
      <c r="B79" s="4" t="s">
        <v>858</v>
      </c>
      <c r="C79" s="1" t="s">
        <v>916</v>
      </c>
      <c r="D79" s="6">
        <f>SUMIF('Eredeti fejléccel'!$B:$B,'Felosztás eredménykim'!$B79,'Eredeti fejléccel'!$D:$D)</f>
        <v>0</v>
      </c>
      <c r="E79" s="6">
        <f>SUMIF('Eredeti fejléccel'!$B:$B,'Felosztás eredménykim'!$B79,'Eredeti fejléccel'!$E:$E)</f>
        <v>0</v>
      </c>
      <c r="F79" s="6">
        <f>SUMIF('Eredeti fejléccel'!$B:$B,'Felosztás eredménykim'!$B79,'Eredeti fejléccel'!$F:$F)</f>
        <v>0</v>
      </c>
      <c r="G79" s="6">
        <f>SUMIF('Eredeti fejléccel'!$B:$B,'Felosztás eredménykim'!$B79,'Eredeti fejléccel'!$G:$G)</f>
        <v>0</v>
      </c>
      <c r="H79" s="6"/>
      <c r="I79" s="6">
        <f>SUMIF('Eredeti fejléccel'!$B:$B,'Felosztás eredménykim'!$B79,'Eredeti fejléccel'!$O:$O)</f>
        <v>0</v>
      </c>
      <c r="J79" s="6">
        <f>SUMIF('Eredeti fejléccel'!$B:$B,'Felosztás eredménykim'!$B79,'Eredeti fejléccel'!$P:$P)</f>
        <v>0</v>
      </c>
      <c r="K79" s="6">
        <f>SUMIF('Eredeti fejléccel'!$B:$B,'Felosztás eredménykim'!$B79,'Eredeti fejléccel'!$Q:$Q)</f>
        <v>0</v>
      </c>
      <c r="L79" s="6">
        <f>SUMIF('Eredeti fejléccel'!$B:$B,'Felosztás eredménykim'!$B79,'Eredeti fejléccel'!$R:$R)</f>
        <v>0</v>
      </c>
      <c r="M79" s="6">
        <f>SUMIF('Eredeti fejléccel'!$B:$B,'Felosztás eredménykim'!$B79,'Eredeti fejléccel'!$T:$T)</f>
        <v>0</v>
      </c>
      <c r="N79" s="6">
        <f>SUMIF('Eredeti fejléccel'!$B:$B,'Felosztás eredménykim'!$B79,'Eredeti fejléccel'!$U:$U)</f>
        <v>0</v>
      </c>
      <c r="O79" s="6">
        <f>SUMIF('Eredeti fejléccel'!$B:$B,'Felosztás eredménykim'!$B79,'Eredeti fejléccel'!$V:$V)</f>
        <v>0</v>
      </c>
      <c r="P79" s="6">
        <f>SUMIF('Eredeti fejléccel'!$B:$B,'Felosztás eredménykim'!$B79,'Eredeti fejléccel'!$W:$W)</f>
        <v>0</v>
      </c>
      <c r="Q79" s="6">
        <f>SUMIF('Eredeti fejléccel'!$B:$B,'Felosztás eredménykim'!$B79,'Eredeti fejléccel'!$X:$X)</f>
        <v>0</v>
      </c>
      <c r="R79" s="6">
        <f>SUMIF('Eredeti fejléccel'!$B:$B,'Felosztás eredménykim'!$B79,'Eredeti fejléccel'!$Y:$Y)</f>
        <v>0</v>
      </c>
      <c r="S79" s="6">
        <f>SUMIF('Eredeti fejléccel'!$B:$B,'Felosztás eredménykim'!$B79,'Eredeti fejléccel'!$Z:$Z)</f>
        <v>0</v>
      </c>
      <c r="T79" s="6">
        <f>SUMIF('Eredeti fejléccel'!$B:$B,'Felosztás eredménykim'!$B79,'Eredeti fejléccel'!$AA:$AA)</f>
        <v>0</v>
      </c>
      <c r="U79" s="6">
        <f>SUMIF('Eredeti fejléccel'!$B:$B,'Felosztás eredménykim'!$B79,'Eredeti fejléccel'!$D:$D)</f>
        <v>0</v>
      </c>
      <c r="V79" s="6">
        <f>SUMIF('Eredeti fejléccel'!$B:$B,'Felosztás eredménykim'!$B79,'Eredeti fejléccel'!$AT:$AT)</f>
        <v>0</v>
      </c>
      <c r="X79" s="36">
        <f t="shared" si="86"/>
        <v>0</v>
      </c>
      <c r="Z79" s="6">
        <f>SUMIF('Eredeti fejléccel'!$B:$B,'Felosztás eredménykim'!$B79,'Eredeti fejléccel'!$K:$K)</f>
        <v>5166</v>
      </c>
      <c r="AB79" s="6">
        <f>SUMIF('Eredeti fejléccel'!$B:$B,'Felosztás eredménykim'!$B79,'Eredeti fejléccel'!$AB:$AB)</f>
        <v>0</v>
      </c>
      <c r="AC79" s="6">
        <f>SUMIF('Eredeti fejléccel'!$B:$B,'Felosztás eredménykim'!$B79,'Eredeti fejléccel'!$AQ:$AQ)</f>
        <v>0</v>
      </c>
      <c r="AE79" s="73">
        <f t="shared" si="131"/>
        <v>5166</v>
      </c>
      <c r="AF79" s="36">
        <f t="shared" si="87"/>
        <v>0</v>
      </c>
      <c r="AG79" s="8">
        <f t="shared" si="88"/>
        <v>1647.1505232090149</v>
      </c>
      <c r="AI79" s="6">
        <f>SUMIF('Eredeti fejléccel'!$B:$B,'Felosztás eredménykim'!$B79,'Eredeti fejléccel'!$BB:$BB)</f>
        <v>0</v>
      </c>
      <c r="AJ79" s="6">
        <f>SUMIF('Eredeti fejléccel'!$B:$B,'Felosztás eredménykim'!$B79,'Eredeti fejléccel'!$AF:$AF)</f>
        <v>0</v>
      </c>
      <c r="AK79" s="8">
        <f t="shared" si="73"/>
        <v>1647.1505232090149</v>
      </c>
      <c r="AL79" s="36">
        <f t="shared" si="89"/>
        <v>0</v>
      </c>
      <c r="AM79" s="8">
        <f t="shared" si="90"/>
        <v>654.23987121008838</v>
      </c>
      <c r="AN79" s="6">
        <f t="shared" si="123"/>
        <v>0</v>
      </c>
      <c r="AO79" s="6">
        <f>SUMIF('Eredeti fejléccel'!$B:$B,'Felosztás eredménykim'!$B79,'Eredeti fejléccel'!$AC:$AC)</f>
        <v>0</v>
      </c>
      <c r="AP79" s="6">
        <f>SUMIF('Eredeti fejléccel'!$B:$B,'Felosztás eredménykim'!$B79,'Eredeti fejléccel'!$AD:$AD)</f>
        <v>0</v>
      </c>
      <c r="AQ79" s="6">
        <f>SUMIF('Eredeti fejléccel'!$B:$B,'Felosztás eredménykim'!$B79,'Eredeti fejléccel'!$AE:$AE)</f>
        <v>0</v>
      </c>
      <c r="AR79" s="6">
        <f>SUMIF('Eredeti fejléccel'!$B:$B,'Felosztás eredménykim'!$B79,'Eredeti fejléccel'!$AG:$AG)</f>
        <v>0</v>
      </c>
      <c r="AS79" s="6">
        <f t="shared" si="124"/>
        <v>654.23987121008838</v>
      </c>
      <c r="AT79" s="36">
        <f t="shared" si="91"/>
        <v>0</v>
      </c>
      <c r="AU79" s="8">
        <f t="shared" si="92"/>
        <v>1062.6777569090418</v>
      </c>
      <c r="AV79" s="6">
        <f>SUMIF('Eredeti fejléccel'!$B:$B,'Felosztás eredménykim'!$B79,'Eredeti fejléccel'!$AI:$AI)</f>
        <v>0</v>
      </c>
      <c r="AW79" s="6">
        <f>SUMIF('Eredeti fejléccel'!$B:$B,'Felosztás eredménykim'!$B79,'Eredeti fejléccel'!$AJ:$AJ)</f>
        <v>0</v>
      </c>
      <c r="AX79" s="6">
        <f>SUMIF('Eredeti fejléccel'!$B:$B,'Felosztás eredménykim'!$B79,'Eredeti fejléccel'!$AK:$AK)</f>
        <v>0</v>
      </c>
      <c r="AY79" s="6">
        <f>SUMIF('Eredeti fejléccel'!$B:$B,'Felosztás eredménykim'!$B79,'Eredeti fejléccel'!$AL:$AL)</f>
        <v>0</v>
      </c>
      <c r="AZ79" s="6">
        <f>SUMIF('Eredeti fejléccel'!$B:$B,'Felosztás eredménykim'!$B79,'Eredeti fejléccel'!$AM:$AM)</f>
        <v>0</v>
      </c>
      <c r="BA79" s="6">
        <f>SUMIF('Eredeti fejléccel'!$B:$B,'Felosztás eredménykim'!$B79,'Eredeti fejléccel'!$AN:$AN)</f>
        <v>0</v>
      </c>
      <c r="BB79" s="6">
        <f>SUMIF('Eredeti fejléccel'!$B:$B,'Felosztás eredménykim'!$B79,'Eredeti fejléccel'!$AP:$AP)</f>
        <v>0</v>
      </c>
      <c r="BD79" s="6">
        <f>SUMIF('Eredeti fejléccel'!$B:$B,'Felosztás eredménykim'!$B79,'Eredeti fejléccel'!$AS:$AS)</f>
        <v>0</v>
      </c>
      <c r="BE79" s="8">
        <f t="shared" si="74"/>
        <v>1062.6777569090418</v>
      </c>
      <c r="BF79" s="36">
        <f t="shared" si="93"/>
        <v>0</v>
      </c>
      <c r="BG79" s="8">
        <f t="shared" si="94"/>
        <v>277.22028441105442</v>
      </c>
      <c r="BH79" s="6">
        <f t="shared" si="125"/>
        <v>0</v>
      </c>
      <c r="BI79" s="6">
        <f>SUMIF('Eredeti fejléccel'!$B:$B,'Felosztás eredménykim'!$B79,'Eredeti fejléccel'!$AH:$AH)</f>
        <v>0</v>
      </c>
      <c r="BJ79" s="6">
        <f>SUMIF('Eredeti fejléccel'!$B:$B,'Felosztás eredménykim'!$B79,'Eredeti fejléccel'!$AO:$AO)</f>
        <v>0</v>
      </c>
      <c r="BK79" s="6">
        <f>SUMIF('Eredeti fejléccel'!$B:$B,'Felosztás eredménykim'!$B79,'Eredeti fejléccel'!$BF:$BF)</f>
        <v>0</v>
      </c>
      <c r="BL79" s="8">
        <f t="shared" si="126"/>
        <v>277.22028441105442</v>
      </c>
      <c r="BM79" s="36">
        <f t="shared" si="95"/>
        <v>0</v>
      </c>
      <c r="BN79" s="8">
        <f t="shared" si="96"/>
        <v>1038.6519989267506</v>
      </c>
      <c r="BP79" s="8">
        <f t="shared" si="127"/>
        <v>0</v>
      </c>
      <c r="BQ79" s="6">
        <f>SUMIF('Eredeti fejléccel'!$B:$B,'Felosztás eredménykim'!$B79,'Eredeti fejléccel'!$N:$N)</f>
        <v>0</v>
      </c>
      <c r="BR79" s="6">
        <f>SUMIF('Eredeti fejléccel'!$B:$B,'Felosztás eredménykim'!$B79,'Eredeti fejléccel'!$S:$S)</f>
        <v>0</v>
      </c>
      <c r="BT79" s="6">
        <f>SUMIF('Eredeti fejléccel'!$B:$B,'Felosztás eredménykim'!$B79,'Eredeti fejléccel'!$AR:$AR)</f>
        <v>0</v>
      </c>
      <c r="BU79" s="6">
        <f>SUMIF('Eredeti fejléccel'!$B:$B,'Felosztás eredménykim'!$B79,'Eredeti fejléccel'!$AU:$AU)</f>
        <v>0</v>
      </c>
      <c r="BV79" s="6">
        <f>SUMIF('Eredeti fejléccel'!$B:$B,'Felosztás eredménykim'!$B79,'Eredeti fejléccel'!$AV:$AV)</f>
        <v>0</v>
      </c>
      <c r="BW79" s="6">
        <f>SUMIF('Eredeti fejléccel'!$B:$B,'Felosztás eredménykim'!$B79,'Eredeti fejléccel'!$AW:$AW)</f>
        <v>0</v>
      </c>
      <c r="BX79" s="6">
        <f>SUMIF('Eredeti fejléccel'!$B:$B,'Felosztás eredménykim'!$B79,'Eredeti fejléccel'!$AX:$AX)</f>
        <v>0</v>
      </c>
      <c r="BY79" s="6">
        <f>SUMIF('Eredeti fejléccel'!$B:$B,'Felosztás eredménykim'!$B79,'Eredeti fejléccel'!$AY:$AY)</f>
        <v>0</v>
      </c>
      <c r="BZ79" s="6">
        <f>SUMIF('Eredeti fejléccel'!$B:$B,'Felosztás eredménykim'!$B79,'Eredeti fejléccel'!$AZ:$AZ)</f>
        <v>0</v>
      </c>
      <c r="CA79" s="6">
        <f>SUMIF('Eredeti fejléccel'!$B:$B,'Felosztás eredménykim'!$B79,'Eredeti fejléccel'!$BA:$BA)</f>
        <v>0</v>
      </c>
      <c r="CB79" s="6">
        <f t="shared" si="114"/>
        <v>1038.6519989267506</v>
      </c>
      <c r="CC79" s="36">
        <f t="shared" si="97"/>
        <v>0</v>
      </c>
      <c r="CD79" s="8">
        <f t="shared" si="98"/>
        <v>282.76469009927553</v>
      </c>
      <c r="CE79" s="6">
        <f>SUMIF('Eredeti fejléccel'!$B:$B,'Felosztás eredménykim'!$B79,'Eredeti fejléccel'!$BC:$BC)</f>
        <v>0</v>
      </c>
      <c r="CF79" s="8">
        <f t="shared" si="135"/>
        <v>0</v>
      </c>
      <c r="CG79" s="6">
        <f>SUMIF('Eredeti fejléccel'!$B:$B,'Felosztás eredménykim'!$B79,'Eredeti fejléccel'!$H:$H)</f>
        <v>0</v>
      </c>
      <c r="CH79" s="6">
        <f>SUMIF('Eredeti fejléccel'!$B:$B,'Felosztás eredménykim'!$B79,'Eredeti fejléccel'!$BE:$BE)</f>
        <v>0</v>
      </c>
      <c r="CI79" s="6">
        <f t="shared" si="75"/>
        <v>282.76469009927553</v>
      </c>
      <c r="CJ79" s="36">
        <f t="shared" si="99"/>
        <v>0</v>
      </c>
      <c r="CK79" s="8">
        <f t="shared" si="100"/>
        <v>203.29487523477326</v>
      </c>
      <c r="CL79" s="8">
        <f t="shared" si="136"/>
        <v>0</v>
      </c>
      <c r="CM79" s="6">
        <f>SUMIF('Eredeti fejléccel'!$B:$B,'Felosztás eredménykim'!$B79,'Eredeti fejléccel'!$BD:$BD)</f>
        <v>0</v>
      </c>
      <c r="CN79" s="8">
        <f t="shared" si="76"/>
        <v>203.29487523477326</v>
      </c>
      <c r="CO79" s="8">
        <f t="shared" si="115"/>
        <v>5165.9999999999991</v>
      </c>
      <c r="CR79" s="36">
        <f t="shared" si="101"/>
        <v>0</v>
      </c>
      <c r="CS79" s="6">
        <f>SUMIF('Eredeti fejléccel'!$B:$B,'Felosztás eredménykim'!$B79,'Eredeti fejléccel'!$I:$I)</f>
        <v>0</v>
      </c>
      <c r="CT79" s="6">
        <f>SUMIF('Eredeti fejléccel'!$B:$B,'Felosztás eredménykim'!$B79,'Eredeti fejléccel'!$BG:$BG)</f>
        <v>0</v>
      </c>
      <c r="CU79" s="6">
        <f>SUMIF('Eredeti fejléccel'!$B:$B,'Felosztás eredménykim'!$B79,'Eredeti fejléccel'!$BH:$BH)</f>
        <v>0</v>
      </c>
      <c r="CV79" s="6">
        <f>SUMIF('Eredeti fejléccel'!$B:$B,'Felosztás eredménykim'!$B79,'Eredeti fejléccel'!$BI:$BI)</f>
        <v>0</v>
      </c>
      <c r="CW79" s="6">
        <f>SUMIF('Eredeti fejléccel'!$B:$B,'Felosztás eredménykim'!$B79,'Eredeti fejléccel'!$BL:$BL)</f>
        <v>0</v>
      </c>
      <c r="CX79" s="6">
        <f t="shared" si="77"/>
        <v>0</v>
      </c>
      <c r="CY79" s="6">
        <f>SUMIF('Eredeti fejléccel'!$B:$B,'Felosztás eredménykim'!$B79,'Eredeti fejléccel'!$BJ:$BJ)</f>
        <v>0</v>
      </c>
      <c r="CZ79" s="6">
        <f>SUMIF('Eredeti fejléccel'!$B:$B,'Felosztás eredménykim'!$B79,'Eredeti fejléccel'!$BK:$BK)</f>
        <v>0</v>
      </c>
      <c r="DA79" s="99">
        <f t="shared" si="116"/>
        <v>0</v>
      </c>
      <c r="DC79" s="36">
        <f t="shared" si="102"/>
        <v>0</v>
      </c>
      <c r="DD79" s="6">
        <f>SUMIF('Eredeti fejléccel'!$B:$B,'Felosztás eredménykim'!$B79,'Eredeti fejléccel'!$J:$J)</f>
        <v>0</v>
      </c>
      <c r="DE79" s="6">
        <f>SUMIF('Eredeti fejléccel'!$B:$B,'Felosztás eredménykim'!$B79,'Eredeti fejléccel'!$BM:$BM)</f>
        <v>0</v>
      </c>
      <c r="DF79" s="6">
        <f t="shared" si="128"/>
        <v>0</v>
      </c>
      <c r="DG79" s="8">
        <f t="shared" si="117"/>
        <v>0</v>
      </c>
      <c r="DH79" s="8">
        <f t="shared" si="129"/>
        <v>0</v>
      </c>
      <c r="DJ79" s="6">
        <f>SUMIF('Eredeti fejléccel'!$B:$B,'Felosztás eredménykim'!$B79,'Eredeti fejléccel'!$BN:$BN)</f>
        <v>0</v>
      </c>
      <c r="DK79" s="6">
        <f>SUMIF('Eredeti fejléccel'!$B:$B,'Felosztás eredménykim'!$B79,'Eredeti fejléccel'!$BZ:$BZ)</f>
        <v>0</v>
      </c>
      <c r="DL79" s="8">
        <f t="shared" si="130"/>
        <v>0</v>
      </c>
      <c r="DM79" s="6">
        <f>SUMIF('Eredeti fejléccel'!$B:$B,'Felosztás eredménykim'!$B79,'Eredeti fejléccel'!$BR:$BR)</f>
        <v>0</v>
      </c>
      <c r="DN79" s="6">
        <f>SUMIF('Eredeti fejléccel'!$B:$B,'Felosztás eredménykim'!$B79,'Eredeti fejléccel'!$BS:$BS)</f>
        <v>0</v>
      </c>
      <c r="DO79" s="6">
        <f>SUMIF('Eredeti fejléccel'!$B:$B,'Felosztás eredménykim'!$B79,'Eredeti fejléccel'!$BO:$BO)</f>
        <v>0</v>
      </c>
      <c r="DP79" s="6">
        <f>SUMIF('Eredeti fejléccel'!$B:$B,'Felosztás eredménykim'!$B79,'Eredeti fejléccel'!$BP:$BP)</f>
        <v>0</v>
      </c>
      <c r="DQ79" s="6">
        <f>SUMIF('Eredeti fejléccel'!$B:$B,'Felosztás eredménykim'!$B79,'Eredeti fejléccel'!$BQ:$BQ)</f>
        <v>0</v>
      </c>
      <c r="DS79" s="8"/>
      <c r="DU79" s="6">
        <f>SUMIF('Eredeti fejléccel'!$B:$B,'Felosztás eredménykim'!$B79,'Eredeti fejléccel'!$BT:$BT)</f>
        <v>0</v>
      </c>
      <c r="DV79" s="6">
        <f>SUMIF('Eredeti fejléccel'!$B:$B,'Felosztás eredménykim'!$B79,'Eredeti fejléccel'!$BU:$BU)</f>
        <v>0</v>
      </c>
      <c r="DW79" s="6">
        <f>SUMIF('Eredeti fejléccel'!$B:$B,'Felosztás eredménykim'!$B79,'Eredeti fejléccel'!$BV:$BV)</f>
        <v>0</v>
      </c>
      <c r="DX79" s="6">
        <f>SUMIF('Eredeti fejléccel'!$B:$B,'Felosztás eredménykim'!$B79,'Eredeti fejléccel'!$BW:$BW)</f>
        <v>0</v>
      </c>
      <c r="DY79" s="6">
        <f>SUMIF('Eredeti fejléccel'!$B:$B,'Felosztás eredménykim'!$B79,'Eredeti fejléccel'!$BX:$BX)</f>
        <v>0</v>
      </c>
      <c r="EA79" s="6"/>
      <c r="EC79" s="6"/>
      <c r="EE79" s="6">
        <f>SUMIF('Eredeti fejléccel'!$B:$B,'Felosztás eredménykim'!$B79,'Eredeti fejléccel'!$CA:$CA)</f>
        <v>0</v>
      </c>
      <c r="EF79" s="6">
        <f>SUMIF('Eredeti fejléccel'!$B:$B,'Felosztás eredménykim'!$B79,'Eredeti fejléccel'!$CB:$CB)</f>
        <v>0</v>
      </c>
      <c r="EG79" s="6">
        <f>SUMIF('Eredeti fejléccel'!$B:$B,'Felosztás eredménykim'!$B79,'Eredeti fejléccel'!$CC:$CC)</f>
        <v>0</v>
      </c>
      <c r="EH79" s="6">
        <f>SUMIF('Eredeti fejléccel'!$B:$B,'Felosztás eredménykim'!$B79,'Eredeti fejléccel'!$CD:$CD)</f>
        <v>0</v>
      </c>
      <c r="EK79" s="6">
        <f>SUMIF('Eredeti fejléccel'!$B:$B,'Felosztás eredménykim'!$B79,'Eredeti fejléccel'!$CE:$CE)</f>
        <v>0</v>
      </c>
      <c r="EN79" s="6">
        <f>SUMIF('Eredeti fejléccel'!$B:$B,'Felosztás eredménykim'!$B79,'Eredeti fejléccel'!$CF:$CF)</f>
        <v>0</v>
      </c>
      <c r="EP79" s="6">
        <f>SUMIF('Eredeti fejléccel'!$B:$B,'Felosztás eredménykim'!$B79,'Eredeti fejléccel'!$CG:$CG)</f>
        <v>0</v>
      </c>
      <c r="ES79" s="6">
        <f>SUMIF('Eredeti fejléccel'!$B:$B,'Felosztás eredménykim'!$B79,'Eredeti fejléccel'!$CH:$CH)</f>
        <v>0</v>
      </c>
      <c r="ET79" s="6">
        <f>SUMIF('Eredeti fejléccel'!$B:$B,'Felosztás eredménykim'!$B79,'Eredeti fejléccel'!$CI:$CI)</f>
        <v>0</v>
      </c>
      <c r="EW79" s="8">
        <f t="shared" si="118"/>
        <v>0</v>
      </c>
      <c r="EX79" s="8">
        <f t="shared" si="78"/>
        <v>0</v>
      </c>
      <c r="EY79" s="8">
        <f t="shared" si="119"/>
        <v>0</v>
      </c>
      <c r="EZ79" s="8">
        <f t="shared" si="120"/>
        <v>0</v>
      </c>
      <c r="FA79" s="8">
        <f t="shared" si="121"/>
        <v>0</v>
      </c>
      <c r="FC79" s="6">
        <f>SUMIF('Eredeti fejléccel'!$B:$B,'Felosztás eredménykim'!$B79,'Eredeti fejléccel'!$L:$L)</f>
        <v>0</v>
      </c>
      <c r="FD79" s="6">
        <f>SUMIF('Eredeti fejléccel'!$B:$B,'Felosztás eredménykim'!$B79,'Eredeti fejléccel'!$CJ:$CJ)</f>
        <v>0</v>
      </c>
      <c r="FE79" s="6">
        <f>SUMIF('Eredeti fejléccel'!$B:$B,'Felosztás eredménykim'!$B79,'Eredeti fejléccel'!$CL:$CL)</f>
        <v>0</v>
      </c>
      <c r="FG79" s="99">
        <f t="shared" si="79"/>
        <v>0</v>
      </c>
      <c r="FH79" s="6">
        <f>SUMIF('Eredeti fejléccel'!$B:$B,'Felosztás eredménykim'!$B79,'Eredeti fejléccel'!$CK:$CK)</f>
        <v>0</v>
      </c>
      <c r="FI79" s="36">
        <f t="shared" si="103"/>
        <v>0</v>
      </c>
      <c r="FJ79" s="101">
        <f t="shared" si="104"/>
        <v>0</v>
      </c>
      <c r="FK79" s="6">
        <f>SUMIF('Eredeti fejléccel'!$B:$B,'Felosztás eredménykim'!$B79,'Eredeti fejléccel'!$CM:$CM)</f>
        <v>0</v>
      </c>
      <c r="FL79" s="6">
        <f>SUMIF('Eredeti fejléccel'!$B:$B,'Felosztás eredménykim'!$B79,'Eredeti fejléccel'!$CN:$CN)</f>
        <v>0</v>
      </c>
      <c r="FM79" s="8">
        <f t="shared" si="80"/>
        <v>0</v>
      </c>
      <c r="FN79" s="36">
        <f t="shared" si="105"/>
        <v>0</v>
      </c>
      <c r="FO79" s="101">
        <f t="shared" si="106"/>
        <v>0</v>
      </c>
      <c r="FP79" s="6">
        <f>SUMIF('Eredeti fejléccel'!$B:$B,'Felosztás eredménykim'!$B79,'Eredeti fejléccel'!$CO:$CO)</f>
        <v>0</v>
      </c>
      <c r="FQ79" s="6">
        <f>'Eredeti fejléccel'!CP79</f>
        <v>0</v>
      </c>
      <c r="FR79" s="6">
        <f>'Eredeti fejléccel'!CQ79</f>
        <v>0</v>
      </c>
      <c r="FS79" s="103">
        <f t="shared" si="122"/>
        <v>0</v>
      </c>
      <c r="FT79" s="36">
        <f t="shared" si="107"/>
        <v>0</v>
      </c>
      <c r="FU79" s="101">
        <f t="shared" si="108"/>
        <v>0</v>
      </c>
      <c r="FV79" s="101"/>
      <c r="FW79" s="6">
        <f>SUMIF('Eredeti fejléccel'!$B:$B,'Felosztás eredménykim'!$B79,'Eredeti fejléccel'!$CR:$CR)</f>
        <v>0</v>
      </c>
      <c r="FX79" s="6">
        <f>SUMIF('Eredeti fejléccel'!$B:$B,'Felosztás eredménykim'!$B79,'Eredeti fejléccel'!$CS:$CS)</f>
        <v>0</v>
      </c>
      <c r="FY79" s="6">
        <f>SUMIF('Eredeti fejléccel'!$B:$B,'Felosztás eredménykim'!$B79,'Eredeti fejléccel'!$CT:$CT)</f>
        <v>0</v>
      </c>
      <c r="FZ79" s="6">
        <f>SUMIF('Eredeti fejléccel'!$B:$B,'Felosztás eredménykim'!$B79,'Eredeti fejléccel'!$CU:$CU)</f>
        <v>0</v>
      </c>
      <c r="GA79" s="103">
        <f t="shared" si="81"/>
        <v>0</v>
      </c>
      <c r="GB79" s="36">
        <f t="shared" si="109"/>
        <v>0</v>
      </c>
      <c r="GC79" s="101">
        <f t="shared" si="110"/>
        <v>0</v>
      </c>
      <c r="GD79" s="6">
        <f>SUMIF('Eredeti fejléccel'!$B:$B,'Felosztás eredménykim'!$B79,'Eredeti fejléccel'!$CV:$CV)</f>
        <v>0</v>
      </c>
      <c r="GE79" s="6">
        <f>SUMIF('Eredeti fejléccel'!$B:$B,'Felosztás eredménykim'!$B79,'Eredeti fejléccel'!$CW:$CW)</f>
        <v>0</v>
      </c>
      <c r="GF79" s="103">
        <f t="shared" si="82"/>
        <v>0</v>
      </c>
      <c r="GG79" s="36">
        <f t="shared" si="111"/>
        <v>0</v>
      </c>
      <c r="GM79" s="6">
        <f>SUMIF('Eredeti fejléccel'!$B:$B,'Felosztás eredménykim'!$B79,'Eredeti fejléccel'!$CX:$CX)</f>
        <v>0</v>
      </c>
      <c r="GN79" s="6">
        <f>SUMIF('Eredeti fejléccel'!$B:$B,'Felosztás eredménykim'!$B79,'Eredeti fejléccel'!$CY:$CY)</f>
        <v>0</v>
      </c>
      <c r="GO79" s="6">
        <f>SUMIF('Eredeti fejléccel'!$B:$B,'Felosztás eredménykim'!$B79,'Eredeti fejléccel'!$CZ:$CZ)</f>
        <v>0</v>
      </c>
      <c r="GP79" s="6">
        <f>SUMIF('Eredeti fejléccel'!$B:$B,'Felosztás eredménykim'!$B79,'Eredeti fejléccel'!$DA:$DA)</f>
        <v>0</v>
      </c>
      <c r="GQ79" s="6">
        <f>SUMIF('Eredeti fejléccel'!$B:$B,'Felosztás eredménykim'!$B79,'Eredeti fejléccel'!$DB:$DB)</f>
        <v>0</v>
      </c>
      <c r="GR79" s="103">
        <f t="shared" si="83"/>
        <v>0</v>
      </c>
      <c r="GW79" s="36">
        <f t="shared" si="112"/>
        <v>0</v>
      </c>
      <c r="GX79" s="6">
        <f>SUMIF('Eredeti fejléccel'!$B:$B,'Felosztás eredménykim'!$B79,'Eredeti fejléccel'!$M:$M)</f>
        <v>0</v>
      </c>
      <c r="GY79" s="6">
        <f>SUMIF('Eredeti fejléccel'!$B:$B,'Felosztás eredménykim'!$B79,'Eredeti fejléccel'!$DC:$DC)</f>
        <v>0</v>
      </c>
      <c r="GZ79" s="6">
        <f>SUMIF('Eredeti fejléccel'!$B:$B,'Felosztás eredménykim'!$B79,'Eredeti fejléccel'!$DD:$DD)</f>
        <v>0</v>
      </c>
      <c r="HA79" s="6">
        <f>SUMIF('Eredeti fejléccel'!$B:$B,'Felosztás eredménykim'!$B79,'Eredeti fejléccel'!$DE:$DE)</f>
        <v>0</v>
      </c>
      <c r="HB79" s="103">
        <f t="shared" si="84"/>
        <v>0</v>
      </c>
      <c r="HD79" s="9">
        <f t="shared" si="113"/>
        <v>5166.0000000000045</v>
      </c>
      <c r="HE79" s="9">
        <v>5166</v>
      </c>
      <c r="HF79" s="476"/>
      <c r="HH79" s="34">
        <f t="shared" si="85"/>
        <v>0</v>
      </c>
    </row>
    <row r="80" spans="1:218" x14ac:dyDescent="0.25">
      <c r="A80" s="4" t="s">
        <v>859</v>
      </c>
      <c r="B80" s="4" t="s">
        <v>859</v>
      </c>
      <c r="C80" s="1" t="s">
        <v>917</v>
      </c>
      <c r="D80" s="6">
        <f>SUMIF('Eredeti fejléccel'!$B:$B,'Felosztás eredménykim'!$B80,'Eredeti fejléccel'!$D:$D)</f>
        <v>0</v>
      </c>
      <c r="E80" s="6">
        <f>SUMIF('Eredeti fejléccel'!$B:$B,'Felosztás eredménykim'!$B80,'Eredeti fejléccel'!$E:$E)</f>
        <v>157674.76</v>
      </c>
      <c r="F80" s="6">
        <f>SUMIF('Eredeti fejléccel'!$B:$B,'Felosztás eredménykim'!$B80,'Eredeti fejléccel'!$F:$F)</f>
        <v>123239.99999999997</v>
      </c>
      <c r="G80" s="6">
        <f>SUMIF('Eredeti fejléccel'!$B:$B,'Felosztás eredménykim'!$B80,'Eredeti fejléccel'!$G:$G)</f>
        <v>159775</v>
      </c>
      <c r="H80" s="6"/>
      <c r="I80" s="6">
        <f>SUMIF('Eredeti fejléccel'!$B:$B,'Felosztás eredménykim'!$B80,'Eredeti fejléccel'!$O:$O)</f>
        <v>4197.87</v>
      </c>
      <c r="J80" s="6">
        <f>SUMIF('Eredeti fejléccel'!$B:$B,'Felosztás eredménykim'!$B80,'Eredeti fejléccel'!$P:$P)</f>
        <v>0</v>
      </c>
      <c r="K80" s="6">
        <f>SUMIF('Eredeti fejléccel'!$B:$B,'Felosztás eredménykim'!$B80,'Eredeti fejléccel'!$Q:$Q)</f>
        <v>0</v>
      </c>
      <c r="L80" s="6">
        <f>SUMIF('Eredeti fejléccel'!$B:$B,'Felosztás eredménykim'!$B80,'Eredeti fejléccel'!$R:$R)</f>
        <v>24938.5</v>
      </c>
      <c r="M80" s="6">
        <f>SUMIF('Eredeti fejléccel'!$B:$B,'Felosztás eredménykim'!$B80,'Eredeti fejléccel'!$T:$T)</f>
        <v>0</v>
      </c>
      <c r="N80" s="6">
        <f>SUMIF('Eredeti fejléccel'!$B:$B,'Felosztás eredménykim'!$B80,'Eredeti fejléccel'!$U:$U)</f>
        <v>0</v>
      </c>
      <c r="O80" s="6">
        <f>SUMIF('Eredeti fejléccel'!$B:$B,'Felosztás eredménykim'!$B80,'Eredeti fejléccel'!$V:$V)</f>
        <v>18190.77</v>
      </c>
      <c r="P80" s="6">
        <f>SUMIF('Eredeti fejléccel'!$B:$B,'Felosztás eredménykim'!$B80,'Eredeti fejléccel'!$W:$W)</f>
        <v>75996</v>
      </c>
      <c r="Q80" s="6">
        <f>SUMIF('Eredeti fejléccel'!$B:$B,'Felosztás eredménykim'!$B80,'Eredeti fejléccel'!$X:$X)</f>
        <v>0</v>
      </c>
      <c r="R80" s="6">
        <f>SUMIF('Eredeti fejléccel'!$B:$B,'Felosztás eredménykim'!$B80,'Eredeti fejléccel'!$Y:$Y)</f>
        <v>0</v>
      </c>
      <c r="S80" s="6">
        <f>SUMIF('Eredeti fejléccel'!$B:$B,'Felosztás eredménykim'!$B80,'Eredeti fejléccel'!$Z:$Z)</f>
        <v>0</v>
      </c>
      <c r="T80" s="6">
        <f>SUMIF('Eredeti fejléccel'!$B:$B,'Felosztás eredménykim'!$B80,'Eredeti fejléccel'!$AA:$AA)</f>
        <v>0</v>
      </c>
      <c r="U80" s="6">
        <f>SUMIF('Eredeti fejléccel'!$B:$B,'Felosztás eredménykim'!$B80,'Eredeti fejléccel'!$D:$D)</f>
        <v>0</v>
      </c>
      <c r="V80" s="6">
        <f>SUMIF('Eredeti fejléccel'!$B:$B,'Felosztás eredménykim'!$B80,'Eredeti fejléccel'!$AT:$AT)</f>
        <v>0</v>
      </c>
      <c r="X80" s="36">
        <f t="shared" si="86"/>
        <v>564012.9</v>
      </c>
      <c r="Z80" s="6">
        <f>SUMIF('Eredeti fejléccel'!$B:$B,'Felosztás eredménykim'!$B80,'Eredeti fejléccel'!$K:$K)</f>
        <v>588882.44999999995</v>
      </c>
      <c r="AB80" s="6">
        <f>SUMIF('Eredeti fejléccel'!$B:$B,'Felosztás eredménykim'!$B80,'Eredeti fejléccel'!$AB:$AB)</f>
        <v>0</v>
      </c>
      <c r="AC80" s="6">
        <f>SUMIF('Eredeti fejléccel'!$B:$B,'Felosztás eredménykim'!$B80,'Eredeti fejléccel'!$AQ:$AQ)</f>
        <v>0</v>
      </c>
      <c r="AE80" s="73">
        <f t="shared" si="131"/>
        <v>588882.44999999995</v>
      </c>
      <c r="AF80" s="36">
        <f t="shared" si="87"/>
        <v>67283.716726115497</v>
      </c>
      <c r="AG80" s="8">
        <f t="shared" si="88"/>
        <v>187761.91165817005</v>
      </c>
      <c r="AI80" s="6">
        <f>SUMIF('Eredeti fejléccel'!$B:$B,'Felosztás eredménykim'!$B80,'Eredeti fejléccel'!$BB:$BB)</f>
        <v>13887.12</v>
      </c>
      <c r="AJ80" s="6">
        <f>SUMIF('Eredeti fejléccel'!$B:$B,'Felosztás eredménykim'!$B80,'Eredeti fejléccel'!$AF:$AF)</f>
        <v>0</v>
      </c>
      <c r="AK80" s="8">
        <f t="shared" si="73"/>
        <v>201649.03165817005</v>
      </c>
      <c r="AL80" s="36">
        <f t="shared" si="89"/>
        <v>26724.752562182206</v>
      </c>
      <c r="AM80" s="8">
        <f t="shared" si="90"/>
        <v>74578.083284142733</v>
      </c>
      <c r="AN80" s="6">
        <f t="shared" si="123"/>
        <v>-1399.29</v>
      </c>
      <c r="AO80" s="6">
        <f>SUMIF('Eredeti fejléccel'!$B:$B,'Felosztás eredménykim'!$B80,'Eredeti fejléccel'!$AC:$AC)</f>
        <v>2798.58</v>
      </c>
      <c r="AP80" s="6">
        <f>SUMIF('Eredeti fejléccel'!$B:$B,'Felosztás eredménykim'!$B80,'Eredeti fejléccel'!$AD:$AD)</f>
        <v>0</v>
      </c>
      <c r="AQ80" s="6">
        <f>SUMIF('Eredeti fejléccel'!$B:$B,'Felosztás eredménykim'!$B80,'Eredeti fejléccel'!$AE:$AE)</f>
        <v>0</v>
      </c>
      <c r="AR80" s="6">
        <f>SUMIF('Eredeti fejléccel'!$B:$B,'Felosztás eredménykim'!$B80,'Eredeti fejléccel'!$AG:$AG)</f>
        <v>61171.5</v>
      </c>
      <c r="AS80" s="6">
        <f t="shared" si="124"/>
        <v>137148.87328414276</v>
      </c>
      <c r="AT80" s="36">
        <f t="shared" si="91"/>
        <v>43408.849500719683</v>
      </c>
      <c r="AU80" s="8">
        <f t="shared" si="92"/>
        <v>121136.7171988194</v>
      </c>
      <c r="AV80" s="6">
        <f>SUMIF('Eredeti fejléccel'!$B:$B,'Felosztás eredménykim'!$B80,'Eredeti fejléccel'!$AI:$AI)</f>
        <v>0</v>
      </c>
      <c r="AW80" s="6">
        <f>SUMIF('Eredeti fejléccel'!$B:$B,'Felosztás eredménykim'!$B80,'Eredeti fejléccel'!$AJ:$AJ)</f>
        <v>2798.58</v>
      </c>
      <c r="AX80" s="6">
        <f>SUMIF('Eredeti fejléccel'!$B:$B,'Felosztás eredménykim'!$B80,'Eredeti fejléccel'!$AK:$AK)</f>
        <v>18190.77</v>
      </c>
      <c r="AY80" s="6">
        <f>SUMIF('Eredeti fejléccel'!$B:$B,'Felosztás eredménykim'!$B80,'Eredeti fejléccel'!$AL:$AL)</f>
        <v>6996.4500000000007</v>
      </c>
      <c r="AZ80" s="6">
        <f>SUMIF('Eredeti fejléccel'!$B:$B,'Felosztás eredménykim'!$B80,'Eredeti fejléccel'!$AM:$AM)</f>
        <v>12593.61</v>
      </c>
      <c r="BA80" s="6">
        <f>SUMIF('Eredeti fejléccel'!$B:$B,'Felosztás eredménykim'!$B80,'Eredeti fejléccel'!$AN:$AN)</f>
        <v>0</v>
      </c>
      <c r="BB80" s="6">
        <f>SUMIF('Eredeti fejléccel'!$B:$B,'Felosztás eredménykim'!$B80,'Eredeti fejléccel'!$AP:$AP)</f>
        <v>0</v>
      </c>
      <c r="BD80" s="6">
        <f>SUMIF('Eredeti fejléccel'!$B:$B,'Felosztás eredménykim'!$B80,'Eredeti fejléccel'!$AS:$AS)</f>
        <v>0</v>
      </c>
      <c r="BE80" s="8">
        <f t="shared" si="74"/>
        <v>161716.12719881942</v>
      </c>
      <c r="BF80" s="36">
        <f t="shared" si="93"/>
        <v>11324.047695839916</v>
      </c>
      <c r="BG80" s="8">
        <f t="shared" si="94"/>
        <v>31600.882747518102</v>
      </c>
      <c r="BH80" s="6">
        <f t="shared" si="125"/>
        <v>1399.29</v>
      </c>
      <c r="BI80" s="6">
        <f>SUMIF('Eredeti fejléccel'!$B:$B,'Felosztás eredménykim'!$B80,'Eredeti fejléccel'!$AH:$AH)</f>
        <v>12593.61</v>
      </c>
      <c r="BJ80" s="6">
        <f>SUMIF('Eredeti fejléccel'!$B:$B,'Felosztás eredménykim'!$B80,'Eredeti fejléccel'!$AO:$AO)</f>
        <v>0</v>
      </c>
      <c r="BK80" s="6">
        <f>SUMIF('Eredeti fejléccel'!$B:$B,'Felosztás eredménykim'!$B80,'Eredeti fejléccel'!$BF:$BF)</f>
        <v>0</v>
      </c>
      <c r="BL80" s="8">
        <f t="shared" si="126"/>
        <v>45593.782747518104</v>
      </c>
      <c r="BM80" s="36">
        <f t="shared" si="95"/>
        <v>42427.432033746889</v>
      </c>
      <c r="BN80" s="8">
        <f t="shared" si="96"/>
        <v>118397.97402736783</v>
      </c>
      <c r="BP80" s="8">
        <f t="shared" si="127"/>
        <v>0</v>
      </c>
      <c r="BQ80" s="6">
        <f>SUMIF('Eredeti fejléccel'!$B:$B,'Felosztás eredménykim'!$B80,'Eredeti fejléccel'!$N:$N)</f>
        <v>0</v>
      </c>
      <c r="BR80" s="6">
        <f>SUMIF('Eredeti fejléccel'!$B:$B,'Felosztás eredménykim'!$B80,'Eredeti fejléccel'!$S:$S)</f>
        <v>0</v>
      </c>
      <c r="BT80" s="6">
        <f>SUMIF('Eredeti fejléccel'!$B:$B,'Felosztás eredménykim'!$B80,'Eredeti fejléccel'!$AR:$AR)</f>
        <v>0</v>
      </c>
      <c r="BU80" s="6">
        <f>SUMIF('Eredeti fejléccel'!$B:$B,'Felosztás eredménykim'!$B80,'Eredeti fejléccel'!$AU:$AU)</f>
        <v>0</v>
      </c>
      <c r="BV80" s="6">
        <f>SUMIF('Eredeti fejléccel'!$B:$B,'Felosztás eredménykim'!$B80,'Eredeti fejléccel'!$AV:$AV)</f>
        <v>0</v>
      </c>
      <c r="BW80" s="6">
        <f>SUMIF('Eredeti fejléccel'!$B:$B,'Felosztás eredménykim'!$B80,'Eredeti fejléccel'!$AW:$AW)</f>
        <v>0</v>
      </c>
      <c r="BX80" s="6">
        <f>SUMIF('Eredeti fejléccel'!$B:$B,'Felosztás eredménykim'!$B80,'Eredeti fejléccel'!$AX:$AX)</f>
        <v>0</v>
      </c>
      <c r="BY80" s="6">
        <f>SUMIF('Eredeti fejléccel'!$B:$B,'Felosztás eredménykim'!$B80,'Eredeti fejléccel'!$AY:$AY)</f>
        <v>0</v>
      </c>
      <c r="BZ80" s="6">
        <f>SUMIF('Eredeti fejléccel'!$B:$B,'Felosztás eredménykim'!$B80,'Eredeti fejléccel'!$AZ:$AZ)</f>
        <v>0</v>
      </c>
      <c r="CA80" s="6">
        <f>SUMIF('Eredeti fejléccel'!$B:$B,'Felosztás eredménykim'!$B80,'Eredeti fejléccel'!$BA:$BA)</f>
        <v>1643762.1999999997</v>
      </c>
      <c r="CB80" s="6">
        <f t="shared" si="114"/>
        <v>1762160.1740273675</v>
      </c>
      <c r="CC80" s="36">
        <f t="shared" si="97"/>
        <v>11550.528649756714</v>
      </c>
      <c r="CD80" s="8">
        <f t="shared" si="98"/>
        <v>32232.900402468465</v>
      </c>
      <c r="CE80" s="6">
        <f>SUMIF('Eredeti fejléccel'!$B:$B,'Felosztás eredménykim'!$B80,'Eredeti fejléccel'!$BC:$BC)</f>
        <v>2798.58</v>
      </c>
      <c r="CF80" s="8">
        <f t="shared" si="135"/>
        <v>-1399.29</v>
      </c>
      <c r="CG80" s="6">
        <f>SUMIF('Eredeti fejléccel'!$B:$B,'Felosztás eredménykim'!$B80,'Eredeti fejléccel'!$H:$H)</f>
        <v>0</v>
      </c>
      <c r="CH80" s="6">
        <f>SUMIF('Eredeti fejléccel'!$B:$B,'Felosztás eredménykim'!$B80,'Eredeti fejléccel'!$BE:$BE)</f>
        <v>19590.060000000001</v>
      </c>
      <c r="CI80" s="6">
        <f t="shared" si="75"/>
        <v>53222.25040246846</v>
      </c>
      <c r="CJ80" s="36">
        <f t="shared" si="99"/>
        <v>8304.3016436159396</v>
      </c>
      <c r="CK80" s="8">
        <f t="shared" si="100"/>
        <v>23173.98068151328</v>
      </c>
      <c r="CL80" s="8">
        <f t="shared" si="136"/>
        <v>1399.29</v>
      </c>
      <c r="CM80" s="6">
        <f>SUMIF('Eredeti fejléccel'!$B:$B,'Felosztás eredménykim'!$B80,'Eredeti fejléccel'!$BD:$BD)</f>
        <v>11194.32</v>
      </c>
      <c r="CN80" s="8">
        <f t="shared" si="76"/>
        <v>35767.590681513277</v>
      </c>
      <c r="CO80" s="8">
        <f t="shared" si="115"/>
        <v>2608281.4588119765</v>
      </c>
      <c r="CR80" s="36">
        <f t="shared" si="101"/>
        <v>49882.274188667099</v>
      </c>
      <c r="CS80" s="6">
        <f>SUMIF('Eredeti fejléccel'!$B:$B,'Felosztás eredménykim'!$B80,'Eredeti fejléccel'!$I:$I)</f>
        <v>0</v>
      </c>
      <c r="CT80" s="6">
        <f>SUMIF('Eredeti fejléccel'!$B:$B,'Felosztás eredménykim'!$B80,'Eredeti fejléccel'!$BG:$BG)</f>
        <v>0</v>
      </c>
      <c r="CU80" s="6">
        <f>SUMIF('Eredeti fejléccel'!$B:$B,'Felosztás eredménykim'!$B80,'Eredeti fejléccel'!$BH:$BH)</f>
        <v>0</v>
      </c>
      <c r="CV80" s="6">
        <f>SUMIF('Eredeti fejléccel'!$B:$B,'Felosztás eredménykim'!$B80,'Eredeti fejléccel'!$BI:$BI)</f>
        <v>0</v>
      </c>
      <c r="CW80" s="6">
        <f>SUMIF('Eredeti fejléccel'!$B:$B,'Felosztás eredménykim'!$B80,'Eredeti fejléccel'!$BL:$BL)</f>
        <v>414328.33</v>
      </c>
      <c r="CX80" s="6">
        <f t="shared" si="77"/>
        <v>414328.33</v>
      </c>
      <c r="CY80" s="6">
        <f>SUMIF('Eredeti fejléccel'!$B:$B,'Felosztás eredménykim'!$B80,'Eredeti fejléccel'!$BJ:$BJ)</f>
        <v>61910.67</v>
      </c>
      <c r="CZ80" s="6">
        <f>SUMIF('Eredeti fejléccel'!$B:$B,'Felosztás eredménykim'!$B80,'Eredeti fejléccel'!$BK:$BK)</f>
        <v>0</v>
      </c>
      <c r="DA80" s="99">
        <f t="shared" si="116"/>
        <v>476239</v>
      </c>
      <c r="DC80" s="36">
        <f t="shared" si="102"/>
        <v>43690.117108821643</v>
      </c>
      <c r="DD80" s="6">
        <f>SUMIF('Eredeti fejléccel'!$B:$B,'Felosztás eredménykim'!$B80,'Eredeti fejléccel'!$J:$J)</f>
        <v>0</v>
      </c>
      <c r="DE80" s="6">
        <f>SUMIF('Eredeti fejléccel'!$B:$B,'Felosztás eredménykim'!$B80,'Eredeti fejléccel'!$BM:$BM)</f>
        <v>46999</v>
      </c>
      <c r="DF80" s="6">
        <f t="shared" si="128"/>
        <v>0</v>
      </c>
      <c r="DG80" s="8">
        <f t="shared" si="117"/>
        <v>0</v>
      </c>
      <c r="DH80" s="8">
        <f t="shared" si="129"/>
        <v>46999</v>
      </c>
      <c r="DJ80" s="6">
        <f>SUMIF('Eredeti fejléccel'!$B:$B,'Felosztás eredménykim'!$B80,'Eredeti fejléccel'!$BN:$BN)</f>
        <v>59483</v>
      </c>
      <c r="DK80" s="6">
        <f>SUMIF('Eredeti fejléccel'!$B:$B,'Felosztás eredménykim'!$B80,'Eredeti fejléccel'!$BZ:$BZ)</f>
        <v>0</v>
      </c>
      <c r="DL80" s="8">
        <f t="shared" si="130"/>
        <v>59483</v>
      </c>
      <c r="DM80" s="6">
        <f>SUMIF('Eredeti fejléccel'!$B:$B,'Felosztás eredménykim'!$B80,'Eredeti fejléccel'!$BR:$BR)</f>
        <v>0</v>
      </c>
      <c r="DN80" s="6">
        <f>SUMIF('Eredeti fejléccel'!$B:$B,'Felosztás eredménykim'!$B80,'Eredeti fejléccel'!$BS:$BS)</f>
        <v>0</v>
      </c>
      <c r="DO80" s="6">
        <f>SUMIF('Eredeti fejléccel'!$B:$B,'Felosztás eredménykim'!$B80,'Eredeti fejléccel'!$BO:$BO)</f>
        <v>0</v>
      </c>
      <c r="DP80" s="6">
        <f>SUMIF('Eredeti fejléccel'!$B:$B,'Felosztás eredménykim'!$B80,'Eredeti fejléccel'!$BP:$BP)</f>
        <v>0</v>
      </c>
      <c r="DQ80" s="6">
        <f>SUMIF('Eredeti fejléccel'!$B:$B,'Felosztás eredménykim'!$B80,'Eredeti fejléccel'!$BQ:$BQ)</f>
        <v>0</v>
      </c>
      <c r="DS80" s="8"/>
      <c r="DU80" s="6">
        <f>SUMIF('Eredeti fejléccel'!$B:$B,'Felosztás eredménykim'!$B80,'Eredeti fejléccel'!$BT:$BT)</f>
        <v>0</v>
      </c>
      <c r="DV80" s="6">
        <f>SUMIF('Eredeti fejléccel'!$B:$B,'Felosztás eredménykim'!$B80,'Eredeti fejléccel'!$BU:$BU)</f>
        <v>0</v>
      </c>
      <c r="DW80" s="6">
        <f>SUMIF('Eredeti fejléccel'!$B:$B,'Felosztás eredménykim'!$B80,'Eredeti fejléccel'!$BV:$BV)</f>
        <v>0</v>
      </c>
      <c r="DX80" s="6">
        <f>SUMIF('Eredeti fejléccel'!$B:$B,'Felosztás eredménykim'!$B80,'Eredeti fejléccel'!$BW:$BW)</f>
        <v>0</v>
      </c>
      <c r="DY80" s="6">
        <f>SUMIF('Eredeti fejléccel'!$B:$B,'Felosztás eredménykim'!$B80,'Eredeti fejléccel'!$BX:$BX)</f>
        <v>0</v>
      </c>
      <c r="EA80" s="6"/>
      <c r="EC80" s="6"/>
      <c r="EE80" s="6">
        <f>SUMIF('Eredeti fejléccel'!$B:$B,'Felosztás eredménykim'!$B80,'Eredeti fejléccel'!$CA:$CA)</f>
        <v>0</v>
      </c>
      <c r="EF80" s="6">
        <f>SUMIF('Eredeti fejléccel'!$B:$B,'Felosztás eredménykim'!$B80,'Eredeti fejléccel'!$CB:$CB)</f>
        <v>0</v>
      </c>
      <c r="EG80" s="6">
        <f>SUMIF('Eredeti fejléccel'!$B:$B,'Felosztás eredménykim'!$B80,'Eredeti fejléccel'!$CC:$CC)</f>
        <v>0</v>
      </c>
      <c r="EH80" s="6">
        <f>SUMIF('Eredeti fejléccel'!$B:$B,'Felosztás eredménykim'!$B80,'Eredeti fejléccel'!$CD:$CD)</f>
        <v>0</v>
      </c>
      <c r="EK80" s="6">
        <f>SUMIF('Eredeti fejléccel'!$B:$B,'Felosztás eredménykim'!$B80,'Eredeti fejléccel'!$CE:$CE)</f>
        <v>0</v>
      </c>
      <c r="EN80" s="6">
        <f>SUMIF('Eredeti fejléccel'!$B:$B,'Felosztás eredménykim'!$B80,'Eredeti fejléccel'!$CF:$CF)</f>
        <v>0</v>
      </c>
      <c r="EP80" s="6">
        <f>SUMIF('Eredeti fejléccel'!$B:$B,'Felosztás eredménykim'!$B80,'Eredeti fejléccel'!$CG:$CG)</f>
        <v>0</v>
      </c>
      <c r="ES80" s="6">
        <f>SUMIF('Eredeti fejléccel'!$B:$B,'Felosztás eredménykim'!$B80,'Eredeti fejléccel'!$CH:$CH)</f>
        <v>0</v>
      </c>
      <c r="ET80" s="6">
        <f>SUMIF('Eredeti fejléccel'!$B:$B,'Felosztás eredménykim'!$B80,'Eredeti fejléccel'!$CI:$CI)</f>
        <v>0</v>
      </c>
      <c r="EW80" s="8">
        <f t="shared" si="118"/>
        <v>0</v>
      </c>
      <c r="EX80" s="8">
        <f t="shared" si="78"/>
        <v>0</v>
      </c>
      <c r="EY80" s="8">
        <f t="shared" si="119"/>
        <v>46999</v>
      </c>
      <c r="EZ80" s="8">
        <f t="shared" si="120"/>
        <v>106482</v>
      </c>
      <c r="FA80" s="8">
        <f t="shared" si="121"/>
        <v>46999</v>
      </c>
      <c r="FC80" s="6">
        <f>SUMIF('Eredeti fejléccel'!$B:$B,'Felosztás eredménykim'!$B80,'Eredeti fejléccel'!$L:$L)</f>
        <v>0</v>
      </c>
      <c r="FD80" s="6">
        <f>SUMIF('Eredeti fejléccel'!$B:$B,'Felosztás eredménykim'!$B80,'Eredeti fejléccel'!$CJ:$CJ)</f>
        <v>3937</v>
      </c>
      <c r="FE80" s="6">
        <f>SUMIF('Eredeti fejléccel'!$B:$B,'Felosztás eredménykim'!$B80,'Eredeti fejléccel'!$CL:$CL)</f>
        <v>0</v>
      </c>
      <c r="FG80" s="99">
        <f t="shared" si="79"/>
        <v>3937</v>
      </c>
      <c r="FH80" s="6">
        <f>SUMIF('Eredeti fejléccel'!$B:$B,'Felosztás eredménykim'!$B80,'Eredeti fejléccel'!$CK:$CK)</f>
        <v>0</v>
      </c>
      <c r="FI80" s="36">
        <f t="shared" si="103"/>
        <v>51404.191624004139</v>
      </c>
      <c r="FJ80" s="101">
        <f t="shared" si="104"/>
        <v>873.01463217461594</v>
      </c>
      <c r="FK80" s="6">
        <f>SUMIF('Eredeti fejléccel'!$B:$B,'Felosztás eredménykim'!$B80,'Eredeti fejléccel'!$CM:$CM)</f>
        <v>0</v>
      </c>
      <c r="FL80" s="6">
        <f>SUMIF('Eredeti fejléccel'!$B:$B,'Felosztás eredménykim'!$B80,'Eredeti fejléccel'!$CN:$CN)</f>
        <v>0</v>
      </c>
      <c r="FM80" s="8">
        <f t="shared" si="80"/>
        <v>873.01463217461594</v>
      </c>
      <c r="FN80" s="36">
        <f t="shared" si="105"/>
        <v>43701.995941369911</v>
      </c>
      <c r="FO80" s="101">
        <f t="shared" si="106"/>
        <v>742.20565885206145</v>
      </c>
      <c r="FP80" s="6">
        <f>SUMIF('Eredeti fejléccel'!$B:$B,'Felosztás eredménykim'!$B80,'Eredeti fejléccel'!$CO:$CO)</f>
        <v>1445748</v>
      </c>
      <c r="FQ80" s="6">
        <f>'Eredeti fejléccel'!CP80</f>
        <v>2132332.25</v>
      </c>
      <c r="FR80" s="6">
        <f>'Eredeti fejléccel'!CQ80</f>
        <v>0</v>
      </c>
      <c r="FS80" s="103">
        <f t="shared" si="122"/>
        <v>3578822.4556588521</v>
      </c>
      <c r="FT80" s="36">
        <f t="shared" si="107"/>
        <v>120630.25209030794</v>
      </c>
      <c r="FU80" s="101">
        <f t="shared" si="108"/>
        <v>2048.7040420371868</v>
      </c>
      <c r="FV80" s="101"/>
      <c r="FW80" s="6">
        <f>SUMIF('Eredeti fejléccel'!$B:$B,'Felosztás eredménykim'!$B80,'Eredeti fejléccel'!$CR:$CR)</f>
        <v>953426</v>
      </c>
      <c r="FX80" s="6">
        <f>SUMIF('Eredeti fejléccel'!$B:$B,'Felosztás eredménykim'!$B80,'Eredeti fejléccel'!$CS:$CS)</f>
        <v>0</v>
      </c>
      <c r="FY80" s="6">
        <f>SUMIF('Eredeti fejléccel'!$B:$B,'Felosztás eredménykim'!$B80,'Eredeti fejléccel'!$CT:$CT)</f>
        <v>0</v>
      </c>
      <c r="FZ80" s="6">
        <f>SUMIF('Eredeti fejléccel'!$B:$B,'Felosztás eredménykim'!$B80,'Eredeti fejléccel'!$CU:$CU)</f>
        <v>0</v>
      </c>
      <c r="GA80" s="103">
        <f t="shared" si="81"/>
        <v>955474.70404203713</v>
      </c>
      <c r="GB80" s="36">
        <f t="shared" si="109"/>
        <v>16079.036242579494</v>
      </c>
      <c r="GC80" s="101">
        <f t="shared" si="110"/>
        <v>273.0756669361358</v>
      </c>
      <c r="GD80" s="6">
        <f>SUMIF('Eredeti fejléccel'!$B:$B,'Felosztás eredménykim'!$B80,'Eredeti fejléccel'!$CV:$CV)</f>
        <v>2833420</v>
      </c>
      <c r="GE80" s="6">
        <f>SUMIF('Eredeti fejléccel'!$B:$B,'Felosztás eredménykim'!$B80,'Eredeti fejléccel'!$CW:$CW)</f>
        <v>0</v>
      </c>
      <c r="GF80" s="103">
        <f t="shared" si="82"/>
        <v>2833693.0756669361</v>
      </c>
      <c r="GG80" s="36">
        <f t="shared" si="111"/>
        <v>0</v>
      </c>
      <c r="GM80" s="6">
        <f>SUMIF('Eredeti fejléccel'!$B:$B,'Felosztás eredménykim'!$B80,'Eredeti fejléccel'!$CX:$CX)</f>
        <v>0</v>
      </c>
      <c r="GN80" s="6">
        <f>SUMIF('Eredeti fejléccel'!$B:$B,'Felosztás eredménykim'!$B80,'Eredeti fejléccel'!$CY:$CY)</f>
        <v>0</v>
      </c>
      <c r="GO80" s="6">
        <f>SUMIF('Eredeti fejléccel'!$B:$B,'Felosztás eredménykim'!$B80,'Eredeti fejléccel'!$CZ:$CZ)</f>
        <v>0</v>
      </c>
      <c r="GP80" s="6">
        <f>SUMIF('Eredeti fejléccel'!$B:$B,'Felosztás eredménykim'!$B80,'Eredeti fejléccel'!$DA:$DA)</f>
        <v>0</v>
      </c>
      <c r="GQ80" s="6">
        <f>SUMIF('Eredeti fejléccel'!$B:$B,'Felosztás eredménykim'!$B80,'Eredeti fejléccel'!$DB:$DB)</f>
        <v>0</v>
      </c>
      <c r="GR80" s="103">
        <f t="shared" si="83"/>
        <v>0</v>
      </c>
      <c r="GW80" s="36">
        <f t="shared" si="112"/>
        <v>27601.403992273023</v>
      </c>
      <c r="GX80" s="6">
        <f>SUMIF('Eredeti fejléccel'!$B:$B,'Felosztás eredménykim'!$B80,'Eredeti fejléccel'!$M:$M)</f>
        <v>0</v>
      </c>
      <c r="GY80" s="6">
        <f>SUMIF('Eredeti fejléccel'!$B:$B,'Felosztás eredménykim'!$B80,'Eredeti fejléccel'!$DC:$DC)</f>
        <v>2306547</v>
      </c>
      <c r="GZ80" s="6">
        <f>SUMIF('Eredeti fejléccel'!$B:$B,'Felosztás eredménykim'!$B80,'Eredeti fejléccel'!$DD:$DD)</f>
        <v>1446500</v>
      </c>
      <c r="HA80" s="6">
        <f>SUMIF('Eredeti fejléccel'!$B:$B,'Felosztás eredménykim'!$B80,'Eredeti fejléccel'!$DE:$DE)</f>
        <v>0</v>
      </c>
      <c r="HB80" s="103">
        <f t="shared" si="84"/>
        <v>3753047</v>
      </c>
      <c r="HD80" s="9">
        <f t="shared" si="113"/>
        <v>14665901.979999991</v>
      </c>
      <c r="HE80" s="9">
        <v>14665901.979999997</v>
      </c>
      <c r="HF80" s="476"/>
      <c r="HH80" s="34">
        <f t="shared" si="85"/>
        <v>0</v>
      </c>
      <c r="HI80" s="31">
        <f>SUM(HD22:HD80)</f>
        <v>1121485263.1699996</v>
      </c>
      <c r="HJ80" s="31">
        <f>SUM(HE22:HE80)</f>
        <v>1121485263.1699998</v>
      </c>
    </row>
    <row r="81" spans="1:218" x14ac:dyDescent="0.25">
      <c r="A81" s="4" t="s">
        <v>170</v>
      </c>
      <c r="B81" s="4" t="s">
        <v>170</v>
      </c>
      <c r="C81" s="1" t="s">
        <v>171</v>
      </c>
      <c r="D81" s="6">
        <f>SUMIF('Eredeti fejléccel'!$B:$B,'Felosztás eredménykim'!$B81,'Eredeti fejléccel'!$D:$D)</f>
        <v>0</v>
      </c>
      <c r="E81" s="6">
        <f>SUMIF('Eredeti fejléccel'!$B:$B,'Felosztás eredménykim'!$B81,'Eredeti fejléccel'!$E:$E)</f>
        <v>148324</v>
      </c>
      <c r="F81" s="6">
        <f>SUMIF('Eredeti fejléccel'!$B:$B,'Felosztás eredménykim'!$B81,'Eredeti fejléccel'!$F:$F)</f>
        <v>0</v>
      </c>
      <c r="G81" s="6">
        <f>SUMIF('Eredeti fejléccel'!$B:$B,'Felosztás eredménykim'!$B81,'Eredeti fejléccel'!$G:$G)</f>
        <v>0</v>
      </c>
      <c r="H81" s="6"/>
      <c r="I81" s="6">
        <f>SUMIF('Eredeti fejléccel'!$B:$B,'Felosztás eredménykim'!$B81,'Eredeti fejléccel'!$O:$O)</f>
        <v>0</v>
      </c>
      <c r="J81" s="6">
        <f>SUMIF('Eredeti fejléccel'!$B:$B,'Felosztás eredménykim'!$B81,'Eredeti fejléccel'!$P:$P)</f>
        <v>0</v>
      </c>
      <c r="K81" s="6">
        <f>SUMIF('Eredeti fejléccel'!$B:$B,'Felosztás eredménykim'!$B81,'Eredeti fejléccel'!$Q:$Q)</f>
        <v>0</v>
      </c>
      <c r="L81" s="6">
        <f>SUMIF('Eredeti fejléccel'!$B:$B,'Felosztás eredménykim'!$B81,'Eredeti fejléccel'!$R:$R)</f>
        <v>0</v>
      </c>
      <c r="M81" s="6">
        <f>SUMIF('Eredeti fejléccel'!$B:$B,'Felosztás eredménykim'!$B81,'Eredeti fejléccel'!$T:$T)</f>
        <v>0</v>
      </c>
      <c r="N81" s="6">
        <f>SUMIF('Eredeti fejléccel'!$B:$B,'Felosztás eredménykim'!$B81,'Eredeti fejléccel'!$U:$U)</f>
        <v>0</v>
      </c>
      <c r="O81" s="6">
        <f>SUMIF('Eredeti fejléccel'!$B:$B,'Felosztás eredménykim'!$B81,'Eredeti fejléccel'!$V:$V)</f>
        <v>0</v>
      </c>
      <c r="P81" s="6">
        <f>SUMIF('Eredeti fejléccel'!$B:$B,'Felosztás eredménykim'!$B81,'Eredeti fejléccel'!$W:$W)</f>
        <v>0</v>
      </c>
      <c r="Q81" s="6">
        <f>SUMIF('Eredeti fejléccel'!$B:$B,'Felosztás eredménykim'!$B81,'Eredeti fejléccel'!$X:$X)</f>
        <v>0</v>
      </c>
      <c r="R81" s="6">
        <f>SUMIF('Eredeti fejléccel'!$B:$B,'Felosztás eredménykim'!$B81,'Eredeti fejléccel'!$Y:$Y)</f>
        <v>0</v>
      </c>
      <c r="S81" s="6">
        <f>SUMIF('Eredeti fejléccel'!$B:$B,'Felosztás eredménykim'!$B81,'Eredeti fejléccel'!$Z:$Z)</f>
        <v>0</v>
      </c>
      <c r="T81" s="6">
        <f>SUMIF('Eredeti fejléccel'!$B:$B,'Felosztás eredménykim'!$B81,'Eredeti fejléccel'!$AA:$AA)</f>
        <v>0</v>
      </c>
      <c r="U81" s="6">
        <f>SUMIF('Eredeti fejléccel'!$B:$B,'Felosztás eredménykim'!$B81,'Eredeti fejléccel'!$D:$D)</f>
        <v>0</v>
      </c>
      <c r="V81" s="6">
        <f>SUMIF('Eredeti fejléccel'!$B:$B,'Felosztás eredménykim'!$B81,'Eredeti fejléccel'!$AT:$AT)</f>
        <v>0</v>
      </c>
      <c r="X81" s="36">
        <f t="shared" si="86"/>
        <v>148324</v>
      </c>
      <c r="Z81" s="6">
        <f>SUMIF('Eredeti fejléccel'!$B:$B,'Felosztás eredménykim'!$B81,'Eredeti fejléccel'!$K:$K)</f>
        <v>302600</v>
      </c>
      <c r="AB81" s="6">
        <f>SUMIF('Eredeti fejléccel'!$B:$B,'Felosztás eredménykim'!$B81,'Eredeti fejléccel'!$AB:$AB)</f>
        <v>0</v>
      </c>
      <c r="AC81" s="6">
        <f>SUMIF('Eredeti fejléccel'!$B:$B,'Felosztás eredménykim'!$B81,'Eredeti fejléccel'!$AQ:$AQ)</f>
        <v>0</v>
      </c>
      <c r="AE81" s="73">
        <f t="shared" si="131"/>
        <v>302600</v>
      </c>
      <c r="AF81" s="36">
        <f t="shared" si="87"/>
        <v>17694.258410905768</v>
      </c>
      <c r="AG81" s="8">
        <f t="shared" si="88"/>
        <v>96482.336105893904</v>
      </c>
      <c r="AI81" s="6">
        <f>SUMIF('Eredeti fejléccel'!$B:$B,'Felosztás eredménykim'!$B81,'Eredeti fejléccel'!$BB:$BB)</f>
        <v>0</v>
      </c>
      <c r="AJ81" s="6">
        <f>SUMIF('Eredeti fejléccel'!$B:$B,'Felosztás eredménykim'!$B81,'Eredeti fejléccel'!$AF:$AF)</f>
        <v>0</v>
      </c>
      <c r="AK81" s="8">
        <f t="shared" si="73"/>
        <v>96482.336105893904</v>
      </c>
      <c r="AL81" s="36">
        <f t="shared" si="89"/>
        <v>7028.070100937608</v>
      </c>
      <c r="AM81" s="8">
        <f t="shared" si="90"/>
        <v>38322.296753420975</v>
      </c>
      <c r="AN81" s="6">
        <f t="shared" si="123"/>
        <v>0</v>
      </c>
      <c r="AO81" s="6">
        <f>SUMIF('Eredeti fejléccel'!$B:$B,'Felosztás eredménykim'!$B81,'Eredeti fejléccel'!$AC:$AC)</f>
        <v>0</v>
      </c>
      <c r="AP81" s="6">
        <f>SUMIF('Eredeti fejléccel'!$B:$B,'Felosztás eredménykim'!$B81,'Eredeti fejléccel'!$AD:$AD)</f>
        <v>0</v>
      </c>
      <c r="AQ81" s="6">
        <f>SUMIF('Eredeti fejléccel'!$B:$B,'Felosztás eredménykim'!$B81,'Eredeti fejléccel'!$AE:$AE)</f>
        <v>0</v>
      </c>
      <c r="AR81" s="6">
        <f>SUMIF('Eredeti fejléccel'!$B:$B,'Felosztás eredménykim'!$B81,'Eredeti fejléccel'!$AG:$AG)</f>
        <v>27000</v>
      </c>
      <c r="AS81" s="6">
        <f t="shared" si="124"/>
        <v>65322.296753420975</v>
      </c>
      <c r="AT81" s="36">
        <f t="shared" si="91"/>
        <v>11415.650587681142</v>
      </c>
      <c r="AU81" s="8">
        <f t="shared" si="92"/>
        <v>62246.668455415427</v>
      </c>
      <c r="AV81" s="6">
        <f>SUMIF('Eredeti fejléccel'!$B:$B,'Felosztás eredménykim'!$B81,'Eredeti fejléccel'!$AI:$AI)</f>
        <v>0</v>
      </c>
      <c r="AW81" s="6">
        <f>SUMIF('Eredeti fejléccel'!$B:$B,'Felosztás eredménykim'!$B81,'Eredeti fejléccel'!$AJ:$AJ)</f>
        <v>70000</v>
      </c>
      <c r="AX81" s="6">
        <f>SUMIF('Eredeti fejléccel'!$B:$B,'Felosztás eredménykim'!$B81,'Eredeti fejléccel'!$AK:$AK)</f>
        <v>984039</v>
      </c>
      <c r="AY81" s="6">
        <f>SUMIF('Eredeti fejléccel'!$B:$B,'Felosztás eredménykim'!$B81,'Eredeti fejléccel'!$AL:$AL)</f>
        <v>0</v>
      </c>
      <c r="AZ81" s="6">
        <f>SUMIF('Eredeti fejléccel'!$B:$B,'Felosztás eredménykim'!$B81,'Eredeti fejléccel'!$AM:$AM)</f>
        <v>0</v>
      </c>
      <c r="BA81" s="6">
        <f>SUMIF('Eredeti fejléccel'!$B:$B,'Felosztás eredménykim'!$B81,'Eredeti fejléccel'!$AN:$AN)</f>
        <v>0</v>
      </c>
      <c r="BB81" s="6">
        <f>SUMIF('Eredeti fejléccel'!$B:$B,'Felosztás eredménykim'!$B81,'Eredeti fejléccel'!$AP:$AP)</f>
        <v>0</v>
      </c>
      <c r="BD81" s="6">
        <f>SUMIF('Eredeti fejléccel'!$B:$B,'Felosztás eredménykim'!$B81,'Eredeti fejléccel'!$AS:$AS)</f>
        <v>0</v>
      </c>
      <c r="BE81" s="8">
        <f t="shared" si="74"/>
        <v>1116285.6684554154</v>
      </c>
      <c r="BF81" s="36">
        <f t="shared" si="93"/>
        <v>2977.9958054820372</v>
      </c>
      <c r="BG81" s="8">
        <f t="shared" si="94"/>
        <v>16238.261336195328</v>
      </c>
      <c r="BH81" s="6">
        <f t="shared" si="125"/>
        <v>0</v>
      </c>
      <c r="BI81" s="6">
        <f>SUMIF('Eredeti fejléccel'!$B:$B,'Felosztás eredménykim'!$B81,'Eredeti fejléccel'!$AH:$AH)</f>
        <v>14000</v>
      </c>
      <c r="BJ81" s="6">
        <f>SUMIF('Eredeti fejléccel'!$B:$B,'Felosztás eredménykim'!$B81,'Eredeti fejléccel'!$AO:$AO)</f>
        <v>0</v>
      </c>
      <c r="BK81" s="6">
        <f>SUMIF('Eredeti fejléccel'!$B:$B,'Felosztás eredménykim'!$B81,'Eredeti fejléccel'!$BF:$BF)</f>
        <v>0</v>
      </c>
      <c r="BL81" s="8">
        <f t="shared" si="126"/>
        <v>30238.261336195326</v>
      </c>
      <c r="BM81" s="36">
        <f t="shared" si="95"/>
        <v>11157.557617872701</v>
      </c>
      <c r="BN81" s="8">
        <f t="shared" si="96"/>
        <v>60839.352472945167</v>
      </c>
      <c r="BP81" s="8">
        <f t="shared" si="127"/>
        <v>0</v>
      </c>
      <c r="BQ81" s="6">
        <f>SUMIF('Eredeti fejléccel'!$B:$B,'Felosztás eredménykim'!$B81,'Eredeti fejléccel'!$N:$N)</f>
        <v>0</v>
      </c>
      <c r="BR81" s="6">
        <f>SUMIF('Eredeti fejléccel'!$B:$B,'Felosztás eredménykim'!$B81,'Eredeti fejléccel'!$S:$S)</f>
        <v>0</v>
      </c>
      <c r="BT81" s="6">
        <f>SUMIF('Eredeti fejléccel'!$B:$B,'Felosztás eredménykim'!$B81,'Eredeti fejléccel'!$AR:$AR)</f>
        <v>0</v>
      </c>
      <c r="BU81" s="6">
        <f>SUMIF('Eredeti fejléccel'!$B:$B,'Felosztás eredménykim'!$B81,'Eredeti fejléccel'!$AU:$AU)</f>
        <v>0</v>
      </c>
      <c r="BV81" s="6">
        <f>SUMIF('Eredeti fejléccel'!$B:$B,'Felosztás eredménykim'!$B81,'Eredeti fejléccel'!$AV:$AV)</f>
        <v>108487</v>
      </c>
      <c r="BW81" s="6">
        <f>SUMIF('Eredeti fejléccel'!$B:$B,'Felosztás eredménykim'!$B81,'Eredeti fejléccel'!$AW:$AW)</f>
        <v>0</v>
      </c>
      <c r="BX81" s="6">
        <f>SUMIF('Eredeti fejléccel'!$B:$B,'Felosztás eredménykim'!$B81,'Eredeti fejléccel'!$AX:$AX)</f>
        <v>0</v>
      </c>
      <c r="BY81" s="6">
        <f>SUMIF('Eredeti fejléccel'!$B:$B,'Felosztás eredménykim'!$B81,'Eredeti fejléccel'!$AY:$AY)</f>
        <v>0</v>
      </c>
      <c r="BZ81" s="6">
        <f>SUMIF('Eredeti fejléccel'!$B:$B,'Felosztás eredménykim'!$B81,'Eredeti fejléccel'!$AZ:$AZ)</f>
        <v>0</v>
      </c>
      <c r="CA81" s="6">
        <f>SUMIF('Eredeti fejléccel'!$B:$B,'Felosztás eredménykim'!$B81,'Eredeti fejléccel'!$BA:$BA)</f>
        <v>227000</v>
      </c>
      <c r="CB81" s="6">
        <f t="shared" si="114"/>
        <v>396326.35247294517</v>
      </c>
      <c r="CC81" s="36">
        <f t="shared" si="97"/>
        <v>3037.5557215916779</v>
      </c>
      <c r="CD81" s="8">
        <f t="shared" si="98"/>
        <v>16563.026562919236</v>
      </c>
      <c r="CE81" s="6">
        <f>SUMIF('Eredeti fejléccel'!$B:$B,'Felosztás eredménykim'!$B81,'Eredeti fejléccel'!$BC:$BC)</f>
        <v>0</v>
      </c>
      <c r="CF81" s="8">
        <f t="shared" si="135"/>
        <v>0</v>
      </c>
      <c r="CG81" s="6">
        <f>SUMIF('Eredeti fejléccel'!$B:$B,'Felosztás eredménykim'!$B81,'Eredeti fejléccel'!$H:$H)</f>
        <v>0</v>
      </c>
      <c r="CH81" s="6">
        <f>SUMIF('Eredeti fejléccel'!$B:$B,'Felosztás eredménykim'!$B81,'Eredeti fejléccel'!$BE:$BE)</f>
        <v>339250</v>
      </c>
      <c r="CI81" s="6">
        <f t="shared" si="75"/>
        <v>355813.02656291926</v>
      </c>
      <c r="CJ81" s="36">
        <f t="shared" si="99"/>
        <v>2183.8635906868276</v>
      </c>
      <c r="CK81" s="8">
        <f t="shared" si="100"/>
        <v>11908.058313209909</v>
      </c>
      <c r="CL81" s="8">
        <f t="shared" si="136"/>
        <v>0</v>
      </c>
      <c r="CM81" s="6">
        <f>SUMIF('Eredeti fejléccel'!$B:$B,'Felosztás eredménykim'!$B81,'Eredeti fejléccel'!$BD:$BD)</f>
        <v>303000</v>
      </c>
      <c r="CN81" s="8">
        <f t="shared" si="76"/>
        <v>314908.05831320991</v>
      </c>
      <c r="CO81" s="8">
        <f t="shared" si="115"/>
        <v>2430870.9518351583</v>
      </c>
      <c r="CR81" s="36">
        <f t="shared" si="101"/>
        <v>13118.030521571152</v>
      </c>
      <c r="CS81" s="6">
        <f>SUMIF('Eredeti fejléccel'!$B:$B,'Felosztás eredménykim'!$B81,'Eredeti fejléccel'!$I:$I)</f>
        <v>0</v>
      </c>
      <c r="CT81" s="6">
        <f>SUMIF('Eredeti fejléccel'!$B:$B,'Felosztás eredménykim'!$B81,'Eredeti fejléccel'!$BG:$BG)</f>
        <v>0</v>
      </c>
      <c r="CU81" s="6">
        <f>SUMIF('Eredeti fejléccel'!$B:$B,'Felosztás eredménykim'!$B81,'Eredeti fejléccel'!$BH:$BH)</f>
        <v>0</v>
      </c>
      <c r="CV81" s="6">
        <f>SUMIF('Eredeti fejléccel'!$B:$B,'Felosztás eredménykim'!$B81,'Eredeti fejléccel'!$BI:$BI)</f>
        <v>0</v>
      </c>
      <c r="CW81" s="6">
        <f>SUMIF('Eredeti fejléccel'!$B:$B,'Felosztás eredménykim'!$B81,'Eredeti fejléccel'!$BL:$BL)</f>
        <v>6966290</v>
      </c>
      <c r="CX81" s="6">
        <f t="shared" si="77"/>
        <v>6966290</v>
      </c>
      <c r="CY81" s="6">
        <f>SUMIF('Eredeti fejléccel'!$B:$B,'Felosztás eredménykim'!$B81,'Eredeti fejléccel'!$BJ:$BJ)</f>
        <v>675585</v>
      </c>
      <c r="CZ81" s="6">
        <f>SUMIF('Eredeti fejléccel'!$B:$B,'Felosztás eredménykim'!$B81,'Eredeti fejléccel'!$BK:$BK)</f>
        <v>28325</v>
      </c>
      <c r="DA81" s="99">
        <f t="shared" si="116"/>
        <v>7670200</v>
      </c>
      <c r="DC81" s="36">
        <f t="shared" si="102"/>
        <v>11489.618287186093</v>
      </c>
      <c r="DD81" s="6">
        <f>SUMIF('Eredeti fejléccel'!$B:$B,'Felosztás eredménykim'!$B81,'Eredeti fejléccel'!$J:$J)</f>
        <v>0</v>
      </c>
      <c r="DE81" s="6">
        <f>SUMIF('Eredeti fejléccel'!$B:$B,'Felosztás eredménykim'!$B81,'Eredeti fejléccel'!$BM:$BM)</f>
        <v>0</v>
      </c>
      <c r="DF81" s="6">
        <f t="shared" si="128"/>
        <v>0</v>
      </c>
      <c r="DG81" s="8">
        <f t="shared" si="117"/>
        <v>0</v>
      </c>
      <c r="DH81" s="8">
        <f t="shared" si="129"/>
        <v>0</v>
      </c>
      <c r="DJ81" s="6">
        <f>SUMIF('Eredeti fejléccel'!$B:$B,'Felosztás eredménykim'!$B81,'Eredeti fejléccel'!$BN:$BN)</f>
        <v>0</v>
      </c>
      <c r="DK81" s="6">
        <f>SUMIF('Eredeti fejléccel'!$B:$B,'Felosztás eredménykim'!$B81,'Eredeti fejléccel'!$BZ:$BZ)</f>
        <v>0</v>
      </c>
      <c r="DL81" s="8">
        <f t="shared" si="130"/>
        <v>0</v>
      </c>
      <c r="DM81" s="6">
        <f>SUMIF('Eredeti fejléccel'!$B:$B,'Felosztás eredménykim'!$B81,'Eredeti fejléccel'!$BR:$BR)</f>
        <v>0</v>
      </c>
      <c r="DN81" s="6">
        <f>SUMIF('Eredeti fejléccel'!$B:$B,'Felosztás eredménykim'!$B81,'Eredeti fejléccel'!$BS:$BS)</f>
        <v>0</v>
      </c>
      <c r="DO81" s="6">
        <f>SUMIF('Eredeti fejléccel'!$B:$B,'Felosztás eredménykim'!$B81,'Eredeti fejléccel'!$BO:$BO)</f>
        <v>0</v>
      </c>
      <c r="DP81" s="6">
        <f>SUMIF('Eredeti fejléccel'!$B:$B,'Felosztás eredménykim'!$B81,'Eredeti fejléccel'!$BP:$BP)</f>
        <v>0</v>
      </c>
      <c r="DQ81" s="6">
        <f>SUMIF('Eredeti fejléccel'!$B:$B,'Felosztás eredménykim'!$B81,'Eredeti fejléccel'!$BQ:$BQ)</f>
        <v>0</v>
      </c>
      <c r="DS81" s="8"/>
      <c r="DU81" s="6">
        <f>SUMIF('Eredeti fejléccel'!$B:$B,'Felosztás eredménykim'!$B81,'Eredeti fejléccel'!$BT:$BT)</f>
        <v>0</v>
      </c>
      <c r="DV81" s="6">
        <f>SUMIF('Eredeti fejléccel'!$B:$B,'Felosztás eredménykim'!$B81,'Eredeti fejléccel'!$BU:$BU)</f>
        <v>0</v>
      </c>
      <c r="DW81" s="6">
        <f>SUMIF('Eredeti fejléccel'!$B:$B,'Felosztás eredménykim'!$B81,'Eredeti fejléccel'!$BV:$BV)</f>
        <v>0</v>
      </c>
      <c r="DX81" s="6">
        <f>SUMIF('Eredeti fejléccel'!$B:$B,'Felosztás eredménykim'!$B81,'Eredeti fejléccel'!$BW:$BW)</f>
        <v>0</v>
      </c>
      <c r="DY81" s="6">
        <f>SUMIF('Eredeti fejléccel'!$B:$B,'Felosztás eredménykim'!$B81,'Eredeti fejléccel'!$BX:$BX)</f>
        <v>0</v>
      </c>
      <c r="EA81" s="6"/>
      <c r="EC81" s="6"/>
      <c r="EE81" s="6">
        <f>SUMIF('Eredeti fejléccel'!$B:$B,'Felosztás eredménykim'!$B81,'Eredeti fejléccel'!$CA:$CA)</f>
        <v>0</v>
      </c>
      <c r="EF81" s="6">
        <f>SUMIF('Eredeti fejléccel'!$B:$B,'Felosztás eredménykim'!$B81,'Eredeti fejléccel'!$CB:$CB)</f>
        <v>0</v>
      </c>
      <c r="EG81" s="6">
        <f>SUMIF('Eredeti fejléccel'!$B:$B,'Felosztás eredménykim'!$B81,'Eredeti fejléccel'!$CC:$CC)</f>
        <v>0</v>
      </c>
      <c r="EH81" s="6">
        <f>SUMIF('Eredeti fejléccel'!$B:$B,'Felosztás eredménykim'!$B81,'Eredeti fejléccel'!$CD:$CD)</f>
        <v>0</v>
      </c>
      <c r="EK81" s="6">
        <f>SUMIF('Eredeti fejléccel'!$B:$B,'Felosztás eredménykim'!$B81,'Eredeti fejléccel'!$CE:$CE)</f>
        <v>0</v>
      </c>
      <c r="EN81" s="6">
        <f>SUMIF('Eredeti fejléccel'!$B:$B,'Felosztás eredménykim'!$B81,'Eredeti fejléccel'!$CF:$CF)</f>
        <v>0</v>
      </c>
      <c r="EP81" s="6">
        <f>SUMIF('Eredeti fejléccel'!$B:$B,'Felosztás eredménykim'!$B81,'Eredeti fejléccel'!$CG:$CG)</f>
        <v>0</v>
      </c>
      <c r="ES81" s="6">
        <f>SUMIF('Eredeti fejléccel'!$B:$B,'Felosztás eredménykim'!$B81,'Eredeti fejléccel'!$CH:$CH)</f>
        <v>0</v>
      </c>
      <c r="ET81" s="6">
        <f>SUMIF('Eredeti fejléccel'!$B:$B,'Felosztás eredménykim'!$B81,'Eredeti fejléccel'!$CI:$CI)</f>
        <v>0</v>
      </c>
      <c r="EW81" s="8">
        <f t="shared" si="118"/>
        <v>0</v>
      </c>
      <c r="EX81" s="8">
        <f t="shared" si="78"/>
        <v>0</v>
      </c>
      <c r="EY81" s="8">
        <f t="shared" si="119"/>
        <v>0</v>
      </c>
      <c r="EZ81" s="8">
        <f t="shared" si="120"/>
        <v>0</v>
      </c>
      <c r="FA81" s="8">
        <f t="shared" si="121"/>
        <v>0</v>
      </c>
      <c r="FC81" s="6">
        <f>SUMIF('Eredeti fejléccel'!$B:$B,'Felosztás eredménykim'!$B81,'Eredeti fejléccel'!$L:$L)</f>
        <v>0</v>
      </c>
      <c r="FD81" s="6">
        <f>SUMIF('Eredeti fejléccel'!$B:$B,'Felosztás eredménykim'!$B81,'Eredeti fejléccel'!$CJ:$CJ)</f>
        <v>11250</v>
      </c>
      <c r="FE81" s="6">
        <f>SUMIF('Eredeti fejléccel'!$B:$B,'Felosztás eredménykim'!$B81,'Eredeti fejléccel'!$CL:$CL)</f>
        <v>0</v>
      </c>
      <c r="FG81" s="99">
        <f t="shared" si="79"/>
        <v>11250</v>
      </c>
      <c r="FH81" s="6">
        <f>SUMIF('Eredeti fejléccel'!$B:$B,'Felosztás eredménykim'!$B81,'Eredeti fejléccel'!$CK:$CK)</f>
        <v>0</v>
      </c>
      <c r="FI81" s="36">
        <f t="shared" si="103"/>
        <v>13518.264065305579</v>
      </c>
      <c r="FJ81" s="101">
        <f t="shared" si="104"/>
        <v>2494.6443007275666</v>
      </c>
      <c r="FK81" s="6">
        <f>SUMIF('Eredeti fejléccel'!$B:$B,'Felosztás eredménykim'!$B81,'Eredeti fejléccel'!$CM:$CM)</f>
        <v>0</v>
      </c>
      <c r="FL81" s="6">
        <f>SUMIF('Eredeti fejléccel'!$B:$B,'Felosztás eredménykim'!$B81,'Eredeti fejléccel'!$CN:$CN)</f>
        <v>0</v>
      </c>
      <c r="FM81" s="8">
        <f t="shared" si="80"/>
        <v>2494.6443007275666</v>
      </c>
      <c r="FN81" s="36">
        <f t="shared" si="105"/>
        <v>11492.742180201463</v>
      </c>
      <c r="FO81" s="101">
        <f t="shared" si="106"/>
        <v>2120.8569118835894</v>
      </c>
      <c r="FP81" s="6">
        <f>SUMIF('Eredeti fejléccel'!$B:$B,'Felosztás eredménykim'!$B81,'Eredeti fejléccel'!$CO:$CO)</f>
        <v>0</v>
      </c>
      <c r="FQ81" s="6">
        <f>'Eredeti fejléccel'!CP81</f>
        <v>0</v>
      </c>
      <c r="FR81" s="6">
        <f>'Eredeti fejléccel'!CQ81</f>
        <v>0</v>
      </c>
      <c r="FS81" s="103">
        <f t="shared" si="122"/>
        <v>2120.8569118835894</v>
      </c>
      <c r="FT81" s="36">
        <f t="shared" si="107"/>
        <v>31723.319645779084</v>
      </c>
      <c r="FU81" s="101">
        <f t="shared" si="108"/>
        <v>5854.1835084882787</v>
      </c>
      <c r="FV81" s="101"/>
      <c r="FW81" s="6">
        <f>SUMIF('Eredeti fejléccel'!$B:$B,'Felosztás eredménykim'!$B81,'Eredeti fejléccel'!$CR:$CR)</f>
        <v>17090</v>
      </c>
      <c r="FX81" s="6">
        <f>SUMIF('Eredeti fejléccel'!$B:$B,'Felosztás eredménykim'!$B81,'Eredeti fejléccel'!$CS:$CS)</f>
        <v>0</v>
      </c>
      <c r="FY81" s="6">
        <f>SUMIF('Eredeti fejléccel'!$B:$B,'Felosztás eredménykim'!$B81,'Eredeti fejléccel'!$CT:$CT)</f>
        <v>0</v>
      </c>
      <c r="FZ81" s="6">
        <f>SUMIF('Eredeti fejléccel'!$B:$B,'Felosztás eredménykim'!$B81,'Eredeti fejléccel'!$CU:$CU)</f>
        <v>0</v>
      </c>
      <c r="GA81" s="103">
        <f t="shared" si="81"/>
        <v>22944.183508488277</v>
      </c>
      <c r="GB81" s="36">
        <f t="shared" si="109"/>
        <v>4228.461745545821</v>
      </c>
      <c r="GC81" s="101">
        <f t="shared" si="110"/>
        <v>780.31527890056589</v>
      </c>
      <c r="GD81" s="6">
        <f>SUMIF('Eredeti fejléccel'!$B:$B,'Felosztás eredménykim'!$B81,'Eredeti fejléccel'!$CV:$CV)</f>
        <v>0</v>
      </c>
      <c r="GE81" s="6">
        <f>SUMIF('Eredeti fejléccel'!$B:$B,'Felosztás eredménykim'!$B81,'Eredeti fejléccel'!$CW:$CW)</f>
        <v>0</v>
      </c>
      <c r="GF81" s="103">
        <f t="shared" si="82"/>
        <v>780.31527890056589</v>
      </c>
      <c r="GG81" s="36">
        <f t="shared" si="111"/>
        <v>0</v>
      </c>
      <c r="GM81" s="6">
        <f>SUMIF('Eredeti fejléccel'!$B:$B,'Felosztás eredménykim'!$B81,'Eredeti fejléccel'!$CX:$CX)</f>
        <v>0</v>
      </c>
      <c r="GN81" s="6">
        <f>SUMIF('Eredeti fejléccel'!$B:$B,'Felosztás eredménykim'!$B81,'Eredeti fejléccel'!$CY:$CY)</f>
        <v>0</v>
      </c>
      <c r="GO81" s="6">
        <f>SUMIF('Eredeti fejléccel'!$B:$B,'Felosztás eredménykim'!$B81,'Eredeti fejléccel'!$CZ:$CZ)</f>
        <v>0</v>
      </c>
      <c r="GP81" s="6">
        <f>SUMIF('Eredeti fejléccel'!$B:$B,'Felosztás eredménykim'!$B81,'Eredeti fejléccel'!$DA:$DA)</f>
        <v>0</v>
      </c>
      <c r="GQ81" s="6">
        <f>SUMIF('Eredeti fejléccel'!$B:$B,'Felosztás eredménykim'!$B81,'Eredeti fejléccel'!$DB:$DB)</f>
        <v>0</v>
      </c>
      <c r="GR81" s="103">
        <f t="shared" si="83"/>
        <v>0</v>
      </c>
      <c r="GW81" s="36">
        <f t="shared" si="112"/>
        <v>7258.6117192530592</v>
      </c>
      <c r="GX81" s="6">
        <f>SUMIF('Eredeti fejléccel'!$B:$B,'Felosztás eredménykim'!$B81,'Eredeti fejléccel'!$M:$M)</f>
        <v>0</v>
      </c>
      <c r="GY81" s="6">
        <f>SUMIF('Eredeti fejléccel'!$B:$B,'Felosztás eredménykim'!$B81,'Eredeti fejléccel'!$DC:$DC)</f>
        <v>80900</v>
      </c>
      <c r="GZ81" s="6">
        <f>SUMIF('Eredeti fejléccel'!$B:$B,'Felosztás eredménykim'!$B81,'Eredeti fejléccel'!$DD:$DD)</f>
        <v>0</v>
      </c>
      <c r="HA81" s="6">
        <f>SUMIF('Eredeti fejléccel'!$B:$B,'Felosztás eredménykim'!$B81,'Eredeti fejléccel'!$DE:$DE)</f>
        <v>0</v>
      </c>
      <c r="HB81" s="103">
        <f t="shared" si="84"/>
        <v>80900</v>
      </c>
      <c r="HD81" s="9">
        <f t="shared" si="113"/>
        <v>10303140</v>
      </c>
      <c r="HE81" s="9">
        <v>10303140</v>
      </c>
      <c r="HF81" s="476"/>
      <c r="HH81" s="34">
        <f t="shared" si="85"/>
        <v>0</v>
      </c>
    </row>
    <row r="82" spans="1:218" x14ac:dyDescent="0.25">
      <c r="A82" s="4" t="s">
        <v>172</v>
      </c>
      <c r="B82" s="4" t="s">
        <v>172</v>
      </c>
      <c r="C82" s="1" t="s">
        <v>173</v>
      </c>
      <c r="D82" s="6">
        <f>SUMIF('Eredeti fejléccel'!$B:$B,'Felosztás eredménykim'!$B82,'Eredeti fejléccel'!$D:$D)</f>
        <v>0</v>
      </c>
      <c r="E82" s="6">
        <f>SUMIF('Eredeti fejléccel'!$B:$B,'Felosztás eredménykim'!$B82,'Eredeti fejléccel'!$E:$E)</f>
        <v>0</v>
      </c>
      <c r="F82" s="6">
        <f>SUMIF('Eredeti fejléccel'!$B:$B,'Felosztás eredménykim'!$B82,'Eredeti fejléccel'!$F:$F)</f>
        <v>0</v>
      </c>
      <c r="G82" s="6">
        <f>SUMIF('Eredeti fejléccel'!$B:$B,'Felosztás eredménykim'!$B82,'Eredeti fejléccel'!$G:$G)</f>
        <v>0</v>
      </c>
      <c r="H82" s="6"/>
      <c r="I82" s="6">
        <f>SUMIF('Eredeti fejléccel'!$B:$B,'Felosztás eredménykim'!$B82,'Eredeti fejléccel'!$O:$O)</f>
        <v>0</v>
      </c>
      <c r="J82" s="6">
        <f>SUMIF('Eredeti fejléccel'!$B:$B,'Felosztás eredménykim'!$B82,'Eredeti fejléccel'!$P:$P)</f>
        <v>0</v>
      </c>
      <c r="K82" s="6">
        <f>SUMIF('Eredeti fejléccel'!$B:$B,'Felosztás eredménykim'!$B82,'Eredeti fejléccel'!$Q:$Q)</f>
        <v>0</v>
      </c>
      <c r="L82" s="6">
        <f>SUMIF('Eredeti fejléccel'!$B:$B,'Felosztás eredménykim'!$B82,'Eredeti fejléccel'!$R:$R)</f>
        <v>0</v>
      </c>
      <c r="M82" s="6">
        <f>SUMIF('Eredeti fejléccel'!$B:$B,'Felosztás eredménykim'!$B82,'Eredeti fejléccel'!$T:$T)</f>
        <v>0</v>
      </c>
      <c r="N82" s="6">
        <f>SUMIF('Eredeti fejléccel'!$B:$B,'Felosztás eredménykim'!$B82,'Eredeti fejléccel'!$U:$U)</f>
        <v>0</v>
      </c>
      <c r="O82" s="6">
        <f>SUMIF('Eredeti fejléccel'!$B:$B,'Felosztás eredménykim'!$B82,'Eredeti fejléccel'!$V:$V)</f>
        <v>0</v>
      </c>
      <c r="P82" s="6">
        <f>SUMIF('Eredeti fejléccel'!$B:$B,'Felosztás eredménykim'!$B82,'Eredeti fejléccel'!$W:$W)</f>
        <v>0</v>
      </c>
      <c r="Q82" s="6">
        <f>SUMIF('Eredeti fejléccel'!$B:$B,'Felosztás eredménykim'!$B82,'Eredeti fejléccel'!$X:$X)</f>
        <v>0</v>
      </c>
      <c r="R82" s="6">
        <f>SUMIF('Eredeti fejléccel'!$B:$B,'Felosztás eredménykim'!$B82,'Eredeti fejléccel'!$Y:$Y)</f>
        <v>0</v>
      </c>
      <c r="S82" s="6">
        <f>SUMIF('Eredeti fejléccel'!$B:$B,'Felosztás eredménykim'!$B82,'Eredeti fejléccel'!$Z:$Z)</f>
        <v>0</v>
      </c>
      <c r="T82" s="6">
        <f>SUMIF('Eredeti fejléccel'!$B:$B,'Felosztás eredménykim'!$B82,'Eredeti fejléccel'!$AA:$AA)</f>
        <v>0</v>
      </c>
      <c r="U82" s="6">
        <f>SUMIF('Eredeti fejléccel'!$B:$B,'Felosztás eredménykim'!$B82,'Eredeti fejléccel'!$D:$D)</f>
        <v>0</v>
      </c>
      <c r="V82" s="6">
        <f>SUMIF('Eredeti fejléccel'!$B:$B,'Felosztás eredménykim'!$B82,'Eredeti fejléccel'!$AT:$AT)</f>
        <v>0</v>
      </c>
      <c r="X82" s="36">
        <f t="shared" si="86"/>
        <v>0</v>
      </c>
      <c r="Z82" s="6">
        <f>SUMIF('Eredeti fejléccel'!$B:$B,'Felosztás eredménykim'!$B82,'Eredeti fejléccel'!$K:$K)</f>
        <v>0</v>
      </c>
      <c r="AB82" s="6">
        <f>SUMIF('Eredeti fejléccel'!$B:$B,'Felosztás eredménykim'!$B82,'Eredeti fejléccel'!$AB:$AB)</f>
        <v>0</v>
      </c>
      <c r="AC82" s="6">
        <f>SUMIF('Eredeti fejléccel'!$B:$B,'Felosztás eredménykim'!$B82,'Eredeti fejléccel'!$AQ:$AQ)</f>
        <v>0</v>
      </c>
      <c r="AE82" s="73">
        <f t="shared" si="131"/>
        <v>0</v>
      </c>
      <c r="AF82" s="36">
        <f t="shared" si="87"/>
        <v>0</v>
      </c>
      <c r="AG82" s="8">
        <f t="shared" si="88"/>
        <v>0</v>
      </c>
      <c r="AI82" s="6">
        <f>SUMIF('Eredeti fejléccel'!$B:$B,'Felosztás eredménykim'!$B82,'Eredeti fejléccel'!$BB:$BB)</f>
        <v>0</v>
      </c>
      <c r="AJ82" s="6">
        <f>SUMIF('Eredeti fejléccel'!$B:$B,'Felosztás eredménykim'!$B82,'Eredeti fejléccel'!$AF:$AF)</f>
        <v>0</v>
      </c>
      <c r="AK82" s="8">
        <f t="shared" si="73"/>
        <v>0</v>
      </c>
      <c r="AL82" s="36">
        <f t="shared" si="89"/>
        <v>0</v>
      </c>
      <c r="AM82" s="8">
        <f t="shared" si="90"/>
        <v>0</v>
      </c>
      <c r="AN82" s="6">
        <f t="shared" si="123"/>
        <v>0</v>
      </c>
      <c r="AO82" s="6">
        <f>SUMIF('Eredeti fejléccel'!$B:$B,'Felosztás eredménykim'!$B82,'Eredeti fejléccel'!$AC:$AC)</f>
        <v>0</v>
      </c>
      <c r="AP82" s="6">
        <f>SUMIF('Eredeti fejléccel'!$B:$B,'Felosztás eredménykim'!$B82,'Eredeti fejléccel'!$AD:$AD)</f>
        <v>0</v>
      </c>
      <c r="AQ82" s="6">
        <f>SUMIF('Eredeti fejléccel'!$B:$B,'Felosztás eredménykim'!$B82,'Eredeti fejléccel'!$AE:$AE)</f>
        <v>0</v>
      </c>
      <c r="AR82" s="6">
        <f>SUMIF('Eredeti fejléccel'!$B:$B,'Felosztás eredménykim'!$B82,'Eredeti fejléccel'!$AG:$AG)</f>
        <v>0</v>
      </c>
      <c r="AS82" s="6">
        <f t="shared" si="124"/>
        <v>0</v>
      </c>
      <c r="AT82" s="36">
        <f t="shared" si="91"/>
        <v>0</v>
      </c>
      <c r="AU82" s="8">
        <f t="shared" si="92"/>
        <v>0</v>
      </c>
      <c r="AV82" s="6">
        <f>SUMIF('Eredeti fejléccel'!$B:$B,'Felosztás eredménykim'!$B82,'Eredeti fejléccel'!$AI:$AI)</f>
        <v>0</v>
      </c>
      <c r="AW82" s="6">
        <f>SUMIF('Eredeti fejléccel'!$B:$B,'Felosztás eredménykim'!$B82,'Eredeti fejléccel'!$AJ:$AJ)</f>
        <v>0</v>
      </c>
      <c r="AX82" s="6">
        <f>SUMIF('Eredeti fejléccel'!$B:$B,'Felosztás eredménykim'!$B82,'Eredeti fejléccel'!$AK:$AK)</f>
        <v>124050</v>
      </c>
      <c r="AY82" s="6">
        <f>SUMIF('Eredeti fejléccel'!$B:$B,'Felosztás eredménykim'!$B82,'Eredeti fejléccel'!$AL:$AL)</f>
        <v>0</v>
      </c>
      <c r="AZ82" s="6">
        <f>SUMIF('Eredeti fejléccel'!$B:$B,'Felosztás eredménykim'!$B82,'Eredeti fejléccel'!$AM:$AM)</f>
        <v>0</v>
      </c>
      <c r="BA82" s="6">
        <f>SUMIF('Eredeti fejléccel'!$B:$B,'Felosztás eredménykim'!$B82,'Eredeti fejléccel'!$AN:$AN)</f>
        <v>0</v>
      </c>
      <c r="BB82" s="6">
        <f>SUMIF('Eredeti fejléccel'!$B:$B,'Felosztás eredménykim'!$B82,'Eredeti fejléccel'!$AP:$AP)</f>
        <v>0</v>
      </c>
      <c r="BD82" s="6">
        <f>SUMIF('Eredeti fejléccel'!$B:$B,'Felosztás eredménykim'!$B82,'Eredeti fejléccel'!$AS:$AS)</f>
        <v>0</v>
      </c>
      <c r="BE82" s="8">
        <f t="shared" si="74"/>
        <v>124050</v>
      </c>
      <c r="BF82" s="36">
        <f t="shared" si="93"/>
        <v>0</v>
      </c>
      <c r="BG82" s="8">
        <f t="shared" si="94"/>
        <v>0</v>
      </c>
      <c r="BH82" s="6">
        <f t="shared" si="125"/>
        <v>0</v>
      </c>
      <c r="BI82" s="6">
        <f>SUMIF('Eredeti fejléccel'!$B:$B,'Felosztás eredménykim'!$B82,'Eredeti fejléccel'!$AH:$AH)</f>
        <v>0</v>
      </c>
      <c r="BJ82" s="6">
        <f>SUMIF('Eredeti fejléccel'!$B:$B,'Felosztás eredménykim'!$B82,'Eredeti fejléccel'!$AO:$AO)</f>
        <v>0</v>
      </c>
      <c r="BK82" s="6">
        <f>SUMIF('Eredeti fejléccel'!$B:$B,'Felosztás eredménykim'!$B82,'Eredeti fejléccel'!$BF:$BF)</f>
        <v>0</v>
      </c>
      <c r="BL82" s="8">
        <f t="shared" si="126"/>
        <v>0</v>
      </c>
      <c r="BM82" s="36">
        <f t="shared" si="95"/>
        <v>0</v>
      </c>
      <c r="BN82" s="8">
        <f t="shared" si="96"/>
        <v>0</v>
      </c>
      <c r="BP82" s="8">
        <f t="shared" si="127"/>
        <v>0</v>
      </c>
      <c r="BQ82" s="6">
        <f>SUMIF('Eredeti fejléccel'!$B:$B,'Felosztás eredménykim'!$B82,'Eredeti fejléccel'!$N:$N)</f>
        <v>0</v>
      </c>
      <c r="BR82" s="6">
        <f>SUMIF('Eredeti fejléccel'!$B:$B,'Felosztás eredménykim'!$B82,'Eredeti fejléccel'!$S:$S)</f>
        <v>0</v>
      </c>
      <c r="BT82" s="6">
        <f>SUMIF('Eredeti fejléccel'!$B:$B,'Felosztás eredménykim'!$B82,'Eredeti fejléccel'!$AR:$AR)</f>
        <v>0</v>
      </c>
      <c r="BU82" s="6">
        <f>SUMIF('Eredeti fejléccel'!$B:$B,'Felosztás eredménykim'!$B82,'Eredeti fejléccel'!$AU:$AU)</f>
        <v>0</v>
      </c>
      <c r="BV82" s="6">
        <f>SUMIF('Eredeti fejléccel'!$B:$B,'Felosztás eredménykim'!$B82,'Eredeti fejléccel'!$AV:$AV)</f>
        <v>0</v>
      </c>
      <c r="BW82" s="6">
        <f>SUMIF('Eredeti fejléccel'!$B:$B,'Felosztás eredménykim'!$B82,'Eredeti fejléccel'!$AW:$AW)</f>
        <v>0</v>
      </c>
      <c r="BX82" s="6">
        <f>SUMIF('Eredeti fejléccel'!$B:$B,'Felosztás eredménykim'!$B82,'Eredeti fejléccel'!$AX:$AX)</f>
        <v>0</v>
      </c>
      <c r="BY82" s="6">
        <f>SUMIF('Eredeti fejléccel'!$B:$B,'Felosztás eredménykim'!$B82,'Eredeti fejléccel'!$AY:$AY)</f>
        <v>0</v>
      </c>
      <c r="BZ82" s="6">
        <f>SUMIF('Eredeti fejléccel'!$B:$B,'Felosztás eredménykim'!$B82,'Eredeti fejléccel'!$AZ:$AZ)</f>
        <v>0</v>
      </c>
      <c r="CA82" s="6">
        <f>SUMIF('Eredeti fejléccel'!$B:$B,'Felosztás eredménykim'!$B82,'Eredeti fejléccel'!$BA:$BA)</f>
        <v>0</v>
      </c>
      <c r="CB82" s="6">
        <f t="shared" si="114"/>
        <v>0</v>
      </c>
      <c r="CC82" s="36">
        <f t="shared" si="97"/>
        <v>0</v>
      </c>
      <c r="CD82" s="8">
        <f t="shared" si="98"/>
        <v>0</v>
      </c>
      <c r="CE82" s="6">
        <f>SUMIF('Eredeti fejléccel'!$B:$B,'Felosztás eredménykim'!$B82,'Eredeti fejléccel'!$BC:$BC)</f>
        <v>0</v>
      </c>
      <c r="CF82" s="8">
        <f t="shared" si="135"/>
        <v>0</v>
      </c>
      <c r="CG82" s="6">
        <f>SUMIF('Eredeti fejléccel'!$B:$B,'Felosztás eredménykim'!$B82,'Eredeti fejléccel'!$H:$H)</f>
        <v>0</v>
      </c>
      <c r="CH82" s="6">
        <f>SUMIF('Eredeti fejléccel'!$B:$B,'Felosztás eredménykim'!$B82,'Eredeti fejléccel'!$BE:$BE)</f>
        <v>0</v>
      </c>
      <c r="CI82" s="6">
        <f t="shared" si="75"/>
        <v>0</v>
      </c>
      <c r="CJ82" s="36">
        <f t="shared" si="99"/>
        <v>0</v>
      </c>
      <c r="CK82" s="8">
        <f t="shared" si="100"/>
        <v>0</v>
      </c>
      <c r="CL82" s="8">
        <f t="shared" si="136"/>
        <v>0</v>
      </c>
      <c r="CM82" s="6">
        <f>SUMIF('Eredeti fejléccel'!$B:$B,'Felosztás eredménykim'!$B82,'Eredeti fejléccel'!$BD:$BD)</f>
        <v>0</v>
      </c>
      <c r="CN82" s="8">
        <f t="shared" si="76"/>
        <v>0</v>
      </c>
      <c r="CO82" s="8">
        <f t="shared" si="115"/>
        <v>124050</v>
      </c>
      <c r="CR82" s="36">
        <f t="shared" si="101"/>
        <v>0</v>
      </c>
      <c r="CS82" s="6">
        <f>SUMIF('Eredeti fejléccel'!$B:$B,'Felosztás eredménykim'!$B82,'Eredeti fejléccel'!$I:$I)</f>
        <v>0</v>
      </c>
      <c r="CT82" s="6">
        <f>SUMIF('Eredeti fejléccel'!$B:$B,'Felosztás eredménykim'!$B82,'Eredeti fejléccel'!$BG:$BG)</f>
        <v>0</v>
      </c>
      <c r="CU82" s="6">
        <f>SUMIF('Eredeti fejléccel'!$B:$B,'Felosztás eredménykim'!$B82,'Eredeti fejléccel'!$BH:$BH)</f>
        <v>0</v>
      </c>
      <c r="CV82" s="6">
        <f>SUMIF('Eredeti fejléccel'!$B:$B,'Felosztás eredménykim'!$B82,'Eredeti fejléccel'!$BI:$BI)</f>
        <v>0</v>
      </c>
      <c r="CW82" s="6">
        <f>SUMIF('Eredeti fejléccel'!$B:$B,'Felosztás eredménykim'!$B82,'Eredeti fejléccel'!$BL:$BL)</f>
        <v>9030</v>
      </c>
      <c r="CX82" s="6">
        <f t="shared" si="77"/>
        <v>9030</v>
      </c>
      <c r="CY82" s="6">
        <f>SUMIF('Eredeti fejléccel'!$B:$B,'Felosztás eredménykim'!$B82,'Eredeti fejléccel'!$BJ:$BJ)</f>
        <v>0</v>
      </c>
      <c r="CZ82" s="6">
        <f>SUMIF('Eredeti fejléccel'!$B:$B,'Felosztás eredménykim'!$B82,'Eredeti fejléccel'!$BK:$BK)</f>
        <v>0</v>
      </c>
      <c r="DA82" s="99">
        <f t="shared" si="116"/>
        <v>9030</v>
      </c>
      <c r="DC82" s="36">
        <f t="shared" si="102"/>
        <v>0</v>
      </c>
      <c r="DD82" s="6">
        <f>SUMIF('Eredeti fejléccel'!$B:$B,'Felosztás eredménykim'!$B82,'Eredeti fejléccel'!$J:$J)</f>
        <v>0</v>
      </c>
      <c r="DE82" s="6">
        <f>SUMIF('Eredeti fejléccel'!$B:$B,'Felosztás eredménykim'!$B82,'Eredeti fejléccel'!$BM:$BM)</f>
        <v>0</v>
      </c>
      <c r="DF82" s="6">
        <f t="shared" si="128"/>
        <v>0</v>
      </c>
      <c r="DG82" s="8">
        <f t="shared" si="117"/>
        <v>0</v>
      </c>
      <c r="DH82" s="8">
        <f t="shared" si="129"/>
        <v>0</v>
      </c>
      <c r="DJ82" s="6">
        <f>SUMIF('Eredeti fejléccel'!$B:$B,'Felosztás eredménykim'!$B82,'Eredeti fejléccel'!$BN:$BN)</f>
        <v>0</v>
      </c>
      <c r="DK82" s="6">
        <f>SUMIF('Eredeti fejléccel'!$B:$B,'Felosztás eredménykim'!$B82,'Eredeti fejléccel'!$BZ:$BZ)</f>
        <v>0</v>
      </c>
      <c r="DL82" s="8">
        <f t="shared" si="130"/>
        <v>0</v>
      </c>
      <c r="DM82" s="6">
        <f>SUMIF('Eredeti fejléccel'!$B:$B,'Felosztás eredménykim'!$B82,'Eredeti fejléccel'!$BR:$BR)</f>
        <v>0</v>
      </c>
      <c r="DN82" s="6">
        <f>SUMIF('Eredeti fejléccel'!$B:$B,'Felosztás eredménykim'!$B82,'Eredeti fejléccel'!$BS:$BS)</f>
        <v>0</v>
      </c>
      <c r="DO82" s="6">
        <f>SUMIF('Eredeti fejléccel'!$B:$B,'Felosztás eredménykim'!$B82,'Eredeti fejléccel'!$BO:$BO)</f>
        <v>0</v>
      </c>
      <c r="DP82" s="6">
        <f>SUMIF('Eredeti fejléccel'!$B:$B,'Felosztás eredménykim'!$B82,'Eredeti fejléccel'!$BP:$BP)</f>
        <v>0</v>
      </c>
      <c r="DQ82" s="6">
        <f>SUMIF('Eredeti fejléccel'!$B:$B,'Felosztás eredménykim'!$B82,'Eredeti fejléccel'!$BQ:$BQ)</f>
        <v>0</v>
      </c>
      <c r="DS82" s="8"/>
      <c r="DU82" s="6">
        <f>SUMIF('Eredeti fejléccel'!$B:$B,'Felosztás eredménykim'!$B82,'Eredeti fejléccel'!$BT:$BT)</f>
        <v>0</v>
      </c>
      <c r="DV82" s="6">
        <f>SUMIF('Eredeti fejléccel'!$B:$B,'Felosztás eredménykim'!$B82,'Eredeti fejléccel'!$BU:$BU)</f>
        <v>0</v>
      </c>
      <c r="DW82" s="6">
        <f>SUMIF('Eredeti fejléccel'!$B:$B,'Felosztás eredménykim'!$B82,'Eredeti fejléccel'!$BV:$BV)</f>
        <v>0</v>
      </c>
      <c r="DX82" s="6">
        <f>SUMIF('Eredeti fejléccel'!$B:$B,'Felosztás eredménykim'!$B82,'Eredeti fejléccel'!$BW:$BW)</f>
        <v>0</v>
      </c>
      <c r="DY82" s="6">
        <f>SUMIF('Eredeti fejléccel'!$B:$B,'Felosztás eredménykim'!$B82,'Eredeti fejléccel'!$BX:$BX)</f>
        <v>0</v>
      </c>
      <c r="EA82" s="6"/>
      <c r="EC82" s="6"/>
      <c r="EE82" s="6">
        <f>SUMIF('Eredeti fejléccel'!$B:$B,'Felosztás eredménykim'!$B82,'Eredeti fejléccel'!$CA:$CA)</f>
        <v>0</v>
      </c>
      <c r="EF82" s="6">
        <f>SUMIF('Eredeti fejléccel'!$B:$B,'Felosztás eredménykim'!$B82,'Eredeti fejléccel'!$CB:$CB)</f>
        <v>0</v>
      </c>
      <c r="EG82" s="6">
        <f>SUMIF('Eredeti fejléccel'!$B:$B,'Felosztás eredménykim'!$B82,'Eredeti fejléccel'!$CC:$CC)</f>
        <v>0</v>
      </c>
      <c r="EH82" s="6">
        <f>SUMIF('Eredeti fejléccel'!$B:$B,'Felosztás eredménykim'!$B82,'Eredeti fejléccel'!$CD:$CD)</f>
        <v>0</v>
      </c>
      <c r="EK82" s="6">
        <f>SUMIF('Eredeti fejléccel'!$B:$B,'Felosztás eredménykim'!$B82,'Eredeti fejléccel'!$CE:$CE)</f>
        <v>0</v>
      </c>
      <c r="EN82" s="6">
        <f>SUMIF('Eredeti fejléccel'!$B:$B,'Felosztás eredménykim'!$B82,'Eredeti fejléccel'!$CF:$CF)</f>
        <v>0</v>
      </c>
      <c r="EP82" s="6">
        <f>SUMIF('Eredeti fejléccel'!$B:$B,'Felosztás eredménykim'!$B82,'Eredeti fejléccel'!$CG:$CG)</f>
        <v>0</v>
      </c>
      <c r="ES82" s="6">
        <f>SUMIF('Eredeti fejléccel'!$B:$B,'Felosztás eredménykim'!$B82,'Eredeti fejléccel'!$CH:$CH)</f>
        <v>0</v>
      </c>
      <c r="ET82" s="6">
        <f>SUMIF('Eredeti fejléccel'!$B:$B,'Felosztás eredménykim'!$B82,'Eredeti fejléccel'!$CI:$CI)</f>
        <v>0</v>
      </c>
      <c r="EW82" s="8">
        <f t="shared" si="118"/>
        <v>0</v>
      </c>
      <c r="EX82" s="8">
        <f t="shared" si="78"/>
        <v>0</v>
      </c>
      <c r="EY82" s="8">
        <f t="shared" si="119"/>
        <v>0</v>
      </c>
      <c r="EZ82" s="8">
        <f t="shared" si="120"/>
        <v>0</v>
      </c>
      <c r="FA82" s="8">
        <f t="shared" si="121"/>
        <v>0</v>
      </c>
      <c r="FC82" s="6">
        <f>SUMIF('Eredeti fejléccel'!$B:$B,'Felosztás eredménykim'!$B82,'Eredeti fejléccel'!$L:$L)</f>
        <v>0</v>
      </c>
      <c r="FD82" s="6">
        <f>SUMIF('Eredeti fejléccel'!$B:$B,'Felosztás eredménykim'!$B82,'Eredeti fejléccel'!$CJ:$CJ)</f>
        <v>0</v>
      </c>
      <c r="FE82" s="6">
        <f>SUMIF('Eredeti fejléccel'!$B:$B,'Felosztás eredménykim'!$B82,'Eredeti fejléccel'!$CL:$CL)</f>
        <v>0</v>
      </c>
      <c r="FG82" s="99">
        <f t="shared" si="79"/>
        <v>0</v>
      </c>
      <c r="FH82" s="6">
        <f>SUMIF('Eredeti fejléccel'!$B:$B,'Felosztás eredménykim'!$B82,'Eredeti fejléccel'!$CK:$CK)</f>
        <v>0</v>
      </c>
      <c r="FI82" s="36">
        <f t="shared" si="103"/>
        <v>0</v>
      </c>
      <c r="FJ82" s="101">
        <f t="shared" si="104"/>
        <v>0</v>
      </c>
      <c r="FK82" s="6">
        <f>SUMIF('Eredeti fejléccel'!$B:$B,'Felosztás eredménykim'!$B82,'Eredeti fejléccel'!$CM:$CM)</f>
        <v>0</v>
      </c>
      <c r="FL82" s="6">
        <f>SUMIF('Eredeti fejléccel'!$B:$B,'Felosztás eredménykim'!$B82,'Eredeti fejléccel'!$CN:$CN)</f>
        <v>0</v>
      </c>
      <c r="FM82" s="8">
        <f t="shared" si="80"/>
        <v>0</v>
      </c>
      <c r="FN82" s="36">
        <f t="shared" si="105"/>
        <v>0</v>
      </c>
      <c r="FO82" s="101">
        <f t="shared" si="106"/>
        <v>0</v>
      </c>
      <c r="FP82" s="6">
        <f>SUMIF('Eredeti fejléccel'!$B:$B,'Felosztás eredménykim'!$B82,'Eredeti fejléccel'!$CO:$CO)</f>
        <v>0</v>
      </c>
      <c r="FQ82" s="6">
        <f>'Eredeti fejléccel'!CP82</f>
        <v>0</v>
      </c>
      <c r="FR82" s="6">
        <f>'Eredeti fejléccel'!CQ82</f>
        <v>0</v>
      </c>
      <c r="FS82" s="103">
        <f t="shared" si="122"/>
        <v>0</v>
      </c>
      <c r="FT82" s="36">
        <f t="shared" si="107"/>
        <v>0</v>
      </c>
      <c r="FU82" s="101">
        <f t="shared" si="108"/>
        <v>0</v>
      </c>
      <c r="FV82" s="101"/>
      <c r="FW82" s="6">
        <f>SUMIF('Eredeti fejléccel'!$B:$B,'Felosztás eredménykim'!$B82,'Eredeti fejléccel'!$CR:$CR)</f>
        <v>0</v>
      </c>
      <c r="FX82" s="6">
        <f>SUMIF('Eredeti fejléccel'!$B:$B,'Felosztás eredménykim'!$B82,'Eredeti fejléccel'!$CS:$CS)</f>
        <v>0</v>
      </c>
      <c r="FY82" s="6">
        <f>SUMIF('Eredeti fejléccel'!$B:$B,'Felosztás eredménykim'!$B82,'Eredeti fejléccel'!$CT:$CT)</f>
        <v>0</v>
      </c>
      <c r="FZ82" s="6">
        <f>SUMIF('Eredeti fejléccel'!$B:$B,'Felosztás eredménykim'!$B82,'Eredeti fejléccel'!$CU:$CU)</f>
        <v>0</v>
      </c>
      <c r="GA82" s="103">
        <f t="shared" si="81"/>
        <v>0</v>
      </c>
      <c r="GB82" s="36">
        <f t="shared" si="109"/>
        <v>0</v>
      </c>
      <c r="GC82" s="101">
        <f t="shared" si="110"/>
        <v>0</v>
      </c>
      <c r="GD82" s="6">
        <f>SUMIF('Eredeti fejléccel'!$B:$B,'Felosztás eredménykim'!$B82,'Eredeti fejléccel'!$CV:$CV)</f>
        <v>0</v>
      </c>
      <c r="GE82" s="6">
        <f>SUMIF('Eredeti fejléccel'!$B:$B,'Felosztás eredménykim'!$B82,'Eredeti fejléccel'!$CW:$CW)</f>
        <v>0</v>
      </c>
      <c r="GF82" s="103">
        <f t="shared" si="82"/>
        <v>0</v>
      </c>
      <c r="GG82" s="36">
        <f t="shared" si="111"/>
        <v>0</v>
      </c>
      <c r="GM82" s="6">
        <f>SUMIF('Eredeti fejléccel'!$B:$B,'Felosztás eredménykim'!$B82,'Eredeti fejléccel'!$CX:$CX)</f>
        <v>0</v>
      </c>
      <c r="GN82" s="6">
        <f>SUMIF('Eredeti fejléccel'!$B:$B,'Felosztás eredménykim'!$B82,'Eredeti fejléccel'!$CY:$CY)</f>
        <v>0</v>
      </c>
      <c r="GO82" s="6">
        <f>SUMIF('Eredeti fejléccel'!$B:$B,'Felosztás eredménykim'!$B82,'Eredeti fejléccel'!$CZ:$CZ)</f>
        <v>0</v>
      </c>
      <c r="GP82" s="6">
        <f>SUMIF('Eredeti fejléccel'!$B:$B,'Felosztás eredménykim'!$B82,'Eredeti fejléccel'!$DA:$DA)</f>
        <v>0</v>
      </c>
      <c r="GQ82" s="6">
        <f>SUMIF('Eredeti fejléccel'!$B:$B,'Felosztás eredménykim'!$B82,'Eredeti fejléccel'!$DB:$DB)</f>
        <v>0</v>
      </c>
      <c r="GR82" s="103">
        <f t="shared" si="83"/>
        <v>0</v>
      </c>
      <c r="GW82" s="36">
        <f t="shared" si="112"/>
        <v>0</v>
      </c>
      <c r="GX82" s="6">
        <f>SUMIF('Eredeti fejléccel'!$B:$B,'Felosztás eredménykim'!$B82,'Eredeti fejléccel'!$M:$M)</f>
        <v>0</v>
      </c>
      <c r="GY82" s="6">
        <f>SUMIF('Eredeti fejléccel'!$B:$B,'Felosztás eredménykim'!$B82,'Eredeti fejléccel'!$DC:$DC)</f>
        <v>0</v>
      </c>
      <c r="GZ82" s="6">
        <f>SUMIF('Eredeti fejléccel'!$B:$B,'Felosztás eredménykim'!$B82,'Eredeti fejléccel'!$DD:$DD)</f>
        <v>0</v>
      </c>
      <c r="HA82" s="6">
        <f>SUMIF('Eredeti fejléccel'!$B:$B,'Felosztás eredménykim'!$B82,'Eredeti fejléccel'!$DE:$DE)</f>
        <v>0</v>
      </c>
      <c r="HB82" s="103">
        <f t="shared" si="84"/>
        <v>0</v>
      </c>
      <c r="HD82" s="9">
        <f t="shared" si="113"/>
        <v>133080</v>
      </c>
      <c r="HE82" s="9">
        <v>133080</v>
      </c>
      <c r="HF82" s="476"/>
      <c r="HH82" s="34">
        <f t="shared" si="85"/>
        <v>0</v>
      </c>
    </row>
    <row r="83" spans="1:218" x14ac:dyDescent="0.25">
      <c r="A83" s="4" t="s">
        <v>174</v>
      </c>
      <c r="B83" s="4" t="s">
        <v>174</v>
      </c>
      <c r="C83" s="1" t="s">
        <v>175</v>
      </c>
      <c r="D83" s="6">
        <f>SUMIF('Eredeti fejléccel'!$B:$B,'Felosztás eredménykim'!$B83,'Eredeti fejléccel'!$D:$D)</f>
        <v>0</v>
      </c>
      <c r="E83" s="6">
        <f>SUMIF('Eredeti fejléccel'!$B:$B,'Felosztás eredménykim'!$B83,'Eredeti fejléccel'!$E:$E)</f>
        <v>22545</v>
      </c>
      <c r="F83" s="6">
        <f>SUMIF('Eredeti fejléccel'!$B:$B,'Felosztás eredménykim'!$B83,'Eredeti fejléccel'!$F:$F)</f>
        <v>0</v>
      </c>
      <c r="G83" s="6">
        <f>SUMIF('Eredeti fejléccel'!$B:$B,'Felosztás eredménykim'!$B83,'Eredeti fejléccel'!$G:$G)</f>
        <v>0</v>
      </c>
      <c r="H83" s="6"/>
      <c r="I83" s="6">
        <f>SUMIF('Eredeti fejléccel'!$B:$B,'Felosztás eredménykim'!$B83,'Eredeti fejléccel'!$O:$O)</f>
        <v>0</v>
      </c>
      <c r="J83" s="6">
        <f>SUMIF('Eredeti fejléccel'!$B:$B,'Felosztás eredménykim'!$B83,'Eredeti fejléccel'!$P:$P)</f>
        <v>0</v>
      </c>
      <c r="K83" s="6">
        <f>SUMIF('Eredeti fejléccel'!$B:$B,'Felosztás eredménykim'!$B83,'Eredeti fejléccel'!$Q:$Q)</f>
        <v>0</v>
      </c>
      <c r="L83" s="6">
        <f>SUMIF('Eredeti fejléccel'!$B:$B,'Felosztás eredménykim'!$B83,'Eredeti fejléccel'!$R:$R)</f>
        <v>0</v>
      </c>
      <c r="M83" s="6">
        <f>SUMIF('Eredeti fejléccel'!$B:$B,'Felosztás eredménykim'!$B83,'Eredeti fejléccel'!$T:$T)</f>
        <v>0</v>
      </c>
      <c r="N83" s="6">
        <f>SUMIF('Eredeti fejléccel'!$B:$B,'Felosztás eredménykim'!$B83,'Eredeti fejléccel'!$U:$U)</f>
        <v>0</v>
      </c>
      <c r="O83" s="6">
        <f>SUMIF('Eredeti fejléccel'!$B:$B,'Felosztás eredménykim'!$B83,'Eredeti fejléccel'!$V:$V)</f>
        <v>0</v>
      </c>
      <c r="P83" s="6">
        <f>SUMIF('Eredeti fejléccel'!$B:$B,'Felosztás eredménykim'!$B83,'Eredeti fejléccel'!$W:$W)</f>
        <v>119887</v>
      </c>
      <c r="Q83" s="6">
        <f>SUMIF('Eredeti fejléccel'!$B:$B,'Felosztás eredménykim'!$B83,'Eredeti fejléccel'!$X:$X)</f>
        <v>0</v>
      </c>
      <c r="R83" s="6">
        <f>SUMIF('Eredeti fejléccel'!$B:$B,'Felosztás eredménykim'!$B83,'Eredeti fejléccel'!$Y:$Y)</f>
        <v>0</v>
      </c>
      <c r="S83" s="6">
        <f>SUMIF('Eredeti fejléccel'!$B:$B,'Felosztás eredménykim'!$B83,'Eredeti fejléccel'!$Z:$Z)</f>
        <v>0</v>
      </c>
      <c r="T83" s="6">
        <f>SUMIF('Eredeti fejléccel'!$B:$B,'Felosztás eredménykim'!$B83,'Eredeti fejléccel'!$AA:$AA)</f>
        <v>0</v>
      </c>
      <c r="U83" s="6">
        <v>0</v>
      </c>
      <c r="V83" s="6">
        <f>SUMIF('Eredeti fejléccel'!$B:$B,'Felosztás eredménykim'!$B83,'Eredeti fejléccel'!$AT:$AT)</f>
        <v>0</v>
      </c>
      <c r="X83" s="36">
        <f t="shared" si="86"/>
        <v>142432</v>
      </c>
      <c r="Z83" s="6">
        <f>SUMIF('Eredeti fejléccel'!$B:$B,'Felosztás eredménykim'!$B83,'Eredeti fejléccel'!$K:$K)</f>
        <v>0</v>
      </c>
      <c r="AB83" s="6">
        <f>SUMIF('Eredeti fejléccel'!$B:$B,'Felosztás eredménykim'!$B83,'Eredeti fejléccel'!$AB:$AB)</f>
        <v>0</v>
      </c>
      <c r="AC83" s="6">
        <f>SUMIF('Eredeti fejléccel'!$B:$B,'Felosztás eredménykim'!$B83,'Eredeti fejléccel'!$AQ:$AQ)</f>
        <v>0</v>
      </c>
      <c r="AE83" s="73">
        <f t="shared" si="131"/>
        <v>0</v>
      </c>
      <c r="AF83" s="36">
        <f t="shared" si="87"/>
        <v>16991.374382986774</v>
      </c>
      <c r="AG83" s="8">
        <f t="shared" si="88"/>
        <v>0</v>
      </c>
      <c r="AI83" s="6">
        <f>SUMIF('Eredeti fejléccel'!$B:$B,'Felosztás eredménykim'!$B83,'Eredeti fejléccel'!$BB:$BB)</f>
        <v>0</v>
      </c>
      <c r="AJ83" s="6">
        <f>SUMIF('Eredeti fejléccel'!$B:$B,'Felosztás eredménykim'!$B83,'Eredeti fejléccel'!$AF:$AF)</f>
        <v>7609</v>
      </c>
      <c r="AK83" s="8">
        <f t="shared" si="73"/>
        <v>7609</v>
      </c>
      <c r="AL83" s="36">
        <f t="shared" si="89"/>
        <v>6748.8881139717469</v>
      </c>
      <c r="AM83" s="8">
        <f t="shared" si="90"/>
        <v>0</v>
      </c>
      <c r="AN83" s="6">
        <f t="shared" si="123"/>
        <v>0</v>
      </c>
      <c r="AO83" s="6">
        <f>SUMIF('Eredeti fejléccel'!$B:$B,'Felosztás eredménykim'!$B83,'Eredeti fejléccel'!$AC:$AC)</f>
        <v>0</v>
      </c>
      <c r="AP83" s="6">
        <f>SUMIF('Eredeti fejléccel'!$B:$B,'Felosztás eredménykim'!$B83,'Eredeti fejléccel'!$AD:$AD)</f>
        <v>0</v>
      </c>
      <c r="AQ83" s="6">
        <f>SUMIF('Eredeti fejléccel'!$B:$B,'Felosztás eredménykim'!$B83,'Eredeti fejléccel'!$AE:$AE)</f>
        <v>0</v>
      </c>
      <c r="AR83" s="6">
        <f>SUMIF('Eredeti fejléccel'!$B:$B,'Felosztás eredménykim'!$B83,'Eredeti fejléccel'!$AG:$AG)</f>
        <v>0</v>
      </c>
      <c r="AS83" s="6">
        <f t="shared" si="124"/>
        <v>0</v>
      </c>
      <c r="AT83" s="36">
        <f t="shared" si="91"/>
        <v>10962.177021281792</v>
      </c>
      <c r="AU83" s="8">
        <f t="shared" si="92"/>
        <v>0</v>
      </c>
      <c r="AV83" s="6">
        <f>SUMIF('Eredeti fejléccel'!$B:$B,'Felosztás eredménykim'!$B83,'Eredeti fejléccel'!$AI:$AI)</f>
        <v>914563</v>
      </c>
      <c r="AW83" s="6">
        <f>SUMIF('Eredeti fejléccel'!$B:$B,'Felosztás eredménykim'!$B83,'Eredeti fejléccel'!$AJ:$AJ)</f>
        <v>0</v>
      </c>
      <c r="AX83" s="6">
        <f>SUMIF('Eredeti fejléccel'!$B:$B,'Felosztás eredménykim'!$B83,'Eredeti fejléccel'!$AK:$AK)</f>
        <v>8832928</v>
      </c>
      <c r="AY83" s="6">
        <f>SUMIF('Eredeti fejléccel'!$B:$B,'Felosztás eredménykim'!$B83,'Eredeti fejléccel'!$AL:$AL)</f>
        <v>4788098</v>
      </c>
      <c r="AZ83" s="6">
        <f>SUMIF('Eredeti fejléccel'!$B:$B,'Felosztás eredménykim'!$B83,'Eredeti fejléccel'!$AM:$AM)</f>
        <v>59620</v>
      </c>
      <c r="BA83" s="6">
        <f>SUMIF('Eredeti fejléccel'!$B:$B,'Felosztás eredménykim'!$B83,'Eredeti fejléccel'!$AN:$AN)</f>
        <v>0</v>
      </c>
      <c r="BB83" s="6">
        <f>SUMIF('Eredeti fejléccel'!$B:$B,'Felosztás eredménykim'!$B83,'Eredeti fejléccel'!$AP:$AP)</f>
        <v>0</v>
      </c>
      <c r="BD83" s="6">
        <f>SUMIF('Eredeti fejléccel'!$B:$B,'Felosztás eredménykim'!$B83,'Eredeti fejléccel'!$AS:$AS)</f>
        <v>0</v>
      </c>
      <c r="BE83" s="8">
        <f t="shared" si="74"/>
        <v>14595209</v>
      </c>
      <c r="BF83" s="36">
        <f t="shared" si="93"/>
        <v>2859.6983533778584</v>
      </c>
      <c r="BG83" s="8">
        <f t="shared" si="94"/>
        <v>0</v>
      </c>
      <c r="BH83" s="6">
        <f t="shared" si="125"/>
        <v>0</v>
      </c>
      <c r="BI83" s="6">
        <f>SUMIF('Eredeti fejléccel'!$B:$B,'Felosztás eredménykim'!$B83,'Eredeti fejléccel'!$AH:$AH)</f>
        <v>0</v>
      </c>
      <c r="BJ83" s="6">
        <f>SUMIF('Eredeti fejléccel'!$B:$B,'Felosztás eredménykim'!$B83,'Eredeti fejléccel'!$AO:$AO)</f>
        <v>0</v>
      </c>
      <c r="BK83" s="6">
        <f>SUMIF('Eredeti fejléccel'!$B:$B,'Felosztás eredménykim'!$B83,'Eredeti fejléccel'!$BF:$BF)</f>
        <v>0</v>
      </c>
      <c r="BL83" s="8">
        <f t="shared" si="126"/>
        <v>0</v>
      </c>
      <c r="BM83" s="36">
        <f t="shared" si="95"/>
        <v>10714.336497322378</v>
      </c>
      <c r="BN83" s="8">
        <f t="shared" si="96"/>
        <v>0</v>
      </c>
      <c r="BP83" s="8">
        <f t="shared" si="127"/>
        <v>0</v>
      </c>
      <c r="BQ83" s="6">
        <f>SUMIF('Eredeti fejléccel'!$B:$B,'Felosztás eredménykim'!$B83,'Eredeti fejléccel'!$N:$N)</f>
        <v>0</v>
      </c>
      <c r="BR83" s="6">
        <f>SUMIF('Eredeti fejléccel'!$B:$B,'Felosztás eredménykim'!$B83,'Eredeti fejléccel'!$S:$S)</f>
        <v>0</v>
      </c>
      <c r="BT83" s="6">
        <f>SUMIF('Eredeti fejléccel'!$B:$B,'Felosztás eredménykim'!$B83,'Eredeti fejléccel'!$AR:$AR)</f>
        <v>0</v>
      </c>
      <c r="BU83" s="6">
        <f>SUMIF('Eredeti fejléccel'!$B:$B,'Felosztás eredménykim'!$B83,'Eredeti fejléccel'!$AU:$AU)</f>
        <v>0</v>
      </c>
      <c r="BV83" s="6">
        <f>SUMIF('Eredeti fejléccel'!$B:$B,'Felosztás eredménykim'!$B83,'Eredeti fejléccel'!$AV:$AV)</f>
        <v>0</v>
      </c>
      <c r="BW83" s="6">
        <f>SUMIF('Eredeti fejléccel'!$B:$B,'Felosztás eredménykim'!$B83,'Eredeti fejléccel'!$AW:$AW)</f>
        <v>0</v>
      </c>
      <c r="BX83" s="6">
        <f>SUMIF('Eredeti fejléccel'!$B:$B,'Felosztás eredménykim'!$B83,'Eredeti fejléccel'!$AX:$AX)</f>
        <v>0</v>
      </c>
      <c r="BY83" s="6">
        <f>SUMIF('Eredeti fejléccel'!$B:$B,'Felosztás eredménykim'!$B83,'Eredeti fejléccel'!$AY:$AY)</f>
        <v>0</v>
      </c>
      <c r="BZ83" s="6">
        <f>SUMIF('Eredeti fejléccel'!$B:$B,'Felosztás eredménykim'!$B83,'Eredeti fejléccel'!$AZ:$AZ)</f>
        <v>0</v>
      </c>
      <c r="CA83" s="6">
        <f>SUMIF('Eredeti fejléccel'!$B:$B,'Felosztás eredménykim'!$B83,'Eredeti fejléccel'!$BA:$BA)</f>
        <v>0</v>
      </c>
      <c r="CB83" s="6">
        <f t="shared" si="114"/>
        <v>0</v>
      </c>
      <c r="CC83" s="36">
        <f t="shared" si="97"/>
        <v>2916.8923204454159</v>
      </c>
      <c r="CD83" s="8">
        <f t="shared" si="98"/>
        <v>0</v>
      </c>
      <c r="CE83" s="6">
        <f>SUMIF('Eredeti fejléccel'!$B:$B,'Felosztás eredménykim'!$B83,'Eredeti fejléccel'!$BC:$BC)</f>
        <v>0</v>
      </c>
      <c r="CF83" s="8">
        <f t="shared" si="135"/>
        <v>0</v>
      </c>
      <c r="CG83" s="6">
        <f>SUMIF('Eredeti fejléccel'!$B:$B,'Felosztás eredménykim'!$B83,'Eredeti fejléccel'!$H:$H)</f>
        <v>0</v>
      </c>
      <c r="CH83" s="6">
        <f>SUMIF('Eredeti fejléccel'!$B:$B,'Felosztás eredménykim'!$B83,'Eredeti fejléccel'!$BE:$BE)</f>
        <v>1632402</v>
      </c>
      <c r="CI83" s="6">
        <f t="shared" si="75"/>
        <v>1632402</v>
      </c>
      <c r="CJ83" s="36">
        <f t="shared" si="99"/>
        <v>2097.1121258104299</v>
      </c>
      <c r="CK83" s="8">
        <f t="shared" si="100"/>
        <v>0</v>
      </c>
      <c r="CL83" s="8">
        <f t="shared" si="136"/>
        <v>0</v>
      </c>
      <c r="CM83" s="6">
        <f>SUMIF('Eredeti fejléccel'!$B:$B,'Felosztás eredménykim'!$B83,'Eredeti fejléccel'!$BD:$BD)</f>
        <v>281998</v>
      </c>
      <c r="CN83" s="8">
        <f t="shared" si="76"/>
        <v>281998</v>
      </c>
      <c r="CO83" s="8">
        <f t="shared" si="115"/>
        <v>16570508.478815196</v>
      </c>
      <c r="CR83" s="36">
        <f t="shared" si="101"/>
        <v>12596.931873792659</v>
      </c>
      <c r="CS83" s="6">
        <f>SUMIF('Eredeti fejléccel'!$B:$B,'Felosztás eredménykim'!$B83,'Eredeti fejléccel'!$I:$I)</f>
        <v>0</v>
      </c>
      <c r="CT83" s="6">
        <f>SUMIF('Eredeti fejléccel'!$B:$B,'Felosztás eredménykim'!$B83,'Eredeti fejléccel'!$BG:$BG)</f>
        <v>0</v>
      </c>
      <c r="CU83" s="6">
        <f>SUMIF('Eredeti fejléccel'!$B:$B,'Felosztás eredménykim'!$B83,'Eredeti fejléccel'!$BH:$BH)</f>
        <v>0</v>
      </c>
      <c r="CV83" s="6">
        <f>SUMIF('Eredeti fejléccel'!$B:$B,'Felosztás eredménykim'!$B83,'Eredeti fejléccel'!$BI:$BI)</f>
        <v>0</v>
      </c>
      <c r="CW83" s="6">
        <f>SUMIF('Eredeti fejléccel'!$B:$B,'Felosztás eredménykim'!$B83,'Eredeti fejléccel'!$BL:$BL)</f>
        <v>76445742</v>
      </c>
      <c r="CX83" s="6">
        <f t="shared" si="77"/>
        <v>76445742</v>
      </c>
      <c r="CY83" s="6">
        <f>SUMIF('Eredeti fejléccel'!$B:$B,'Felosztás eredménykim'!$B83,'Eredeti fejléccel'!$BJ:$BJ)</f>
        <v>15865205</v>
      </c>
      <c r="CZ83" s="6">
        <f>SUMIF('Eredeti fejléccel'!$B:$B,'Felosztás eredménykim'!$B83,'Eredeti fejléccel'!$BK:$BK)</f>
        <v>0</v>
      </c>
      <c r="DA83" s="99">
        <f t="shared" si="116"/>
        <v>92310947</v>
      </c>
      <c r="DC83" s="36">
        <f t="shared" si="102"/>
        <v>11033.206439150033</v>
      </c>
      <c r="DD83" s="6">
        <f>SUMIF('Eredeti fejléccel'!$B:$B,'Felosztás eredménykim'!$B83,'Eredeti fejléccel'!$J:$J)</f>
        <v>0</v>
      </c>
      <c r="DE83" s="6">
        <f>SUMIF('Eredeti fejléccel'!$B:$B,'Felosztás eredménykim'!$B83,'Eredeti fejléccel'!$BM:$BM)</f>
        <v>0</v>
      </c>
      <c r="DF83" s="6">
        <f t="shared" si="128"/>
        <v>0</v>
      </c>
      <c r="DG83" s="8">
        <f t="shared" si="117"/>
        <v>0</v>
      </c>
      <c r="DH83" s="8">
        <f t="shared" si="129"/>
        <v>0</v>
      </c>
      <c r="DJ83" s="6">
        <f>SUMIF('Eredeti fejléccel'!$B:$B,'Felosztás eredménykim'!$B83,'Eredeti fejléccel'!$BN:$BN)</f>
        <v>0</v>
      </c>
      <c r="DK83" s="6">
        <f>SUMIF('Eredeti fejléccel'!$B:$B,'Felosztás eredménykim'!$B83,'Eredeti fejléccel'!$BZ:$BZ)</f>
        <v>0</v>
      </c>
      <c r="DL83" s="8">
        <f t="shared" si="130"/>
        <v>0</v>
      </c>
      <c r="DM83" s="6">
        <f>SUMIF('Eredeti fejléccel'!$B:$B,'Felosztás eredménykim'!$B83,'Eredeti fejléccel'!$BR:$BR)</f>
        <v>0</v>
      </c>
      <c r="DN83" s="6">
        <f>SUMIF('Eredeti fejléccel'!$B:$B,'Felosztás eredménykim'!$B83,'Eredeti fejléccel'!$BS:$BS)</f>
        <v>0</v>
      </c>
      <c r="DO83" s="6">
        <f>SUMIF('Eredeti fejléccel'!$B:$B,'Felosztás eredménykim'!$B83,'Eredeti fejléccel'!$BO:$BO)</f>
        <v>0</v>
      </c>
      <c r="DP83" s="6">
        <f>SUMIF('Eredeti fejléccel'!$B:$B,'Felosztás eredménykim'!$B83,'Eredeti fejléccel'!$BP:$BP)</f>
        <v>0</v>
      </c>
      <c r="DQ83" s="6">
        <f>SUMIF('Eredeti fejléccel'!$B:$B,'Felosztás eredménykim'!$B83,'Eredeti fejléccel'!$BQ:$BQ)</f>
        <v>0</v>
      </c>
      <c r="DS83" s="8"/>
      <c r="DU83" s="6">
        <f>SUMIF('Eredeti fejléccel'!$B:$B,'Felosztás eredménykim'!$B83,'Eredeti fejléccel'!$BT:$BT)</f>
        <v>0</v>
      </c>
      <c r="DV83" s="6">
        <f>SUMIF('Eredeti fejléccel'!$B:$B,'Felosztás eredménykim'!$B83,'Eredeti fejléccel'!$BU:$BU)</f>
        <v>0</v>
      </c>
      <c r="DW83" s="6">
        <f>SUMIF('Eredeti fejléccel'!$B:$B,'Felosztás eredménykim'!$B83,'Eredeti fejléccel'!$BV:$BV)</f>
        <v>0</v>
      </c>
      <c r="DX83" s="6">
        <f>SUMIF('Eredeti fejléccel'!$B:$B,'Felosztás eredménykim'!$B83,'Eredeti fejléccel'!$BW:$BW)</f>
        <v>0</v>
      </c>
      <c r="DY83" s="6">
        <f>SUMIF('Eredeti fejléccel'!$B:$B,'Felosztás eredménykim'!$B83,'Eredeti fejléccel'!$BX:$BX)</f>
        <v>0</v>
      </c>
      <c r="EA83" s="6"/>
      <c r="EC83" s="6"/>
      <c r="EE83" s="6">
        <f>SUMIF('Eredeti fejléccel'!$B:$B,'Felosztás eredménykim'!$B83,'Eredeti fejléccel'!$CA:$CA)</f>
        <v>0</v>
      </c>
      <c r="EF83" s="6">
        <f>SUMIF('Eredeti fejléccel'!$B:$B,'Felosztás eredménykim'!$B83,'Eredeti fejléccel'!$CB:$CB)</f>
        <v>0</v>
      </c>
      <c r="EG83" s="6">
        <f>SUMIF('Eredeti fejléccel'!$B:$B,'Felosztás eredménykim'!$B83,'Eredeti fejléccel'!$CC:$CC)</f>
        <v>0</v>
      </c>
      <c r="EH83" s="6">
        <f>SUMIF('Eredeti fejléccel'!$B:$B,'Felosztás eredménykim'!$B83,'Eredeti fejléccel'!$CD:$CD)</f>
        <v>0</v>
      </c>
      <c r="EK83" s="6">
        <f>SUMIF('Eredeti fejléccel'!$B:$B,'Felosztás eredménykim'!$B83,'Eredeti fejléccel'!$CE:$CE)</f>
        <v>0</v>
      </c>
      <c r="EN83" s="6">
        <f>SUMIF('Eredeti fejléccel'!$B:$B,'Felosztás eredménykim'!$B83,'Eredeti fejléccel'!$CF:$CF)</f>
        <v>0</v>
      </c>
      <c r="EP83" s="6">
        <f>SUMIF('Eredeti fejléccel'!$B:$B,'Felosztás eredménykim'!$B83,'Eredeti fejléccel'!$CG:$CG)</f>
        <v>0</v>
      </c>
      <c r="ES83" s="6">
        <f>SUMIF('Eredeti fejléccel'!$B:$B,'Felosztás eredménykim'!$B83,'Eredeti fejléccel'!$CH:$CH)</f>
        <v>0</v>
      </c>
      <c r="ET83" s="6">
        <f>SUMIF('Eredeti fejléccel'!$B:$B,'Felosztás eredménykim'!$B83,'Eredeti fejléccel'!$CI:$CI)</f>
        <v>0</v>
      </c>
      <c r="EW83" s="8">
        <f t="shared" si="118"/>
        <v>0</v>
      </c>
      <c r="EX83" s="8">
        <f t="shared" si="78"/>
        <v>0</v>
      </c>
      <c r="EY83" s="8">
        <f t="shared" si="119"/>
        <v>0</v>
      </c>
      <c r="EZ83" s="8">
        <f t="shared" si="120"/>
        <v>0</v>
      </c>
      <c r="FA83" s="8">
        <f t="shared" si="121"/>
        <v>0</v>
      </c>
      <c r="FC83" s="6">
        <f>SUMIF('Eredeti fejléccel'!$B:$B,'Felosztás eredménykim'!$B83,'Eredeti fejléccel'!$L:$L)</f>
        <v>0</v>
      </c>
      <c r="FD83" s="6">
        <f>SUMIF('Eredeti fejléccel'!$B:$B,'Felosztás eredménykim'!$B83,'Eredeti fejléccel'!$CJ:$CJ)</f>
        <v>0</v>
      </c>
      <c r="FE83" s="6">
        <f>SUMIF('Eredeti fejléccel'!$B:$B,'Felosztás eredménykim'!$B83,'Eredeti fejléccel'!$CL:$CL)</f>
        <v>0</v>
      </c>
      <c r="FG83" s="99">
        <f t="shared" si="79"/>
        <v>0</v>
      </c>
      <c r="FH83" s="6">
        <f>SUMIF('Eredeti fejléccel'!$B:$B,'Felosztás eredménykim'!$B83,'Eredeti fejléccel'!$CK:$CK)</f>
        <v>0</v>
      </c>
      <c r="FI83" s="36">
        <f t="shared" si="103"/>
        <v>12981.266601154259</v>
      </c>
      <c r="FJ83" s="101">
        <f t="shared" si="104"/>
        <v>0</v>
      </c>
      <c r="FK83" s="6">
        <f>SUMIF('Eredeti fejléccel'!$B:$B,'Felosztás eredménykim'!$B83,'Eredeti fejléccel'!$CM:$CM)</f>
        <v>0</v>
      </c>
      <c r="FL83" s="6">
        <f>SUMIF('Eredeti fejléccel'!$B:$B,'Felosztás eredménykim'!$B83,'Eredeti fejléccel'!$CN:$CN)</f>
        <v>0</v>
      </c>
      <c r="FM83" s="8">
        <f t="shared" si="80"/>
        <v>0</v>
      </c>
      <c r="FN83" s="36">
        <f t="shared" si="105"/>
        <v>11036.206239114741</v>
      </c>
      <c r="FO83" s="101">
        <f t="shared" si="106"/>
        <v>0</v>
      </c>
      <c r="FP83" s="6">
        <f>SUMIF('Eredeti fejléccel'!$B:$B,'Felosztás eredménykim'!$B83,'Eredeti fejléccel'!$CO:$CO)</f>
        <v>0</v>
      </c>
      <c r="FQ83" s="6">
        <f>'Eredeti fejléccel'!CP83</f>
        <v>0</v>
      </c>
      <c r="FR83" s="6">
        <f>'Eredeti fejléccel'!CQ83</f>
        <v>0</v>
      </c>
      <c r="FS83" s="103">
        <f t="shared" si="122"/>
        <v>0</v>
      </c>
      <c r="FT83" s="36">
        <f t="shared" si="107"/>
        <v>30463.147324691934</v>
      </c>
      <c r="FU83" s="101">
        <f t="shared" si="108"/>
        <v>0</v>
      </c>
      <c r="FV83" s="101"/>
      <c r="FW83" s="6">
        <f>SUMIF('Eredeti fejléccel'!$B:$B,'Felosztás eredménykim'!$B83,'Eredeti fejléccel'!$CR:$CR)</f>
        <v>0</v>
      </c>
      <c r="FX83" s="6">
        <f>SUMIF('Eredeti fejléccel'!$B:$B,'Felosztás eredménykim'!$B83,'Eredeti fejléccel'!$CS:$CS)</f>
        <v>0</v>
      </c>
      <c r="FY83" s="6">
        <f>SUMIF('Eredeti fejléccel'!$B:$B,'Felosztás eredménykim'!$B83,'Eredeti fejléccel'!$CT:$CT)</f>
        <v>0</v>
      </c>
      <c r="FZ83" s="6">
        <f>SUMIF('Eredeti fejléccel'!$B:$B,'Felosztás eredménykim'!$B83,'Eredeti fejléccel'!$CU:$CU)</f>
        <v>0</v>
      </c>
      <c r="GA83" s="103">
        <f t="shared" si="81"/>
        <v>0</v>
      </c>
      <c r="GB83" s="36">
        <f t="shared" si="109"/>
        <v>4060.4909747686306</v>
      </c>
      <c r="GC83" s="101">
        <f t="shared" si="110"/>
        <v>0</v>
      </c>
      <c r="GD83" s="6">
        <f>SUMIF('Eredeti fejléccel'!$B:$B,'Felosztás eredménykim'!$B83,'Eredeti fejléccel'!$CV:$CV)</f>
        <v>0</v>
      </c>
      <c r="GE83" s="6">
        <f>SUMIF('Eredeti fejléccel'!$B:$B,'Felosztás eredménykim'!$B83,'Eredeti fejléccel'!$CW:$CW)</f>
        <v>0</v>
      </c>
      <c r="GF83" s="103">
        <f t="shared" si="82"/>
        <v>0</v>
      </c>
      <c r="GG83" s="36">
        <f t="shared" si="111"/>
        <v>0</v>
      </c>
      <c r="GM83" s="6">
        <f>SUMIF('Eredeti fejléccel'!$B:$B,'Felosztás eredménykim'!$B83,'Eredeti fejléccel'!$CX:$CX)</f>
        <v>0</v>
      </c>
      <c r="GN83" s="6">
        <f>SUMIF('Eredeti fejléccel'!$B:$B,'Felosztás eredménykim'!$B83,'Eredeti fejléccel'!$CY:$CY)</f>
        <v>0</v>
      </c>
      <c r="GO83" s="6">
        <f>SUMIF('Eredeti fejléccel'!$B:$B,'Felosztás eredménykim'!$B83,'Eredeti fejléccel'!$CZ:$CZ)</f>
        <v>0</v>
      </c>
      <c r="GP83" s="6">
        <f>SUMIF('Eredeti fejléccel'!$B:$B,'Felosztás eredménykim'!$B83,'Eredeti fejléccel'!$DA:$DA)</f>
        <v>0</v>
      </c>
      <c r="GQ83" s="6">
        <f>SUMIF('Eredeti fejléccel'!$B:$B,'Felosztás eredménykim'!$B83,'Eredeti fejléccel'!$DB:$DB)</f>
        <v>0</v>
      </c>
      <c r="GR83" s="103">
        <f t="shared" si="83"/>
        <v>0</v>
      </c>
      <c r="GW83" s="36">
        <f t="shared" si="112"/>
        <v>6970.2717321313585</v>
      </c>
      <c r="GX83" s="6">
        <f>SUMIF('Eredeti fejléccel'!$B:$B,'Felosztás eredménykim'!$B83,'Eredeti fejléccel'!$M:$M)</f>
        <v>0</v>
      </c>
      <c r="GY83" s="6">
        <f>SUMIF('Eredeti fejléccel'!$B:$B,'Felosztás eredménykim'!$B83,'Eredeti fejléccel'!$DC:$DC)</f>
        <v>52010</v>
      </c>
      <c r="GZ83" s="6">
        <f>SUMIF('Eredeti fejléccel'!$B:$B,'Felosztás eredménykim'!$B83,'Eredeti fejléccel'!$DD:$DD)</f>
        <v>0</v>
      </c>
      <c r="HA83" s="6">
        <f>SUMIF('Eredeti fejléccel'!$B:$B,'Felosztás eredménykim'!$B83,'Eredeti fejléccel'!$DE:$DE)</f>
        <v>0</v>
      </c>
      <c r="HB83" s="103">
        <f t="shared" si="84"/>
        <v>52010</v>
      </c>
      <c r="HD83" s="9">
        <f t="shared" si="113"/>
        <v>109022607.00000003</v>
      </c>
      <c r="HE83" s="9">
        <v>109022607</v>
      </c>
      <c r="HF83" s="476"/>
      <c r="HH83" s="34">
        <f t="shared" si="85"/>
        <v>0</v>
      </c>
    </row>
    <row r="84" spans="1:218" x14ac:dyDescent="0.25">
      <c r="A84" s="4" t="s">
        <v>176</v>
      </c>
      <c r="B84" s="4" t="s">
        <v>176</v>
      </c>
      <c r="C84" s="1" t="s">
        <v>177</v>
      </c>
      <c r="D84" s="6">
        <f>SUMIF('Eredeti fejléccel'!$B:$B,'Felosztás eredménykim'!$B84,'Eredeti fejléccel'!$D:$D)</f>
        <v>0</v>
      </c>
      <c r="E84" s="6">
        <f>SUMIF('Eredeti fejléccel'!$B:$B,'Felosztás eredménykim'!$B84,'Eredeti fejléccel'!$E:$E)</f>
        <v>10228635</v>
      </c>
      <c r="F84" s="6">
        <f>SUMIF('Eredeti fejléccel'!$B:$B,'Felosztás eredménykim'!$B84,'Eredeti fejléccel'!$F:$F)</f>
        <v>0</v>
      </c>
      <c r="G84" s="6">
        <f>SUMIF('Eredeti fejléccel'!$B:$B,'Felosztás eredménykim'!$B84,'Eredeti fejléccel'!$G:$G)</f>
        <v>0</v>
      </c>
      <c r="H84" s="6"/>
      <c r="I84" s="6">
        <f>SUMIF('Eredeti fejléccel'!$B:$B,'Felosztás eredménykim'!$B84,'Eredeti fejléccel'!$O:$O)</f>
        <v>0</v>
      </c>
      <c r="J84" s="6">
        <f>SUMIF('Eredeti fejléccel'!$B:$B,'Felosztás eredménykim'!$B84,'Eredeti fejléccel'!$P:$P)</f>
        <v>0</v>
      </c>
      <c r="K84" s="6">
        <f>SUMIF('Eredeti fejléccel'!$B:$B,'Felosztás eredménykim'!$B84,'Eredeti fejléccel'!$Q:$Q)</f>
        <v>0</v>
      </c>
      <c r="L84" s="6">
        <f>SUMIF('Eredeti fejléccel'!$B:$B,'Felosztás eredménykim'!$B84,'Eredeti fejléccel'!$R:$R)</f>
        <v>0</v>
      </c>
      <c r="M84" s="6">
        <f>SUMIF('Eredeti fejléccel'!$B:$B,'Felosztás eredménykim'!$B84,'Eredeti fejléccel'!$T:$T)</f>
        <v>0</v>
      </c>
      <c r="N84" s="6">
        <f>SUMIF('Eredeti fejléccel'!$B:$B,'Felosztás eredménykim'!$B84,'Eredeti fejléccel'!$U:$U)</f>
        <v>0</v>
      </c>
      <c r="O84" s="6">
        <f>SUMIF('Eredeti fejléccel'!$B:$B,'Felosztás eredménykim'!$B84,'Eredeti fejléccel'!$V:$V)</f>
        <v>0</v>
      </c>
      <c r="P84" s="6">
        <f>SUMIF('Eredeti fejléccel'!$B:$B,'Felosztás eredménykim'!$B84,'Eredeti fejléccel'!$W:$W)</f>
        <v>0</v>
      </c>
      <c r="Q84" s="6">
        <f>SUMIF('Eredeti fejléccel'!$B:$B,'Felosztás eredménykim'!$B84,'Eredeti fejléccel'!$X:$X)</f>
        <v>0</v>
      </c>
      <c r="R84" s="6">
        <f>SUMIF('Eredeti fejléccel'!$B:$B,'Felosztás eredménykim'!$B84,'Eredeti fejléccel'!$Y:$Y)</f>
        <v>0</v>
      </c>
      <c r="S84" s="6">
        <f>SUMIF('Eredeti fejléccel'!$B:$B,'Felosztás eredménykim'!$B84,'Eredeti fejléccel'!$Z:$Z)</f>
        <v>0</v>
      </c>
      <c r="T84" s="6">
        <f>SUMIF('Eredeti fejléccel'!$B:$B,'Felosztás eredménykim'!$B84,'Eredeti fejléccel'!$AA:$AA)</f>
        <v>0</v>
      </c>
      <c r="U84" s="6">
        <v>0</v>
      </c>
      <c r="V84" s="6">
        <f>SUMIF('Eredeti fejléccel'!$B:$B,'Felosztás eredménykim'!$B84,'Eredeti fejléccel'!$AT:$AT)</f>
        <v>0</v>
      </c>
      <c r="W84" s="555"/>
      <c r="X84" s="36">
        <f t="shared" si="86"/>
        <v>10228635</v>
      </c>
      <c r="Z84" s="6">
        <f>SUMIF('Eredeti fejléccel'!$B:$B,'Felosztás eredménykim'!$B84,'Eredeti fejléccel'!$K:$K)</f>
        <v>0</v>
      </c>
      <c r="AB84" s="6">
        <f>SUMIF('Eredeti fejléccel'!$B:$B,'Felosztás eredménykim'!$B84,'Eredeti fejléccel'!$AB:$AB)</f>
        <v>0</v>
      </c>
      <c r="AC84" s="6">
        <f>SUMIF('Eredeti fejléccel'!$B:$B,'Felosztás eredménykim'!$B84,'Eredeti fejléccel'!$AQ:$AQ)</f>
        <v>0</v>
      </c>
      <c r="AE84" s="73">
        <f t="shared" si="131"/>
        <v>0</v>
      </c>
      <c r="AF84" s="36">
        <f t="shared" si="87"/>
        <v>1220221.3457082813</v>
      </c>
      <c r="AG84" s="8">
        <f t="shared" si="88"/>
        <v>0</v>
      </c>
      <c r="AI84" s="6">
        <f>SUMIF('Eredeti fejléccel'!$B:$B,'Felosztás eredménykim'!$B84,'Eredeti fejléccel'!$BB:$BB)</f>
        <v>0</v>
      </c>
      <c r="AJ84" s="6">
        <f>SUMIF('Eredeti fejléccel'!$B:$B,'Felosztás eredménykim'!$B84,'Eredeti fejléccel'!$AF:$AF)</f>
        <v>0</v>
      </c>
      <c r="AK84" s="8">
        <f t="shared" si="73"/>
        <v>0</v>
      </c>
      <c r="AL84" s="36">
        <f t="shared" si="89"/>
        <v>484665.75750993734</v>
      </c>
      <c r="AM84" s="8">
        <f t="shared" si="90"/>
        <v>0</v>
      </c>
      <c r="AN84" s="6">
        <f t="shared" si="123"/>
        <v>0</v>
      </c>
      <c r="AO84" s="6">
        <f>SUMIF('Eredeti fejléccel'!$B:$B,'Felosztás eredménykim'!$B84,'Eredeti fejléccel'!$AC:$AC)</f>
        <v>0</v>
      </c>
      <c r="AP84" s="6">
        <f>SUMIF('Eredeti fejléccel'!$B:$B,'Felosztás eredménykim'!$B84,'Eredeti fejléccel'!$AD:$AD)</f>
        <v>0</v>
      </c>
      <c r="AQ84" s="6">
        <f>SUMIF('Eredeti fejléccel'!$B:$B,'Felosztás eredménykim'!$B84,'Eredeti fejléccel'!$AE:$AE)</f>
        <v>0</v>
      </c>
      <c r="AR84" s="6">
        <f>SUMIF('Eredeti fejléccel'!$B:$B,'Felosztás eredménykim'!$B84,'Eredeti fejléccel'!$AG:$AG)</f>
        <v>0</v>
      </c>
      <c r="AS84" s="6">
        <f t="shared" si="124"/>
        <v>0</v>
      </c>
      <c r="AT84" s="36">
        <f t="shared" si="91"/>
        <v>787239.57787631068</v>
      </c>
      <c r="AU84" s="8">
        <f t="shared" si="92"/>
        <v>0</v>
      </c>
      <c r="AV84" s="6">
        <f>SUMIF('Eredeti fejléccel'!$B:$B,'Felosztás eredménykim'!$B84,'Eredeti fejléccel'!$AI:$AI)</f>
        <v>0</v>
      </c>
      <c r="AW84" s="6">
        <f>SUMIF('Eredeti fejléccel'!$B:$B,'Felosztás eredménykim'!$B84,'Eredeti fejléccel'!$AJ:$AJ)</f>
        <v>0</v>
      </c>
      <c r="AX84" s="6">
        <f>SUMIF('Eredeti fejléccel'!$B:$B,'Felosztás eredménykim'!$B84,'Eredeti fejléccel'!$AK:$AK)</f>
        <v>0</v>
      </c>
      <c r="AY84" s="6">
        <f>SUMIF('Eredeti fejléccel'!$B:$B,'Felosztás eredménykim'!$B84,'Eredeti fejléccel'!$AL:$AL)</f>
        <v>0</v>
      </c>
      <c r="AZ84" s="6">
        <f>SUMIF('Eredeti fejléccel'!$B:$B,'Felosztás eredménykim'!$B84,'Eredeti fejléccel'!$AM:$AM)</f>
        <v>0</v>
      </c>
      <c r="BA84" s="6">
        <f>SUMIF('Eredeti fejléccel'!$B:$B,'Felosztás eredménykim'!$B84,'Eredeti fejléccel'!$AN:$AN)</f>
        <v>0</v>
      </c>
      <c r="BB84" s="6">
        <f>SUMIF('Eredeti fejléccel'!$B:$B,'Felosztás eredménykim'!$B84,'Eredeti fejléccel'!$AP:$AP)</f>
        <v>0</v>
      </c>
      <c r="BD84" s="6">
        <f>SUMIF('Eredeti fejléccel'!$B:$B,'Felosztás eredménykim'!$B84,'Eredeti fejléccel'!$AS:$AS)</f>
        <v>0</v>
      </c>
      <c r="BE84" s="8">
        <f t="shared" si="74"/>
        <v>0</v>
      </c>
      <c r="BF84" s="36">
        <f t="shared" si="93"/>
        <v>205366.8464025158</v>
      </c>
      <c r="BG84" s="8">
        <f t="shared" si="94"/>
        <v>0</v>
      </c>
      <c r="BH84" s="6">
        <f t="shared" si="125"/>
        <v>0</v>
      </c>
      <c r="BI84" s="6">
        <f>SUMIF('Eredeti fejléccel'!$B:$B,'Felosztás eredménykim'!$B84,'Eredeti fejléccel'!$AH:$AH)</f>
        <v>0</v>
      </c>
      <c r="BJ84" s="6">
        <f>SUMIF('Eredeti fejléccel'!$B:$B,'Felosztás eredménykim'!$B84,'Eredeti fejléccel'!$AO:$AO)</f>
        <v>0</v>
      </c>
      <c r="BK84" s="6">
        <f>SUMIF('Eredeti fejléccel'!$B:$B,'Felosztás eredménykim'!$B84,'Eredeti fejléccel'!$BF:$BF)</f>
        <v>0</v>
      </c>
      <c r="BL84" s="8">
        <f t="shared" si="126"/>
        <v>0</v>
      </c>
      <c r="BM84" s="36">
        <f t="shared" si="95"/>
        <v>769441.11785475933</v>
      </c>
      <c r="BN84" s="8">
        <f t="shared" si="96"/>
        <v>0</v>
      </c>
      <c r="BP84" s="8">
        <f t="shared" si="127"/>
        <v>0</v>
      </c>
      <c r="BQ84" s="6">
        <f>SUMIF('Eredeti fejléccel'!$B:$B,'Felosztás eredménykim'!$B84,'Eredeti fejléccel'!$N:$N)</f>
        <v>0</v>
      </c>
      <c r="BR84" s="6">
        <f>SUMIF('Eredeti fejléccel'!$B:$B,'Felosztás eredménykim'!$B84,'Eredeti fejléccel'!$S:$S)</f>
        <v>0</v>
      </c>
      <c r="BT84" s="6">
        <f>SUMIF('Eredeti fejléccel'!$B:$B,'Felosztás eredménykim'!$B84,'Eredeti fejléccel'!$AR:$AR)</f>
        <v>0</v>
      </c>
      <c r="BU84" s="6">
        <f>SUMIF('Eredeti fejléccel'!$B:$B,'Felosztás eredménykim'!$B84,'Eredeti fejléccel'!$AU:$AU)</f>
        <v>0</v>
      </c>
      <c r="BV84" s="6">
        <f>SUMIF('Eredeti fejléccel'!$B:$B,'Felosztás eredménykim'!$B84,'Eredeti fejléccel'!$AV:$AV)</f>
        <v>0</v>
      </c>
      <c r="BW84" s="6">
        <f>SUMIF('Eredeti fejléccel'!$B:$B,'Felosztás eredménykim'!$B84,'Eredeti fejléccel'!$AW:$AW)</f>
        <v>0</v>
      </c>
      <c r="BX84" s="6">
        <f>SUMIF('Eredeti fejléccel'!$B:$B,'Felosztás eredménykim'!$B84,'Eredeti fejléccel'!$AX:$AX)</f>
        <v>0</v>
      </c>
      <c r="BY84" s="6">
        <f>SUMIF('Eredeti fejléccel'!$B:$B,'Felosztás eredménykim'!$B84,'Eredeti fejléccel'!$AY:$AY)</f>
        <v>0</v>
      </c>
      <c r="BZ84" s="6">
        <f>SUMIF('Eredeti fejléccel'!$B:$B,'Felosztás eredménykim'!$B84,'Eredeti fejléccel'!$AZ:$AZ)</f>
        <v>0</v>
      </c>
      <c r="CA84" s="6">
        <f>SUMIF('Eredeti fejléccel'!$B:$B,'Felosztás eredménykim'!$B84,'Eredeti fejléccel'!$BA:$BA)</f>
        <v>0</v>
      </c>
      <c r="CB84" s="6">
        <f t="shared" si="114"/>
        <v>0</v>
      </c>
      <c r="CC84" s="36">
        <f t="shared" si="97"/>
        <v>209474.18333056613</v>
      </c>
      <c r="CD84" s="8">
        <f t="shared" si="98"/>
        <v>0</v>
      </c>
      <c r="CE84" s="6">
        <f>SUMIF('Eredeti fejléccel'!$B:$B,'Felosztás eredménykim'!$B84,'Eredeti fejléccel'!$BC:$BC)</f>
        <v>0</v>
      </c>
      <c r="CF84" s="8">
        <f t="shared" si="135"/>
        <v>0</v>
      </c>
      <c r="CG84" s="6">
        <f>SUMIF('Eredeti fejléccel'!$B:$B,'Felosztás eredménykim'!$B84,'Eredeti fejléccel'!$H:$H)</f>
        <v>0</v>
      </c>
      <c r="CH84" s="6">
        <f>SUMIF('Eredeti fejléccel'!$B:$B,'Felosztás eredménykim'!$B84,'Eredeti fejléccel'!$BE:$BE)</f>
        <v>572</v>
      </c>
      <c r="CI84" s="6">
        <f t="shared" si="75"/>
        <v>572</v>
      </c>
      <c r="CJ84" s="36">
        <f t="shared" si="99"/>
        <v>150602.35402851162</v>
      </c>
      <c r="CK84" s="8">
        <f t="shared" si="100"/>
        <v>0</v>
      </c>
      <c r="CL84" s="8">
        <f t="shared" si="136"/>
        <v>0</v>
      </c>
      <c r="CM84" s="6">
        <f>SUMIF('Eredeti fejléccel'!$B:$B,'Felosztás eredménykim'!$B84,'Eredeti fejléccel'!$BD:$BD)</f>
        <v>0</v>
      </c>
      <c r="CN84" s="8">
        <f t="shared" si="76"/>
        <v>0</v>
      </c>
      <c r="CO84" s="8">
        <f t="shared" si="115"/>
        <v>3827583.1827108818</v>
      </c>
      <c r="CR84" s="36">
        <f t="shared" si="101"/>
        <v>904638.13087572437</v>
      </c>
      <c r="CS84" s="6">
        <f>SUMIF('Eredeti fejléccel'!$B:$B,'Felosztás eredménykim'!$B84,'Eredeti fejléccel'!$I:$I)</f>
        <v>0</v>
      </c>
      <c r="CT84" s="6">
        <f>SUMIF('Eredeti fejléccel'!$B:$B,'Felosztás eredménykim'!$B84,'Eredeti fejléccel'!$BG:$BG)</f>
        <v>0</v>
      </c>
      <c r="CU84" s="6">
        <f>SUMIF('Eredeti fejléccel'!$B:$B,'Felosztás eredménykim'!$B84,'Eredeti fejléccel'!$BH:$BH)</f>
        <v>0</v>
      </c>
      <c r="CV84" s="6">
        <f>SUMIF('Eredeti fejléccel'!$B:$B,'Felosztás eredménykim'!$B84,'Eredeti fejléccel'!$BI:$BI)</f>
        <v>0</v>
      </c>
      <c r="CW84" s="6">
        <f>SUMIF('Eredeti fejléccel'!$B:$B,'Felosztás eredménykim'!$B84,'Eredeti fejléccel'!$BL:$BL)</f>
        <v>0</v>
      </c>
      <c r="CX84" s="6">
        <f t="shared" si="77"/>
        <v>0</v>
      </c>
      <c r="CY84" s="6">
        <f>SUMIF('Eredeti fejléccel'!$B:$B,'Felosztás eredménykim'!$B84,'Eredeti fejléccel'!$BJ:$BJ)</f>
        <v>0</v>
      </c>
      <c r="CZ84" s="6">
        <f>SUMIF('Eredeti fejléccel'!$B:$B,'Felosztás eredménykim'!$B84,'Eredeti fejléccel'!$BK:$BK)</f>
        <v>0</v>
      </c>
      <c r="DA84" s="99">
        <f t="shared" si="116"/>
        <v>0</v>
      </c>
      <c r="DC84" s="36">
        <f t="shared" si="102"/>
        <v>792340.49613651005</v>
      </c>
      <c r="DD84" s="6">
        <f>SUMIF('Eredeti fejléccel'!$B:$B,'Felosztás eredménykim'!$B84,'Eredeti fejléccel'!$J:$J)</f>
        <v>0</v>
      </c>
      <c r="DE84" s="6">
        <f>SUMIF('Eredeti fejléccel'!$B:$B,'Felosztás eredménykim'!$B84,'Eredeti fejléccel'!$BM:$BM)</f>
        <v>0</v>
      </c>
      <c r="DF84" s="6">
        <f t="shared" si="128"/>
        <v>0</v>
      </c>
      <c r="DG84" s="8">
        <f t="shared" si="117"/>
        <v>0</v>
      </c>
      <c r="DH84" s="8">
        <f t="shared" si="129"/>
        <v>0</v>
      </c>
      <c r="DJ84" s="6">
        <f>SUMIF('Eredeti fejléccel'!$B:$B,'Felosztás eredménykim'!$B84,'Eredeti fejléccel'!$BN:$BN)</f>
        <v>0</v>
      </c>
      <c r="DK84" s="6">
        <f>SUMIF('Eredeti fejléccel'!$B:$B,'Felosztás eredménykim'!$B84,'Eredeti fejléccel'!$BZ:$BZ)</f>
        <v>0</v>
      </c>
      <c r="DL84" s="8">
        <f t="shared" si="130"/>
        <v>0</v>
      </c>
      <c r="DM84" s="6">
        <f>SUMIF('Eredeti fejléccel'!$B:$B,'Felosztás eredménykim'!$B84,'Eredeti fejléccel'!$BR:$BR)</f>
        <v>0</v>
      </c>
      <c r="DN84" s="6">
        <f>SUMIF('Eredeti fejléccel'!$B:$B,'Felosztás eredménykim'!$B84,'Eredeti fejléccel'!$BS:$BS)</f>
        <v>0</v>
      </c>
      <c r="DO84" s="6">
        <f>SUMIF('Eredeti fejléccel'!$B:$B,'Felosztás eredménykim'!$B84,'Eredeti fejléccel'!$BO:$BO)</f>
        <v>0</v>
      </c>
      <c r="DP84" s="6">
        <f>SUMIF('Eredeti fejléccel'!$B:$B,'Felosztás eredménykim'!$B84,'Eredeti fejléccel'!$BP:$BP)</f>
        <v>0</v>
      </c>
      <c r="DQ84" s="6">
        <f>SUMIF('Eredeti fejléccel'!$B:$B,'Felosztás eredménykim'!$B84,'Eredeti fejléccel'!$BQ:$BQ)</f>
        <v>0</v>
      </c>
      <c r="DS84" s="8"/>
      <c r="DU84" s="6">
        <f>SUMIF('Eredeti fejléccel'!$B:$B,'Felosztás eredménykim'!$B84,'Eredeti fejléccel'!$BT:$BT)</f>
        <v>0</v>
      </c>
      <c r="DV84" s="6">
        <f>SUMIF('Eredeti fejléccel'!$B:$B,'Felosztás eredménykim'!$B84,'Eredeti fejléccel'!$BU:$BU)</f>
        <v>0</v>
      </c>
      <c r="DW84" s="6">
        <f>SUMIF('Eredeti fejléccel'!$B:$B,'Felosztás eredménykim'!$B84,'Eredeti fejléccel'!$BV:$BV)</f>
        <v>0</v>
      </c>
      <c r="DX84" s="6">
        <f>SUMIF('Eredeti fejléccel'!$B:$B,'Felosztás eredménykim'!$B84,'Eredeti fejléccel'!$BW:$BW)</f>
        <v>0</v>
      </c>
      <c r="DY84" s="6">
        <f>SUMIF('Eredeti fejléccel'!$B:$B,'Felosztás eredménykim'!$B84,'Eredeti fejléccel'!$BX:$BX)</f>
        <v>0</v>
      </c>
      <c r="EA84" s="6"/>
      <c r="EC84" s="6"/>
      <c r="EE84" s="6">
        <f>SUMIF('Eredeti fejléccel'!$B:$B,'Felosztás eredménykim'!$B84,'Eredeti fejléccel'!$CA:$CA)</f>
        <v>0</v>
      </c>
      <c r="EF84" s="6">
        <f>SUMIF('Eredeti fejléccel'!$B:$B,'Felosztás eredménykim'!$B84,'Eredeti fejléccel'!$CB:$CB)</f>
        <v>0</v>
      </c>
      <c r="EG84" s="6">
        <f>SUMIF('Eredeti fejléccel'!$B:$B,'Felosztás eredménykim'!$B84,'Eredeti fejléccel'!$CC:$CC)</f>
        <v>0</v>
      </c>
      <c r="EH84" s="6">
        <f>SUMIF('Eredeti fejléccel'!$B:$B,'Felosztás eredménykim'!$B84,'Eredeti fejléccel'!$CD:$CD)</f>
        <v>0</v>
      </c>
      <c r="EK84" s="6">
        <f>SUMIF('Eredeti fejléccel'!$B:$B,'Felosztás eredménykim'!$B84,'Eredeti fejléccel'!$CE:$CE)</f>
        <v>0</v>
      </c>
      <c r="EN84" s="6">
        <f>SUMIF('Eredeti fejléccel'!$B:$B,'Felosztás eredménykim'!$B84,'Eredeti fejléccel'!$CF:$CF)</f>
        <v>0</v>
      </c>
      <c r="EP84" s="6">
        <f>SUMIF('Eredeti fejléccel'!$B:$B,'Felosztás eredménykim'!$B84,'Eredeti fejléccel'!$CG:$CG)</f>
        <v>0</v>
      </c>
      <c r="ES84" s="6">
        <f>SUMIF('Eredeti fejléccel'!$B:$B,'Felosztás eredménykim'!$B84,'Eredeti fejléccel'!$CH:$CH)</f>
        <v>0</v>
      </c>
      <c r="ET84" s="6">
        <f>SUMIF('Eredeti fejléccel'!$B:$B,'Felosztás eredménykim'!$B84,'Eredeti fejléccel'!$CI:$CI)</f>
        <v>0</v>
      </c>
      <c r="EW84" s="8">
        <f t="shared" si="118"/>
        <v>0</v>
      </c>
      <c r="EX84" s="8">
        <f t="shared" si="78"/>
        <v>0</v>
      </c>
      <c r="EY84" s="8">
        <f t="shared" si="119"/>
        <v>0</v>
      </c>
      <c r="EZ84" s="8">
        <f t="shared" si="120"/>
        <v>0</v>
      </c>
      <c r="FA84" s="8">
        <f t="shared" si="121"/>
        <v>0</v>
      </c>
      <c r="FC84" s="6">
        <f>SUMIF('Eredeti fejléccel'!$B:$B,'Felosztás eredménykim'!$B84,'Eredeti fejléccel'!$L:$L)</f>
        <v>3796</v>
      </c>
      <c r="FD84" s="6">
        <f>SUMIF('Eredeti fejléccel'!$B:$B,'Felosztás eredménykim'!$B84,'Eredeti fejléccel'!$CJ:$CJ)</f>
        <v>0</v>
      </c>
      <c r="FE84" s="6">
        <f>SUMIF('Eredeti fejléccel'!$B:$B,'Felosztás eredménykim'!$B84,'Eredeti fejléccel'!$CL:$CL)</f>
        <v>0</v>
      </c>
      <c r="FG84" s="99">
        <f t="shared" si="79"/>
        <v>3796</v>
      </c>
      <c r="FH84" s="6">
        <f>SUMIF('Eredeti fejléccel'!$B:$B,'Felosztás eredménykim'!$B84,'Eredeti fejléccel'!$CK:$CK)</f>
        <v>0</v>
      </c>
      <c r="FI84" s="36">
        <f t="shared" si="103"/>
        <v>932238.80799888703</v>
      </c>
      <c r="FJ84" s="101">
        <f t="shared" si="104"/>
        <v>841.74842360549712</v>
      </c>
      <c r="FK84" s="6">
        <f>SUMIF('Eredeti fejléccel'!$B:$B,'Felosztás eredménykim'!$B84,'Eredeti fejléccel'!$CM:$CM)</f>
        <v>0</v>
      </c>
      <c r="FL84" s="6">
        <f>SUMIF('Eredeti fejléccel'!$B:$B,'Felosztás eredménykim'!$B84,'Eredeti fejléccel'!$CN:$CN)</f>
        <v>0</v>
      </c>
      <c r="FM84" s="8">
        <f t="shared" si="80"/>
        <v>841.74842360549712</v>
      </c>
      <c r="FN84" s="36">
        <f t="shared" si="105"/>
        <v>792555.92426299851</v>
      </c>
      <c r="FO84" s="101">
        <f t="shared" si="106"/>
        <v>715.62425222312038</v>
      </c>
      <c r="FP84" s="6">
        <f>SUMIF('Eredeti fejléccel'!$B:$B,'Felosztás eredménykim'!$B84,'Eredeti fejléccel'!$CO:$CO)</f>
        <v>0</v>
      </c>
      <c r="FQ84" s="6">
        <f>'Eredeti fejléccel'!CP84</f>
        <v>0</v>
      </c>
      <c r="FR84" s="6">
        <f>'Eredeti fejléccel'!CQ84</f>
        <v>0</v>
      </c>
      <c r="FS84" s="103">
        <f t="shared" si="122"/>
        <v>715.62425222312038</v>
      </c>
      <c r="FT84" s="36">
        <f t="shared" si="107"/>
        <v>2187685.4564669477</v>
      </c>
      <c r="FU84" s="101">
        <f t="shared" si="108"/>
        <v>1975.3316087308003</v>
      </c>
      <c r="FV84" s="101"/>
      <c r="FW84" s="6">
        <f>SUMIF('Eredeti fejléccel'!$B:$B,'Felosztás eredménykim'!$B84,'Eredeti fejléccel'!$CR:$CR)</f>
        <v>0</v>
      </c>
      <c r="FX84" s="6">
        <f>SUMIF('Eredeti fejléccel'!$B:$B,'Felosztás eredménykim'!$B84,'Eredeti fejléccel'!$CS:$CS)</f>
        <v>0</v>
      </c>
      <c r="FY84" s="6">
        <f>SUMIF('Eredeti fejléccel'!$B:$B,'Felosztás eredménykim'!$B84,'Eredeti fejléccel'!$CT:$CT)</f>
        <v>0</v>
      </c>
      <c r="FZ84" s="6">
        <f>SUMIF('Eredeti fejléccel'!$B:$B,'Felosztás eredménykim'!$B84,'Eredeti fejléccel'!$CU:$CU)</f>
        <v>0</v>
      </c>
      <c r="GA84" s="103">
        <f t="shared" si="81"/>
        <v>1975.3316087308003</v>
      </c>
      <c r="GB84" s="36">
        <f t="shared" si="109"/>
        <v>291600.76458732958</v>
      </c>
      <c r="GC84" s="101">
        <f t="shared" si="110"/>
        <v>263.29571544058206</v>
      </c>
      <c r="GD84" s="6">
        <f>SUMIF('Eredeti fejléccel'!$B:$B,'Felosztás eredménykim'!$B84,'Eredeti fejléccel'!$CV:$CV)</f>
        <v>0</v>
      </c>
      <c r="GE84" s="6">
        <f>SUMIF('Eredeti fejléccel'!$B:$B,'Felosztás eredménykim'!$B84,'Eredeti fejléccel'!$CW:$CW)</f>
        <v>0</v>
      </c>
      <c r="GF84" s="103">
        <f t="shared" si="82"/>
        <v>263.29571544058206</v>
      </c>
      <c r="GG84" s="36">
        <f t="shared" si="111"/>
        <v>0</v>
      </c>
      <c r="GM84" s="6">
        <f>SUMIF('Eredeti fejléccel'!$B:$B,'Felosztás eredménykim'!$B84,'Eredeti fejléccel'!$CX:$CX)</f>
        <v>0</v>
      </c>
      <c r="GN84" s="6">
        <f>SUMIF('Eredeti fejléccel'!$B:$B,'Felosztás eredménykim'!$B84,'Eredeti fejléccel'!$CY:$CY)</f>
        <v>0</v>
      </c>
      <c r="GO84" s="6">
        <f>SUMIF('Eredeti fejléccel'!$B:$B,'Felosztás eredménykim'!$B84,'Eredeti fejléccel'!$CZ:$CZ)</f>
        <v>0</v>
      </c>
      <c r="GP84" s="6">
        <f>SUMIF('Eredeti fejléccel'!$B:$B,'Felosztás eredménykim'!$B84,'Eredeti fejléccel'!$DA:$DA)</f>
        <v>0</v>
      </c>
      <c r="GQ84" s="6">
        <f>SUMIF('Eredeti fejléccel'!$B:$B,'Felosztás eredménykim'!$B84,'Eredeti fejléccel'!$DB:$DB)</f>
        <v>0</v>
      </c>
      <c r="GR84" s="103">
        <f t="shared" si="83"/>
        <v>0</v>
      </c>
      <c r="GW84" s="36">
        <f t="shared" si="112"/>
        <v>500564.23696072114</v>
      </c>
      <c r="GX84" s="6">
        <f>SUMIF('Eredeti fejléccel'!$B:$B,'Felosztás eredménykim'!$B84,'Eredeti fejléccel'!$M:$M)</f>
        <v>0</v>
      </c>
      <c r="GY84" s="6">
        <f>SUMIF('Eredeti fejléccel'!$B:$B,'Felosztás eredménykim'!$B84,'Eredeti fejléccel'!$DC:$DC)</f>
        <v>0</v>
      </c>
      <c r="GZ84" s="6">
        <f>SUMIF('Eredeti fejléccel'!$B:$B,'Felosztás eredménykim'!$B84,'Eredeti fejléccel'!$DD:$DD)</f>
        <v>0</v>
      </c>
      <c r="HA84" s="6">
        <f>SUMIF('Eredeti fejléccel'!$B:$B,'Felosztás eredménykim'!$B84,'Eredeti fejléccel'!$DE:$DE)</f>
        <v>0</v>
      </c>
      <c r="HB84" s="103">
        <f t="shared" si="84"/>
        <v>0</v>
      </c>
      <c r="HD84" s="9">
        <f t="shared" si="113"/>
        <v>10233002.999999998</v>
      </c>
      <c r="HE84" s="9">
        <v>10233003</v>
      </c>
      <c r="HF84" s="476"/>
      <c r="HH84" s="557">
        <f t="shared" si="85"/>
        <v>0</v>
      </c>
    </row>
    <row r="85" spans="1:218" x14ac:dyDescent="0.25">
      <c r="A85" s="4" t="s">
        <v>178</v>
      </c>
      <c r="B85" s="4" t="s">
        <v>178</v>
      </c>
      <c r="C85" s="1" t="s">
        <v>179</v>
      </c>
      <c r="D85" s="6">
        <f>SUMIF('Eredeti fejléccel'!$B:$B,'Felosztás eredménykim'!$B85,'Eredeti fejléccel'!$D:$D)</f>
        <v>0</v>
      </c>
      <c r="E85" s="6">
        <f>SUMIF('Eredeti fejléccel'!$B:$B,'Felosztás eredménykim'!$B85,'Eredeti fejléccel'!$E:$E)</f>
        <v>615173.32000000007</v>
      </c>
      <c r="F85" s="6">
        <f>SUMIF('Eredeti fejléccel'!$B:$B,'Felosztás eredménykim'!$B85,'Eredeti fejléccel'!$F:$F)</f>
        <v>0</v>
      </c>
      <c r="G85" s="6">
        <f>SUMIF('Eredeti fejléccel'!$B:$B,'Felosztás eredménykim'!$B85,'Eredeti fejléccel'!$G:$G)</f>
        <v>0</v>
      </c>
      <c r="H85" s="6"/>
      <c r="I85" s="6">
        <f>SUMIF('Eredeti fejléccel'!$B:$B,'Felosztás eredménykim'!$B85,'Eredeti fejléccel'!$O:$O)</f>
        <v>0</v>
      </c>
      <c r="J85" s="6">
        <f>SUMIF('Eredeti fejléccel'!$B:$B,'Felosztás eredménykim'!$B85,'Eredeti fejléccel'!$P:$P)</f>
        <v>0</v>
      </c>
      <c r="K85" s="6">
        <f>SUMIF('Eredeti fejléccel'!$B:$B,'Felosztás eredménykim'!$B85,'Eredeti fejléccel'!$Q:$Q)</f>
        <v>0</v>
      </c>
      <c r="L85" s="6">
        <f>SUMIF('Eredeti fejléccel'!$B:$B,'Felosztás eredménykim'!$B85,'Eredeti fejléccel'!$R:$R)</f>
        <v>0</v>
      </c>
      <c r="M85" s="6">
        <f>SUMIF('Eredeti fejléccel'!$B:$B,'Felosztás eredménykim'!$B85,'Eredeti fejléccel'!$T:$T)</f>
        <v>0</v>
      </c>
      <c r="N85" s="6">
        <f>SUMIF('Eredeti fejléccel'!$B:$B,'Felosztás eredménykim'!$B85,'Eredeti fejléccel'!$U:$U)</f>
        <v>0</v>
      </c>
      <c r="O85" s="6">
        <f>SUMIF('Eredeti fejléccel'!$B:$B,'Felosztás eredménykim'!$B85,'Eredeti fejléccel'!$V:$V)</f>
        <v>0</v>
      </c>
      <c r="P85" s="6">
        <f>SUMIF('Eredeti fejléccel'!$B:$B,'Felosztás eredménykim'!$B85,'Eredeti fejléccel'!$W:$W)</f>
        <v>137124</v>
      </c>
      <c r="Q85" s="6">
        <f>SUMIF('Eredeti fejléccel'!$B:$B,'Felosztás eredménykim'!$B85,'Eredeti fejléccel'!$X:$X)</f>
        <v>0</v>
      </c>
      <c r="R85" s="6">
        <f>SUMIF('Eredeti fejléccel'!$B:$B,'Felosztás eredménykim'!$B85,'Eredeti fejléccel'!$Y:$Y)</f>
        <v>0</v>
      </c>
      <c r="S85" s="6">
        <f>SUMIF('Eredeti fejléccel'!$B:$B,'Felosztás eredménykim'!$B85,'Eredeti fejléccel'!$Z:$Z)</f>
        <v>0</v>
      </c>
      <c r="T85" s="6">
        <f>SUMIF('Eredeti fejléccel'!$B:$B,'Felosztás eredménykim'!$B85,'Eredeti fejléccel'!$AA:$AA)</f>
        <v>0</v>
      </c>
      <c r="U85" s="6">
        <f>SUMIF('Eredeti fejléccel'!$B:$B,'Felosztás eredménykim'!$B85,'Eredeti fejléccel'!$D:$D)</f>
        <v>0</v>
      </c>
      <c r="V85" s="6">
        <f>SUMIF('Eredeti fejléccel'!$B:$B,'Felosztás eredménykim'!$B85,'Eredeti fejléccel'!$AT:$AT)</f>
        <v>0</v>
      </c>
      <c r="W85" s="555"/>
      <c r="X85" s="36">
        <f t="shared" si="86"/>
        <v>752297.32000000007</v>
      </c>
      <c r="Z85" s="6">
        <f>SUMIF('Eredeti fejléccel'!$B:$B,'Felosztás eredménykim'!$B85,'Eredeti fejléccel'!$K:$K)</f>
        <v>122604</v>
      </c>
      <c r="AB85" s="6">
        <f>SUMIF('Eredeti fejléccel'!$B:$B,'Felosztás eredménykim'!$B85,'Eredeti fejléccel'!$AB:$AB)</f>
        <v>0</v>
      </c>
      <c r="AC85" s="6">
        <f>SUMIF('Eredeti fejléccel'!$B:$B,'Felosztás eredménykim'!$B85,'Eredeti fejléccel'!$AQ:$AQ)</f>
        <v>0</v>
      </c>
      <c r="AE85" s="73">
        <f t="shared" si="131"/>
        <v>122604</v>
      </c>
      <c r="AF85" s="36">
        <f t="shared" si="87"/>
        <v>89745.039116473868</v>
      </c>
      <c r="AG85" s="8">
        <f t="shared" si="88"/>
        <v>39091.607190770046</v>
      </c>
      <c r="AI85" s="6">
        <f>SUMIF('Eredeti fejléccel'!$B:$B,'Felosztás eredménykim'!$B85,'Eredeti fejléccel'!$BB:$BB)</f>
        <v>0</v>
      </c>
      <c r="AJ85" s="6">
        <f>SUMIF('Eredeti fejléccel'!$B:$B,'Felosztás eredménykim'!$B85,'Eredeti fejléccel'!$AF:$AF)</f>
        <v>0</v>
      </c>
      <c r="AK85" s="8">
        <f t="shared" si="73"/>
        <v>39091.607190770046</v>
      </c>
      <c r="AL85" s="36">
        <f t="shared" si="89"/>
        <v>35646.276406431141</v>
      </c>
      <c r="AM85" s="8">
        <f t="shared" si="90"/>
        <v>15526.988999195059</v>
      </c>
      <c r="AN85" s="6">
        <f t="shared" si="123"/>
        <v>0</v>
      </c>
      <c r="AO85" s="6">
        <f>SUMIF('Eredeti fejléccel'!$B:$B,'Felosztás eredménykim'!$B85,'Eredeti fejléccel'!$AC:$AC)</f>
        <v>0</v>
      </c>
      <c r="AP85" s="6">
        <f>SUMIF('Eredeti fejléccel'!$B:$B,'Felosztás eredménykim'!$B85,'Eredeti fejléccel'!$AD:$AD)</f>
        <v>0</v>
      </c>
      <c r="AQ85" s="6">
        <f>SUMIF('Eredeti fejléccel'!$B:$B,'Felosztás eredménykim'!$B85,'Eredeti fejléccel'!$AE:$AE)</f>
        <v>0</v>
      </c>
      <c r="AR85" s="6">
        <f>SUMIF('Eredeti fejléccel'!$B:$B,'Felosztás eredménykim'!$B85,'Eredeti fejléccel'!$AG:$AG)</f>
        <v>0</v>
      </c>
      <c r="AS85" s="6">
        <f t="shared" si="124"/>
        <v>15526.988999195059</v>
      </c>
      <c r="AT85" s="36">
        <f t="shared" si="91"/>
        <v>57900.025236434762</v>
      </c>
      <c r="AU85" s="8">
        <f t="shared" si="92"/>
        <v>25220.391735980676</v>
      </c>
      <c r="AV85" s="6">
        <f>SUMIF('Eredeti fejléccel'!$B:$B,'Felosztás eredménykim'!$B85,'Eredeti fejléccel'!$AI:$AI)</f>
        <v>0</v>
      </c>
      <c r="AW85" s="6">
        <f>SUMIF('Eredeti fejléccel'!$B:$B,'Felosztás eredménykim'!$B85,'Eredeti fejléccel'!$AJ:$AJ)</f>
        <v>0</v>
      </c>
      <c r="AX85" s="6">
        <f>SUMIF('Eredeti fejléccel'!$B:$B,'Felosztás eredménykim'!$B85,'Eredeti fejléccel'!$AK:$AK)</f>
        <v>0</v>
      </c>
      <c r="AY85" s="6">
        <f>SUMIF('Eredeti fejléccel'!$B:$B,'Felosztás eredménykim'!$B85,'Eredeti fejléccel'!$AL:$AL)</f>
        <v>0</v>
      </c>
      <c r="AZ85" s="6">
        <f>SUMIF('Eredeti fejléccel'!$B:$B,'Felosztás eredménykim'!$B85,'Eredeti fejléccel'!$AM:$AM)</f>
        <v>0</v>
      </c>
      <c r="BA85" s="6">
        <f>SUMIF('Eredeti fejléccel'!$B:$B,'Felosztás eredménykim'!$B85,'Eredeti fejléccel'!$AN:$AN)</f>
        <v>0</v>
      </c>
      <c r="BB85" s="6">
        <f>SUMIF('Eredeti fejléccel'!$B:$B,'Felosztás eredménykim'!$B85,'Eredeti fejléccel'!$AP:$AP)</f>
        <v>0</v>
      </c>
      <c r="BD85" s="6">
        <f>SUMIF('Eredeti fejléccel'!$B:$B,'Felosztás eredménykim'!$B85,'Eredeti fejléccel'!$AS:$AS)</f>
        <v>0</v>
      </c>
      <c r="BE85" s="8">
        <f t="shared" si="74"/>
        <v>25220.391735980676</v>
      </c>
      <c r="BF85" s="36">
        <f t="shared" si="93"/>
        <v>15104.354409504718</v>
      </c>
      <c r="BG85" s="8">
        <f t="shared" si="94"/>
        <v>6579.2326267775679</v>
      </c>
      <c r="BH85" s="6">
        <f t="shared" si="125"/>
        <v>0</v>
      </c>
      <c r="BI85" s="6">
        <f>SUMIF('Eredeti fejléccel'!$B:$B,'Felosztás eredménykim'!$B85,'Eredeti fejléccel'!$AH:$AH)</f>
        <v>0</v>
      </c>
      <c r="BJ85" s="6">
        <f>SUMIF('Eredeti fejléccel'!$B:$B,'Felosztás eredménykim'!$B85,'Eredeti fejléccel'!$AO:$AO)</f>
        <v>0</v>
      </c>
      <c r="BK85" s="6">
        <f>SUMIF('Eredeti fejléccel'!$B:$B,'Felosztás eredménykim'!$B85,'Eredeti fejléccel'!$BF:$BF)</f>
        <v>0</v>
      </c>
      <c r="BL85" s="8">
        <f t="shared" si="126"/>
        <v>6579.2326267775679</v>
      </c>
      <c r="BM85" s="36">
        <f t="shared" si="95"/>
        <v>56590.981187611018</v>
      </c>
      <c r="BN85" s="8">
        <f t="shared" si="96"/>
        <v>24650.191574993285</v>
      </c>
      <c r="BP85" s="8">
        <f t="shared" si="127"/>
        <v>0</v>
      </c>
      <c r="BQ85" s="6">
        <f>SUMIF('Eredeti fejléccel'!$B:$B,'Felosztás eredménykim'!$B85,'Eredeti fejléccel'!$N:$N)</f>
        <v>0</v>
      </c>
      <c r="BR85" s="6">
        <f>SUMIF('Eredeti fejléccel'!$B:$B,'Felosztás eredménykim'!$B85,'Eredeti fejléccel'!$S:$S)</f>
        <v>0</v>
      </c>
      <c r="BT85" s="6">
        <f>SUMIF('Eredeti fejléccel'!$B:$B,'Felosztás eredménykim'!$B85,'Eredeti fejléccel'!$AR:$AR)</f>
        <v>0</v>
      </c>
      <c r="BU85" s="6">
        <f>SUMIF('Eredeti fejléccel'!$B:$B,'Felosztás eredménykim'!$B85,'Eredeti fejléccel'!$AU:$AU)</f>
        <v>0</v>
      </c>
      <c r="BV85" s="6">
        <f>SUMIF('Eredeti fejléccel'!$B:$B,'Felosztás eredménykim'!$B85,'Eredeti fejléccel'!$AV:$AV)</f>
        <v>0</v>
      </c>
      <c r="BW85" s="6">
        <f>SUMIF('Eredeti fejléccel'!$B:$B,'Felosztás eredménykim'!$B85,'Eredeti fejléccel'!$AW:$AW)</f>
        <v>0</v>
      </c>
      <c r="BX85" s="6">
        <f>SUMIF('Eredeti fejléccel'!$B:$B,'Felosztás eredménykim'!$B85,'Eredeti fejléccel'!$AX:$AX)</f>
        <v>0</v>
      </c>
      <c r="BY85" s="6">
        <f>SUMIF('Eredeti fejléccel'!$B:$B,'Felosztás eredménykim'!$B85,'Eredeti fejléccel'!$AY:$AY)</f>
        <v>0</v>
      </c>
      <c r="BZ85" s="6">
        <f>SUMIF('Eredeti fejléccel'!$B:$B,'Felosztás eredménykim'!$B85,'Eredeti fejléccel'!$AZ:$AZ)</f>
        <v>0</v>
      </c>
      <c r="CA85" s="6">
        <f>SUMIF('Eredeti fejléccel'!$B:$B,'Felosztás eredménykim'!$B85,'Eredeti fejléccel'!$BA:$BA)</f>
        <v>0</v>
      </c>
      <c r="CB85" s="6">
        <f t="shared" si="114"/>
        <v>24650.191574993285</v>
      </c>
      <c r="CC85" s="36">
        <f t="shared" si="97"/>
        <v>15406.441497694814</v>
      </c>
      <c r="CD85" s="8">
        <f t="shared" si="98"/>
        <v>6710.8172793131189</v>
      </c>
      <c r="CE85" s="6">
        <f>SUMIF('Eredeti fejléccel'!$B:$B,'Felosztás eredménykim'!$B85,'Eredeti fejléccel'!$BC:$BC)</f>
        <v>0</v>
      </c>
      <c r="CF85" s="8">
        <f t="shared" si="135"/>
        <v>0</v>
      </c>
      <c r="CG85" s="6">
        <f>SUMIF('Eredeti fejléccel'!$B:$B,'Felosztás eredménykim'!$B85,'Eredeti fejléccel'!$H:$H)</f>
        <v>0</v>
      </c>
      <c r="CH85" s="6">
        <f>SUMIF('Eredeti fejléccel'!$B:$B,'Felosztás eredménykim'!$B85,'Eredeti fejléccel'!$BE:$BE)</f>
        <v>0</v>
      </c>
      <c r="CI85" s="6">
        <f t="shared" si="75"/>
        <v>6710.8172793131189</v>
      </c>
      <c r="CJ85" s="36">
        <f t="shared" si="99"/>
        <v>11076.526566970129</v>
      </c>
      <c r="CK85" s="8">
        <f t="shared" si="100"/>
        <v>4824.770592970217</v>
      </c>
      <c r="CL85" s="8">
        <f t="shared" si="136"/>
        <v>0</v>
      </c>
      <c r="CM85" s="6">
        <f>SUMIF('Eredeti fejléccel'!$B:$B,'Felosztás eredménykim'!$B85,'Eredeti fejléccel'!$BD:$BD)</f>
        <v>0</v>
      </c>
      <c r="CN85" s="8">
        <f t="shared" si="76"/>
        <v>4824.770592970217</v>
      </c>
      <c r="CO85" s="8">
        <f t="shared" si="115"/>
        <v>404073.64442112035</v>
      </c>
      <c r="CR85" s="36">
        <f t="shared" si="101"/>
        <v>66534.473214423706</v>
      </c>
      <c r="CS85" s="6">
        <f>SUMIF('Eredeti fejléccel'!$B:$B,'Felosztás eredménykim'!$B85,'Eredeti fejléccel'!$I:$I)</f>
        <v>0</v>
      </c>
      <c r="CT85" s="6">
        <f>SUMIF('Eredeti fejléccel'!$B:$B,'Felosztás eredménykim'!$B85,'Eredeti fejléccel'!$BG:$BG)</f>
        <v>0</v>
      </c>
      <c r="CU85" s="6">
        <f>SUMIF('Eredeti fejléccel'!$B:$B,'Felosztás eredménykim'!$B85,'Eredeti fejléccel'!$BH:$BH)</f>
        <v>0</v>
      </c>
      <c r="CV85" s="6">
        <f>SUMIF('Eredeti fejléccel'!$B:$B,'Felosztás eredménykim'!$B85,'Eredeti fejléccel'!$BI:$BI)</f>
        <v>0</v>
      </c>
      <c r="CW85" s="6">
        <f>SUMIF('Eredeti fejléccel'!$B:$B,'Felosztás eredménykim'!$B85,'Eredeti fejléccel'!$BL:$BL)</f>
        <v>410326.80000000005</v>
      </c>
      <c r="CX85" s="6">
        <f t="shared" si="77"/>
        <v>410326.80000000005</v>
      </c>
      <c r="CY85" s="6">
        <f>SUMIF('Eredeti fejléccel'!$B:$B,'Felosztás eredménykim'!$B85,'Eredeti fejléccel'!$BJ:$BJ)</f>
        <v>1025640.18</v>
      </c>
      <c r="CZ85" s="6">
        <f>SUMIF('Eredeti fejléccel'!$B:$B,'Felosztás eredménykim'!$B85,'Eredeti fejléccel'!$BK:$BK)</f>
        <v>1943.5</v>
      </c>
      <c r="DA85" s="99">
        <f t="shared" si="116"/>
        <v>1437910.48</v>
      </c>
      <c r="DC85" s="36">
        <f t="shared" si="102"/>
        <v>58275.188406954294</v>
      </c>
      <c r="DD85" s="6">
        <f>SUMIF('Eredeti fejléccel'!$B:$B,'Felosztás eredménykim'!$B85,'Eredeti fejléccel'!$J:$J)</f>
        <v>0</v>
      </c>
      <c r="DE85" s="6">
        <f>SUMIF('Eredeti fejléccel'!$B:$B,'Felosztás eredménykim'!$B85,'Eredeti fejléccel'!$BM:$BM)</f>
        <v>318732</v>
      </c>
      <c r="DF85" s="6">
        <f t="shared" si="128"/>
        <v>0</v>
      </c>
      <c r="DG85" s="8">
        <f t="shared" si="117"/>
        <v>0</v>
      </c>
      <c r="DH85" s="8">
        <f t="shared" si="129"/>
        <v>318732</v>
      </c>
      <c r="DJ85" s="6">
        <f>SUMIF('Eredeti fejléccel'!$B:$B,'Felosztás eredménykim'!$B85,'Eredeti fejléccel'!$BN:$BN)</f>
        <v>0</v>
      </c>
      <c r="DK85" s="6">
        <f>SUMIF('Eredeti fejléccel'!$B:$B,'Felosztás eredménykim'!$B85,'Eredeti fejléccel'!$BZ:$BZ)</f>
        <v>0</v>
      </c>
      <c r="DL85" s="8">
        <f t="shared" si="130"/>
        <v>0</v>
      </c>
      <c r="DM85" s="6">
        <f>SUMIF('Eredeti fejléccel'!$B:$B,'Felosztás eredménykim'!$B85,'Eredeti fejléccel'!$BR:$BR)</f>
        <v>0</v>
      </c>
      <c r="DN85" s="6">
        <f>SUMIF('Eredeti fejléccel'!$B:$B,'Felosztás eredménykim'!$B85,'Eredeti fejléccel'!$BS:$BS)</f>
        <v>0</v>
      </c>
      <c r="DO85" s="6">
        <f>SUMIF('Eredeti fejléccel'!$B:$B,'Felosztás eredménykim'!$B85,'Eredeti fejléccel'!$BO:$BO)</f>
        <v>0</v>
      </c>
      <c r="DP85" s="6">
        <f>SUMIF('Eredeti fejléccel'!$B:$B,'Felosztás eredménykim'!$B85,'Eredeti fejléccel'!$BP:$BP)</f>
        <v>0</v>
      </c>
      <c r="DQ85" s="6">
        <f>SUMIF('Eredeti fejléccel'!$B:$B,'Felosztás eredménykim'!$B85,'Eredeti fejléccel'!$BQ:$BQ)</f>
        <v>0</v>
      </c>
      <c r="DS85" s="8"/>
      <c r="DU85" s="6">
        <f>SUMIF('Eredeti fejléccel'!$B:$B,'Felosztás eredménykim'!$B85,'Eredeti fejléccel'!$BT:$BT)</f>
        <v>0</v>
      </c>
      <c r="DV85" s="6">
        <f>SUMIF('Eredeti fejléccel'!$B:$B,'Felosztás eredménykim'!$B85,'Eredeti fejléccel'!$BU:$BU)</f>
        <v>0</v>
      </c>
      <c r="DW85" s="6">
        <f>SUMIF('Eredeti fejléccel'!$B:$B,'Felosztás eredménykim'!$B85,'Eredeti fejléccel'!$BV:$BV)</f>
        <v>0</v>
      </c>
      <c r="DX85" s="6">
        <f>SUMIF('Eredeti fejléccel'!$B:$B,'Felosztás eredménykim'!$B85,'Eredeti fejléccel'!$BW:$BW)</f>
        <v>0</v>
      </c>
      <c r="DY85" s="6">
        <f>SUMIF('Eredeti fejléccel'!$B:$B,'Felosztás eredménykim'!$B85,'Eredeti fejléccel'!$BX:$BX)</f>
        <v>0</v>
      </c>
      <c r="EA85" s="6"/>
      <c r="EC85" s="6"/>
      <c r="EE85" s="6">
        <f>SUMIF('Eredeti fejléccel'!$B:$B,'Felosztás eredménykim'!$B85,'Eredeti fejléccel'!$CA:$CA)</f>
        <v>0</v>
      </c>
      <c r="EF85" s="6">
        <f>SUMIF('Eredeti fejléccel'!$B:$B,'Felosztás eredménykim'!$B85,'Eredeti fejléccel'!$CB:$CB)</f>
        <v>0</v>
      </c>
      <c r="EG85" s="6">
        <f>SUMIF('Eredeti fejléccel'!$B:$B,'Felosztás eredménykim'!$B85,'Eredeti fejléccel'!$CC:$CC)</f>
        <v>0</v>
      </c>
      <c r="EH85" s="6">
        <f>SUMIF('Eredeti fejléccel'!$B:$B,'Felosztás eredménykim'!$B85,'Eredeti fejléccel'!$CD:$CD)</f>
        <v>0</v>
      </c>
      <c r="EK85" s="6">
        <f>SUMIF('Eredeti fejléccel'!$B:$B,'Felosztás eredménykim'!$B85,'Eredeti fejléccel'!$CE:$CE)</f>
        <v>0</v>
      </c>
      <c r="EN85" s="6">
        <f>SUMIF('Eredeti fejléccel'!$B:$B,'Felosztás eredménykim'!$B85,'Eredeti fejléccel'!$CF:$CF)</f>
        <v>0</v>
      </c>
      <c r="EP85" s="6">
        <f>SUMIF('Eredeti fejléccel'!$B:$B,'Felosztás eredménykim'!$B85,'Eredeti fejléccel'!$CG:$CG)</f>
        <v>0</v>
      </c>
      <c r="ES85" s="6">
        <f>SUMIF('Eredeti fejléccel'!$B:$B,'Felosztás eredménykim'!$B85,'Eredeti fejléccel'!$CH:$CH)</f>
        <v>0</v>
      </c>
      <c r="ET85" s="6">
        <f>SUMIF('Eredeti fejléccel'!$B:$B,'Felosztás eredménykim'!$B85,'Eredeti fejléccel'!$CI:$CI)</f>
        <v>0</v>
      </c>
      <c r="EW85" s="8">
        <f t="shared" si="118"/>
        <v>0</v>
      </c>
      <c r="EX85" s="8">
        <f t="shared" si="78"/>
        <v>0</v>
      </c>
      <c r="EY85" s="8">
        <f t="shared" si="119"/>
        <v>318732</v>
      </c>
      <c r="EZ85" s="8">
        <f t="shared" si="120"/>
        <v>318732</v>
      </c>
      <c r="FA85" s="8">
        <f t="shared" si="121"/>
        <v>318732</v>
      </c>
      <c r="FC85" s="6">
        <f>SUMIF('Eredeti fejléccel'!$B:$B,'Felosztás eredménykim'!$B85,'Eredeti fejléccel'!$L:$L)</f>
        <v>0</v>
      </c>
      <c r="FD85" s="6">
        <f>SUMIF('Eredeti fejléccel'!$B:$B,'Felosztás eredménykim'!$B85,'Eredeti fejléccel'!$CJ:$CJ)</f>
        <v>382795</v>
      </c>
      <c r="FE85" s="6">
        <f>SUMIF('Eredeti fejléccel'!$B:$B,'Felosztás eredménykim'!$B85,'Eredeti fejléccel'!$CL:$CL)</f>
        <v>0</v>
      </c>
      <c r="FG85" s="99">
        <f t="shared" si="79"/>
        <v>382795</v>
      </c>
      <c r="FH85" s="6">
        <f>SUMIF('Eredeti fejléccel'!$B:$B,'Felosztás eredménykim'!$B85,'Eredeti fejléccel'!$CK:$CK)</f>
        <v>0</v>
      </c>
      <c r="FI85" s="36">
        <f t="shared" si="103"/>
        <v>68564.452329910826</v>
      </c>
      <c r="FJ85" s="101">
        <f t="shared" si="104"/>
        <v>84883.32134195634</v>
      </c>
      <c r="FK85" s="6">
        <f>SUMIF('Eredeti fejléccel'!$B:$B,'Felosztás eredménykim'!$B85,'Eredeti fejléccel'!$CM:$CM)</f>
        <v>0</v>
      </c>
      <c r="FL85" s="6">
        <f>SUMIF('Eredeti fejléccel'!$B:$B,'Felosztás eredménykim'!$B85,'Eredeti fejléccel'!$CN:$CN)</f>
        <v>0</v>
      </c>
      <c r="FM85" s="8">
        <f t="shared" si="80"/>
        <v>84883.32134195634</v>
      </c>
      <c r="FN85" s="36">
        <f t="shared" si="105"/>
        <v>58291.0327500372</v>
      </c>
      <c r="FO85" s="101">
        <f t="shared" si="106"/>
        <v>72164.748585286987</v>
      </c>
      <c r="FP85" s="6">
        <f>SUMIF('Eredeti fejléccel'!$B:$B,'Felosztás eredménykim'!$B85,'Eredeti fejléccel'!$CO:$CO)</f>
        <v>564949</v>
      </c>
      <c r="FQ85" s="6">
        <f>'Eredeti fejléccel'!CP85</f>
        <v>0</v>
      </c>
      <c r="FR85" s="6">
        <f>'Eredeti fejléccel'!CQ85</f>
        <v>0</v>
      </c>
      <c r="FS85" s="103">
        <f t="shared" si="122"/>
        <v>637113.74858528702</v>
      </c>
      <c r="FT85" s="36">
        <f t="shared" si="107"/>
        <v>160900.24777529566</v>
      </c>
      <c r="FU85" s="101">
        <f t="shared" si="108"/>
        <v>199195.7489894907</v>
      </c>
      <c r="FV85" s="101"/>
      <c r="FW85" s="6">
        <f>SUMIF('Eredeti fejléccel'!$B:$B,'Felosztás eredménykim'!$B85,'Eredeti fejléccel'!$CR:$CR)</f>
        <v>2265596</v>
      </c>
      <c r="FX85" s="6">
        <f>SUMIF('Eredeti fejléccel'!$B:$B,'Felosztás eredménykim'!$B85,'Eredeti fejléccel'!$CS:$CS)</f>
        <v>0</v>
      </c>
      <c r="FY85" s="6">
        <f>SUMIF('Eredeti fejléccel'!$B:$B,'Felosztás eredménykim'!$B85,'Eredeti fejléccel'!$CT:$CT)</f>
        <v>0</v>
      </c>
      <c r="FZ85" s="6">
        <f>SUMIF('Eredeti fejléccel'!$B:$B,'Felosztás eredménykim'!$B85,'Eredeti fejléccel'!$CU:$CU)</f>
        <v>0</v>
      </c>
      <c r="GA85" s="103">
        <f t="shared" si="81"/>
        <v>2464791.7489894908</v>
      </c>
      <c r="GB85" s="36">
        <f t="shared" si="109"/>
        <v>21446.700728787269</v>
      </c>
      <c r="GC85" s="101">
        <f t="shared" si="110"/>
        <v>26551.181083265965</v>
      </c>
      <c r="GD85" s="6">
        <f>SUMIF('Eredeti fejléccel'!$B:$B,'Felosztás eredménykim'!$B85,'Eredeti fejléccel'!$CV:$CV)</f>
        <v>262236</v>
      </c>
      <c r="GE85" s="6">
        <f>SUMIF('Eredeti fejléccel'!$B:$B,'Felosztás eredménykim'!$B85,'Eredeti fejléccel'!$CW:$CW)</f>
        <v>0</v>
      </c>
      <c r="GF85" s="103">
        <f t="shared" si="82"/>
        <v>288787.18108326598</v>
      </c>
      <c r="GG85" s="36">
        <f t="shared" si="111"/>
        <v>0</v>
      </c>
      <c r="GM85" s="6">
        <f>SUMIF('Eredeti fejléccel'!$B:$B,'Felosztás eredménykim'!$B85,'Eredeti fejléccel'!$CX:$CX)</f>
        <v>0</v>
      </c>
      <c r="GN85" s="6">
        <f>SUMIF('Eredeti fejléccel'!$B:$B,'Felosztás eredménykim'!$B85,'Eredeti fejléccel'!$CY:$CY)</f>
        <v>0</v>
      </c>
      <c r="GO85" s="6">
        <f>SUMIF('Eredeti fejléccel'!$B:$B,'Felosztás eredménykim'!$B85,'Eredeti fejléccel'!$CZ:$CZ)</f>
        <v>0</v>
      </c>
      <c r="GP85" s="6">
        <f>SUMIF('Eredeti fejléccel'!$B:$B,'Felosztás eredménykim'!$B85,'Eredeti fejléccel'!$DA:$DA)</f>
        <v>0</v>
      </c>
      <c r="GQ85" s="6">
        <f>SUMIF('Eredeti fejléccel'!$B:$B,'Felosztás eredménykim'!$B85,'Eredeti fejléccel'!$DB:$DB)</f>
        <v>0</v>
      </c>
      <c r="GR85" s="103">
        <f t="shared" si="83"/>
        <v>0</v>
      </c>
      <c r="GW85" s="36">
        <f t="shared" si="112"/>
        <v>36815.580373470701</v>
      </c>
      <c r="GX85" s="6">
        <f>SUMIF('Eredeti fejléccel'!$B:$B,'Felosztás eredménykim'!$B85,'Eredeti fejléccel'!$M:$M)</f>
        <v>0</v>
      </c>
      <c r="GY85" s="6">
        <f>SUMIF('Eredeti fejléccel'!$B:$B,'Felosztás eredménykim'!$B85,'Eredeti fejléccel'!$DC:$DC)</f>
        <v>0</v>
      </c>
      <c r="GZ85" s="6">
        <f>SUMIF('Eredeti fejléccel'!$B:$B,'Felosztás eredménykim'!$B85,'Eredeti fejléccel'!$DD:$DD)</f>
        <v>0</v>
      </c>
      <c r="HA85" s="6">
        <f>SUMIF('Eredeti fejléccel'!$B:$B,'Felosztás eredménykim'!$B85,'Eredeti fejléccel'!$DE:$DE)</f>
        <v>0</v>
      </c>
      <c r="HB85" s="103">
        <f t="shared" si="84"/>
        <v>0</v>
      </c>
      <c r="HD85" s="9">
        <f t="shared" si="113"/>
        <v>6107119.8000000017</v>
      </c>
      <c r="HE85" s="9">
        <v>6107119.7999999998</v>
      </c>
      <c r="HF85" s="476"/>
      <c r="HH85" s="557">
        <f t="shared" si="85"/>
        <v>0</v>
      </c>
    </row>
    <row r="86" spans="1:218" x14ac:dyDescent="0.25">
      <c r="A86" s="4" t="s">
        <v>180</v>
      </c>
      <c r="B86" s="4" t="s">
        <v>180</v>
      </c>
      <c r="C86" s="1" t="s">
        <v>181</v>
      </c>
      <c r="D86" s="6">
        <f>SUMIF('Eredeti fejléccel'!$B:$B,'Felosztás eredménykim'!$B86,'Eredeti fejléccel'!$D:$D)</f>
        <v>0</v>
      </c>
      <c r="E86" s="6">
        <f>SUMIF('Eredeti fejléccel'!$B:$B,'Felosztás eredménykim'!$B86,'Eredeti fejléccel'!$E:$E)</f>
        <v>220507.88</v>
      </c>
      <c r="F86" s="6">
        <f>SUMIF('Eredeti fejléccel'!$B:$B,'Felosztás eredménykim'!$B86,'Eredeti fejléccel'!$F:$F)</f>
        <v>0</v>
      </c>
      <c r="G86" s="6">
        <f>SUMIF('Eredeti fejléccel'!$B:$B,'Felosztás eredménykim'!$B86,'Eredeti fejléccel'!$G:$G)</f>
        <v>0</v>
      </c>
      <c r="H86" s="6"/>
      <c r="I86" s="6">
        <f>SUMIF('Eredeti fejléccel'!$B:$B,'Felosztás eredménykim'!$B86,'Eredeti fejléccel'!$O:$O)</f>
        <v>0</v>
      </c>
      <c r="J86" s="6">
        <f>SUMIF('Eredeti fejléccel'!$B:$B,'Felosztás eredménykim'!$B86,'Eredeti fejléccel'!$P:$P)</f>
        <v>0</v>
      </c>
      <c r="K86" s="6">
        <f>SUMIF('Eredeti fejléccel'!$B:$B,'Felosztás eredménykim'!$B86,'Eredeti fejléccel'!$Q:$Q)</f>
        <v>0</v>
      </c>
      <c r="L86" s="6">
        <f>SUMIF('Eredeti fejléccel'!$B:$B,'Felosztás eredménykim'!$B86,'Eredeti fejléccel'!$R:$R)</f>
        <v>0</v>
      </c>
      <c r="M86" s="6">
        <f>SUMIF('Eredeti fejléccel'!$B:$B,'Felosztás eredménykim'!$B86,'Eredeti fejléccel'!$T:$T)</f>
        <v>0</v>
      </c>
      <c r="N86" s="6">
        <f>SUMIF('Eredeti fejléccel'!$B:$B,'Felosztás eredménykim'!$B86,'Eredeti fejléccel'!$U:$U)</f>
        <v>0</v>
      </c>
      <c r="O86" s="6">
        <f>SUMIF('Eredeti fejléccel'!$B:$B,'Felosztás eredménykim'!$B86,'Eredeti fejléccel'!$V:$V)</f>
        <v>0</v>
      </c>
      <c r="P86" s="6">
        <f>SUMIF('Eredeti fejléccel'!$B:$B,'Felosztás eredménykim'!$B86,'Eredeti fejléccel'!$W:$W)</f>
        <v>0</v>
      </c>
      <c r="Q86" s="6">
        <f>SUMIF('Eredeti fejléccel'!$B:$B,'Felosztás eredménykim'!$B86,'Eredeti fejléccel'!$X:$X)</f>
        <v>0</v>
      </c>
      <c r="R86" s="6">
        <f>SUMIF('Eredeti fejléccel'!$B:$B,'Felosztás eredménykim'!$B86,'Eredeti fejléccel'!$Y:$Y)</f>
        <v>0</v>
      </c>
      <c r="S86" s="6">
        <f>SUMIF('Eredeti fejléccel'!$B:$B,'Felosztás eredménykim'!$B86,'Eredeti fejléccel'!$Z:$Z)</f>
        <v>0</v>
      </c>
      <c r="T86" s="6">
        <f>SUMIF('Eredeti fejléccel'!$B:$B,'Felosztás eredménykim'!$B86,'Eredeti fejléccel'!$AA:$AA)</f>
        <v>0</v>
      </c>
      <c r="U86" s="6">
        <f>SUMIF('Eredeti fejléccel'!$B:$B,'Felosztás eredménykim'!$B86,'Eredeti fejléccel'!$D:$D)</f>
        <v>0</v>
      </c>
      <c r="V86" s="6">
        <f>SUMIF('Eredeti fejléccel'!$B:$B,'Felosztás eredménykim'!$B86,'Eredeti fejléccel'!$AT:$AT)</f>
        <v>0</v>
      </c>
      <c r="X86" s="36">
        <f t="shared" si="86"/>
        <v>220507.88</v>
      </c>
      <c r="Z86" s="6">
        <f>SUMIF('Eredeti fejléccel'!$B:$B,'Felosztás eredménykim'!$B86,'Eredeti fejléccel'!$K:$K)</f>
        <v>161858.81000000052</v>
      </c>
      <c r="AB86" s="6">
        <f>SUMIF('Eredeti fejléccel'!$B:$B,'Felosztás eredménykim'!$B86,'Eredeti fejléccel'!$AB:$AB)</f>
        <v>0</v>
      </c>
      <c r="AC86" s="6">
        <f>SUMIF('Eredeti fejléccel'!$B:$B,'Felosztás eredménykim'!$B86,'Eredeti fejléccel'!$AQ:$AQ)</f>
        <v>0</v>
      </c>
      <c r="AE86" s="73">
        <f t="shared" si="131"/>
        <v>161858.81000000052</v>
      </c>
      <c r="AF86" s="36">
        <f t="shared" si="87"/>
        <v>26305.408500047193</v>
      </c>
      <c r="AG86" s="8">
        <f t="shared" si="88"/>
        <v>51607.786213219013</v>
      </c>
      <c r="AI86" s="6">
        <f>SUMIF('Eredeti fejléccel'!$B:$B,'Felosztás eredménykim'!$B86,'Eredeti fejléccel'!$BB:$BB)</f>
        <v>0</v>
      </c>
      <c r="AJ86" s="6">
        <f>SUMIF('Eredeti fejléccel'!$B:$B,'Felosztás eredménykim'!$B86,'Eredeti fejléccel'!$AF:$AF)</f>
        <v>0</v>
      </c>
      <c r="AK86" s="8">
        <f t="shared" si="73"/>
        <v>51607.786213219013</v>
      </c>
      <c r="AL86" s="36">
        <f t="shared" si="89"/>
        <v>10448.375437886909</v>
      </c>
      <c r="AM86" s="8">
        <f t="shared" si="90"/>
        <v>20498.352111617987</v>
      </c>
      <c r="AN86" s="6">
        <f t="shared" si="123"/>
        <v>0</v>
      </c>
      <c r="AO86" s="6">
        <f>SUMIF('Eredeti fejléccel'!$B:$B,'Felosztás eredménykim'!$B86,'Eredeti fejléccel'!$AC:$AC)</f>
        <v>0</v>
      </c>
      <c r="AP86" s="6">
        <f>SUMIF('Eredeti fejléccel'!$B:$B,'Felosztás eredménykim'!$B86,'Eredeti fejléccel'!$AD:$AD)</f>
        <v>0</v>
      </c>
      <c r="AQ86" s="6">
        <f>SUMIF('Eredeti fejléccel'!$B:$B,'Felosztás eredménykim'!$B86,'Eredeti fejléccel'!$AE:$AE)</f>
        <v>0</v>
      </c>
      <c r="AR86" s="6">
        <f>SUMIF('Eredeti fejléccel'!$B:$B,'Felosztás eredménykim'!$B86,'Eredeti fejléccel'!$AG:$AG)</f>
        <v>55137.599999999999</v>
      </c>
      <c r="AS86" s="6">
        <f t="shared" si="124"/>
        <v>75635.952111617982</v>
      </c>
      <c r="AT86" s="36">
        <f t="shared" si="91"/>
        <v>16971.231290353029</v>
      </c>
      <c r="AU86" s="8">
        <f t="shared" si="92"/>
        <v>33295.345944012268</v>
      </c>
      <c r="AV86" s="6">
        <f>SUMIF('Eredeti fejléccel'!$B:$B,'Felosztás eredménykim'!$B86,'Eredeti fejléccel'!$AI:$AI)</f>
        <v>0</v>
      </c>
      <c r="AW86" s="6">
        <f>SUMIF('Eredeti fejléccel'!$B:$B,'Felosztás eredménykim'!$B86,'Eredeti fejléccel'!$AJ:$AJ)</f>
        <v>0</v>
      </c>
      <c r="AX86" s="6">
        <f>SUMIF('Eredeti fejléccel'!$B:$B,'Felosztás eredménykim'!$B86,'Eredeti fejléccel'!$AK:$AK)</f>
        <v>0</v>
      </c>
      <c r="AY86" s="6">
        <f>SUMIF('Eredeti fejléccel'!$B:$B,'Felosztás eredménykim'!$B86,'Eredeti fejléccel'!$AL:$AL)</f>
        <v>0</v>
      </c>
      <c r="AZ86" s="6">
        <f>SUMIF('Eredeti fejléccel'!$B:$B,'Felosztás eredménykim'!$B86,'Eredeti fejléccel'!$AM:$AM)</f>
        <v>0</v>
      </c>
      <c r="BA86" s="6">
        <f>SUMIF('Eredeti fejléccel'!$B:$B,'Felosztás eredménykim'!$B86,'Eredeti fejléccel'!$AN:$AN)</f>
        <v>0</v>
      </c>
      <c r="BB86" s="6">
        <f>SUMIF('Eredeti fejléccel'!$B:$B,'Felosztás eredménykim'!$B86,'Eredeti fejléccel'!$AP:$AP)</f>
        <v>0</v>
      </c>
      <c r="BD86" s="6">
        <f>SUMIF('Eredeti fejléccel'!$B:$B,'Felosztás eredménykim'!$B86,'Eredeti fejléccel'!$AS:$AS)</f>
        <v>0</v>
      </c>
      <c r="BE86" s="8">
        <f t="shared" si="74"/>
        <v>33295.345944012268</v>
      </c>
      <c r="BF86" s="36">
        <f t="shared" si="93"/>
        <v>4427.2777279181819</v>
      </c>
      <c r="BG86" s="8">
        <f t="shared" si="94"/>
        <v>8685.7424201771137</v>
      </c>
      <c r="BH86" s="6">
        <f t="shared" si="125"/>
        <v>0</v>
      </c>
      <c r="BI86" s="6">
        <f>SUMIF('Eredeti fejléccel'!$B:$B,'Felosztás eredménykim'!$B86,'Eredeti fejléccel'!$AH:$AH)</f>
        <v>0</v>
      </c>
      <c r="BJ86" s="6">
        <f>SUMIF('Eredeti fejléccel'!$B:$B,'Felosztás eredménykim'!$B86,'Eredeti fejléccel'!$AO:$AO)</f>
        <v>0</v>
      </c>
      <c r="BK86" s="6">
        <f>SUMIF('Eredeti fejléccel'!$B:$B,'Felosztás eredménykim'!$B86,'Eredeti fejléccel'!$BF:$BF)</f>
        <v>0</v>
      </c>
      <c r="BL86" s="8">
        <f t="shared" si="126"/>
        <v>8685.7424201771137</v>
      </c>
      <c r="BM86" s="36">
        <f t="shared" si="95"/>
        <v>16587.533887266789</v>
      </c>
      <c r="BN86" s="8">
        <f t="shared" si="96"/>
        <v>32542.581600930251</v>
      </c>
      <c r="BP86" s="8">
        <f t="shared" si="127"/>
        <v>0</v>
      </c>
      <c r="BQ86" s="6">
        <f>SUMIF('Eredeti fejléccel'!$B:$B,'Felosztás eredménykim'!$B86,'Eredeti fejléccel'!$N:$N)</f>
        <v>0</v>
      </c>
      <c r="BR86" s="6">
        <f>SUMIF('Eredeti fejléccel'!$B:$B,'Felosztás eredménykim'!$B86,'Eredeti fejléccel'!$S:$S)</f>
        <v>0</v>
      </c>
      <c r="BT86" s="6">
        <f>SUMIF('Eredeti fejléccel'!$B:$B,'Felosztás eredménykim'!$B86,'Eredeti fejléccel'!$AR:$AR)</f>
        <v>0</v>
      </c>
      <c r="BU86" s="6">
        <f>SUMIF('Eredeti fejléccel'!$B:$B,'Felosztás eredménykim'!$B86,'Eredeti fejléccel'!$AU:$AU)</f>
        <v>0</v>
      </c>
      <c r="BV86" s="6">
        <f>SUMIF('Eredeti fejléccel'!$B:$B,'Felosztás eredménykim'!$B86,'Eredeti fejléccel'!$AV:$AV)</f>
        <v>1125310.2</v>
      </c>
      <c r="BW86" s="6">
        <f>SUMIF('Eredeti fejléccel'!$B:$B,'Felosztás eredménykim'!$B86,'Eredeti fejléccel'!$AW:$AW)</f>
        <v>0</v>
      </c>
      <c r="BX86" s="6">
        <f>SUMIF('Eredeti fejléccel'!$B:$B,'Felosztás eredménykim'!$B86,'Eredeti fejléccel'!$AX:$AX)</f>
        <v>0</v>
      </c>
      <c r="BY86" s="6">
        <f>SUMIF('Eredeti fejléccel'!$B:$B,'Felosztás eredménykim'!$B86,'Eredeti fejléccel'!$AY:$AY)</f>
        <v>0</v>
      </c>
      <c r="BZ86" s="6">
        <f>SUMIF('Eredeti fejléccel'!$B:$B,'Felosztás eredménykim'!$B86,'Eredeti fejléccel'!$AZ:$AZ)</f>
        <v>0</v>
      </c>
      <c r="CA86" s="6">
        <f>SUMIF('Eredeti fejléccel'!$B:$B,'Felosztás eredménykim'!$B86,'Eredeti fejléccel'!$BA:$BA)</f>
        <v>0</v>
      </c>
      <c r="CB86" s="6">
        <f t="shared" si="114"/>
        <v>1157852.7816009303</v>
      </c>
      <c r="CC86" s="36">
        <f t="shared" si="97"/>
        <v>4515.8232824765455</v>
      </c>
      <c r="CD86" s="8">
        <f t="shared" si="98"/>
        <v>8859.4572685806543</v>
      </c>
      <c r="CE86" s="6">
        <f>SUMIF('Eredeti fejléccel'!$B:$B,'Felosztás eredménykim'!$B86,'Eredeti fejléccel'!$BC:$BC)</f>
        <v>0</v>
      </c>
      <c r="CF86" s="8">
        <f t="shared" si="135"/>
        <v>0</v>
      </c>
      <c r="CG86" s="6">
        <f>SUMIF('Eredeti fejléccel'!$B:$B,'Felosztás eredménykim'!$B86,'Eredeti fejléccel'!$H:$H)</f>
        <v>0</v>
      </c>
      <c r="CH86" s="6">
        <f>SUMIF('Eredeti fejléccel'!$B:$B,'Felosztás eredménykim'!$B86,'Eredeti fejléccel'!$BE:$BE)</f>
        <v>0</v>
      </c>
      <c r="CI86" s="6">
        <f t="shared" si="75"/>
        <v>8859.4572685806543</v>
      </c>
      <c r="CJ86" s="36">
        <f t="shared" si="99"/>
        <v>3246.6703338066673</v>
      </c>
      <c r="CK86" s="8">
        <f t="shared" si="100"/>
        <v>6369.5444414632166</v>
      </c>
      <c r="CL86" s="8">
        <f t="shared" si="136"/>
        <v>0</v>
      </c>
      <c r="CM86" s="6">
        <f>SUMIF('Eredeti fejléccel'!$B:$B,'Felosztás eredménykim'!$B86,'Eredeti fejléccel'!$BD:$BD)</f>
        <v>0</v>
      </c>
      <c r="CN86" s="8">
        <f t="shared" si="76"/>
        <v>6369.5444414632166</v>
      </c>
      <c r="CO86" s="8">
        <f t="shared" si="115"/>
        <v>1424808.9304597557</v>
      </c>
      <c r="CR86" s="36">
        <f t="shared" si="101"/>
        <v>19502.097435930456</v>
      </c>
      <c r="CS86" s="6">
        <f>SUMIF('Eredeti fejléccel'!$B:$B,'Felosztás eredménykim'!$B86,'Eredeti fejléccel'!$I:$I)</f>
        <v>0</v>
      </c>
      <c r="CT86" s="6">
        <f>SUMIF('Eredeti fejléccel'!$B:$B,'Felosztás eredménykim'!$B86,'Eredeti fejléccel'!$BG:$BG)</f>
        <v>0</v>
      </c>
      <c r="CU86" s="6">
        <f>SUMIF('Eredeti fejléccel'!$B:$B,'Felosztás eredménykim'!$B86,'Eredeti fejléccel'!$BH:$BH)</f>
        <v>0</v>
      </c>
      <c r="CV86" s="6">
        <f>SUMIF('Eredeti fejléccel'!$B:$B,'Felosztás eredménykim'!$B86,'Eredeti fejléccel'!$BI:$BI)</f>
        <v>0</v>
      </c>
      <c r="CW86" s="6">
        <f>SUMIF('Eredeti fejléccel'!$B:$B,'Felosztás eredménykim'!$B86,'Eredeti fejléccel'!$BL:$BL)</f>
        <v>0</v>
      </c>
      <c r="CX86" s="6">
        <f t="shared" si="77"/>
        <v>0</v>
      </c>
      <c r="CY86" s="6">
        <f>SUMIF('Eredeti fejléccel'!$B:$B,'Felosztás eredménykim'!$B86,'Eredeti fejléccel'!$BJ:$BJ)</f>
        <v>0</v>
      </c>
      <c r="CZ86" s="6">
        <f>SUMIF('Eredeti fejléccel'!$B:$B,'Felosztás eredménykim'!$B86,'Eredeti fejléccel'!$BK:$BK)</f>
        <v>0</v>
      </c>
      <c r="DA86" s="99">
        <f t="shared" si="116"/>
        <v>0</v>
      </c>
      <c r="DC86" s="36">
        <f t="shared" si="102"/>
        <v>17081.196370895046</v>
      </c>
      <c r="DD86" s="6">
        <f>SUMIF('Eredeti fejléccel'!$B:$B,'Felosztás eredménykim'!$B86,'Eredeti fejléccel'!$J:$J)</f>
        <v>0</v>
      </c>
      <c r="DE86" s="6">
        <f>SUMIF('Eredeti fejléccel'!$B:$B,'Felosztás eredménykim'!$B86,'Eredeti fejléccel'!$BM:$BM)</f>
        <v>0</v>
      </c>
      <c r="DF86" s="6">
        <f t="shared" si="128"/>
        <v>0</v>
      </c>
      <c r="DG86" s="8">
        <f t="shared" si="117"/>
        <v>0</v>
      </c>
      <c r="DH86" s="8">
        <f t="shared" si="129"/>
        <v>0</v>
      </c>
      <c r="DJ86" s="6">
        <f>SUMIF('Eredeti fejléccel'!$B:$B,'Felosztás eredménykim'!$B86,'Eredeti fejléccel'!$BN:$BN)</f>
        <v>0</v>
      </c>
      <c r="DK86" s="6">
        <f>SUMIF('Eredeti fejléccel'!$B:$B,'Felosztás eredménykim'!$B86,'Eredeti fejléccel'!$BZ:$BZ)</f>
        <v>0</v>
      </c>
      <c r="DL86" s="8">
        <f t="shared" si="130"/>
        <v>0</v>
      </c>
      <c r="DM86" s="6">
        <f>SUMIF('Eredeti fejléccel'!$B:$B,'Felosztás eredménykim'!$B86,'Eredeti fejléccel'!$BR:$BR)</f>
        <v>0</v>
      </c>
      <c r="DN86" s="6">
        <f>SUMIF('Eredeti fejléccel'!$B:$B,'Felosztás eredménykim'!$B86,'Eredeti fejléccel'!$BS:$BS)</f>
        <v>0</v>
      </c>
      <c r="DO86" s="6">
        <f>SUMIF('Eredeti fejléccel'!$B:$B,'Felosztás eredménykim'!$B86,'Eredeti fejléccel'!$BO:$BO)</f>
        <v>0</v>
      </c>
      <c r="DP86" s="6">
        <f>SUMIF('Eredeti fejléccel'!$B:$B,'Felosztás eredménykim'!$B86,'Eredeti fejléccel'!$BP:$BP)</f>
        <v>0</v>
      </c>
      <c r="DQ86" s="6">
        <f>SUMIF('Eredeti fejléccel'!$B:$B,'Felosztás eredménykim'!$B86,'Eredeti fejléccel'!$BQ:$BQ)</f>
        <v>0</v>
      </c>
      <c r="DS86" s="8"/>
      <c r="DU86" s="6">
        <f>SUMIF('Eredeti fejléccel'!$B:$B,'Felosztás eredménykim'!$B86,'Eredeti fejléccel'!$BT:$BT)</f>
        <v>0</v>
      </c>
      <c r="DV86" s="6">
        <f>SUMIF('Eredeti fejléccel'!$B:$B,'Felosztás eredménykim'!$B86,'Eredeti fejléccel'!$BU:$BU)</f>
        <v>0</v>
      </c>
      <c r="DW86" s="6">
        <f>SUMIF('Eredeti fejléccel'!$B:$B,'Felosztás eredménykim'!$B86,'Eredeti fejléccel'!$BV:$BV)</f>
        <v>0</v>
      </c>
      <c r="DX86" s="6">
        <f>SUMIF('Eredeti fejléccel'!$B:$B,'Felosztás eredménykim'!$B86,'Eredeti fejléccel'!$BW:$BW)</f>
        <v>0</v>
      </c>
      <c r="DY86" s="6">
        <f>SUMIF('Eredeti fejléccel'!$B:$B,'Felosztás eredménykim'!$B86,'Eredeti fejléccel'!$BX:$BX)</f>
        <v>0</v>
      </c>
      <c r="EA86" s="6"/>
      <c r="EC86" s="6"/>
      <c r="EE86" s="6">
        <f>SUMIF('Eredeti fejléccel'!$B:$B,'Felosztás eredménykim'!$B86,'Eredeti fejléccel'!$CA:$CA)</f>
        <v>0</v>
      </c>
      <c r="EF86" s="6">
        <f>SUMIF('Eredeti fejléccel'!$B:$B,'Felosztás eredménykim'!$B86,'Eredeti fejléccel'!$CB:$CB)</f>
        <v>0</v>
      </c>
      <c r="EG86" s="6">
        <f>SUMIF('Eredeti fejléccel'!$B:$B,'Felosztás eredménykim'!$B86,'Eredeti fejléccel'!$CC:$CC)</f>
        <v>0</v>
      </c>
      <c r="EH86" s="6">
        <f>SUMIF('Eredeti fejléccel'!$B:$B,'Felosztás eredménykim'!$B86,'Eredeti fejléccel'!$CD:$CD)</f>
        <v>0</v>
      </c>
      <c r="EK86" s="6">
        <f>SUMIF('Eredeti fejléccel'!$B:$B,'Felosztás eredménykim'!$B86,'Eredeti fejléccel'!$CE:$CE)</f>
        <v>0</v>
      </c>
      <c r="EN86" s="6">
        <f>SUMIF('Eredeti fejléccel'!$B:$B,'Felosztás eredménykim'!$B86,'Eredeti fejléccel'!$CF:$CF)</f>
        <v>0</v>
      </c>
      <c r="EP86" s="6">
        <f>SUMIF('Eredeti fejléccel'!$B:$B,'Felosztás eredménykim'!$B86,'Eredeti fejléccel'!$CG:$CG)</f>
        <v>0</v>
      </c>
      <c r="ES86" s="6">
        <f>SUMIF('Eredeti fejléccel'!$B:$B,'Felosztás eredménykim'!$B86,'Eredeti fejléccel'!$CH:$CH)</f>
        <v>0</v>
      </c>
      <c r="ET86" s="6">
        <f>SUMIF('Eredeti fejléccel'!$B:$B,'Felosztás eredménykim'!$B86,'Eredeti fejléccel'!$CI:$CI)</f>
        <v>0</v>
      </c>
      <c r="EW86" s="8">
        <f t="shared" si="118"/>
        <v>0</v>
      </c>
      <c r="EX86" s="8">
        <f t="shared" si="78"/>
        <v>0</v>
      </c>
      <c r="EY86" s="8">
        <f t="shared" si="119"/>
        <v>0</v>
      </c>
      <c r="EZ86" s="8">
        <f t="shared" si="120"/>
        <v>0</v>
      </c>
      <c r="FA86" s="8">
        <f t="shared" si="121"/>
        <v>0</v>
      </c>
      <c r="FC86" s="6">
        <f>SUMIF('Eredeti fejléccel'!$B:$B,'Felosztás eredménykim'!$B86,'Eredeti fejléccel'!$L:$L)</f>
        <v>0</v>
      </c>
      <c r="FD86" s="6">
        <f>SUMIF('Eredeti fejléccel'!$B:$B,'Felosztás eredménykim'!$B86,'Eredeti fejléccel'!$CJ:$CJ)</f>
        <v>0</v>
      </c>
      <c r="FE86" s="6">
        <f>SUMIF('Eredeti fejléccel'!$B:$B,'Felosztás eredménykim'!$B86,'Eredeti fejléccel'!$CL:$CL)</f>
        <v>0</v>
      </c>
      <c r="FG86" s="99">
        <f t="shared" si="79"/>
        <v>0</v>
      </c>
      <c r="FH86" s="6">
        <f>SUMIF('Eredeti fejléccel'!$B:$B,'Felosztás eredménykim'!$B86,'Eredeti fejléccel'!$CK:$CK)</f>
        <v>0</v>
      </c>
      <c r="FI86" s="36">
        <f t="shared" si="103"/>
        <v>20097.110045041361</v>
      </c>
      <c r="FJ86" s="101">
        <f t="shared" si="104"/>
        <v>0</v>
      </c>
      <c r="FK86" s="6">
        <f>SUMIF('Eredeti fejléccel'!$B:$B,'Felosztás eredménykim'!$B86,'Eredeti fejléccel'!$CM:$CM)</f>
        <v>0</v>
      </c>
      <c r="FL86" s="6">
        <f>SUMIF('Eredeti fejléccel'!$B:$B,'Felosztás eredménykim'!$B86,'Eredeti fejléccel'!$CN:$CN)</f>
        <v>0</v>
      </c>
      <c r="FM86" s="8">
        <f t="shared" si="80"/>
        <v>0</v>
      </c>
      <c r="FN86" s="36">
        <f t="shared" si="105"/>
        <v>17085.84054868263</v>
      </c>
      <c r="FO86" s="101">
        <f t="shared" si="106"/>
        <v>0</v>
      </c>
      <c r="FP86" s="6">
        <f>SUMIF('Eredeti fejléccel'!$B:$B,'Felosztás eredménykim'!$B86,'Eredeti fejléccel'!$CO:$CO)</f>
        <v>0</v>
      </c>
      <c r="FQ86" s="6">
        <f>'Eredeti fejléccel'!CP86</f>
        <v>0</v>
      </c>
      <c r="FR86" s="6">
        <f>'Eredeti fejléccel'!CQ86</f>
        <v>0</v>
      </c>
      <c r="FS86" s="103">
        <f t="shared" si="122"/>
        <v>0</v>
      </c>
      <c r="FT86" s="36">
        <f t="shared" si="107"/>
        <v>47161.902063409136</v>
      </c>
      <c r="FU86" s="101">
        <f t="shared" si="108"/>
        <v>0</v>
      </c>
      <c r="FV86" s="101"/>
      <c r="FW86" s="6">
        <f>SUMIF('Eredeti fejléccel'!$B:$B,'Felosztás eredménykim'!$B86,'Eredeti fejléccel'!$CR:$CR)</f>
        <v>0</v>
      </c>
      <c r="FX86" s="6">
        <f>SUMIF('Eredeti fejléccel'!$B:$B,'Felosztás eredménykim'!$B86,'Eredeti fejléccel'!$CS:$CS)</f>
        <v>0</v>
      </c>
      <c r="FY86" s="6">
        <f>SUMIF('Eredeti fejléccel'!$B:$B,'Felosztás eredménykim'!$B86,'Eredeti fejléccel'!$CT:$CT)</f>
        <v>0</v>
      </c>
      <c r="FZ86" s="6">
        <f>SUMIF('Eredeti fejléccel'!$B:$B,'Felosztás eredménykim'!$B86,'Eredeti fejléccel'!$CU:$CU)</f>
        <v>0</v>
      </c>
      <c r="GA86" s="103">
        <f t="shared" si="81"/>
        <v>0</v>
      </c>
      <c r="GB86" s="36">
        <f t="shared" si="109"/>
        <v>6286.2998245153076</v>
      </c>
      <c r="GC86" s="101">
        <f t="shared" si="110"/>
        <v>0</v>
      </c>
      <c r="GD86" s="6">
        <f>SUMIF('Eredeti fejléccel'!$B:$B,'Felosztás eredménykim'!$B86,'Eredeti fejléccel'!$CV:$CV)</f>
        <v>0</v>
      </c>
      <c r="GE86" s="6">
        <f>SUMIF('Eredeti fejléccel'!$B:$B,'Felosztás eredménykim'!$B86,'Eredeti fejléccel'!$CW:$CW)</f>
        <v>0</v>
      </c>
      <c r="GF86" s="103">
        <f t="shared" si="82"/>
        <v>0</v>
      </c>
      <c r="GG86" s="36">
        <f t="shared" si="111"/>
        <v>0</v>
      </c>
      <c r="GM86" s="6">
        <f>SUMIF('Eredeti fejléccel'!$B:$B,'Felosztás eredménykim'!$B86,'Eredeti fejléccel'!$CX:$CX)</f>
        <v>0</v>
      </c>
      <c r="GN86" s="6">
        <f>SUMIF('Eredeti fejléccel'!$B:$B,'Felosztás eredménykim'!$B86,'Eredeti fejléccel'!$CY:$CY)</f>
        <v>0</v>
      </c>
      <c r="GO86" s="6">
        <f>SUMIF('Eredeti fejléccel'!$B:$B,'Felosztás eredménykim'!$B86,'Eredeti fejléccel'!$CZ:$CZ)</f>
        <v>0</v>
      </c>
      <c r="GP86" s="6">
        <f>SUMIF('Eredeti fejléccel'!$B:$B,'Felosztás eredménykim'!$B86,'Eredeti fejléccel'!$DA:$DA)</f>
        <v>0</v>
      </c>
      <c r="GQ86" s="6">
        <f>SUMIF('Eredeti fejléccel'!$B:$B,'Felosztás eredménykim'!$B86,'Eredeti fejléccel'!$DB:$DB)</f>
        <v>0</v>
      </c>
      <c r="GR86" s="103">
        <f t="shared" si="83"/>
        <v>0</v>
      </c>
      <c r="GW86" s="36">
        <f t="shared" si="112"/>
        <v>10791.113251770767</v>
      </c>
      <c r="GX86" s="6">
        <f>SUMIF('Eredeti fejléccel'!$B:$B,'Felosztás eredménykim'!$B86,'Eredeti fejléccel'!$M:$M)</f>
        <v>0</v>
      </c>
      <c r="GY86" s="6">
        <f>SUMIF('Eredeti fejléccel'!$B:$B,'Felosztás eredménykim'!$B86,'Eredeti fejléccel'!$DC:$DC)</f>
        <v>0</v>
      </c>
      <c r="GZ86" s="6">
        <f>SUMIF('Eredeti fejléccel'!$B:$B,'Felosztás eredménykim'!$B86,'Eredeti fejléccel'!$DD:$DD)</f>
        <v>0</v>
      </c>
      <c r="HA86" s="6">
        <f>SUMIF('Eredeti fejléccel'!$B:$B,'Felosztás eredménykim'!$B86,'Eredeti fejléccel'!$DE:$DE)</f>
        <v>0</v>
      </c>
      <c r="HB86" s="103">
        <f t="shared" si="84"/>
        <v>0</v>
      </c>
      <c r="HD86" s="9">
        <f t="shared" si="113"/>
        <v>1562814.4899999998</v>
      </c>
      <c r="HE86" s="9">
        <v>1562814.4900000007</v>
      </c>
      <c r="HF86" s="476"/>
      <c r="HH86" s="557">
        <f t="shared" si="85"/>
        <v>0</v>
      </c>
    </row>
    <row r="87" spans="1:218" x14ac:dyDescent="0.25">
      <c r="A87" s="4" t="s">
        <v>182</v>
      </c>
      <c r="B87" s="4" t="s">
        <v>182</v>
      </c>
      <c r="C87" s="1" t="s">
        <v>183</v>
      </c>
      <c r="D87" s="6">
        <f>SUMIF('Eredeti fejléccel'!$B:$B,'Felosztás eredménykim'!$B87,'Eredeti fejléccel'!$D:$D)</f>
        <v>0</v>
      </c>
      <c r="E87" s="6">
        <f>SUMIF('Eredeti fejléccel'!$B:$B,'Felosztás eredménykim'!$B87,'Eredeti fejléccel'!$E:$E)</f>
        <v>1937432.8399999999</v>
      </c>
      <c r="F87" s="6">
        <f>SUMIF('Eredeti fejléccel'!$B:$B,'Felosztás eredménykim'!$B87,'Eredeti fejléccel'!$F:$F)</f>
        <v>0</v>
      </c>
      <c r="G87" s="6">
        <f>SUMIF('Eredeti fejléccel'!$B:$B,'Felosztás eredménykim'!$B87,'Eredeti fejléccel'!$G:$G)</f>
        <v>0</v>
      </c>
      <c r="H87" s="6"/>
      <c r="I87" s="6">
        <f>SUMIF('Eredeti fejléccel'!$B:$B,'Felosztás eredménykim'!$B87,'Eredeti fejléccel'!$O:$O)</f>
        <v>0</v>
      </c>
      <c r="J87" s="6">
        <f>SUMIF('Eredeti fejléccel'!$B:$B,'Felosztás eredménykim'!$B87,'Eredeti fejléccel'!$P:$P)</f>
        <v>0</v>
      </c>
      <c r="K87" s="6">
        <f>SUMIF('Eredeti fejléccel'!$B:$B,'Felosztás eredménykim'!$B87,'Eredeti fejléccel'!$Q:$Q)</f>
        <v>0</v>
      </c>
      <c r="L87" s="6">
        <f>SUMIF('Eredeti fejléccel'!$B:$B,'Felosztás eredménykim'!$B87,'Eredeti fejléccel'!$R:$R)</f>
        <v>0</v>
      </c>
      <c r="M87" s="6">
        <f>SUMIF('Eredeti fejléccel'!$B:$B,'Felosztás eredménykim'!$B87,'Eredeti fejléccel'!$T:$T)</f>
        <v>0</v>
      </c>
      <c r="N87" s="6">
        <f>SUMIF('Eredeti fejléccel'!$B:$B,'Felosztás eredménykim'!$B87,'Eredeti fejléccel'!$U:$U)</f>
        <v>0</v>
      </c>
      <c r="O87" s="6">
        <f>SUMIF('Eredeti fejléccel'!$B:$B,'Felosztás eredménykim'!$B87,'Eredeti fejléccel'!$V:$V)</f>
        <v>0</v>
      </c>
      <c r="P87" s="6">
        <f>SUMIF('Eredeti fejléccel'!$B:$B,'Felosztás eredménykim'!$B87,'Eredeti fejléccel'!$W:$W)</f>
        <v>0</v>
      </c>
      <c r="Q87" s="6">
        <f>SUMIF('Eredeti fejléccel'!$B:$B,'Felosztás eredménykim'!$B87,'Eredeti fejléccel'!$X:$X)</f>
        <v>0</v>
      </c>
      <c r="R87" s="6">
        <f>SUMIF('Eredeti fejléccel'!$B:$B,'Felosztás eredménykim'!$B87,'Eredeti fejléccel'!$Y:$Y)</f>
        <v>0</v>
      </c>
      <c r="S87" s="6">
        <f>SUMIF('Eredeti fejléccel'!$B:$B,'Felosztás eredménykim'!$B87,'Eredeti fejléccel'!$Z:$Z)</f>
        <v>0</v>
      </c>
      <c r="T87" s="6">
        <f>SUMIF('Eredeti fejléccel'!$B:$B,'Felosztás eredménykim'!$B87,'Eredeti fejléccel'!$AA:$AA)</f>
        <v>0</v>
      </c>
      <c r="U87" s="6">
        <f>SUMIF('Eredeti fejléccel'!$B:$B,'Felosztás eredménykim'!$B87,'Eredeti fejléccel'!$D:$D)</f>
        <v>0</v>
      </c>
      <c r="V87" s="6">
        <f>SUMIF('Eredeti fejléccel'!$B:$B,'Felosztás eredménykim'!$B87,'Eredeti fejléccel'!$AT:$AT)</f>
        <v>0</v>
      </c>
      <c r="W87" s="555"/>
      <c r="X87" s="36">
        <f t="shared" si="86"/>
        <v>1937432.8399999999</v>
      </c>
      <c r="Z87" s="6">
        <f>SUMIF('Eredeti fejléccel'!$B:$B,'Felosztás eredménykim'!$B87,'Eredeti fejléccel'!$K:$K)</f>
        <v>0</v>
      </c>
      <c r="AB87" s="6">
        <f>SUMIF('Eredeti fejléccel'!$B:$B,'Felosztás eredménykim'!$B87,'Eredeti fejléccel'!$AB:$AB)</f>
        <v>0</v>
      </c>
      <c r="AC87" s="6">
        <f>SUMIF('Eredeti fejléccel'!$B:$B,'Felosztás eredménykim'!$B87,'Eredeti fejléccel'!$AQ:$AQ)</f>
        <v>0</v>
      </c>
      <c r="AE87" s="73">
        <f t="shared" si="131"/>
        <v>0</v>
      </c>
      <c r="AF87" s="36">
        <f t="shared" si="87"/>
        <v>231125.35614421839</v>
      </c>
      <c r="AG87" s="8">
        <f t="shared" si="88"/>
        <v>0</v>
      </c>
      <c r="AI87" s="6">
        <f>SUMIF('Eredeti fejléccel'!$B:$B,'Felosztás eredménykim'!$B87,'Eredeti fejléccel'!$BB:$BB)</f>
        <v>0</v>
      </c>
      <c r="AJ87" s="6">
        <f>SUMIF('Eredeti fejléccel'!$B:$B,'Felosztás eredménykim'!$B87,'Eredeti fejléccel'!$AF:$AF)</f>
        <v>0</v>
      </c>
      <c r="AK87" s="8">
        <f t="shared" si="73"/>
        <v>0</v>
      </c>
      <c r="AL87" s="36">
        <f t="shared" si="89"/>
        <v>91801.824488138373</v>
      </c>
      <c r="AM87" s="8">
        <f t="shared" si="90"/>
        <v>0</v>
      </c>
      <c r="AN87" s="6">
        <f t="shared" si="123"/>
        <v>0</v>
      </c>
      <c r="AO87" s="6">
        <f>SUMIF('Eredeti fejléccel'!$B:$B,'Felosztás eredménykim'!$B87,'Eredeti fejléccel'!$AC:$AC)</f>
        <v>0</v>
      </c>
      <c r="AP87" s="6">
        <f>SUMIF('Eredeti fejléccel'!$B:$B,'Felosztás eredménykim'!$B87,'Eredeti fejléccel'!$AD:$AD)</f>
        <v>0</v>
      </c>
      <c r="AQ87" s="6">
        <f>SUMIF('Eredeti fejléccel'!$B:$B,'Felosztás eredménykim'!$B87,'Eredeti fejléccel'!$AE:$AE)</f>
        <v>0</v>
      </c>
      <c r="AR87" s="6">
        <f>SUMIF('Eredeti fejléccel'!$B:$B,'Felosztás eredménykim'!$B87,'Eredeti fejléccel'!$AG:$AG)</f>
        <v>0</v>
      </c>
      <c r="AS87" s="6">
        <f t="shared" si="124"/>
        <v>0</v>
      </c>
      <c r="AT87" s="36">
        <f t="shared" si="91"/>
        <v>149113.13299626997</v>
      </c>
      <c r="AU87" s="8">
        <f t="shared" si="92"/>
        <v>0</v>
      </c>
      <c r="AV87" s="6">
        <f>SUMIF('Eredeti fejléccel'!$B:$B,'Felosztás eredménykim'!$B87,'Eredeti fejléccel'!$AI:$AI)</f>
        <v>0</v>
      </c>
      <c r="AW87" s="6">
        <f>SUMIF('Eredeti fejléccel'!$B:$B,'Felosztás eredménykim'!$B87,'Eredeti fejléccel'!$AJ:$AJ)</f>
        <v>0</v>
      </c>
      <c r="AX87" s="6">
        <f>SUMIF('Eredeti fejléccel'!$B:$B,'Felosztás eredménykim'!$B87,'Eredeti fejléccel'!$AK:$AK)</f>
        <v>0</v>
      </c>
      <c r="AY87" s="6">
        <f>SUMIF('Eredeti fejléccel'!$B:$B,'Felosztás eredménykim'!$B87,'Eredeti fejléccel'!$AL:$AL)</f>
        <v>0</v>
      </c>
      <c r="AZ87" s="6">
        <f>SUMIF('Eredeti fejléccel'!$B:$B,'Felosztás eredménykim'!$B87,'Eredeti fejléccel'!$AM:$AM)</f>
        <v>0</v>
      </c>
      <c r="BA87" s="6">
        <f>SUMIF('Eredeti fejléccel'!$B:$B,'Felosztás eredménykim'!$B87,'Eredeti fejléccel'!$AN:$AN)</f>
        <v>0</v>
      </c>
      <c r="BB87" s="6">
        <f>SUMIF('Eredeti fejléccel'!$B:$B,'Felosztás eredménykim'!$B87,'Eredeti fejléccel'!$AP:$AP)</f>
        <v>0</v>
      </c>
      <c r="BD87" s="6">
        <f>SUMIF('Eredeti fejléccel'!$B:$B,'Felosztás eredménykim'!$B87,'Eredeti fejléccel'!$AS:$AS)</f>
        <v>0</v>
      </c>
      <c r="BE87" s="8">
        <f t="shared" si="74"/>
        <v>0</v>
      </c>
      <c r="BF87" s="36">
        <f t="shared" si="93"/>
        <v>38899.078172939982</v>
      </c>
      <c r="BG87" s="8">
        <f t="shared" si="94"/>
        <v>0</v>
      </c>
      <c r="BH87" s="6">
        <f t="shared" si="125"/>
        <v>0</v>
      </c>
      <c r="BI87" s="6">
        <f>SUMIF('Eredeti fejléccel'!$B:$B,'Felosztás eredménykim'!$B87,'Eredeti fejléccel'!$AH:$AH)</f>
        <v>0</v>
      </c>
      <c r="BJ87" s="6">
        <f>SUMIF('Eredeti fejléccel'!$B:$B,'Felosztás eredménykim'!$B87,'Eredeti fejléccel'!$AO:$AO)</f>
        <v>0</v>
      </c>
      <c r="BK87" s="6">
        <f>SUMIF('Eredeti fejléccel'!$B:$B,'Felosztás eredménykim'!$B87,'Eredeti fejléccel'!$BF:$BF)</f>
        <v>0</v>
      </c>
      <c r="BL87" s="8">
        <f t="shared" si="126"/>
        <v>0</v>
      </c>
      <c r="BM87" s="36">
        <f t="shared" si="95"/>
        <v>145741.87955461515</v>
      </c>
      <c r="BN87" s="8">
        <f t="shared" si="96"/>
        <v>0</v>
      </c>
      <c r="BP87" s="8">
        <f t="shared" si="127"/>
        <v>0</v>
      </c>
      <c r="BQ87" s="6">
        <f>SUMIF('Eredeti fejléccel'!$B:$B,'Felosztás eredménykim'!$B87,'Eredeti fejléccel'!$N:$N)</f>
        <v>0</v>
      </c>
      <c r="BR87" s="6">
        <f>SUMIF('Eredeti fejléccel'!$B:$B,'Felosztás eredménykim'!$B87,'Eredeti fejléccel'!$S:$S)</f>
        <v>0</v>
      </c>
      <c r="BT87" s="6">
        <f>SUMIF('Eredeti fejléccel'!$B:$B,'Felosztás eredménykim'!$B87,'Eredeti fejléccel'!$AR:$AR)</f>
        <v>0</v>
      </c>
      <c r="BU87" s="6">
        <f>SUMIF('Eredeti fejléccel'!$B:$B,'Felosztás eredménykim'!$B87,'Eredeti fejléccel'!$AU:$AU)</f>
        <v>0</v>
      </c>
      <c r="BV87" s="6">
        <f>SUMIF('Eredeti fejléccel'!$B:$B,'Felosztás eredménykim'!$B87,'Eredeti fejléccel'!$AV:$AV)</f>
        <v>0</v>
      </c>
      <c r="BW87" s="6">
        <f>SUMIF('Eredeti fejléccel'!$B:$B,'Felosztás eredménykim'!$B87,'Eredeti fejléccel'!$AW:$AW)</f>
        <v>0</v>
      </c>
      <c r="BX87" s="6">
        <f>SUMIF('Eredeti fejléccel'!$B:$B,'Felosztás eredménykim'!$B87,'Eredeti fejléccel'!$AX:$AX)</f>
        <v>0</v>
      </c>
      <c r="BY87" s="6">
        <f>SUMIF('Eredeti fejléccel'!$B:$B,'Felosztás eredménykim'!$B87,'Eredeti fejléccel'!$AY:$AY)</f>
        <v>0</v>
      </c>
      <c r="BZ87" s="6">
        <f>SUMIF('Eredeti fejléccel'!$B:$B,'Felosztás eredménykim'!$B87,'Eredeti fejléccel'!$AZ:$AZ)</f>
        <v>0</v>
      </c>
      <c r="CA87" s="6">
        <f>SUMIF('Eredeti fejléccel'!$B:$B,'Felosztás eredménykim'!$B87,'Eredeti fejléccel'!$BA:$BA)</f>
        <v>0</v>
      </c>
      <c r="CB87" s="6">
        <f t="shared" si="114"/>
        <v>0</v>
      </c>
      <c r="CC87" s="36">
        <f t="shared" si="97"/>
        <v>39677.059736398784</v>
      </c>
      <c r="CD87" s="8">
        <f t="shared" si="98"/>
        <v>0</v>
      </c>
      <c r="CE87" s="6">
        <f>SUMIF('Eredeti fejléccel'!$B:$B,'Felosztás eredménykim'!$B87,'Eredeti fejléccel'!$BC:$BC)</f>
        <v>0</v>
      </c>
      <c r="CF87" s="8">
        <f t="shared" si="135"/>
        <v>0</v>
      </c>
      <c r="CG87" s="6">
        <f>SUMIF('Eredeti fejléccel'!$B:$B,'Felosztás eredménykim'!$B87,'Eredeti fejléccel'!$H:$H)</f>
        <v>0</v>
      </c>
      <c r="CH87" s="6">
        <f>SUMIF('Eredeti fejléccel'!$B:$B,'Felosztás eredménykim'!$B87,'Eredeti fejléccel'!$BE:$BE)</f>
        <v>0</v>
      </c>
      <c r="CI87" s="6">
        <f t="shared" si="75"/>
        <v>0</v>
      </c>
      <c r="CJ87" s="36">
        <f t="shared" si="99"/>
        <v>28525.990660155992</v>
      </c>
      <c r="CK87" s="8">
        <f t="shared" si="100"/>
        <v>0</v>
      </c>
      <c r="CL87" s="8">
        <f t="shared" si="136"/>
        <v>0</v>
      </c>
      <c r="CM87" s="6">
        <f>SUMIF('Eredeti fejléccel'!$B:$B,'Felosztás eredménykim'!$B87,'Eredeti fejléccel'!$BD:$BD)</f>
        <v>0</v>
      </c>
      <c r="CN87" s="8">
        <f t="shared" si="76"/>
        <v>0</v>
      </c>
      <c r="CO87" s="8">
        <f t="shared" si="115"/>
        <v>724884.32175273669</v>
      </c>
      <c r="CR87" s="36">
        <f t="shared" si="101"/>
        <v>171349.90378235673</v>
      </c>
      <c r="CS87" s="6">
        <f>SUMIF('Eredeti fejléccel'!$B:$B,'Felosztás eredménykim'!$B87,'Eredeti fejléccel'!$I:$I)</f>
        <v>0</v>
      </c>
      <c r="CT87" s="6">
        <f>SUMIF('Eredeti fejléccel'!$B:$B,'Felosztás eredménykim'!$B87,'Eredeti fejléccel'!$BG:$BG)</f>
        <v>0</v>
      </c>
      <c r="CU87" s="6">
        <f>SUMIF('Eredeti fejléccel'!$B:$B,'Felosztás eredménykim'!$B87,'Eredeti fejléccel'!$BH:$BH)</f>
        <v>0</v>
      </c>
      <c r="CV87" s="6">
        <f>SUMIF('Eredeti fejléccel'!$B:$B,'Felosztás eredménykim'!$B87,'Eredeti fejléccel'!$BI:$BI)</f>
        <v>0</v>
      </c>
      <c r="CW87" s="6">
        <f>SUMIF('Eredeti fejléccel'!$B:$B,'Felosztás eredménykim'!$B87,'Eredeti fejléccel'!$BL:$BL)</f>
        <v>0</v>
      </c>
      <c r="CX87" s="6">
        <f t="shared" si="77"/>
        <v>0</v>
      </c>
      <c r="CY87" s="6">
        <f>SUMIF('Eredeti fejléccel'!$B:$B,'Felosztás eredménykim'!$B87,'Eredeti fejléccel'!$BJ:$BJ)</f>
        <v>0</v>
      </c>
      <c r="CZ87" s="6">
        <f>SUMIF('Eredeti fejléccel'!$B:$B,'Felosztás eredménykim'!$B87,'Eredeti fejléccel'!$BK:$BK)</f>
        <v>0</v>
      </c>
      <c r="DA87" s="99">
        <f t="shared" si="116"/>
        <v>0</v>
      </c>
      <c r="DC87" s="36">
        <f t="shared" si="102"/>
        <v>150079.31143077914</v>
      </c>
      <c r="DD87" s="6">
        <f>SUMIF('Eredeti fejléccel'!$B:$B,'Felosztás eredménykim'!$B87,'Eredeti fejléccel'!$J:$J)</f>
        <v>0</v>
      </c>
      <c r="DE87" s="6">
        <f>SUMIF('Eredeti fejléccel'!$B:$B,'Felosztás eredménykim'!$B87,'Eredeti fejléccel'!$BM:$BM)</f>
        <v>0</v>
      </c>
      <c r="DF87" s="6">
        <f t="shared" si="128"/>
        <v>0</v>
      </c>
      <c r="DG87" s="8">
        <f t="shared" si="117"/>
        <v>0</v>
      </c>
      <c r="DH87" s="8">
        <f t="shared" si="129"/>
        <v>0</v>
      </c>
      <c r="DJ87" s="6">
        <f>SUMIF('Eredeti fejléccel'!$B:$B,'Felosztás eredménykim'!$B87,'Eredeti fejléccel'!$BN:$BN)</f>
        <v>0</v>
      </c>
      <c r="DK87" s="6">
        <f>SUMIF('Eredeti fejléccel'!$B:$B,'Felosztás eredménykim'!$B87,'Eredeti fejléccel'!$BZ:$BZ)</f>
        <v>0</v>
      </c>
      <c r="DL87" s="8">
        <f t="shared" si="130"/>
        <v>0</v>
      </c>
      <c r="DM87" s="6">
        <f>SUMIF('Eredeti fejléccel'!$B:$B,'Felosztás eredménykim'!$B87,'Eredeti fejléccel'!$BR:$BR)</f>
        <v>0</v>
      </c>
      <c r="DN87" s="6">
        <f>SUMIF('Eredeti fejléccel'!$B:$B,'Felosztás eredménykim'!$B87,'Eredeti fejléccel'!$BS:$BS)</f>
        <v>0</v>
      </c>
      <c r="DO87" s="6">
        <f>SUMIF('Eredeti fejléccel'!$B:$B,'Felosztás eredménykim'!$B87,'Eredeti fejléccel'!$BO:$BO)</f>
        <v>0</v>
      </c>
      <c r="DP87" s="6">
        <f>SUMIF('Eredeti fejléccel'!$B:$B,'Felosztás eredménykim'!$B87,'Eredeti fejléccel'!$BP:$BP)</f>
        <v>0</v>
      </c>
      <c r="DQ87" s="6">
        <f>SUMIF('Eredeti fejléccel'!$B:$B,'Felosztás eredménykim'!$B87,'Eredeti fejléccel'!$BQ:$BQ)</f>
        <v>0</v>
      </c>
      <c r="DS87" s="8"/>
      <c r="DU87" s="6">
        <f>SUMIF('Eredeti fejléccel'!$B:$B,'Felosztás eredménykim'!$B87,'Eredeti fejléccel'!$BT:$BT)</f>
        <v>0</v>
      </c>
      <c r="DV87" s="6">
        <f>SUMIF('Eredeti fejléccel'!$B:$B,'Felosztás eredménykim'!$B87,'Eredeti fejléccel'!$BU:$BU)</f>
        <v>0</v>
      </c>
      <c r="DW87" s="6">
        <f>SUMIF('Eredeti fejléccel'!$B:$B,'Felosztás eredménykim'!$B87,'Eredeti fejléccel'!$BV:$BV)</f>
        <v>0</v>
      </c>
      <c r="DX87" s="6">
        <f>SUMIF('Eredeti fejléccel'!$B:$B,'Felosztás eredménykim'!$B87,'Eredeti fejléccel'!$BW:$BW)</f>
        <v>0</v>
      </c>
      <c r="DY87" s="6">
        <f>SUMIF('Eredeti fejléccel'!$B:$B,'Felosztás eredménykim'!$B87,'Eredeti fejléccel'!$BX:$BX)</f>
        <v>0</v>
      </c>
      <c r="EA87" s="6"/>
      <c r="EC87" s="6"/>
      <c r="EE87" s="6">
        <f>SUMIF('Eredeti fejléccel'!$B:$B,'Felosztás eredménykim'!$B87,'Eredeti fejléccel'!$CA:$CA)</f>
        <v>0</v>
      </c>
      <c r="EF87" s="6">
        <f>SUMIF('Eredeti fejléccel'!$B:$B,'Felosztás eredménykim'!$B87,'Eredeti fejléccel'!$CB:$CB)</f>
        <v>0</v>
      </c>
      <c r="EG87" s="6">
        <f>SUMIF('Eredeti fejléccel'!$B:$B,'Felosztás eredménykim'!$B87,'Eredeti fejléccel'!$CC:$CC)</f>
        <v>0</v>
      </c>
      <c r="EH87" s="6">
        <f>SUMIF('Eredeti fejléccel'!$B:$B,'Felosztás eredménykim'!$B87,'Eredeti fejléccel'!$CD:$CD)</f>
        <v>0</v>
      </c>
      <c r="EK87" s="6">
        <f>SUMIF('Eredeti fejléccel'!$B:$B,'Felosztás eredménykim'!$B87,'Eredeti fejléccel'!$CE:$CE)</f>
        <v>0</v>
      </c>
      <c r="EN87" s="6">
        <f>SUMIF('Eredeti fejléccel'!$B:$B,'Felosztás eredménykim'!$B87,'Eredeti fejléccel'!$CF:$CF)</f>
        <v>0</v>
      </c>
      <c r="EP87" s="6">
        <f>SUMIF('Eredeti fejléccel'!$B:$B,'Felosztás eredménykim'!$B87,'Eredeti fejléccel'!$CG:$CG)</f>
        <v>0</v>
      </c>
      <c r="ES87" s="6">
        <f>SUMIF('Eredeti fejléccel'!$B:$B,'Felosztás eredménykim'!$B87,'Eredeti fejléccel'!$CH:$CH)</f>
        <v>0</v>
      </c>
      <c r="ET87" s="6">
        <f>SUMIF('Eredeti fejléccel'!$B:$B,'Felosztás eredménykim'!$B87,'Eredeti fejléccel'!$CI:$CI)</f>
        <v>0</v>
      </c>
      <c r="EW87" s="8">
        <f t="shared" si="118"/>
        <v>0</v>
      </c>
      <c r="EX87" s="8">
        <f t="shared" si="78"/>
        <v>0</v>
      </c>
      <c r="EY87" s="8">
        <f t="shared" si="119"/>
        <v>0</v>
      </c>
      <c r="EZ87" s="8">
        <f t="shared" si="120"/>
        <v>0</v>
      </c>
      <c r="FA87" s="8">
        <f t="shared" si="121"/>
        <v>0</v>
      </c>
      <c r="FC87" s="6">
        <f>SUMIF('Eredeti fejléccel'!$B:$B,'Felosztás eredménykim'!$B87,'Eredeti fejléccel'!$L:$L)</f>
        <v>0</v>
      </c>
      <c r="FD87" s="6">
        <f>SUMIF('Eredeti fejléccel'!$B:$B,'Felosztás eredménykim'!$B87,'Eredeti fejléccel'!$CJ:$CJ)</f>
        <v>0</v>
      </c>
      <c r="FE87" s="6">
        <f>SUMIF('Eredeti fejléccel'!$B:$B,'Felosztás eredménykim'!$B87,'Eredeti fejléccel'!$CL:$CL)</f>
        <v>0</v>
      </c>
      <c r="FG87" s="99">
        <f t="shared" si="79"/>
        <v>0</v>
      </c>
      <c r="FH87" s="6">
        <f>SUMIF('Eredeti fejléccel'!$B:$B,'Felosztás eredménykim'!$B87,'Eredeti fejléccel'!$CK:$CK)</f>
        <v>0</v>
      </c>
      <c r="FI87" s="36">
        <f t="shared" si="103"/>
        <v>176577.82112075546</v>
      </c>
      <c r="FJ87" s="101">
        <f t="shared" si="104"/>
        <v>0</v>
      </c>
      <c r="FK87" s="6">
        <f>SUMIF('Eredeti fejléccel'!$B:$B,'Felosztás eredménykim'!$B87,'Eredeti fejléccel'!$CM:$CM)</f>
        <v>0</v>
      </c>
      <c r="FL87" s="6">
        <f>SUMIF('Eredeti fejléccel'!$B:$B,'Felosztás eredménykim'!$B87,'Eredeti fejléccel'!$CN:$CN)</f>
        <v>0</v>
      </c>
      <c r="FM87" s="8">
        <f t="shared" si="80"/>
        <v>0</v>
      </c>
      <c r="FN87" s="36">
        <f t="shared" si="105"/>
        <v>150120.11624265468</v>
      </c>
      <c r="FO87" s="101">
        <f t="shared" si="106"/>
        <v>0</v>
      </c>
      <c r="FP87" s="6">
        <f>SUMIF('Eredeti fejléccel'!$B:$B,'Felosztás eredménykim'!$B87,'Eredeti fejléccel'!$CO:$CO)</f>
        <v>0</v>
      </c>
      <c r="FQ87" s="6">
        <f>'Eredeti fejléccel'!CP87</f>
        <v>0</v>
      </c>
      <c r="FR87" s="6">
        <f>'Eredeti fejléccel'!CQ87</f>
        <v>0</v>
      </c>
      <c r="FS87" s="103">
        <f t="shared" si="122"/>
        <v>0</v>
      </c>
      <c r="FT87" s="36">
        <f t="shared" si="107"/>
        <v>414375.29513463471</v>
      </c>
      <c r="FU87" s="101">
        <f t="shared" si="108"/>
        <v>0</v>
      </c>
      <c r="FV87" s="101"/>
      <c r="FW87" s="6">
        <f>SUMIF('Eredeti fejléccel'!$B:$B,'Felosztás eredménykim'!$B87,'Eredeti fejléccel'!$CR:$CR)</f>
        <v>0</v>
      </c>
      <c r="FX87" s="6">
        <f>SUMIF('Eredeti fejléccel'!$B:$B,'Felosztás eredménykim'!$B87,'Eredeti fejléccel'!$CS:$CS)</f>
        <v>0</v>
      </c>
      <c r="FY87" s="6">
        <f>SUMIF('Eredeti fejléccel'!$B:$B,'Felosztás eredménykim'!$B87,'Eredeti fejléccel'!$CT:$CT)</f>
        <v>0</v>
      </c>
      <c r="FZ87" s="6">
        <f>SUMIF('Eredeti fejléccel'!$B:$B,'Felosztás eredménykim'!$B87,'Eredeti fejléccel'!$CU:$CU)</f>
        <v>0</v>
      </c>
      <c r="GA87" s="103">
        <f t="shared" si="81"/>
        <v>0</v>
      </c>
      <c r="GB87" s="36">
        <f t="shared" si="109"/>
        <v>55232.87295720313</v>
      </c>
      <c r="GC87" s="101">
        <f t="shared" si="110"/>
        <v>0</v>
      </c>
      <c r="GD87" s="6">
        <f>SUMIF('Eredeti fejléccel'!$B:$B,'Felosztás eredménykim'!$B87,'Eredeti fejléccel'!$CV:$CV)</f>
        <v>0</v>
      </c>
      <c r="GE87" s="6">
        <f>SUMIF('Eredeti fejléccel'!$B:$B,'Felosztás eredménykim'!$B87,'Eredeti fejléccel'!$CW:$CW)</f>
        <v>0</v>
      </c>
      <c r="GF87" s="103">
        <f t="shared" si="82"/>
        <v>0</v>
      </c>
      <c r="GG87" s="36">
        <f t="shared" si="111"/>
        <v>0</v>
      </c>
      <c r="GM87" s="6">
        <f>SUMIF('Eredeti fejléccel'!$B:$B,'Felosztás eredménykim'!$B87,'Eredeti fejléccel'!$CX:$CX)</f>
        <v>0</v>
      </c>
      <c r="GN87" s="6">
        <f>SUMIF('Eredeti fejléccel'!$B:$B,'Felosztás eredménykim'!$B87,'Eredeti fejléccel'!$CY:$CY)</f>
        <v>0</v>
      </c>
      <c r="GO87" s="6">
        <f>SUMIF('Eredeti fejléccel'!$B:$B,'Felosztás eredménykim'!$B87,'Eredeti fejléccel'!$CZ:$CZ)</f>
        <v>0</v>
      </c>
      <c r="GP87" s="6">
        <f>SUMIF('Eredeti fejléccel'!$B:$B,'Felosztás eredménykim'!$B87,'Eredeti fejléccel'!$DA:$DA)</f>
        <v>0</v>
      </c>
      <c r="GQ87" s="6">
        <f>SUMIF('Eredeti fejléccel'!$B:$B,'Felosztás eredménykim'!$B87,'Eredeti fejléccel'!$DB:$DB)</f>
        <v>0</v>
      </c>
      <c r="GR87" s="103">
        <f t="shared" si="83"/>
        <v>0</v>
      </c>
      <c r="GW87" s="36">
        <f t="shared" si="112"/>
        <v>94813.197578879583</v>
      </c>
      <c r="GX87" s="6">
        <f>SUMIF('Eredeti fejléccel'!$B:$B,'Felosztás eredménykim'!$B87,'Eredeti fejléccel'!$M:$M)</f>
        <v>0</v>
      </c>
      <c r="GY87" s="6">
        <f>SUMIF('Eredeti fejléccel'!$B:$B,'Felosztás eredménykim'!$B87,'Eredeti fejléccel'!$DC:$DC)</f>
        <v>0</v>
      </c>
      <c r="GZ87" s="6">
        <f>SUMIF('Eredeti fejléccel'!$B:$B,'Felosztás eredménykim'!$B87,'Eredeti fejléccel'!$DD:$DD)</f>
        <v>0</v>
      </c>
      <c r="HA87" s="6">
        <f>SUMIF('Eredeti fejléccel'!$B:$B,'Felosztás eredménykim'!$B87,'Eredeti fejléccel'!$DE:$DE)</f>
        <v>0</v>
      </c>
      <c r="HB87" s="103">
        <f t="shared" si="84"/>
        <v>0</v>
      </c>
      <c r="HD87" s="9">
        <f t="shared" si="113"/>
        <v>1937432.8400000003</v>
      </c>
      <c r="HE87" s="9">
        <v>1937432.8399999999</v>
      </c>
      <c r="HF87" s="476"/>
      <c r="HH87" s="557">
        <f t="shared" si="85"/>
        <v>0</v>
      </c>
      <c r="HI87" s="31">
        <f>SUM(HD81:HD87)</f>
        <v>139299197.13000005</v>
      </c>
      <c r="HJ87" s="31">
        <f>SUM(HE81:HE87)</f>
        <v>139299197.13000003</v>
      </c>
    </row>
    <row r="88" spans="1:218" x14ac:dyDescent="0.25">
      <c r="A88" s="4" t="s">
        <v>184</v>
      </c>
      <c r="B88" s="4" t="s">
        <v>184</v>
      </c>
      <c r="C88" s="1" t="s">
        <v>185</v>
      </c>
      <c r="D88" s="6">
        <f>SUMIF('Eredeti fejléccel'!$B:$B,'Felosztás eredménykim'!$B88,'Eredeti fejléccel'!$D:$D)</f>
        <v>0</v>
      </c>
      <c r="E88" s="6">
        <f>SUMIF('Eredeti fejléccel'!$B:$B,'Felosztás eredménykim'!$B88,'Eredeti fejléccel'!$E:$E)</f>
        <v>35378432</v>
      </c>
      <c r="F88" s="6">
        <f>SUMIF('Eredeti fejléccel'!$B:$B,'Felosztás eredménykim'!$B88,'Eredeti fejléccel'!$F:$F)</f>
        <v>0</v>
      </c>
      <c r="G88" s="6">
        <f>SUMIF('Eredeti fejléccel'!$B:$B,'Felosztás eredménykim'!$B88,'Eredeti fejléccel'!$G:$G)</f>
        <v>0</v>
      </c>
      <c r="H88" s="6"/>
      <c r="I88" s="6">
        <f>SUMIF('Eredeti fejléccel'!$B:$B,'Felosztás eredménykim'!$B88,'Eredeti fejléccel'!$O:$O)</f>
        <v>15896089</v>
      </c>
      <c r="J88" s="6">
        <f>SUMIF('Eredeti fejléccel'!$B:$B,'Felosztás eredménykim'!$B88,'Eredeti fejléccel'!$P:$P)</f>
        <v>0</v>
      </c>
      <c r="K88" s="6">
        <f>SUMIF('Eredeti fejléccel'!$B:$B,'Felosztás eredménykim'!$B88,'Eredeti fejléccel'!$Q:$Q)</f>
        <v>0</v>
      </c>
      <c r="L88" s="6">
        <f>SUMIF('Eredeti fejléccel'!$B:$B,'Felosztás eredménykim'!$B88,'Eredeti fejléccel'!$R:$R)</f>
        <v>22404888</v>
      </c>
      <c r="M88" s="6">
        <f>SUMIF('Eredeti fejléccel'!$B:$B,'Felosztás eredménykim'!$B88,'Eredeti fejléccel'!$T:$T)</f>
        <v>0</v>
      </c>
      <c r="N88" s="6">
        <f>SUMIF('Eredeti fejléccel'!$B:$B,'Felosztás eredménykim'!$B88,'Eredeti fejléccel'!$U:$U)</f>
        <v>0</v>
      </c>
      <c r="O88" s="6">
        <f>SUMIF('Eredeti fejléccel'!$B:$B,'Felosztás eredménykim'!$B88,'Eredeti fejléccel'!$V:$V)</f>
        <v>27778968</v>
      </c>
      <c r="P88" s="6">
        <f>SUMIF('Eredeti fejléccel'!$B:$B,'Felosztás eredménykim'!$B88,'Eredeti fejléccel'!$W:$W)</f>
        <v>22287051</v>
      </c>
      <c r="Q88" s="6">
        <f>SUMIF('Eredeti fejléccel'!$B:$B,'Felosztás eredménykim'!$B88,'Eredeti fejléccel'!$X:$X)</f>
        <v>59919982</v>
      </c>
      <c r="R88" s="6">
        <f>SUMIF('Eredeti fejléccel'!$B:$B,'Felosztás eredménykim'!$B88,'Eredeti fejléccel'!$Y:$Y)</f>
        <v>16807109</v>
      </c>
      <c r="S88" s="6">
        <f>SUMIF('Eredeti fejléccel'!$B:$B,'Felosztás eredménykim'!$B88,'Eredeti fejléccel'!$Z:$Z)</f>
        <v>13729610</v>
      </c>
      <c r="T88" s="6">
        <f>SUMIF('Eredeti fejléccel'!$B:$B,'Felosztás eredménykim'!$B88,'Eredeti fejléccel'!$AA:$AA)</f>
        <v>0</v>
      </c>
      <c r="U88" s="6">
        <f>SUMIF('Eredeti fejléccel'!$B:$B,'Felosztás eredménykim'!$B88,'Eredeti fejléccel'!$D:$D)</f>
        <v>0</v>
      </c>
      <c r="V88" s="6">
        <f>SUMIF('Eredeti fejléccel'!$B:$B,'Felosztás eredménykim'!$B88,'Eredeti fejléccel'!$AT:$AT)</f>
        <v>32991994</v>
      </c>
      <c r="X88" s="36">
        <f t="shared" si="86"/>
        <v>247194123</v>
      </c>
      <c r="Z88" s="6">
        <f>SUMIF('Eredeti fejléccel'!$B:$B,'Felosztás eredménykim'!$B88,'Eredeti fejléccel'!$K:$K)</f>
        <v>26810717</v>
      </c>
      <c r="AB88" s="6">
        <f>SUMIF('Eredeti fejléccel'!$B:$B,'Felosztás eredménykim'!$B88,'Eredeti fejléccel'!$AB:$AB)</f>
        <v>0</v>
      </c>
      <c r="AC88" s="6">
        <f>SUMIF('Eredeti fejléccel'!$B:$B,'Felosztás eredménykim'!$B88,'Eredeti fejléccel'!$AQ:$AQ)</f>
        <v>0</v>
      </c>
      <c r="AE88" s="73">
        <f t="shared" si="131"/>
        <v>26810717</v>
      </c>
      <c r="AF88" s="36">
        <f t="shared" si="87"/>
        <v>29488934.292624425</v>
      </c>
      <c r="AG88" s="8">
        <f t="shared" si="88"/>
        <v>8548448.8064573817</v>
      </c>
      <c r="AI88" s="6">
        <f>SUMIF('Eredeti fejléccel'!$B:$B,'Felosztás eredménykim'!$B88,'Eredeti fejléccel'!$BB:$BB)</f>
        <v>49785189</v>
      </c>
      <c r="AJ88" s="6">
        <f>SUMIF('Eredeti fejléccel'!$B:$B,'Felosztás eredménykim'!$B88,'Eredeti fejléccel'!$AF:$AF)</f>
        <v>0</v>
      </c>
      <c r="AK88" s="8">
        <f t="shared" si="73"/>
        <v>58333637.806457385</v>
      </c>
      <c r="AL88" s="36">
        <f t="shared" si="89"/>
        <v>11712855.808795566</v>
      </c>
      <c r="AM88" s="8">
        <f t="shared" si="90"/>
        <v>3395400.7040515156</v>
      </c>
      <c r="AN88" s="6">
        <f t="shared" si="123"/>
        <v>0</v>
      </c>
      <c r="AO88" s="6">
        <f>SUMIF('Eredeti fejléccel'!$B:$B,'Felosztás eredménykim'!$B88,'Eredeti fejléccel'!$AC:$AC)</f>
        <v>0</v>
      </c>
      <c r="AP88" s="6">
        <f>SUMIF('Eredeti fejléccel'!$B:$B,'Felosztás eredménykim'!$B88,'Eredeti fejléccel'!$AD:$AD)</f>
        <v>0</v>
      </c>
      <c r="AQ88" s="6">
        <f>SUMIF('Eredeti fejléccel'!$B:$B,'Felosztás eredménykim'!$B88,'Eredeti fejléccel'!$AE:$AE)</f>
        <v>0</v>
      </c>
      <c r="AR88" s="6">
        <f>SUMIF('Eredeti fejléccel'!$B:$B,'Felosztás eredménykim'!$B88,'Eredeti fejléccel'!$AG:$AG)</f>
        <v>57842411</v>
      </c>
      <c r="AS88" s="6">
        <f t="shared" si="124"/>
        <v>61237811.704051517</v>
      </c>
      <c r="AT88" s="36">
        <f t="shared" si="91"/>
        <v>19025118.898467373</v>
      </c>
      <c r="AU88" s="8">
        <f t="shared" si="92"/>
        <v>5515128.2622305686</v>
      </c>
      <c r="AV88" s="6">
        <f>SUMIF('Eredeti fejléccel'!$B:$B,'Felosztás eredménykim'!$B88,'Eredeti fejléccel'!$AI:$AI)</f>
        <v>0</v>
      </c>
      <c r="AW88" s="6">
        <f>SUMIF('Eredeti fejléccel'!$B:$B,'Felosztás eredménykim'!$B88,'Eredeti fejléccel'!$AJ:$AJ)</f>
        <v>6544252</v>
      </c>
      <c r="AX88" s="6">
        <f>SUMIF('Eredeti fejléccel'!$B:$B,'Felosztás eredménykim'!$B88,'Eredeti fejléccel'!$AK:$AK)</f>
        <v>46903656</v>
      </c>
      <c r="AY88" s="6">
        <f>SUMIF('Eredeti fejléccel'!$B:$B,'Felosztás eredménykim'!$B88,'Eredeti fejléccel'!$AL:$AL)</f>
        <v>20080107</v>
      </c>
      <c r="AZ88" s="6">
        <f>SUMIF('Eredeti fejléccel'!$B:$B,'Felosztás eredménykim'!$B88,'Eredeti fejléccel'!$AM:$AM)</f>
        <v>21935929</v>
      </c>
      <c r="BA88" s="6">
        <f>SUMIF('Eredeti fejléccel'!$B:$B,'Felosztás eredménykim'!$B88,'Eredeti fejléccel'!$AN:$AN)</f>
        <v>0</v>
      </c>
      <c r="BB88" s="6">
        <f>SUMIF('Eredeti fejléccel'!$B:$B,'Felosztás eredménykim'!$B88,'Eredeti fejléccel'!$AP:$AP)</f>
        <v>11419280</v>
      </c>
      <c r="BD88" s="6">
        <f>SUMIF('Eredeti fejléccel'!$B:$B,'Felosztás eredménykim'!$B88,'Eredeti fejléccel'!$AS:$AS)</f>
        <v>0</v>
      </c>
      <c r="BE88" s="8">
        <f t="shared" si="74"/>
        <v>112398352.26223058</v>
      </c>
      <c r="BF88" s="36">
        <f t="shared" si="93"/>
        <v>4963074.4952523578</v>
      </c>
      <c r="BG88" s="8">
        <f t="shared" si="94"/>
        <v>1438729.1118862354</v>
      </c>
      <c r="BH88" s="6">
        <f t="shared" si="125"/>
        <v>0</v>
      </c>
      <c r="BI88" s="6">
        <f>SUMIF('Eredeti fejléccel'!$B:$B,'Felosztás eredménykim'!$B88,'Eredeti fejléccel'!$AH:$AH)</f>
        <v>24135499</v>
      </c>
      <c r="BJ88" s="6">
        <f>SUMIF('Eredeti fejléccel'!$B:$B,'Felosztás eredménykim'!$B88,'Eredeti fejléccel'!$AO:$AO)</f>
        <v>0</v>
      </c>
      <c r="BK88" s="6">
        <f>SUMIF('Eredeti fejléccel'!$B:$B,'Felosztás eredménykim'!$B88,'Eredeti fejléccel'!$BF:$BF)</f>
        <v>0</v>
      </c>
      <c r="BL88" s="8">
        <f t="shared" si="126"/>
        <v>25574228.111886237</v>
      </c>
      <c r="BM88" s="36">
        <f t="shared" si="95"/>
        <v>18594985.775545504</v>
      </c>
      <c r="BN88" s="8">
        <f t="shared" si="96"/>
        <v>5390438.4058670951</v>
      </c>
      <c r="BO88" s="8">
        <f>(9261000+730000)/2</f>
        <v>4995500</v>
      </c>
      <c r="BP88" s="8">
        <f t="shared" si="127"/>
        <v>0</v>
      </c>
      <c r="BQ88" s="6">
        <f>SUMIF('Eredeti fejléccel'!$B:$B,'Felosztás eredménykim'!$B88,'Eredeti fejléccel'!$N:$N)</f>
        <v>0</v>
      </c>
      <c r="BR88" s="6">
        <f>SUMIF('Eredeti fejléccel'!$B:$B,'Felosztás eredménykim'!$B88,'Eredeti fejléccel'!$S:$S)</f>
        <v>0</v>
      </c>
      <c r="BT88" s="6">
        <f>SUMIF('Eredeti fejléccel'!$B:$B,'Felosztás eredménykim'!$B88,'Eredeti fejléccel'!$AR:$AR)</f>
        <v>0</v>
      </c>
      <c r="BU88" s="6">
        <f>SUMIF('Eredeti fejléccel'!$B:$B,'Felosztás eredménykim'!$B88,'Eredeti fejléccel'!$AU:$AU)</f>
        <v>0</v>
      </c>
      <c r="BV88" s="6">
        <f>SUMIF('Eredeti fejléccel'!$B:$B,'Felosztás eredménykim'!$B88,'Eredeti fejléccel'!$AV:$AV)</f>
        <v>19257013</v>
      </c>
      <c r="BW88" s="6">
        <f>SUMIF('Eredeti fejléccel'!$B:$B,'Felosztás eredménykim'!$B88,'Eredeti fejléccel'!$AW:$AW)</f>
        <v>0</v>
      </c>
      <c r="BX88" s="6">
        <f>SUMIF('Eredeti fejléccel'!$B:$B,'Felosztás eredménykim'!$B88,'Eredeti fejléccel'!$AX:$AX)</f>
        <v>294286</v>
      </c>
      <c r="BY88" s="6">
        <f>SUMIF('Eredeti fejléccel'!$B:$B,'Felosztás eredménykim'!$B88,'Eredeti fejléccel'!$AY:$AY)</f>
        <v>0</v>
      </c>
      <c r="BZ88" s="6">
        <f>SUMIF('Eredeti fejléccel'!$B:$B,'Felosztás eredménykim'!$B88,'Eredeti fejléccel'!$AZ:$AZ)</f>
        <v>0</v>
      </c>
      <c r="CA88" s="6">
        <f>SUMIF('Eredeti fejléccel'!$B:$B,'Felosztás eredménykim'!$B88,'Eredeti fejléccel'!$BA:$BA)</f>
        <v>84923524</v>
      </c>
      <c r="CB88" s="6">
        <f t="shared" si="114"/>
        <v>114860761.4058671</v>
      </c>
      <c r="CC88" s="36">
        <f t="shared" si="97"/>
        <v>5062335.985157405</v>
      </c>
      <c r="CD88" s="8">
        <f t="shared" si="98"/>
        <v>1467503.6941239601</v>
      </c>
      <c r="CE88" s="6">
        <f>SUMIF('Eredeti fejléccel'!$B:$B,'Felosztás eredménykim'!$B88,'Eredeti fejléccel'!$BC:$BC)</f>
        <v>6725688</v>
      </c>
      <c r="CF88" s="8">
        <f t="shared" si="135"/>
        <v>-3362844</v>
      </c>
      <c r="CG88" s="6">
        <f>SUMIF('Eredeti fejléccel'!$B:$B,'Felosztás eredménykim'!$B88,'Eredeti fejléccel'!$H:$H)</f>
        <v>0</v>
      </c>
      <c r="CH88" s="6">
        <f>SUMIF('Eredeti fejléccel'!$B:$B,'Felosztás eredménykim'!$B88,'Eredeti fejléccel'!$BE:$BE)</f>
        <v>25745753</v>
      </c>
      <c r="CI88" s="6">
        <f t="shared" si="75"/>
        <v>30576100.694123961</v>
      </c>
      <c r="CJ88" s="36">
        <f t="shared" si="99"/>
        <v>3639587.9631850631</v>
      </c>
      <c r="CK88" s="8">
        <f t="shared" si="100"/>
        <v>1055068.0153832394</v>
      </c>
      <c r="CL88" s="8">
        <f t="shared" si="136"/>
        <v>3362844</v>
      </c>
      <c r="CM88" s="6">
        <f>SUMIF('Eredeti fejléccel'!$B:$B,'Felosztás eredménykim'!$B88,'Eredeti fejléccel'!$BD:$BD)</f>
        <v>19925260</v>
      </c>
      <c r="CN88" s="8">
        <f t="shared" si="76"/>
        <v>24343172.01538324</v>
      </c>
      <c r="CO88" s="8">
        <f t="shared" si="115"/>
        <v>519810957.21902782</v>
      </c>
      <c r="CR88" s="36">
        <f t="shared" si="101"/>
        <v>21862274.81909208</v>
      </c>
      <c r="CS88" s="6">
        <f>SUMIF('Eredeti fejléccel'!$B:$B,'Felosztás eredménykim'!$B88,'Eredeti fejléccel'!$I:$I)</f>
        <v>16194303</v>
      </c>
      <c r="CT88" s="6">
        <f>SUMIF('Eredeti fejléccel'!$B:$B,'Felosztás eredménykim'!$B88,'Eredeti fejléccel'!$BG:$BG)</f>
        <v>0</v>
      </c>
      <c r="CU88" s="6">
        <f>SUMIF('Eredeti fejléccel'!$B:$B,'Felosztás eredménykim'!$B88,'Eredeti fejléccel'!$BH:$BH)</f>
        <v>79504950</v>
      </c>
      <c r="CV88" s="6">
        <f>SUMIF('Eredeti fejléccel'!$B:$B,'Felosztás eredménykim'!$B88,'Eredeti fejléccel'!$BI:$BI)</f>
        <v>16858526</v>
      </c>
      <c r="CW88" s="6">
        <f>SUMIF('Eredeti fejléccel'!$B:$B,'Felosztás eredménykim'!$B88,'Eredeti fejléccel'!$BL:$BL)</f>
        <v>-54767196</v>
      </c>
      <c r="CX88" s="6">
        <f t="shared" si="77"/>
        <v>57790583</v>
      </c>
      <c r="CY88" s="6">
        <f>SUMIF('Eredeti fejléccel'!$B:$B,'Felosztás eredménykim'!$B88,'Eredeti fejléccel'!$BJ:$BJ)</f>
        <v>54767196</v>
      </c>
      <c r="CZ88" s="6">
        <f>SUMIF('Eredeti fejléccel'!$B:$B,'Felosztás eredménykim'!$B88,'Eredeti fejléccel'!$BK:$BK)</f>
        <v>0</v>
      </c>
      <c r="DA88" s="99">
        <f t="shared" si="116"/>
        <v>112557779</v>
      </c>
      <c r="DC88" s="36">
        <f t="shared" si="102"/>
        <v>19148392.142240826</v>
      </c>
      <c r="DD88" s="6">
        <f>SUMIF('Eredeti fejléccel'!$B:$B,'Felosztás eredménykim'!$B88,'Eredeti fejléccel'!$J:$J)</f>
        <v>0</v>
      </c>
      <c r="DE88" s="6">
        <f>SUMIF('Eredeti fejléccel'!$B:$B,'Felosztás eredménykim'!$B88,'Eredeti fejléccel'!$BM:$BM)</f>
        <v>47679142</v>
      </c>
      <c r="DF88" s="6">
        <f t="shared" si="128"/>
        <v>5400000</v>
      </c>
      <c r="DG88" s="8">
        <f t="shared" si="117"/>
        <v>-4995500</v>
      </c>
      <c r="DH88" s="8">
        <f t="shared" si="129"/>
        <v>48083642</v>
      </c>
      <c r="DI88" s="8">
        <f>-(5000000+400000)</f>
        <v>-5400000</v>
      </c>
      <c r="DJ88" s="6">
        <f>SUMIF('Eredeti fejléccel'!$B:$B,'Felosztás eredménykim'!$B88,'Eredeti fejléccel'!$BN:$BN)</f>
        <v>21798455</v>
      </c>
      <c r="DK88" s="6">
        <f>SUMIF('Eredeti fejléccel'!$B:$B,'Felosztás eredménykim'!$B88,'Eredeti fejléccel'!$BZ:$BZ)</f>
        <v>0</v>
      </c>
      <c r="DL88" s="8">
        <f t="shared" si="130"/>
        <v>16398455</v>
      </c>
      <c r="DM88" s="6">
        <f>SUMIF('Eredeti fejléccel'!$B:$B,'Felosztás eredménykim'!$B88,'Eredeti fejléccel'!$BR:$BR)</f>
        <v>0</v>
      </c>
      <c r="DN88" s="6">
        <f>SUMIF('Eredeti fejléccel'!$B:$B,'Felosztás eredménykim'!$B88,'Eredeti fejléccel'!$BS:$BS)</f>
        <v>0</v>
      </c>
      <c r="DO88" s="6">
        <f>SUMIF('Eredeti fejléccel'!$B:$B,'Felosztás eredménykim'!$B88,'Eredeti fejléccel'!$BO:$BO)</f>
        <v>0</v>
      </c>
      <c r="DP88" s="6">
        <f>SUMIF('Eredeti fejléccel'!$B:$B,'Felosztás eredménykim'!$B88,'Eredeti fejléccel'!$BP:$BP)</f>
        <v>0</v>
      </c>
      <c r="DQ88" s="6">
        <f>SUMIF('Eredeti fejléccel'!$B:$B,'Felosztás eredménykim'!$B88,'Eredeti fejléccel'!$BQ:$BQ)</f>
        <v>0</v>
      </c>
      <c r="DS88" s="8"/>
      <c r="DU88" s="6">
        <f>SUMIF('Eredeti fejléccel'!$B:$B,'Felosztás eredménykim'!$B88,'Eredeti fejléccel'!$BT:$BT)</f>
        <v>0</v>
      </c>
      <c r="DV88" s="6">
        <f>SUMIF('Eredeti fejléccel'!$B:$B,'Felosztás eredménykim'!$B88,'Eredeti fejléccel'!$BU:$BU)</f>
        <v>0</v>
      </c>
      <c r="DW88" s="6">
        <f>SUMIF('Eredeti fejléccel'!$B:$B,'Felosztás eredménykim'!$B88,'Eredeti fejléccel'!$BV:$BV)</f>
        <v>0</v>
      </c>
      <c r="DX88" s="6">
        <f>SUMIF('Eredeti fejléccel'!$B:$B,'Felosztás eredménykim'!$B88,'Eredeti fejléccel'!$BW:$BW)</f>
        <v>0</v>
      </c>
      <c r="DY88" s="6">
        <f>SUMIF('Eredeti fejléccel'!$B:$B,'Felosztás eredménykim'!$B88,'Eredeti fejléccel'!$BX:$BX)</f>
        <v>0</v>
      </c>
      <c r="EA88" s="6"/>
      <c r="EC88" s="6"/>
      <c r="EE88" s="6">
        <f>SUMIF('Eredeti fejléccel'!$B:$B,'Felosztás eredménykim'!$B88,'Eredeti fejléccel'!$CA:$CA)</f>
        <v>0</v>
      </c>
      <c r="EF88" s="6">
        <f>SUMIF('Eredeti fejléccel'!$B:$B,'Felosztás eredménykim'!$B88,'Eredeti fejléccel'!$CB:$CB)</f>
        <v>0</v>
      </c>
      <c r="EG88" s="6">
        <f>SUMIF('Eredeti fejléccel'!$B:$B,'Felosztás eredménykim'!$B88,'Eredeti fejléccel'!$CC:$CC)</f>
        <v>0</v>
      </c>
      <c r="EH88" s="6">
        <f>SUMIF('Eredeti fejléccel'!$B:$B,'Felosztás eredménykim'!$B88,'Eredeti fejléccel'!$CD:$CD)</f>
        <v>0</v>
      </c>
      <c r="EK88" s="6">
        <f>SUMIF('Eredeti fejléccel'!$B:$B,'Felosztás eredménykim'!$B88,'Eredeti fejléccel'!$CE:$CE)</f>
        <v>0</v>
      </c>
      <c r="EN88" s="6">
        <f>SUMIF('Eredeti fejléccel'!$B:$B,'Felosztás eredménykim'!$B88,'Eredeti fejléccel'!$CF:$CF)</f>
        <v>0</v>
      </c>
      <c r="EP88" s="6">
        <f>SUMIF('Eredeti fejléccel'!$B:$B,'Felosztás eredménykim'!$B88,'Eredeti fejléccel'!$CG:$CG)</f>
        <v>0</v>
      </c>
      <c r="ES88" s="6">
        <f>SUMIF('Eredeti fejléccel'!$B:$B,'Felosztás eredménykim'!$B88,'Eredeti fejléccel'!$CH:$CH)</f>
        <v>0</v>
      </c>
      <c r="ET88" s="6">
        <f>SUMIF('Eredeti fejléccel'!$B:$B,'Felosztás eredménykim'!$B88,'Eredeti fejléccel'!$CI:$CI)</f>
        <v>0</v>
      </c>
      <c r="EW88" s="8">
        <f t="shared" si="118"/>
        <v>0</v>
      </c>
      <c r="EX88" s="8">
        <f t="shared" si="78"/>
        <v>0</v>
      </c>
      <c r="EY88" s="8">
        <f t="shared" si="119"/>
        <v>48083642</v>
      </c>
      <c r="EZ88" s="8">
        <f t="shared" si="120"/>
        <v>64482097</v>
      </c>
      <c r="FA88" s="8">
        <f t="shared" si="121"/>
        <v>48083642</v>
      </c>
      <c r="FC88" s="6">
        <f>SUMIF('Eredeti fejléccel'!$B:$B,'Felosztás eredménykim'!$B88,'Eredeti fejléccel'!$L:$L)</f>
        <v>0</v>
      </c>
      <c r="FD88" s="6">
        <f>SUMIF('Eredeti fejléccel'!$B:$B,'Felosztás eredménykim'!$B88,'Eredeti fejléccel'!$CJ:$CJ)</f>
        <v>23444981</v>
      </c>
      <c r="FE88" s="6">
        <f>SUMIF('Eredeti fejléccel'!$B:$B,'Felosztás eredménykim'!$B88,'Eredeti fejléccel'!$CL:$CL)</f>
        <v>0</v>
      </c>
      <c r="FG88" s="99">
        <f t="shared" si="79"/>
        <v>23444981</v>
      </c>
      <c r="FH88" s="6">
        <f>SUMIF('Eredeti fejléccel'!$B:$B,'Felosztás eredménykim'!$B88,'Eredeti fejléccel'!$CK:$CK)</f>
        <v>0</v>
      </c>
      <c r="FI88" s="36">
        <f t="shared" si="103"/>
        <v>22529296.877819013</v>
      </c>
      <c r="FJ88" s="101">
        <f t="shared" si="104"/>
        <v>5198834.5095392074</v>
      </c>
      <c r="FK88" s="6">
        <f>SUMIF('Eredeti fejléccel'!$B:$B,'Felosztás eredménykim'!$B88,'Eredeti fejléccel'!$CM:$CM)</f>
        <v>92733299</v>
      </c>
      <c r="FL88" s="6">
        <f>SUMIF('Eredeti fejléccel'!$B:$B,'Felosztás eredménykim'!$B88,'Eredeti fejléccel'!$CN:$CN)</f>
        <v>0</v>
      </c>
      <c r="FM88" s="8">
        <f t="shared" si="80"/>
        <v>97932133.509539202</v>
      </c>
      <c r="FN88" s="36">
        <f t="shared" si="105"/>
        <v>19153598.366414126</v>
      </c>
      <c r="FO88" s="101">
        <f t="shared" si="106"/>
        <v>4419862.2224737266</v>
      </c>
      <c r="FP88" s="6">
        <f>SUMIF('Eredeti fejléccel'!$B:$B,'Felosztás eredménykim'!$B88,'Eredeti fejléccel'!$CO:$CO)</f>
        <v>41113814</v>
      </c>
      <c r="FQ88" s="6">
        <f>'Eredeti fejléccel'!CP88</f>
        <v>30106681</v>
      </c>
      <c r="FR88" s="6">
        <f>'Eredeti fejléccel'!CQ88</f>
        <v>0</v>
      </c>
      <c r="FS88" s="103">
        <f t="shared" si="122"/>
        <v>75640357.222473726</v>
      </c>
      <c r="FT88" s="36">
        <f t="shared" si="107"/>
        <v>52869516.588596798</v>
      </c>
      <c r="FU88" s="101">
        <f t="shared" si="108"/>
        <v>12200108.54462409</v>
      </c>
      <c r="FV88" s="101"/>
      <c r="FW88" s="6">
        <f>SUMIF('Eredeti fejléccel'!$B:$B,'Felosztás eredménykim'!$B88,'Eredeti fejléccel'!$CR:$CR)</f>
        <v>185581992</v>
      </c>
      <c r="FX88" s="6">
        <f>SUMIF('Eredeti fejléccel'!$B:$B,'Felosztás eredménykim'!$B88,'Eredeti fejléccel'!$CS:$CS)</f>
        <v>14531342</v>
      </c>
      <c r="FY88" s="6">
        <f>SUMIF('Eredeti fejléccel'!$B:$B,'Felosztás eredménykim'!$B88,'Eredeti fejléccel'!$CT:$CT)</f>
        <v>11278773</v>
      </c>
      <c r="FZ88" s="6">
        <f>SUMIF('Eredeti fejléccel'!$B:$B,'Felosztás eredménykim'!$B88,'Eredeti fejléccel'!$CU:$CU)</f>
        <v>0</v>
      </c>
      <c r="GA88" s="103">
        <f t="shared" si="81"/>
        <v>223592215.54462409</v>
      </c>
      <c r="GB88" s="36">
        <f t="shared" si="109"/>
        <v>7047078.6442467058</v>
      </c>
      <c r="GC88" s="101">
        <f t="shared" si="110"/>
        <v>1626175.7233629748</v>
      </c>
      <c r="GD88" s="6">
        <f>SUMIF('Eredeti fejléccel'!$B:$B,'Felosztás eredménykim'!$B88,'Eredeti fejléccel'!$CV:$CV)</f>
        <v>29508728</v>
      </c>
      <c r="GE88" s="6">
        <f>SUMIF('Eredeti fejléccel'!$B:$B,'Felosztás eredménykim'!$B88,'Eredeti fejléccel'!$CW:$CW)</f>
        <v>0</v>
      </c>
      <c r="GF88" s="103">
        <f t="shared" si="82"/>
        <v>31134903.723362975</v>
      </c>
      <c r="GG88" s="36">
        <f t="shared" si="111"/>
        <v>0</v>
      </c>
      <c r="GM88" s="6">
        <f>SUMIF('Eredeti fejléccel'!$B:$B,'Felosztás eredménykim'!$B88,'Eredeti fejléccel'!$CX:$CX)</f>
        <v>0</v>
      </c>
      <c r="GN88" s="6">
        <f>SUMIF('Eredeti fejléccel'!$B:$B,'Felosztás eredménykim'!$B88,'Eredeti fejléccel'!$CY:$CY)</f>
        <v>0</v>
      </c>
      <c r="GO88" s="6">
        <f>SUMIF('Eredeti fejléccel'!$B:$B,'Felosztás eredménykim'!$B88,'Eredeti fejléccel'!$CZ:$CZ)</f>
        <v>0</v>
      </c>
      <c r="GP88" s="6">
        <f>SUMIF('Eredeti fejléccel'!$B:$B,'Felosztás eredménykim'!$B88,'Eredeti fejléccel'!$DA:$DA)</f>
        <v>0</v>
      </c>
      <c r="GQ88" s="6">
        <f>SUMIF('Eredeti fejléccel'!$B:$B,'Felosztás eredménykim'!$B88,'Eredeti fejléccel'!$DB:$DB)</f>
        <v>0</v>
      </c>
      <c r="GR88" s="103">
        <f t="shared" si="83"/>
        <v>0</v>
      </c>
      <c r="GW88" s="36">
        <f t="shared" si="112"/>
        <v>12097072.342562782</v>
      </c>
      <c r="GX88" s="6">
        <f>SUMIF('Eredeti fejléccel'!$B:$B,'Felosztás eredménykim'!$B88,'Eredeti fejléccel'!$M:$M)</f>
        <v>0</v>
      </c>
      <c r="GY88" s="6">
        <f>SUMIF('Eredeti fejléccel'!$B:$B,'Felosztás eredménykim'!$B88,'Eredeti fejléccel'!$DC:$DC)</f>
        <v>19354061</v>
      </c>
      <c r="GZ88" s="6">
        <f>SUMIF('Eredeti fejléccel'!$B:$B,'Felosztás eredménykim'!$B88,'Eredeti fejléccel'!$DD:$DD)</f>
        <v>0</v>
      </c>
      <c r="HA88" s="6">
        <f>SUMIF('Eredeti fejléccel'!$B:$B,'Felosztás eredménykim'!$B88,'Eredeti fejléccel'!$DE:$DE)</f>
        <v>32606472</v>
      </c>
      <c r="HB88" s="103">
        <f t="shared" si="84"/>
        <v>51960533</v>
      </c>
      <c r="HD88" s="9">
        <f>SUM(D88:HA88)-W88-X88-AD88-AE88-AF88-AG88-AK88-AL88-AM88-AS88-AT88-AU88-BE88-BF88-BG88-BL88-BM88-BN88-BO88-CB88-CC88-CD88-CI88-CJ88-CK88-CN88-CO88-CP88-CR88-CX88-DA88-DC88-DG88-DH88-DL88-EW88-EX88-EY88-EZ88-FA88-FF88-FG88-FI88-FJ88-FM88-FN88-FO88-FS88-FT88-FU88-GA88-GB88-GC88-GF88-GG88-GR88-GS88-GT88-GU88-GW88</f>
        <v>1331818206.0000014</v>
      </c>
      <c r="HE88" s="9">
        <v>1331818206</v>
      </c>
      <c r="HF88" s="476"/>
      <c r="HH88" s="34">
        <f t="shared" si="85"/>
        <v>0</v>
      </c>
    </row>
    <row r="89" spans="1:218" x14ac:dyDescent="0.25">
      <c r="A89" s="4" t="s">
        <v>186</v>
      </c>
      <c r="B89" s="4" t="s">
        <v>186</v>
      </c>
      <c r="C89" s="1" t="s">
        <v>187</v>
      </c>
      <c r="D89" s="6">
        <f>SUMIF('Eredeti fejléccel'!$B:$B,'Felosztás eredménykim'!$B89,'Eredeti fejléccel'!$D:$D)</f>
        <v>0</v>
      </c>
      <c r="E89" s="6">
        <f>SUMIF('Eredeti fejléccel'!$B:$B,'Felosztás eredménykim'!$B89,'Eredeti fejléccel'!$E:$E)</f>
        <v>0</v>
      </c>
      <c r="F89" s="6">
        <f>SUMIF('Eredeti fejléccel'!$B:$B,'Felosztás eredménykim'!$B89,'Eredeti fejléccel'!$F:$F)</f>
        <v>0</v>
      </c>
      <c r="G89" s="6">
        <f>SUMIF('Eredeti fejléccel'!$B:$B,'Felosztás eredménykim'!$B89,'Eredeti fejléccel'!$G:$G)</f>
        <v>0</v>
      </c>
      <c r="H89" s="6"/>
      <c r="I89" s="6">
        <f>SUMIF('Eredeti fejléccel'!$B:$B,'Felosztás eredménykim'!$B89,'Eredeti fejléccel'!$O:$O)</f>
        <v>0</v>
      </c>
      <c r="J89" s="6">
        <f>SUMIF('Eredeti fejléccel'!$B:$B,'Felosztás eredménykim'!$B89,'Eredeti fejléccel'!$P:$P)</f>
        <v>0</v>
      </c>
      <c r="K89" s="6">
        <f>SUMIF('Eredeti fejléccel'!$B:$B,'Felosztás eredménykim'!$B89,'Eredeti fejléccel'!$Q:$Q)</f>
        <v>0</v>
      </c>
      <c r="L89" s="6">
        <f>SUMIF('Eredeti fejléccel'!$B:$B,'Felosztás eredménykim'!$B89,'Eredeti fejléccel'!$R:$R)</f>
        <v>0</v>
      </c>
      <c r="M89" s="6">
        <f>SUMIF('Eredeti fejléccel'!$B:$B,'Felosztás eredménykim'!$B89,'Eredeti fejléccel'!$T:$T)</f>
        <v>0</v>
      </c>
      <c r="N89" s="6">
        <f>SUMIF('Eredeti fejléccel'!$B:$B,'Felosztás eredménykim'!$B89,'Eredeti fejléccel'!$U:$U)</f>
        <v>0</v>
      </c>
      <c r="O89" s="6">
        <f>SUMIF('Eredeti fejléccel'!$B:$B,'Felosztás eredménykim'!$B89,'Eredeti fejléccel'!$V:$V)</f>
        <v>0</v>
      </c>
      <c r="P89" s="6">
        <f>SUMIF('Eredeti fejléccel'!$B:$B,'Felosztás eredménykim'!$B89,'Eredeti fejléccel'!$W:$W)</f>
        <v>0</v>
      </c>
      <c r="Q89" s="6">
        <f>SUMIF('Eredeti fejléccel'!$B:$B,'Felosztás eredménykim'!$B89,'Eredeti fejléccel'!$X:$X)</f>
        <v>0</v>
      </c>
      <c r="R89" s="6">
        <f>SUMIF('Eredeti fejléccel'!$B:$B,'Felosztás eredménykim'!$B89,'Eredeti fejléccel'!$Y:$Y)</f>
        <v>0</v>
      </c>
      <c r="S89" s="6">
        <f>SUMIF('Eredeti fejléccel'!$B:$B,'Felosztás eredménykim'!$B89,'Eredeti fejléccel'!$Z:$Z)</f>
        <v>0</v>
      </c>
      <c r="T89" s="6">
        <f>SUMIF('Eredeti fejléccel'!$B:$B,'Felosztás eredménykim'!$B89,'Eredeti fejléccel'!$AA:$AA)</f>
        <v>0</v>
      </c>
      <c r="U89" s="6">
        <f>SUMIF('Eredeti fejléccel'!$B:$B,'Felosztás eredménykim'!$B89,'Eredeti fejléccel'!$D:$D)</f>
        <v>0</v>
      </c>
      <c r="V89" s="6">
        <f>SUMIF('Eredeti fejléccel'!$B:$B,'Felosztás eredménykim'!$B89,'Eredeti fejléccel'!$AT:$AT)</f>
        <v>0</v>
      </c>
      <c r="X89" s="36">
        <f t="shared" si="86"/>
        <v>0</v>
      </c>
      <c r="Z89" s="6">
        <f>SUMIF('Eredeti fejléccel'!$B:$B,'Felosztás eredménykim'!$B89,'Eredeti fejléccel'!$K:$K)</f>
        <v>0</v>
      </c>
      <c r="AB89" s="6">
        <f>SUMIF('Eredeti fejléccel'!$B:$B,'Felosztás eredménykim'!$B89,'Eredeti fejléccel'!$AB:$AB)</f>
        <v>0</v>
      </c>
      <c r="AC89" s="6">
        <f>SUMIF('Eredeti fejléccel'!$B:$B,'Felosztás eredménykim'!$B89,'Eredeti fejléccel'!$AQ:$AQ)</f>
        <v>0</v>
      </c>
      <c r="AE89" s="73">
        <f t="shared" si="131"/>
        <v>0</v>
      </c>
      <c r="AF89" s="36">
        <f t="shared" si="87"/>
        <v>0</v>
      </c>
      <c r="AG89" s="8">
        <f t="shared" si="88"/>
        <v>0</v>
      </c>
      <c r="AI89" s="6">
        <f>SUMIF('Eredeti fejléccel'!$B:$B,'Felosztás eredménykim'!$B89,'Eredeti fejléccel'!$BB:$BB)</f>
        <v>0</v>
      </c>
      <c r="AJ89" s="6">
        <f>SUMIF('Eredeti fejléccel'!$B:$B,'Felosztás eredménykim'!$B89,'Eredeti fejléccel'!$AF:$AF)</f>
        <v>0</v>
      </c>
      <c r="AK89" s="8">
        <f t="shared" si="73"/>
        <v>0</v>
      </c>
      <c r="AL89" s="36">
        <f t="shared" si="89"/>
        <v>0</v>
      </c>
      <c r="AM89" s="8">
        <f t="shared" si="90"/>
        <v>0</v>
      </c>
      <c r="AN89" s="6">
        <f t="shared" si="123"/>
        <v>0</v>
      </c>
      <c r="AO89" s="6">
        <f>SUMIF('Eredeti fejléccel'!$B:$B,'Felosztás eredménykim'!$B89,'Eredeti fejléccel'!$AC:$AC)</f>
        <v>0</v>
      </c>
      <c r="AP89" s="6">
        <f>SUMIF('Eredeti fejléccel'!$B:$B,'Felosztás eredménykim'!$B89,'Eredeti fejléccel'!$AD:$AD)</f>
        <v>0</v>
      </c>
      <c r="AQ89" s="6">
        <f>SUMIF('Eredeti fejléccel'!$B:$B,'Felosztás eredménykim'!$B89,'Eredeti fejléccel'!$AE:$AE)</f>
        <v>0</v>
      </c>
      <c r="AR89" s="6">
        <f>SUMIF('Eredeti fejléccel'!$B:$B,'Felosztás eredménykim'!$B89,'Eredeti fejléccel'!$AG:$AG)</f>
        <v>0</v>
      </c>
      <c r="AS89" s="6">
        <f t="shared" si="124"/>
        <v>0</v>
      </c>
      <c r="AT89" s="36">
        <f t="shared" si="91"/>
        <v>0</v>
      </c>
      <c r="AU89" s="8">
        <f t="shared" si="92"/>
        <v>0</v>
      </c>
      <c r="AV89" s="6">
        <f>SUMIF('Eredeti fejléccel'!$B:$B,'Felosztás eredménykim'!$B89,'Eredeti fejléccel'!$AI:$AI)</f>
        <v>0</v>
      </c>
      <c r="AW89" s="6">
        <f>SUMIF('Eredeti fejléccel'!$B:$B,'Felosztás eredménykim'!$B89,'Eredeti fejléccel'!$AJ:$AJ)</f>
        <v>0</v>
      </c>
      <c r="AX89" s="6">
        <f>SUMIF('Eredeti fejléccel'!$B:$B,'Felosztás eredménykim'!$B89,'Eredeti fejléccel'!$AK:$AK)</f>
        <v>0</v>
      </c>
      <c r="AY89" s="6">
        <f>SUMIF('Eredeti fejléccel'!$B:$B,'Felosztás eredménykim'!$B89,'Eredeti fejléccel'!$AL:$AL)</f>
        <v>0</v>
      </c>
      <c r="AZ89" s="6">
        <f>SUMIF('Eredeti fejléccel'!$B:$B,'Felosztás eredménykim'!$B89,'Eredeti fejléccel'!$AM:$AM)</f>
        <v>0</v>
      </c>
      <c r="BA89" s="6">
        <f>SUMIF('Eredeti fejléccel'!$B:$B,'Felosztás eredménykim'!$B89,'Eredeti fejléccel'!$AN:$AN)</f>
        <v>0</v>
      </c>
      <c r="BB89" s="6">
        <f>SUMIF('Eredeti fejléccel'!$B:$B,'Felosztás eredménykim'!$B89,'Eredeti fejléccel'!$AP:$AP)</f>
        <v>0</v>
      </c>
      <c r="BD89" s="6">
        <f>SUMIF('Eredeti fejléccel'!$B:$B,'Felosztás eredménykim'!$B89,'Eredeti fejléccel'!$AS:$AS)</f>
        <v>0</v>
      </c>
      <c r="BE89" s="8">
        <f t="shared" si="74"/>
        <v>0</v>
      </c>
      <c r="BF89" s="36">
        <f t="shared" si="93"/>
        <v>0</v>
      </c>
      <c r="BG89" s="8">
        <f t="shared" si="94"/>
        <v>0</v>
      </c>
      <c r="BH89" s="6">
        <f t="shared" si="125"/>
        <v>0</v>
      </c>
      <c r="BI89" s="6">
        <f>SUMIF('Eredeti fejléccel'!$B:$B,'Felosztás eredménykim'!$B89,'Eredeti fejléccel'!$AH:$AH)</f>
        <v>0</v>
      </c>
      <c r="BJ89" s="6">
        <f>SUMIF('Eredeti fejléccel'!$B:$B,'Felosztás eredménykim'!$B89,'Eredeti fejléccel'!$AO:$AO)</f>
        <v>0</v>
      </c>
      <c r="BK89" s="6">
        <f>SUMIF('Eredeti fejléccel'!$B:$B,'Felosztás eredménykim'!$B89,'Eredeti fejléccel'!$BF:$BF)</f>
        <v>0</v>
      </c>
      <c r="BL89" s="8">
        <f t="shared" si="126"/>
        <v>0</v>
      </c>
      <c r="BM89" s="36">
        <f t="shared" si="95"/>
        <v>0</v>
      </c>
      <c r="BN89" s="8">
        <f t="shared" si="96"/>
        <v>0</v>
      </c>
      <c r="BP89" s="8">
        <f t="shared" si="127"/>
        <v>0</v>
      </c>
      <c r="BQ89" s="6">
        <f>SUMIF('Eredeti fejléccel'!$B:$B,'Felosztás eredménykim'!$B89,'Eredeti fejléccel'!$N:$N)</f>
        <v>0</v>
      </c>
      <c r="BR89" s="6">
        <f>SUMIF('Eredeti fejléccel'!$B:$B,'Felosztás eredménykim'!$B89,'Eredeti fejléccel'!$S:$S)</f>
        <v>0</v>
      </c>
      <c r="BT89" s="6">
        <f>SUMIF('Eredeti fejléccel'!$B:$B,'Felosztás eredménykim'!$B89,'Eredeti fejléccel'!$AR:$AR)</f>
        <v>0</v>
      </c>
      <c r="BU89" s="6">
        <f>SUMIF('Eredeti fejléccel'!$B:$B,'Felosztás eredménykim'!$B89,'Eredeti fejléccel'!$AU:$AU)</f>
        <v>0</v>
      </c>
      <c r="BV89" s="6">
        <f>SUMIF('Eredeti fejléccel'!$B:$B,'Felosztás eredménykim'!$B89,'Eredeti fejléccel'!$AV:$AV)</f>
        <v>0</v>
      </c>
      <c r="BW89" s="6">
        <f>SUMIF('Eredeti fejléccel'!$B:$B,'Felosztás eredménykim'!$B89,'Eredeti fejléccel'!$AW:$AW)</f>
        <v>0</v>
      </c>
      <c r="BX89" s="6">
        <f>SUMIF('Eredeti fejléccel'!$B:$B,'Felosztás eredménykim'!$B89,'Eredeti fejléccel'!$AX:$AX)</f>
        <v>0</v>
      </c>
      <c r="BY89" s="6">
        <f>SUMIF('Eredeti fejléccel'!$B:$B,'Felosztás eredménykim'!$B89,'Eredeti fejléccel'!$AY:$AY)</f>
        <v>0</v>
      </c>
      <c r="BZ89" s="6">
        <f>SUMIF('Eredeti fejléccel'!$B:$B,'Felosztás eredménykim'!$B89,'Eredeti fejléccel'!$AZ:$AZ)</f>
        <v>0</v>
      </c>
      <c r="CA89" s="6">
        <f>SUMIF('Eredeti fejléccel'!$B:$B,'Felosztás eredménykim'!$B89,'Eredeti fejléccel'!$BA:$BA)</f>
        <v>0</v>
      </c>
      <c r="CB89" s="6">
        <f t="shared" si="114"/>
        <v>0</v>
      </c>
      <c r="CC89" s="36">
        <f t="shared" si="97"/>
        <v>0</v>
      </c>
      <c r="CD89" s="8">
        <f t="shared" si="98"/>
        <v>0</v>
      </c>
      <c r="CE89" s="6">
        <f>SUMIF('Eredeti fejléccel'!$B:$B,'Felosztás eredménykim'!$B89,'Eredeti fejléccel'!$BC:$BC)</f>
        <v>0</v>
      </c>
      <c r="CF89" s="8">
        <f t="shared" si="135"/>
        <v>0</v>
      </c>
      <c r="CG89" s="6">
        <f>SUMIF('Eredeti fejléccel'!$B:$B,'Felosztás eredménykim'!$B89,'Eredeti fejléccel'!$H:$H)</f>
        <v>0</v>
      </c>
      <c r="CH89" s="6">
        <f>SUMIF('Eredeti fejléccel'!$B:$B,'Felosztás eredménykim'!$B89,'Eredeti fejléccel'!$BE:$BE)</f>
        <v>0</v>
      </c>
      <c r="CI89" s="6">
        <f t="shared" si="75"/>
        <v>0</v>
      </c>
      <c r="CJ89" s="36">
        <f t="shared" si="99"/>
        <v>0</v>
      </c>
      <c r="CK89" s="8">
        <f t="shared" si="100"/>
        <v>0</v>
      </c>
      <c r="CL89" s="8">
        <f t="shared" si="136"/>
        <v>0</v>
      </c>
      <c r="CM89" s="6">
        <f>SUMIF('Eredeti fejléccel'!$B:$B,'Felosztás eredménykim'!$B89,'Eredeti fejléccel'!$BD:$BD)</f>
        <v>0</v>
      </c>
      <c r="CN89" s="8">
        <f t="shared" si="76"/>
        <v>0</v>
      </c>
      <c r="CO89" s="8">
        <f t="shared" si="115"/>
        <v>0</v>
      </c>
      <c r="CR89" s="36">
        <f t="shared" si="101"/>
        <v>0</v>
      </c>
      <c r="CS89" s="6">
        <f>SUMIF('Eredeti fejléccel'!$B:$B,'Felosztás eredménykim'!$B89,'Eredeti fejléccel'!$I:$I)</f>
        <v>0</v>
      </c>
      <c r="CT89" s="6">
        <f>SUMIF('Eredeti fejléccel'!$B:$B,'Felosztás eredménykim'!$B89,'Eredeti fejléccel'!$BG:$BG)</f>
        <v>0</v>
      </c>
      <c r="CU89" s="6">
        <f>SUMIF('Eredeti fejléccel'!$B:$B,'Felosztás eredménykim'!$B89,'Eredeti fejléccel'!$BH:$BH)</f>
        <v>0</v>
      </c>
      <c r="CV89" s="6">
        <f>SUMIF('Eredeti fejléccel'!$B:$B,'Felosztás eredménykim'!$B89,'Eredeti fejléccel'!$BI:$BI)</f>
        <v>0</v>
      </c>
      <c r="CW89" s="6">
        <f>SUMIF('Eredeti fejléccel'!$B:$B,'Felosztás eredménykim'!$B89,'Eredeti fejléccel'!$BL:$BL)</f>
        <v>0</v>
      </c>
      <c r="CX89" s="6">
        <f t="shared" si="77"/>
        <v>0</v>
      </c>
      <c r="CY89" s="6">
        <f>SUMIF('Eredeti fejléccel'!$B:$B,'Felosztás eredménykim'!$B89,'Eredeti fejléccel'!$BJ:$BJ)</f>
        <v>0</v>
      </c>
      <c r="CZ89" s="6">
        <f>SUMIF('Eredeti fejléccel'!$B:$B,'Felosztás eredménykim'!$B89,'Eredeti fejléccel'!$BK:$BK)</f>
        <v>0</v>
      </c>
      <c r="DA89" s="99">
        <f t="shared" si="116"/>
        <v>0</v>
      </c>
      <c r="DC89" s="36">
        <f t="shared" si="102"/>
        <v>0</v>
      </c>
      <c r="DD89" s="6">
        <f>SUMIF('Eredeti fejléccel'!$B:$B,'Felosztás eredménykim'!$B89,'Eredeti fejléccel'!$J:$J)</f>
        <v>0</v>
      </c>
      <c r="DE89" s="6">
        <f>SUMIF('Eredeti fejléccel'!$B:$B,'Felosztás eredménykim'!$B89,'Eredeti fejléccel'!$BM:$BM)</f>
        <v>0</v>
      </c>
      <c r="DF89" s="6">
        <f t="shared" si="128"/>
        <v>0</v>
      </c>
      <c r="DG89" s="8">
        <f t="shared" si="117"/>
        <v>0</v>
      </c>
      <c r="DH89" s="8">
        <f t="shared" si="129"/>
        <v>0</v>
      </c>
      <c r="DJ89" s="6">
        <f>SUMIF('Eredeti fejléccel'!$B:$B,'Felosztás eredménykim'!$B89,'Eredeti fejléccel'!$BN:$BN)</f>
        <v>0</v>
      </c>
      <c r="DK89" s="6">
        <f>SUMIF('Eredeti fejléccel'!$B:$B,'Felosztás eredménykim'!$B89,'Eredeti fejléccel'!$BZ:$BZ)</f>
        <v>0</v>
      </c>
      <c r="DL89" s="8">
        <f t="shared" si="130"/>
        <v>0</v>
      </c>
      <c r="DM89" s="6">
        <f>SUMIF('Eredeti fejléccel'!$B:$B,'Felosztás eredménykim'!$B89,'Eredeti fejléccel'!$BR:$BR)</f>
        <v>0</v>
      </c>
      <c r="DN89" s="6">
        <f>SUMIF('Eredeti fejléccel'!$B:$B,'Felosztás eredménykim'!$B89,'Eredeti fejléccel'!$BS:$BS)</f>
        <v>0</v>
      </c>
      <c r="DO89" s="6">
        <f>SUMIF('Eredeti fejléccel'!$B:$B,'Felosztás eredménykim'!$B89,'Eredeti fejléccel'!$BO:$BO)</f>
        <v>0</v>
      </c>
      <c r="DP89" s="6">
        <f>SUMIF('Eredeti fejléccel'!$B:$B,'Felosztás eredménykim'!$B89,'Eredeti fejléccel'!$BP:$BP)</f>
        <v>0</v>
      </c>
      <c r="DQ89" s="6">
        <f>SUMIF('Eredeti fejléccel'!$B:$B,'Felosztás eredménykim'!$B89,'Eredeti fejléccel'!$BQ:$BQ)</f>
        <v>0</v>
      </c>
      <c r="DS89" s="8"/>
      <c r="DU89" s="6">
        <f>SUMIF('Eredeti fejléccel'!$B:$B,'Felosztás eredménykim'!$B89,'Eredeti fejléccel'!$BT:$BT)</f>
        <v>0</v>
      </c>
      <c r="DV89" s="6">
        <f>SUMIF('Eredeti fejléccel'!$B:$B,'Felosztás eredménykim'!$B89,'Eredeti fejléccel'!$BU:$BU)</f>
        <v>0</v>
      </c>
      <c r="DW89" s="6">
        <f>SUMIF('Eredeti fejléccel'!$B:$B,'Felosztás eredménykim'!$B89,'Eredeti fejléccel'!$BV:$BV)</f>
        <v>0</v>
      </c>
      <c r="DX89" s="6">
        <f>SUMIF('Eredeti fejléccel'!$B:$B,'Felosztás eredménykim'!$B89,'Eredeti fejléccel'!$BW:$BW)</f>
        <v>0</v>
      </c>
      <c r="DY89" s="6">
        <f>SUMIF('Eredeti fejléccel'!$B:$B,'Felosztás eredménykim'!$B89,'Eredeti fejléccel'!$BX:$BX)</f>
        <v>0</v>
      </c>
      <c r="EA89" s="6"/>
      <c r="EC89" s="6"/>
      <c r="EE89" s="6">
        <f>SUMIF('Eredeti fejléccel'!$B:$B,'Felosztás eredménykim'!$B89,'Eredeti fejléccel'!$CA:$CA)</f>
        <v>0</v>
      </c>
      <c r="EF89" s="6">
        <f>SUMIF('Eredeti fejléccel'!$B:$B,'Felosztás eredménykim'!$B89,'Eredeti fejléccel'!$CB:$CB)</f>
        <v>0</v>
      </c>
      <c r="EG89" s="6">
        <f>SUMIF('Eredeti fejléccel'!$B:$B,'Felosztás eredménykim'!$B89,'Eredeti fejléccel'!$CC:$CC)</f>
        <v>0</v>
      </c>
      <c r="EH89" s="6">
        <f>SUMIF('Eredeti fejléccel'!$B:$B,'Felosztás eredménykim'!$B89,'Eredeti fejléccel'!$CD:$CD)</f>
        <v>0</v>
      </c>
      <c r="EK89" s="6">
        <f>SUMIF('Eredeti fejléccel'!$B:$B,'Felosztás eredménykim'!$B89,'Eredeti fejléccel'!$CE:$CE)</f>
        <v>0</v>
      </c>
      <c r="EN89" s="6">
        <f>SUMIF('Eredeti fejléccel'!$B:$B,'Felosztás eredménykim'!$B89,'Eredeti fejléccel'!$CF:$CF)</f>
        <v>0</v>
      </c>
      <c r="EP89" s="6">
        <f>SUMIF('Eredeti fejléccel'!$B:$B,'Felosztás eredménykim'!$B89,'Eredeti fejléccel'!$CG:$CG)</f>
        <v>0</v>
      </c>
      <c r="ES89" s="6">
        <f>SUMIF('Eredeti fejléccel'!$B:$B,'Felosztás eredménykim'!$B89,'Eredeti fejléccel'!$CH:$CH)</f>
        <v>0</v>
      </c>
      <c r="ET89" s="6">
        <f>SUMIF('Eredeti fejléccel'!$B:$B,'Felosztás eredménykim'!$B89,'Eredeti fejléccel'!$CI:$CI)</f>
        <v>0</v>
      </c>
      <c r="EW89" s="8">
        <f t="shared" si="118"/>
        <v>0</v>
      </c>
      <c r="EX89" s="8">
        <f t="shared" si="78"/>
        <v>0</v>
      </c>
      <c r="EY89" s="8">
        <f t="shared" si="119"/>
        <v>0</v>
      </c>
      <c r="EZ89" s="8">
        <f t="shared" si="120"/>
        <v>0</v>
      </c>
      <c r="FA89" s="8">
        <f t="shared" si="121"/>
        <v>0</v>
      </c>
      <c r="FC89" s="6">
        <f>SUMIF('Eredeti fejléccel'!$B:$B,'Felosztás eredménykim'!$B89,'Eredeti fejléccel'!$L:$L)</f>
        <v>0</v>
      </c>
      <c r="FD89" s="6">
        <f>SUMIF('Eredeti fejléccel'!$B:$B,'Felosztás eredménykim'!$B89,'Eredeti fejléccel'!$CJ:$CJ)</f>
        <v>0</v>
      </c>
      <c r="FE89" s="6">
        <f>SUMIF('Eredeti fejléccel'!$B:$B,'Felosztás eredménykim'!$B89,'Eredeti fejléccel'!$CL:$CL)</f>
        <v>0</v>
      </c>
      <c r="FG89" s="99">
        <f t="shared" si="79"/>
        <v>0</v>
      </c>
      <c r="FH89" s="6">
        <f>SUMIF('Eredeti fejléccel'!$B:$B,'Felosztás eredménykim'!$B89,'Eredeti fejléccel'!$CK:$CK)</f>
        <v>0</v>
      </c>
      <c r="FI89" s="36">
        <f t="shared" si="103"/>
        <v>0</v>
      </c>
      <c r="FJ89" s="101">
        <f t="shared" si="104"/>
        <v>0</v>
      </c>
      <c r="FK89" s="6">
        <f>SUMIF('Eredeti fejléccel'!$B:$B,'Felosztás eredménykim'!$B89,'Eredeti fejléccel'!$CM:$CM)</f>
        <v>2722524</v>
      </c>
      <c r="FL89" s="6">
        <f>SUMIF('Eredeti fejléccel'!$B:$B,'Felosztás eredménykim'!$B89,'Eredeti fejléccel'!$CN:$CN)</f>
        <v>0</v>
      </c>
      <c r="FM89" s="8">
        <f t="shared" si="80"/>
        <v>2722524</v>
      </c>
      <c r="FN89" s="36">
        <f t="shared" si="105"/>
        <v>0</v>
      </c>
      <c r="FO89" s="101">
        <f t="shared" si="106"/>
        <v>0</v>
      </c>
      <c r="FP89" s="6">
        <f>SUMIF('Eredeti fejléccel'!$B:$B,'Felosztás eredménykim'!$B89,'Eredeti fejléccel'!$CO:$CO)</f>
        <v>0</v>
      </c>
      <c r="FQ89" s="6">
        <f>'Eredeti fejléccel'!CP89</f>
        <v>807670</v>
      </c>
      <c r="FR89" s="6">
        <f>'Eredeti fejléccel'!CQ89</f>
        <v>0</v>
      </c>
      <c r="FS89" s="103">
        <f t="shared" si="122"/>
        <v>807670</v>
      </c>
      <c r="FT89" s="36">
        <f t="shared" si="107"/>
        <v>0</v>
      </c>
      <c r="FU89" s="101">
        <f t="shared" si="108"/>
        <v>0</v>
      </c>
      <c r="FV89" s="101"/>
      <c r="FW89" s="6">
        <f>SUMIF('Eredeti fejléccel'!$B:$B,'Felosztás eredménykim'!$B89,'Eredeti fejléccel'!$CR:$CR)</f>
        <v>0</v>
      </c>
      <c r="FX89" s="6">
        <f>SUMIF('Eredeti fejléccel'!$B:$B,'Felosztás eredménykim'!$B89,'Eredeti fejléccel'!$CS:$CS)</f>
        <v>0</v>
      </c>
      <c r="FY89" s="6">
        <f>SUMIF('Eredeti fejléccel'!$B:$B,'Felosztás eredménykim'!$B89,'Eredeti fejléccel'!$CT:$CT)</f>
        <v>395862</v>
      </c>
      <c r="FZ89" s="6">
        <f>SUMIF('Eredeti fejléccel'!$B:$B,'Felosztás eredménykim'!$B89,'Eredeti fejléccel'!$CU:$CU)</f>
        <v>0</v>
      </c>
      <c r="GA89" s="103">
        <f t="shared" si="81"/>
        <v>395862</v>
      </c>
      <c r="GB89" s="36">
        <f t="shared" si="109"/>
        <v>0</v>
      </c>
      <c r="GC89" s="101">
        <f t="shared" si="110"/>
        <v>0</v>
      </c>
      <c r="GD89" s="6">
        <f>SUMIF('Eredeti fejléccel'!$B:$B,'Felosztás eredménykim'!$B89,'Eredeti fejléccel'!$CV:$CV)</f>
        <v>0</v>
      </c>
      <c r="GE89" s="6">
        <f>SUMIF('Eredeti fejléccel'!$B:$B,'Felosztás eredménykim'!$B89,'Eredeti fejléccel'!$CW:$CW)</f>
        <v>0</v>
      </c>
      <c r="GF89" s="103">
        <f t="shared" si="82"/>
        <v>0</v>
      </c>
      <c r="GG89" s="36">
        <f t="shared" si="111"/>
        <v>0</v>
      </c>
      <c r="GM89" s="6">
        <f>SUMIF('Eredeti fejléccel'!$B:$B,'Felosztás eredménykim'!$B89,'Eredeti fejléccel'!$CX:$CX)</f>
        <v>0</v>
      </c>
      <c r="GN89" s="6">
        <f>SUMIF('Eredeti fejléccel'!$B:$B,'Felosztás eredménykim'!$B89,'Eredeti fejléccel'!$CY:$CY)</f>
        <v>0</v>
      </c>
      <c r="GO89" s="6">
        <f>SUMIF('Eredeti fejléccel'!$B:$B,'Felosztás eredménykim'!$B89,'Eredeti fejléccel'!$CZ:$CZ)</f>
        <v>0</v>
      </c>
      <c r="GP89" s="6">
        <f>SUMIF('Eredeti fejléccel'!$B:$B,'Felosztás eredménykim'!$B89,'Eredeti fejléccel'!$DA:$DA)</f>
        <v>0</v>
      </c>
      <c r="GQ89" s="6">
        <f>SUMIF('Eredeti fejléccel'!$B:$B,'Felosztás eredménykim'!$B89,'Eredeti fejléccel'!$DB:$DB)</f>
        <v>0</v>
      </c>
      <c r="GR89" s="103">
        <f t="shared" si="83"/>
        <v>0</v>
      </c>
      <c r="GW89" s="36">
        <f t="shared" si="112"/>
        <v>0</v>
      </c>
      <c r="GX89" s="6">
        <f>SUMIF('Eredeti fejléccel'!$B:$B,'Felosztás eredménykim'!$B89,'Eredeti fejléccel'!$M:$M)</f>
        <v>0</v>
      </c>
      <c r="GY89" s="6">
        <f>SUMIF('Eredeti fejléccel'!$B:$B,'Felosztás eredménykim'!$B89,'Eredeti fejléccel'!$DC:$DC)</f>
        <v>0</v>
      </c>
      <c r="GZ89" s="6">
        <f>SUMIF('Eredeti fejléccel'!$B:$B,'Felosztás eredménykim'!$B89,'Eredeti fejléccel'!$DD:$DD)</f>
        <v>0</v>
      </c>
      <c r="HA89" s="6">
        <f>SUMIF('Eredeti fejléccel'!$B:$B,'Felosztás eredménykim'!$B89,'Eredeti fejléccel'!$DE:$DE)</f>
        <v>308219</v>
      </c>
      <c r="HB89" s="103">
        <f t="shared" si="84"/>
        <v>308219</v>
      </c>
      <c r="HD89" s="9">
        <f t="shared" ref="HD89:HD105" si="137">SUM(D89:HA89)-W89-X89-AD89-AE89-AF89-AG89-AK89-AL89-AM89-AS89-AT89-AU89-BE89-BF89-BG89-BL89-BM89-BN89-CB89-CC89-CD89-CI89-CJ89-CK89-CN89-CO89-CP89-CR89-CX89-DA89-DC89-DG89-DH89-DL89-EW89-EX89-EY89-EZ89-FA89-FF89-FG89-FI89-FJ89-FM89-FN89-FO89-FS89-FT89-FU89-GA89-GB89-GC89-GF89-GG89-GR89-GS89-GT89-GU89-GW89</f>
        <v>4234275</v>
      </c>
      <c r="HE89" s="9">
        <v>4234275</v>
      </c>
      <c r="HF89" s="476"/>
      <c r="HH89" s="34">
        <f t="shared" si="85"/>
        <v>0</v>
      </c>
    </row>
    <row r="90" spans="1:218" x14ac:dyDescent="0.25">
      <c r="A90" s="4" t="s">
        <v>188</v>
      </c>
      <c r="B90" s="4" t="s">
        <v>188</v>
      </c>
      <c r="C90" s="1" t="s">
        <v>189</v>
      </c>
      <c r="D90" s="6">
        <f>SUMIF('Eredeti fejléccel'!$B:$B,'Felosztás eredménykim'!$B90,'Eredeti fejléccel'!$D:$D)</f>
        <v>0</v>
      </c>
      <c r="E90" s="6">
        <f>SUMIF('Eredeti fejléccel'!$B:$B,'Felosztás eredménykim'!$B90,'Eredeti fejléccel'!$E:$E)</f>
        <v>586182</v>
      </c>
      <c r="F90" s="6">
        <f>SUMIF('Eredeti fejléccel'!$B:$B,'Felosztás eredménykim'!$B90,'Eredeti fejléccel'!$F:$F)</f>
        <v>0</v>
      </c>
      <c r="G90" s="6">
        <f>SUMIF('Eredeti fejléccel'!$B:$B,'Felosztás eredménykim'!$B90,'Eredeti fejléccel'!$G:$G)</f>
        <v>0</v>
      </c>
      <c r="H90" s="6"/>
      <c r="I90" s="6">
        <f>SUMIF('Eredeti fejléccel'!$B:$B,'Felosztás eredménykim'!$B90,'Eredeti fejléccel'!$O:$O)</f>
        <v>0</v>
      </c>
      <c r="J90" s="6">
        <f>SUMIF('Eredeti fejléccel'!$B:$B,'Felosztás eredménykim'!$B90,'Eredeti fejléccel'!$P:$P)</f>
        <v>0</v>
      </c>
      <c r="K90" s="6">
        <f>SUMIF('Eredeti fejléccel'!$B:$B,'Felosztás eredménykim'!$B90,'Eredeti fejléccel'!$Q:$Q)</f>
        <v>0</v>
      </c>
      <c r="L90" s="6">
        <f>SUMIF('Eredeti fejléccel'!$B:$B,'Felosztás eredménykim'!$B90,'Eredeti fejléccel'!$R:$R)</f>
        <v>128947</v>
      </c>
      <c r="M90" s="6">
        <f>SUMIF('Eredeti fejléccel'!$B:$B,'Felosztás eredménykim'!$B90,'Eredeti fejléccel'!$T:$T)</f>
        <v>0</v>
      </c>
      <c r="N90" s="6">
        <f>SUMIF('Eredeti fejléccel'!$B:$B,'Felosztás eredménykim'!$B90,'Eredeti fejléccel'!$U:$U)</f>
        <v>0</v>
      </c>
      <c r="O90" s="6">
        <f>SUMIF('Eredeti fejléccel'!$B:$B,'Felosztás eredménykim'!$B90,'Eredeti fejléccel'!$V:$V)</f>
        <v>94286</v>
      </c>
      <c r="P90" s="6">
        <f>SUMIF('Eredeti fejléccel'!$B:$B,'Felosztás eredménykim'!$B90,'Eredeti fejléccel'!$W:$W)</f>
        <v>0</v>
      </c>
      <c r="Q90" s="6">
        <f>SUMIF('Eredeti fejléccel'!$B:$B,'Felosztás eredménykim'!$B90,'Eredeti fejléccel'!$X:$X)</f>
        <v>834180</v>
      </c>
      <c r="R90" s="6">
        <f>SUMIF('Eredeti fejléccel'!$B:$B,'Felosztás eredménykim'!$B90,'Eredeti fejléccel'!$Y:$Y)</f>
        <v>0</v>
      </c>
      <c r="S90" s="6">
        <f>SUMIF('Eredeti fejléccel'!$B:$B,'Felosztás eredménykim'!$B90,'Eredeti fejléccel'!$Z:$Z)</f>
        <v>554286</v>
      </c>
      <c r="T90" s="6">
        <f>SUMIF('Eredeti fejléccel'!$B:$B,'Felosztás eredménykim'!$B90,'Eredeti fejléccel'!$AA:$AA)</f>
        <v>0</v>
      </c>
      <c r="U90" s="6">
        <f>SUMIF('Eredeti fejléccel'!$B:$B,'Felosztás eredménykim'!$B90,'Eredeti fejléccel'!$D:$D)</f>
        <v>0</v>
      </c>
      <c r="V90" s="6">
        <f>SUMIF('Eredeti fejléccel'!$B:$B,'Felosztás eredménykim'!$B90,'Eredeti fejléccel'!$AT:$AT)</f>
        <v>38182</v>
      </c>
      <c r="X90" s="36">
        <f t="shared" si="86"/>
        <v>2236063</v>
      </c>
      <c r="Z90" s="6">
        <f>SUMIF('Eredeti fejléccel'!$B:$B,'Felosztás eredménykim'!$B90,'Eredeti fejléccel'!$K:$K)</f>
        <v>55839</v>
      </c>
      <c r="AB90" s="6">
        <f>SUMIF('Eredeti fejléccel'!$B:$B,'Felosztás eredménykim'!$B90,'Eredeti fejléccel'!$AB:$AB)</f>
        <v>0</v>
      </c>
      <c r="AC90" s="6">
        <f>SUMIF('Eredeti fejléccel'!$B:$B,'Felosztás eredménykim'!$B90,'Eredeti fejléccel'!$AQ:$AQ)</f>
        <v>0</v>
      </c>
      <c r="AE90" s="73">
        <f t="shared" si="131"/>
        <v>55839</v>
      </c>
      <c r="AF90" s="36">
        <f t="shared" si="87"/>
        <v>266750.33403269324</v>
      </c>
      <c r="AG90" s="8">
        <f t="shared" si="88"/>
        <v>17803.956265092565</v>
      </c>
      <c r="AI90" s="6">
        <f>SUMIF('Eredeti fejléccel'!$B:$B,'Felosztás eredménykim'!$B90,'Eredeti fejléccel'!$BB:$BB)</f>
        <v>274354</v>
      </c>
      <c r="AJ90" s="6">
        <f>SUMIF('Eredeti fejléccel'!$B:$B,'Felosztás eredménykim'!$B90,'Eredeti fejléccel'!$AF:$AF)</f>
        <v>0</v>
      </c>
      <c r="AK90" s="8">
        <f t="shared" si="73"/>
        <v>292157.95626509259</v>
      </c>
      <c r="AL90" s="36">
        <f t="shared" si="89"/>
        <v>105951.88583177942</v>
      </c>
      <c r="AM90" s="8">
        <f t="shared" si="90"/>
        <v>7071.6415347464435</v>
      </c>
      <c r="AN90" s="6">
        <f t="shared" si="123"/>
        <v>0</v>
      </c>
      <c r="AO90" s="6">
        <f>SUMIF('Eredeti fejléccel'!$B:$B,'Felosztás eredménykim'!$B90,'Eredeti fejléccel'!$AC:$AC)</f>
        <v>0</v>
      </c>
      <c r="AP90" s="6">
        <f>SUMIF('Eredeti fejléccel'!$B:$B,'Felosztás eredménykim'!$B90,'Eredeti fejléccel'!$AD:$AD)</f>
        <v>0</v>
      </c>
      <c r="AQ90" s="6">
        <f>SUMIF('Eredeti fejléccel'!$B:$B,'Felosztás eredménykim'!$B90,'Eredeti fejléccel'!$AE:$AE)</f>
        <v>0</v>
      </c>
      <c r="AR90" s="6">
        <f>SUMIF('Eredeti fejléccel'!$B:$B,'Felosztás eredménykim'!$B90,'Eredeti fejléccel'!$AG:$AG)</f>
        <v>330757</v>
      </c>
      <c r="AS90" s="6">
        <f t="shared" si="124"/>
        <v>337828.64153474645</v>
      </c>
      <c r="AT90" s="36">
        <f t="shared" si="91"/>
        <v>172096.98969851178</v>
      </c>
      <c r="AU90" s="8">
        <f t="shared" si="92"/>
        <v>11486.423396833912</v>
      </c>
      <c r="AV90" s="6">
        <f>SUMIF('Eredeti fejléccel'!$B:$B,'Felosztás eredménykim'!$B90,'Eredeti fejléccel'!$AI:$AI)</f>
        <v>0</v>
      </c>
      <c r="AW90" s="6">
        <f>SUMIF('Eredeti fejléccel'!$B:$B,'Felosztás eredménykim'!$B90,'Eredeti fejléccel'!$AJ:$AJ)</f>
        <v>0</v>
      </c>
      <c r="AX90" s="6">
        <f>SUMIF('Eredeti fejléccel'!$B:$B,'Felosztás eredménykim'!$B90,'Eredeti fejléccel'!$AK:$AK)</f>
        <v>88290</v>
      </c>
      <c r="AY90" s="6">
        <f>SUMIF('Eredeti fejléccel'!$B:$B,'Felosztás eredménykim'!$B90,'Eredeti fejléccel'!$AL:$AL)</f>
        <v>0</v>
      </c>
      <c r="AZ90" s="6">
        <f>SUMIF('Eredeti fejléccel'!$B:$B,'Felosztás eredménykim'!$B90,'Eredeti fejléccel'!$AM:$AM)</f>
        <v>303872</v>
      </c>
      <c r="BA90" s="6">
        <f>SUMIF('Eredeti fejléccel'!$B:$B,'Felosztás eredménykim'!$B90,'Eredeti fejléccel'!$AN:$AN)</f>
        <v>0</v>
      </c>
      <c r="BB90" s="6">
        <f>SUMIF('Eredeti fejléccel'!$B:$B,'Felosztás eredménykim'!$B90,'Eredeti fejléccel'!$AP:$AP)</f>
        <v>143636</v>
      </c>
      <c r="BD90" s="6">
        <f>SUMIF('Eredeti fejléccel'!$B:$B,'Felosztás eredménykim'!$B90,'Eredeti fejléccel'!$AS:$AS)</f>
        <v>0</v>
      </c>
      <c r="BE90" s="8">
        <f t="shared" si="74"/>
        <v>547284.42339683394</v>
      </c>
      <c r="BF90" s="36">
        <f t="shared" si="93"/>
        <v>44894.866877872635</v>
      </c>
      <c r="BG90" s="8">
        <f t="shared" si="94"/>
        <v>2996.4582774349337</v>
      </c>
      <c r="BH90" s="6">
        <f t="shared" si="125"/>
        <v>0</v>
      </c>
      <c r="BI90" s="6">
        <f>SUMIF('Eredeti fejléccel'!$B:$B,'Felosztás eredménykim'!$B90,'Eredeti fejléccel'!$AH:$AH)</f>
        <v>216221</v>
      </c>
      <c r="BJ90" s="6">
        <f>SUMIF('Eredeti fejléccel'!$B:$B,'Felosztás eredménykim'!$B90,'Eredeti fejléccel'!$AO:$AO)</f>
        <v>0</v>
      </c>
      <c r="BK90" s="6">
        <f>SUMIF('Eredeti fejléccel'!$B:$B,'Felosztás eredménykim'!$B90,'Eredeti fejléccel'!$BF:$BF)</f>
        <v>0</v>
      </c>
      <c r="BL90" s="8">
        <f t="shared" si="126"/>
        <v>219217.45827743493</v>
      </c>
      <c r="BM90" s="36">
        <f t="shared" si="95"/>
        <v>168206.10123576282</v>
      </c>
      <c r="BN90" s="8">
        <f t="shared" si="96"/>
        <v>11226.730346122886</v>
      </c>
      <c r="BP90" s="8">
        <f t="shared" si="127"/>
        <v>0</v>
      </c>
      <c r="BQ90" s="6">
        <f>SUMIF('Eredeti fejléccel'!$B:$B,'Felosztás eredménykim'!$B90,'Eredeti fejléccel'!$N:$N)</f>
        <v>0</v>
      </c>
      <c r="BR90" s="6">
        <f>SUMIF('Eredeti fejléccel'!$B:$B,'Felosztás eredménykim'!$B90,'Eredeti fejléccel'!$S:$S)</f>
        <v>0</v>
      </c>
      <c r="BT90" s="6">
        <f>SUMIF('Eredeti fejléccel'!$B:$B,'Felosztás eredménykim'!$B90,'Eredeti fejléccel'!$AR:$AR)</f>
        <v>0</v>
      </c>
      <c r="BU90" s="6">
        <f>SUMIF('Eredeti fejléccel'!$B:$B,'Felosztás eredménykim'!$B90,'Eredeti fejléccel'!$AU:$AU)</f>
        <v>0</v>
      </c>
      <c r="BV90" s="6">
        <f>SUMIF('Eredeti fejléccel'!$B:$B,'Felosztás eredménykim'!$B90,'Eredeti fejléccel'!$AV:$AV)</f>
        <v>0</v>
      </c>
      <c r="BW90" s="6">
        <f>SUMIF('Eredeti fejléccel'!$B:$B,'Felosztás eredménykim'!$B90,'Eredeti fejléccel'!$AW:$AW)</f>
        <v>0</v>
      </c>
      <c r="BX90" s="6">
        <f>SUMIF('Eredeti fejléccel'!$B:$B,'Felosztás eredménykim'!$B90,'Eredeti fejléccel'!$AX:$AX)</f>
        <v>0</v>
      </c>
      <c r="BY90" s="6">
        <f>SUMIF('Eredeti fejléccel'!$B:$B,'Felosztás eredménykim'!$B90,'Eredeti fejléccel'!$AY:$AY)</f>
        <v>0</v>
      </c>
      <c r="BZ90" s="6">
        <f>SUMIF('Eredeti fejléccel'!$B:$B,'Felosztás eredménykim'!$B90,'Eredeti fejléccel'!$AZ:$AZ)</f>
        <v>0</v>
      </c>
      <c r="CA90" s="6">
        <f>SUMIF('Eredeti fejléccel'!$B:$B,'Felosztás eredménykim'!$B90,'Eredeti fejléccel'!$BA:$BA)</f>
        <v>145454</v>
      </c>
      <c r="CB90" s="6">
        <f t="shared" si="114"/>
        <v>156680.73034612287</v>
      </c>
      <c r="CC90" s="36">
        <f t="shared" si="97"/>
        <v>45792.764215430085</v>
      </c>
      <c r="CD90" s="8">
        <f t="shared" si="98"/>
        <v>3056.3874429836324</v>
      </c>
      <c r="CE90" s="6">
        <f>SUMIF('Eredeti fejléccel'!$B:$B,'Felosztás eredménykim'!$B90,'Eredeti fejléccel'!$BC:$BC)</f>
        <v>0</v>
      </c>
      <c r="CF90" s="8">
        <f t="shared" si="135"/>
        <v>0</v>
      </c>
      <c r="CG90" s="6">
        <f>SUMIF('Eredeti fejléccel'!$B:$B,'Felosztás eredménykim'!$B90,'Eredeti fejléccel'!$H:$H)</f>
        <v>0</v>
      </c>
      <c r="CH90" s="6">
        <f>SUMIF('Eredeti fejléccel'!$B:$B,'Felosztás eredménykim'!$B90,'Eredeti fejléccel'!$BE:$BE)</f>
        <v>220520</v>
      </c>
      <c r="CI90" s="6">
        <f t="shared" si="75"/>
        <v>223576.38744298363</v>
      </c>
      <c r="CJ90" s="36">
        <f t="shared" si="99"/>
        <v>32922.902377106606</v>
      </c>
      <c r="CK90" s="8">
        <f t="shared" si="100"/>
        <v>2197.4027367856183</v>
      </c>
      <c r="CL90" s="8">
        <f t="shared" si="136"/>
        <v>0</v>
      </c>
      <c r="CM90" s="6">
        <f>SUMIF('Eredeti fejléccel'!$B:$B,'Felosztás eredménykim'!$B90,'Eredeti fejléccel'!$BD:$BD)</f>
        <v>0</v>
      </c>
      <c r="CN90" s="8">
        <f t="shared" si="76"/>
        <v>2197.4027367856183</v>
      </c>
      <c r="CO90" s="8">
        <f t="shared" si="115"/>
        <v>2615558.8442691569</v>
      </c>
      <c r="CR90" s="36">
        <f t="shared" si="101"/>
        <v>197761.27047649713</v>
      </c>
      <c r="CS90" s="6">
        <f>SUMIF('Eredeti fejléccel'!$B:$B,'Felosztás eredménykim'!$B90,'Eredeti fejléccel'!$I:$I)</f>
        <v>125714</v>
      </c>
      <c r="CT90" s="6">
        <f>SUMIF('Eredeti fejléccel'!$B:$B,'Felosztás eredménykim'!$B90,'Eredeti fejléccel'!$BG:$BG)</f>
        <v>0</v>
      </c>
      <c r="CU90" s="6">
        <f>SUMIF('Eredeti fejléccel'!$B:$B,'Felosztás eredménykim'!$B90,'Eredeti fejléccel'!$BH:$BH)</f>
        <v>397979</v>
      </c>
      <c r="CV90" s="6">
        <f>SUMIF('Eredeti fejléccel'!$B:$B,'Felosztás eredménykim'!$B90,'Eredeti fejléccel'!$BI:$BI)</f>
        <v>0</v>
      </c>
      <c r="CW90" s="6">
        <f>SUMIF('Eredeti fejléccel'!$B:$B,'Felosztás eredménykim'!$B90,'Eredeti fejléccel'!$BL:$BL)</f>
        <v>0</v>
      </c>
      <c r="CX90" s="6">
        <f t="shared" si="77"/>
        <v>523693</v>
      </c>
      <c r="CY90" s="6">
        <f>SUMIF('Eredeti fejléccel'!$B:$B,'Felosztás eredménykim'!$B90,'Eredeti fejléccel'!$BJ:$BJ)</f>
        <v>0</v>
      </c>
      <c r="CZ90" s="6">
        <f>SUMIF('Eredeti fejléccel'!$B:$B,'Felosztás eredménykim'!$B90,'Eredeti fejléccel'!$BK:$BK)</f>
        <v>0</v>
      </c>
      <c r="DA90" s="99">
        <f t="shared" si="116"/>
        <v>523693</v>
      </c>
      <c r="DC90" s="36">
        <f t="shared" si="102"/>
        <v>173212.09201545399</v>
      </c>
      <c r="DD90" s="6">
        <f>SUMIF('Eredeti fejléccel'!$B:$B,'Felosztás eredménykim'!$B90,'Eredeti fejléccel'!$J:$J)</f>
        <v>0</v>
      </c>
      <c r="DE90" s="6">
        <f>SUMIF('Eredeti fejléccel'!$B:$B,'Felosztás eredménykim'!$B90,'Eredeti fejléccel'!$BM:$BM)</f>
        <v>15714</v>
      </c>
      <c r="DF90" s="6">
        <f t="shared" si="128"/>
        <v>0</v>
      </c>
      <c r="DG90" s="8">
        <f t="shared" si="117"/>
        <v>0</v>
      </c>
      <c r="DH90" s="8">
        <f t="shared" si="129"/>
        <v>15714</v>
      </c>
      <c r="DJ90" s="6">
        <f>SUMIF('Eredeti fejléccel'!$B:$B,'Felosztás eredménykim'!$B90,'Eredeti fejléccel'!$BN:$BN)</f>
        <v>56250</v>
      </c>
      <c r="DK90" s="6">
        <f>SUMIF('Eredeti fejléccel'!$B:$B,'Felosztás eredménykim'!$B90,'Eredeti fejléccel'!$BZ:$BZ)</f>
        <v>0</v>
      </c>
      <c r="DL90" s="8">
        <f t="shared" si="130"/>
        <v>56250</v>
      </c>
      <c r="DM90" s="6">
        <f>SUMIF('Eredeti fejléccel'!$B:$B,'Felosztás eredménykim'!$B90,'Eredeti fejléccel'!$BR:$BR)</f>
        <v>0</v>
      </c>
      <c r="DN90" s="6">
        <f>SUMIF('Eredeti fejléccel'!$B:$B,'Felosztás eredménykim'!$B90,'Eredeti fejléccel'!$BS:$BS)</f>
        <v>0</v>
      </c>
      <c r="DO90" s="6">
        <f>SUMIF('Eredeti fejléccel'!$B:$B,'Felosztás eredménykim'!$B90,'Eredeti fejléccel'!$BO:$BO)</f>
        <v>0</v>
      </c>
      <c r="DP90" s="6">
        <f>SUMIF('Eredeti fejléccel'!$B:$B,'Felosztás eredménykim'!$B90,'Eredeti fejléccel'!$BP:$BP)</f>
        <v>0</v>
      </c>
      <c r="DQ90" s="6">
        <f>SUMIF('Eredeti fejléccel'!$B:$B,'Felosztás eredménykim'!$B90,'Eredeti fejléccel'!$BQ:$BQ)</f>
        <v>0</v>
      </c>
      <c r="DS90" s="8"/>
      <c r="DU90" s="6">
        <f>SUMIF('Eredeti fejléccel'!$B:$B,'Felosztás eredménykim'!$B90,'Eredeti fejléccel'!$BT:$BT)</f>
        <v>0</v>
      </c>
      <c r="DV90" s="6">
        <f>SUMIF('Eredeti fejléccel'!$B:$B,'Felosztás eredménykim'!$B90,'Eredeti fejléccel'!$BU:$BU)</f>
        <v>0</v>
      </c>
      <c r="DW90" s="6">
        <f>SUMIF('Eredeti fejléccel'!$B:$B,'Felosztás eredménykim'!$B90,'Eredeti fejléccel'!$BV:$BV)</f>
        <v>0</v>
      </c>
      <c r="DX90" s="6">
        <f>SUMIF('Eredeti fejléccel'!$B:$B,'Felosztás eredménykim'!$B90,'Eredeti fejléccel'!$BW:$BW)</f>
        <v>0</v>
      </c>
      <c r="DY90" s="6">
        <f>SUMIF('Eredeti fejléccel'!$B:$B,'Felosztás eredménykim'!$B90,'Eredeti fejléccel'!$BX:$BX)</f>
        <v>0</v>
      </c>
      <c r="EA90" s="6"/>
      <c r="EC90" s="6"/>
      <c r="EE90" s="6">
        <f>SUMIF('Eredeti fejléccel'!$B:$B,'Felosztás eredménykim'!$B90,'Eredeti fejléccel'!$CA:$CA)</f>
        <v>0</v>
      </c>
      <c r="EF90" s="6">
        <f>SUMIF('Eredeti fejléccel'!$B:$B,'Felosztás eredménykim'!$B90,'Eredeti fejléccel'!$CB:$CB)</f>
        <v>0</v>
      </c>
      <c r="EG90" s="6">
        <f>SUMIF('Eredeti fejléccel'!$B:$B,'Felosztás eredménykim'!$B90,'Eredeti fejléccel'!$CC:$CC)</f>
        <v>0</v>
      </c>
      <c r="EH90" s="6">
        <f>SUMIF('Eredeti fejléccel'!$B:$B,'Felosztás eredménykim'!$B90,'Eredeti fejléccel'!$CD:$CD)</f>
        <v>0</v>
      </c>
      <c r="EK90" s="6">
        <f>SUMIF('Eredeti fejléccel'!$B:$B,'Felosztás eredménykim'!$B90,'Eredeti fejléccel'!$CE:$CE)</f>
        <v>0</v>
      </c>
      <c r="EN90" s="6">
        <f>SUMIF('Eredeti fejléccel'!$B:$B,'Felosztás eredménykim'!$B90,'Eredeti fejléccel'!$CF:$CF)</f>
        <v>0</v>
      </c>
      <c r="EP90" s="6">
        <f>SUMIF('Eredeti fejléccel'!$B:$B,'Felosztás eredménykim'!$B90,'Eredeti fejléccel'!$CG:$CG)</f>
        <v>0</v>
      </c>
      <c r="ES90" s="6">
        <f>SUMIF('Eredeti fejléccel'!$B:$B,'Felosztás eredménykim'!$B90,'Eredeti fejléccel'!$CH:$CH)</f>
        <v>0</v>
      </c>
      <c r="ET90" s="6">
        <f>SUMIF('Eredeti fejléccel'!$B:$B,'Felosztás eredménykim'!$B90,'Eredeti fejléccel'!$CI:$CI)</f>
        <v>0</v>
      </c>
      <c r="EW90" s="8">
        <f t="shared" si="118"/>
        <v>0</v>
      </c>
      <c r="EX90" s="8">
        <f t="shared" si="78"/>
        <v>0</v>
      </c>
      <c r="EY90" s="8">
        <f t="shared" si="119"/>
        <v>15714</v>
      </c>
      <c r="EZ90" s="8">
        <f t="shared" si="120"/>
        <v>71964</v>
      </c>
      <c r="FA90" s="8">
        <f t="shared" si="121"/>
        <v>15714</v>
      </c>
      <c r="FC90" s="6">
        <f>SUMIF('Eredeti fejléccel'!$B:$B,'Felosztás eredménykim'!$B90,'Eredeti fejléccel'!$L:$L)</f>
        <v>0</v>
      </c>
      <c r="FD90" s="6">
        <f>SUMIF('Eredeti fejléccel'!$B:$B,'Felosztás eredménykim'!$B90,'Eredeti fejléccel'!$CJ:$CJ)</f>
        <v>342857</v>
      </c>
      <c r="FE90" s="6">
        <f>SUMIF('Eredeti fejléccel'!$B:$B,'Felosztás eredménykim'!$B90,'Eredeti fejléccel'!$CL:$CL)</f>
        <v>0</v>
      </c>
      <c r="FG90" s="99">
        <f t="shared" si="79"/>
        <v>342857</v>
      </c>
      <c r="FH90" s="6">
        <f>SUMIF('Eredeti fejléccel'!$B:$B,'Felosztás eredménykim'!$B90,'Eredeti fejléccel'!$CK:$CK)</f>
        <v>0</v>
      </c>
      <c r="FI90" s="36">
        <f t="shared" si="103"/>
        <v>203795.00351028418</v>
      </c>
      <c r="FJ90" s="101">
        <f t="shared" si="104"/>
        <v>76027.223201293455</v>
      </c>
      <c r="FK90" s="6">
        <f>SUMIF('Eredeti fejléccel'!$B:$B,'Felosztás eredménykim'!$B90,'Eredeti fejléccel'!$CM:$CM)</f>
        <v>280387</v>
      </c>
      <c r="FL90" s="6">
        <f>SUMIF('Eredeti fejléccel'!$B:$B,'Felosztás eredménykim'!$B90,'Eredeti fejléccel'!$CN:$CN)</f>
        <v>0</v>
      </c>
      <c r="FM90" s="8">
        <f t="shared" si="80"/>
        <v>356414.22320129344</v>
      </c>
      <c r="FN90" s="36">
        <f t="shared" si="105"/>
        <v>173259.18636018329</v>
      </c>
      <c r="FO90" s="101">
        <f t="shared" si="106"/>
        <v>64635.612287793047</v>
      </c>
      <c r="FP90" s="6">
        <f>SUMIF('Eredeti fejléccel'!$B:$B,'Felosztás eredménykim'!$B90,'Eredeti fejléccel'!$CO:$CO)</f>
        <v>0</v>
      </c>
      <c r="FQ90" s="6">
        <f>'Eredeti fejléccel'!CP90</f>
        <v>32609</v>
      </c>
      <c r="FR90" s="6">
        <f>'Eredeti fejléccel'!CQ90</f>
        <v>0</v>
      </c>
      <c r="FS90" s="103">
        <f t="shared" si="122"/>
        <v>97244.612287793047</v>
      </c>
      <c r="FT90" s="36">
        <f t="shared" si="107"/>
        <v>478245.87590072892</v>
      </c>
      <c r="FU90" s="101">
        <f t="shared" si="108"/>
        <v>178413.13734842362</v>
      </c>
      <c r="FV90" s="101"/>
      <c r="FW90" s="6">
        <f>SUMIF('Eredeti fejléccel'!$B:$B,'Felosztás eredménykim'!$B90,'Eredeti fejléccel'!$CR:$CR)</f>
        <v>391457</v>
      </c>
      <c r="FX90" s="6">
        <f>SUMIF('Eredeti fejléccel'!$B:$B,'Felosztás eredménykim'!$B90,'Eredeti fejléccel'!$CS:$CS)</f>
        <v>0</v>
      </c>
      <c r="FY90" s="6">
        <f>SUMIF('Eredeti fejléccel'!$B:$B,'Felosztás eredménykim'!$B90,'Eredeti fejléccel'!$CT:$CT)</f>
        <v>79031</v>
      </c>
      <c r="FZ90" s="6">
        <f>SUMIF('Eredeti fejléccel'!$B:$B,'Felosztás eredménykim'!$B90,'Eredeti fejléccel'!$CU:$CU)</f>
        <v>0</v>
      </c>
      <c r="GA90" s="103">
        <f t="shared" si="81"/>
        <v>648901.1373484236</v>
      </c>
      <c r="GB90" s="36">
        <f t="shared" si="109"/>
        <v>63746.304415539133</v>
      </c>
      <c r="GC90" s="101">
        <f t="shared" si="110"/>
        <v>23781.027162489896</v>
      </c>
      <c r="GD90" s="6">
        <f>SUMIF('Eredeti fejléccel'!$B:$B,'Felosztás eredménykim'!$B90,'Eredeti fejléccel'!$CV:$CV)</f>
        <v>64565</v>
      </c>
      <c r="GE90" s="6">
        <f>SUMIF('Eredeti fejléccel'!$B:$B,'Felosztás eredménykim'!$B90,'Eredeti fejléccel'!$CW:$CW)</f>
        <v>0</v>
      </c>
      <c r="GF90" s="103">
        <f t="shared" si="82"/>
        <v>88346.027162489889</v>
      </c>
      <c r="GG90" s="36">
        <f t="shared" si="111"/>
        <v>0</v>
      </c>
      <c r="GM90" s="6">
        <f>SUMIF('Eredeti fejléccel'!$B:$B,'Felosztás eredménykim'!$B90,'Eredeti fejléccel'!$CX:$CX)</f>
        <v>0</v>
      </c>
      <c r="GN90" s="6">
        <f>SUMIF('Eredeti fejléccel'!$B:$B,'Felosztás eredménykim'!$B90,'Eredeti fejléccel'!$CY:$CY)</f>
        <v>0</v>
      </c>
      <c r="GO90" s="6">
        <f>SUMIF('Eredeti fejléccel'!$B:$B,'Felosztás eredménykim'!$B90,'Eredeti fejléccel'!$CZ:$CZ)</f>
        <v>0</v>
      </c>
      <c r="GP90" s="6">
        <f>SUMIF('Eredeti fejléccel'!$B:$B,'Felosztás eredménykim'!$B90,'Eredeti fejléccel'!$DA:$DA)</f>
        <v>0</v>
      </c>
      <c r="GQ90" s="6">
        <f>SUMIF('Eredeti fejléccel'!$B:$B,'Felosztás eredménykim'!$B90,'Eredeti fejléccel'!$DB:$DB)</f>
        <v>0</v>
      </c>
      <c r="GR90" s="103">
        <f t="shared" si="83"/>
        <v>0</v>
      </c>
      <c r="GW90" s="36">
        <f t="shared" si="112"/>
        <v>109427.42305215713</v>
      </c>
      <c r="GX90" s="6">
        <f>SUMIF('Eredeti fejléccel'!$B:$B,'Felosztás eredménykim'!$B90,'Eredeti fejléccel'!$M:$M)</f>
        <v>0</v>
      </c>
      <c r="GY90" s="6">
        <f>SUMIF('Eredeti fejléccel'!$B:$B,'Felosztás eredménykim'!$B90,'Eredeti fejléccel'!$DC:$DC)</f>
        <v>0</v>
      </c>
      <c r="GZ90" s="6">
        <f>SUMIF('Eredeti fejléccel'!$B:$B,'Felosztás eredménykim'!$B90,'Eredeti fejléccel'!$DD:$DD)</f>
        <v>0</v>
      </c>
      <c r="HA90" s="6">
        <f>SUMIF('Eredeti fejléccel'!$B:$B,'Felosztás eredménykim'!$B90,'Eredeti fejléccel'!$DE:$DE)</f>
        <v>23263</v>
      </c>
      <c r="HB90" s="103">
        <f t="shared" si="84"/>
        <v>23263</v>
      </c>
      <c r="HD90" s="9">
        <f t="shared" si="137"/>
        <v>5824832.0000000065</v>
      </c>
      <c r="HE90" s="9">
        <v>5824832</v>
      </c>
      <c r="HF90" s="476"/>
      <c r="HH90" s="34">
        <f t="shared" si="85"/>
        <v>0</v>
      </c>
    </row>
    <row r="91" spans="1:218" x14ac:dyDescent="0.25">
      <c r="A91" s="4" t="s">
        <v>190</v>
      </c>
      <c r="B91" s="4" t="s">
        <v>190</v>
      </c>
      <c r="C91" s="1" t="s">
        <v>191</v>
      </c>
      <c r="D91" s="6">
        <f>SUMIF('Eredeti fejléccel'!$B:$B,'Felosztás eredménykim'!$B91,'Eredeti fejléccel'!$D:$D)</f>
        <v>0</v>
      </c>
      <c r="E91" s="6">
        <f>SUMIF('Eredeti fejléccel'!$B:$B,'Felosztás eredménykim'!$B91,'Eredeti fejléccel'!$E:$E)</f>
        <v>0</v>
      </c>
      <c r="F91" s="6">
        <f>SUMIF('Eredeti fejléccel'!$B:$B,'Felosztás eredménykim'!$B91,'Eredeti fejléccel'!$F:$F)</f>
        <v>0</v>
      </c>
      <c r="G91" s="6">
        <f>SUMIF('Eredeti fejléccel'!$B:$B,'Felosztás eredménykim'!$B91,'Eredeti fejléccel'!$G:$G)</f>
        <v>0</v>
      </c>
      <c r="H91" s="6"/>
      <c r="I91" s="6">
        <f>SUMIF('Eredeti fejléccel'!$B:$B,'Felosztás eredménykim'!$B91,'Eredeti fejléccel'!$O:$O)</f>
        <v>0</v>
      </c>
      <c r="J91" s="6">
        <f>SUMIF('Eredeti fejléccel'!$B:$B,'Felosztás eredménykim'!$B91,'Eredeti fejléccel'!$P:$P)</f>
        <v>0</v>
      </c>
      <c r="K91" s="6">
        <f>SUMIF('Eredeti fejléccel'!$B:$B,'Felosztás eredménykim'!$B91,'Eredeti fejléccel'!$Q:$Q)</f>
        <v>0</v>
      </c>
      <c r="L91" s="6">
        <f>SUMIF('Eredeti fejléccel'!$B:$B,'Felosztás eredménykim'!$B91,'Eredeti fejléccel'!$R:$R)</f>
        <v>0</v>
      </c>
      <c r="M91" s="6">
        <f>SUMIF('Eredeti fejléccel'!$B:$B,'Felosztás eredménykim'!$B91,'Eredeti fejléccel'!$T:$T)</f>
        <v>0</v>
      </c>
      <c r="N91" s="6">
        <f>SUMIF('Eredeti fejléccel'!$B:$B,'Felosztás eredménykim'!$B91,'Eredeti fejléccel'!$U:$U)</f>
        <v>0</v>
      </c>
      <c r="O91" s="6">
        <f>SUMIF('Eredeti fejléccel'!$B:$B,'Felosztás eredménykim'!$B91,'Eredeti fejléccel'!$V:$V)</f>
        <v>0</v>
      </c>
      <c r="P91" s="6">
        <f>SUMIF('Eredeti fejléccel'!$B:$B,'Felosztás eredménykim'!$B91,'Eredeti fejléccel'!$W:$W)</f>
        <v>0</v>
      </c>
      <c r="Q91" s="6">
        <f>SUMIF('Eredeti fejléccel'!$B:$B,'Felosztás eredménykim'!$B91,'Eredeti fejléccel'!$X:$X)</f>
        <v>0</v>
      </c>
      <c r="R91" s="6">
        <f>SUMIF('Eredeti fejléccel'!$B:$B,'Felosztás eredménykim'!$B91,'Eredeti fejléccel'!$Y:$Y)</f>
        <v>0</v>
      </c>
      <c r="S91" s="6">
        <f>SUMIF('Eredeti fejléccel'!$B:$B,'Felosztás eredménykim'!$B91,'Eredeti fejléccel'!$Z:$Z)</f>
        <v>0</v>
      </c>
      <c r="T91" s="6">
        <f>SUMIF('Eredeti fejléccel'!$B:$B,'Felosztás eredménykim'!$B91,'Eredeti fejléccel'!$AA:$AA)</f>
        <v>0</v>
      </c>
      <c r="U91" s="6">
        <f>SUMIF('Eredeti fejléccel'!$B:$B,'Felosztás eredménykim'!$B91,'Eredeti fejléccel'!$D:$D)</f>
        <v>0</v>
      </c>
      <c r="V91" s="6">
        <f>SUMIF('Eredeti fejléccel'!$B:$B,'Felosztás eredménykim'!$B91,'Eredeti fejléccel'!$AT:$AT)</f>
        <v>0</v>
      </c>
      <c r="X91" s="36">
        <f t="shared" si="86"/>
        <v>0</v>
      </c>
      <c r="Z91" s="6">
        <f>SUMIF('Eredeti fejléccel'!$B:$B,'Felosztás eredménykim'!$B91,'Eredeti fejléccel'!$K:$K)</f>
        <v>35862</v>
      </c>
      <c r="AB91" s="6">
        <f>SUMIF('Eredeti fejléccel'!$B:$B,'Felosztás eredménykim'!$B91,'Eredeti fejléccel'!$AB:$AB)</f>
        <v>0</v>
      </c>
      <c r="AC91" s="6">
        <f>SUMIF('Eredeti fejléccel'!$B:$B,'Felosztás eredménykim'!$B91,'Eredeti fejléccel'!$AQ:$AQ)</f>
        <v>0</v>
      </c>
      <c r="AE91" s="73">
        <f t="shared" si="131"/>
        <v>35862</v>
      </c>
      <c r="AF91" s="36">
        <f t="shared" si="87"/>
        <v>0</v>
      </c>
      <c r="AG91" s="8">
        <f t="shared" si="88"/>
        <v>11434.400321974776</v>
      </c>
      <c r="AI91" s="6">
        <f>SUMIF('Eredeti fejléccel'!$B:$B,'Felosztás eredménykim'!$B91,'Eredeti fejléccel'!$BB:$BB)</f>
        <v>522476</v>
      </c>
      <c r="AJ91" s="6">
        <f>SUMIF('Eredeti fejléccel'!$B:$B,'Felosztás eredménykim'!$B91,'Eredeti fejléccel'!$AF:$AF)</f>
        <v>0</v>
      </c>
      <c r="AK91" s="8">
        <f t="shared" si="73"/>
        <v>533910.40032197477</v>
      </c>
      <c r="AL91" s="36">
        <f t="shared" si="89"/>
        <v>0</v>
      </c>
      <c r="AM91" s="8">
        <f t="shared" si="90"/>
        <v>4541.6860745908225</v>
      </c>
      <c r="AN91" s="6">
        <f t="shared" si="123"/>
        <v>0</v>
      </c>
      <c r="AO91" s="6">
        <f>SUMIF('Eredeti fejléccel'!$B:$B,'Felosztás eredménykim'!$B91,'Eredeti fejléccel'!$AC:$AC)</f>
        <v>0</v>
      </c>
      <c r="AP91" s="6">
        <f>SUMIF('Eredeti fejléccel'!$B:$B,'Felosztás eredménykim'!$B91,'Eredeti fejléccel'!$AD:$AD)</f>
        <v>0</v>
      </c>
      <c r="AQ91" s="6">
        <f>SUMIF('Eredeti fejléccel'!$B:$B,'Felosztás eredménykim'!$B91,'Eredeti fejléccel'!$AE:$AE)</f>
        <v>0</v>
      </c>
      <c r="AR91" s="6">
        <f>SUMIF('Eredeti fejléccel'!$B:$B,'Felosztás eredménykim'!$B91,'Eredeti fejléccel'!$AG:$AG)</f>
        <v>0</v>
      </c>
      <c r="AS91" s="6">
        <f t="shared" si="124"/>
        <v>4541.6860745908225</v>
      </c>
      <c r="AT91" s="36">
        <f t="shared" si="91"/>
        <v>0</v>
      </c>
      <c r="AU91" s="8">
        <f t="shared" si="92"/>
        <v>7377.0324657901783</v>
      </c>
      <c r="AV91" s="6">
        <f>SUMIF('Eredeti fejléccel'!$B:$B,'Felosztás eredménykim'!$B91,'Eredeti fejléccel'!$AI:$AI)</f>
        <v>0</v>
      </c>
      <c r="AW91" s="6">
        <f>SUMIF('Eredeti fejléccel'!$B:$B,'Felosztás eredménykim'!$B91,'Eredeti fejléccel'!$AJ:$AJ)</f>
        <v>0</v>
      </c>
      <c r="AX91" s="6">
        <f>SUMIF('Eredeti fejléccel'!$B:$B,'Felosztás eredménykim'!$B91,'Eredeti fejléccel'!$AK:$AK)</f>
        <v>0</v>
      </c>
      <c r="AY91" s="6">
        <f>SUMIF('Eredeti fejléccel'!$B:$B,'Felosztás eredménykim'!$B91,'Eredeti fejléccel'!$AL:$AL)</f>
        <v>0</v>
      </c>
      <c r="AZ91" s="6">
        <f>SUMIF('Eredeti fejléccel'!$B:$B,'Felosztás eredménykim'!$B91,'Eredeti fejléccel'!$AM:$AM)</f>
        <v>0</v>
      </c>
      <c r="BA91" s="6">
        <f>SUMIF('Eredeti fejléccel'!$B:$B,'Felosztás eredménykim'!$B91,'Eredeti fejléccel'!$AN:$AN)</f>
        <v>0</v>
      </c>
      <c r="BB91" s="6">
        <f>SUMIF('Eredeti fejléccel'!$B:$B,'Felosztás eredménykim'!$B91,'Eredeti fejléccel'!$AP:$AP)</f>
        <v>0</v>
      </c>
      <c r="BD91" s="6">
        <f>SUMIF('Eredeti fejléccel'!$B:$B,'Felosztás eredménykim'!$B91,'Eredeti fejléccel'!$AS:$AS)</f>
        <v>0</v>
      </c>
      <c r="BE91" s="8">
        <f t="shared" si="74"/>
        <v>7377.0324657901783</v>
      </c>
      <c r="BF91" s="36">
        <f t="shared" si="93"/>
        <v>0</v>
      </c>
      <c r="BG91" s="8">
        <f t="shared" si="94"/>
        <v>1924.4432519452639</v>
      </c>
      <c r="BH91" s="6">
        <f t="shared" si="125"/>
        <v>0</v>
      </c>
      <c r="BI91" s="6">
        <f>SUMIF('Eredeti fejléccel'!$B:$B,'Felosztás eredménykim'!$B91,'Eredeti fejléccel'!$AH:$AH)</f>
        <v>0</v>
      </c>
      <c r="BJ91" s="6">
        <f>SUMIF('Eredeti fejléccel'!$B:$B,'Felosztás eredménykim'!$B91,'Eredeti fejléccel'!$AO:$AO)</f>
        <v>0</v>
      </c>
      <c r="BK91" s="6">
        <f>SUMIF('Eredeti fejléccel'!$B:$B,'Felosztás eredménykim'!$B91,'Eredeti fejléccel'!$BF:$BF)</f>
        <v>0</v>
      </c>
      <c r="BL91" s="8">
        <f t="shared" si="126"/>
        <v>1924.4432519452639</v>
      </c>
      <c r="BM91" s="36">
        <f t="shared" si="95"/>
        <v>0</v>
      </c>
      <c r="BN91" s="8">
        <f t="shared" si="96"/>
        <v>7210.247383954922</v>
      </c>
      <c r="BP91" s="8">
        <f t="shared" si="127"/>
        <v>0</v>
      </c>
      <c r="BQ91" s="6">
        <f>SUMIF('Eredeti fejléccel'!$B:$B,'Felosztás eredménykim'!$B91,'Eredeti fejléccel'!$N:$N)</f>
        <v>0</v>
      </c>
      <c r="BR91" s="6">
        <f>SUMIF('Eredeti fejléccel'!$B:$B,'Felosztás eredménykim'!$B91,'Eredeti fejléccel'!$S:$S)</f>
        <v>0</v>
      </c>
      <c r="BT91" s="6">
        <f>SUMIF('Eredeti fejléccel'!$B:$B,'Felosztás eredménykim'!$B91,'Eredeti fejléccel'!$AR:$AR)</f>
        <v>0</v>
      </c>
      <c r="BU91" s="6">
        <f>SUMIF('Eredeti fejléccel'!$B:$B,'Felosztás eredménykim'!$B91,'Eredeti fejléccel'!$AU:$AU)</f>
        <v>0</v>
      </c>
      <c r="BV91" s="6">
        <f>SUMIF('Eredeti fejléccel'!$B:$B,'Felosztás eredménykim'!$B91,'Eredeti fejléccel'!$AV:$AV)</f>
        <v>0</v>
      </c>
      <c r="BW91" s="6">
        <f>SUMIF('Eredeti fejléccel'!$B:$B,'Felosztás eredménykim'!$B91,'Eredeti fejléccel'!$AW:$AW)</f>
        <v>0</v>
      </c>
      <c r="BX91" s="6">
        <f>SUMIF('Eredeti fejléccel'!$B:$B,'Felosztás eredménykim'!$B91,'Eredeti fejléccel'!$AX:$AX)</f>
        <v>0</v>
      </c>
      <c r="BY91" s="6">
        <f>SUMIF('Eredeti fejléccel'!$B:$B,'Felosztás eredménykim'!$B91,'Eredeti fejléccel'!$AY:$AY)</f>
        <v>0</v>
      </c>
      <c r="BZ91" s="6">
        <f>SUMIF('Eredeti fejléccel'!$B:$B,'Felosztás eredménykim'!$B91,'Eredeti fejléccel'!$AZ:$AZ)</f>
        <v>0</v>
      </c>
      <c r="CA91" s="6">
        <f>SUMIF('Eredeti fejléccel'!$B:$B,'Felosztás eredménykim'!$B91,'Eredeti fejléccel'!$BA:$BA)</f>
        <v>0</v>
      </c>
      <c r="CB91" s="6">
        <f t="shared" si="114"/>
        <v>7210.247383954922</v>
      </c>
      <c r="CC91" s="36">
        <f t="shared" si="97"/>
        <v>0</v>
      </c>
      <c r="CD91" s="8">
        <f t="shared" si="98"/>
        <v>1962.9321169841692</v>
      </c>
      <c r="CE91" s="6">
        <f>SUMIF('Eredeti fejléccel'!$B:$B,'Felosztás eredménykim'!$B91,'Eredeti fejléccel'!$BC:$BC)</f>
        <v>0</v>
      </c>
      <c r="CF91" s="8">
        <f t="shared" si="135"/>
        <v>0</v>
      </c>
      <c r="CG91" s="6">
        <f>SUMIF('Eredeti fejléccel'!$B:$B,'Felosztás eredménykim'!$B91,'Eredeti fejléccel'!$H:$H)</f>
        <v>0</v>
      </c>
      <c r="CH91" s="6">
        <f>SUMIF('Eredeti fejléccel'!$B:$B,'Felosztás eredménykim'!$B91,'Eredeti fejléccel'!$BE:$BE)</f>
        <v>0</v>
      </c>
      <c r="CI91" s="6">
        <f t="shared" si="75"/>
        <v>1962.9321169841692</v>
      </c>
      <c r="CJ91" s="36">
        <f t="shared" si="99"/>
        <v>0</v>
      </c>
      <c r="CK91" s="8">
        <f t="shared" si="100"/>
        <v>1411.2583847598603</v>
      </c>
      <c r="CL91" s="8">
        <f t="shared" si="136"/>
        <v>0</v>
      </c>
      <c r="CM91" s="6">
        <f>SUMIF('Eredeti fejléccel'!$B:$B,'Felosztás eredménykim'!$B91,'Eredeti fejléccel'!$BD:$BD)</f>
        <v>0</v>
      </c>
      <c r="CN91" s="8">
        <f t="shared" si="76"/>
        <v>1411.2583847598603</v>
      </c>
      <c r="CO91" s="8">
        <f t="shared" si="115"/>
        <v>558338</v>
      </c>
      <c r="CR91" s="36">
        <f t="shared" si="101"/>
        <v>0</v>
      </c>
      <c r="CS91" s="6">
        <f>SUMIF('Eredeti fejléccel'!$B:$B,'Felosztás eredménykim'!$B91,'Eredeti fejléccel'!$I:$I)</f>
        <v>0</v>
      </c>
      <c r="CT91" s="6">
        <f>SUMIF('Eredeti fejléccel'!$B:$B,'Felosztás eredménykim'!$B91,'Eredeti fejléccel'!$BG:$BG)</f>
        <v>0</v>
      </c>
      <c r="CU91" s="6">
        <f>SUMIF('Eredeti fejléccel'!$B:$B,'Felosztás eredménykim'!$B91,'Eredeti fejléccel'!$BH:$BH)</f>
        <v>648505</v>
      </c>
      <c r="CV91" s="6">
        <f>SUMIF('Eredeti fejléccel'!$B:$B,'Felosztás eredménykim'!$B91,'Eredeti fejléccel'!$BI:$BI)</f>
        <v>0</v>
      </c>
      <c r="CW91" s="6">
        <f>SUMIF('Eredeti fejléccel'!$B:$B,'Felosztás eredménykim'!$B91,'Eredeti fejléccel'!$BL:$BL)</f>
        <v>0</v>
      </c>
      <c r="CX91" s="6">
        <f t="shared" si="77"/>
        <v>648505</v>
      </c>
      <c r="CY91" s="6">
        <f>SUMIF('Eredeti fejléccel'!$B:$B,'Felosztás eredménykim'!$B91,'Eredeti fejléccel'!$BJ:$BJ)</f>
        <v>0</v>
      </c>
      <c r="CZ91" s="6">
        <f>SUMIF('Eredeti fejléccel'!$B:$B,'Felosztás eredménykim'!$B91,'Eredeti fejléccel'!$BK:$BK)</f>
        <v>0</v>
      </c>
      <c r="DA91" s="99">
        <f t="shared" si="116"/>
        <v>648505</v>
      </c>
      <c r="DC91" s="36">
        <f t="shared" si="102"/>
        <v>0</v>
      </c>
      <c r="DD91" s="6">
        <f>SUMIF('Eredeti fejléccel'!$B:$B,'Felosztás eredménykim'!$B91,'Eredeti fejléccel'!$J:$J)</f>
        <v>0</v>
      </c>
      <c r="DE91" s="6">
        <f>SUMIF('Eredeti fejléccel'!$B:$B,'Felosztás eredménykim'!$B91,'Eredeti fejléccel'!$BM:$BM)</f>
        <v>0</v>
      </c>
      <c r="DF91" s="6">
        <f t="shared" si="128"/>
        <v>0</v>
      </c>
      <c r="DG91" s="8">
        <f t="shared" si="117"/>
        <v>0</v>
      </c>
      <c r="DH91" s="8">
        <f t="shared" si="129"/>
        <v>0</v>
      </c>
      <c r="DJ91" s="6">
        <f>SUMIF('Eredeti fejléccel'!$B:$B,'Felosztás eredménykim'!$B91,'Eredeti fejléccel'!$BN:$BN)</f>
        <v>10290</v>
      </c>
      <c r="DK91" s="6">
        <f>SUMIF('Eredeti fejléccel'!$B:$B,'Felosztás eredménykim'!$B91,'Eredeti fejléccel'!$BZ:$BZ)</f>
        <v>0</v>
      </c>
      <c r="DL91" s="8">
        <f t="shared" si="130"/>
        <v>10290</v>
      </c>
      <c r="DM91" s="6">
        <f>SUMIF('Eredeti fejléccel'!$B:$B,'Felosztás eredménykim'!$B91,'Eredeti fejléccel'!$BR:$BR)</f>
        <v>0</v>
      </c>
      <c r="DN91" s="6">
        <f>SUMIF('Eredeti fejléccel'!$B:$B,'Felosztás eredménykim'!$B91,'Eredeti fejléccel'!$BS:$BS)</f>
        <v>0</v>
      </c>
      <c r="DO91" s="6">
        <f>SUMIF('Eredeti fejléccel'!$B:$B,'Felosztás eredménykim'!$B91,'Eredeti fejléccel'!$BO:$BO)</f>
        <v>0</v>
      </c>
      <c r="DP91" s="6">
        <f>SUMIF('Eredeti fejléccel'!$B:$B,'Felosztás eredménykim'!$B91,'Eredeti fejléccel'!$BP:$BP)</f>
        <v>0</v>
      </c>
      <c r="DQ91" s="6">
        <f>SUMIF('Eredeti fejléccel'!$B:$B,'Felosztás eredménykim'!$B91,'Eredeti fejléccel'!$BQ:$BQ)</f>
        <v>0</v>
      </c>
      <c r="DS91" s="8"/>
      <c r="DU91" s="6">
        <f>SUMIF('Eredeti fejléccel'!$B:$B,'Felosztás eredménykim'!$B91,'Eredeti fejléccel'!$BT:$BT)</f>
        <v>0</v>
      </c>
      <c r="DV91" s="6">
        <f>SUMIF('Eredeti fejléccel'!$B:$B,'Felosztás eredménykim'!$B91,'Eredeti fejléccel'!$BU:$BU)</f>
        <v>0</v>
      </c>
      <c r="DW91" s="6">
        <f>SUMIF('Eredeti fejléccel'!$B:$B,'Felosztás eredménykim'!$B91,'Eredeti fejléccel'!$BV:$BV)</f>
        <v>0</v>
      </c>
      <c r="DX91" s="6">
        <f>SUMIF('Eredeti fejléccel'!$B:$B,'Felosztás eredménykim'!$B91,'Eredeti fejléccel'!$BW:$BW)</f>
        <v>0</v>
      </c>
      <c r="DY91" s="6">
        <f>SUMIF('Eredeti fejléccel'!$B:$B,'Felosztás eredménykim'!$B91,'Eredeti fejléccel'!$BX:$BX)</f>
        <v>0</v>
      </c>
      <c r="EA91" s="6"/>
      <c r="EC91" s="6"/>
      <c r="EE91" s="6">
        <f>SUMIF('Eredeti fejléccel'!$B:$B,'Felosztás eredménykim'!$B91,'Eredeti fejléccel'!$CA:$CA)</f>
        <v>0</v>
      </c>
      <c r="EF91" s="6">
        <f>SUMIF('Eredeti fejléccel'!$B:$B,'Felosztás eredménykim'!$B91,'Eredeti fejléccel'!$CB:$CB)</f>
        <v>0</v>
      </c>
      <c r="EG91" s="6">
        <f>SUMIF('Eredeti fejléccel'!$B:$B,'Felosztás eredménykim'!$B91,'Eredeti fejléccel'!$CC:$CC)</f>
        <v>0</v>
      </c>
      <c r="EH91" s="6">
        <f>SUMIF('Eredeti fejléccel'!$B:$B,'Felosztás eredménykim'!$B91,'Eredeti fejléccel'!$CD:$CD)</f>
        <v>0</v>
      </c>
      <c r="EK91" s="6">
        <f>SUMIF('Eredeti fejléccel'!$B:$B,'Felosztás eredménykim'!$B91,'Eredeti fejléccel'!$CE:$CE)</f>
        <v>0</v>
      </c>
      <c r="EN91" s="6">
        <f>SUMIF('Eredeti fejléccel'!$B:$B,'Felosztás eredménykim'!$B91,'Eredeti fejléccel'!$CF:$CF)</f>
        <v>0</v>
      </c>
      <c r="EP91" s="6">
        <f>SUMIF('Eredeti fejléccel'!$B:$B,'Felosztás eredménykim'!$B91,'Eredeti fejléccel'!$CG:$CG)</f>
        <v>0</v>
      </c>
      <c r="ES91" s="6">
        <f>SUMIF('Eredeti fejléccel'!$B:$B,'Felosztás eredménykim'!$B91,'Eredeti fejléccel'!$CH:$CH)</f>
        <v>0</v>
      </c>
      <c r="ET91" s="6">
        <f>SUMIF('Eredeti fejléccel'!$B:$B,'Felosztás eredménykim'!$B91,'Eredeti fejléccel'!$CI:$CI)</f>
        <v>0</v>
      </c>
      <c r="EW91" s="8">
        <f t="shared" si="118"/>
        <v>0</v>
      </c>
      <c r="EX91" s="8">
        <f t="shared" si="78"/>
        <v>0</v>
      </c>
      <c r="EY91" s="8">
        <f t="shared" si="119"/>
        <v>0</v>
      </c>
      <c r="EZ91" s="8">
        <f t="shared" si="120"/>
        <v>10290</v>
      </c>
      <c r="FA91" s="8">
        <f t="shared" si="121"/>
        <v>0</v>
      </c>
      <c r="FC91" s="6">
        <f>SUMIF('Eredeti fejléccel'!$B:$B,'Felosztás eredménykim'!$B91,'Eredeti fejléccel'!$L:$L)</f>
        <v>0</v>
      </c>
      <c r="FD91" s="6">
        <f>SUMIF('Eredeti fejléccel'!$B:$B,'Felosztás eredménykim'!$B91,'Eredeti fejléccel'!$CJ:$CJ)</f>
        <v>0</v>
      </c>
      <c r="FE91" s="6">
        <f>SUMIF('Eredeti fejléccel'!$B:$B,'Felosztás eredménykim'!$B91,'Eredeti fejléccel'!$CL:$CL)</f>
        <v>0</v>
      </c>
      <c r="FG91" s="99">
        <f t="shared" si="79"/>
        <v>0</v>
      </c>
      <c r="FH91" s="6">
        <f>SUMIF('Eredeti fejléccel'!$B:$B,'Felosztás eredménykim'!$B91,'Eredeti fejléccel'!$CK:$CK)</f>
        <v>0</v>
      </c>
      <c r="FI91" s="36">
        <f t="shared" si="103"/>
        <v>0</v>
      </c>
      <c r="FJ91" s="101">
        <f t="shared" si="104"/>
        <v>0</v>
      </c>
      <c r="FK91" s="6">
        <f>SUMIF('Eredeti fejléccel'!$B:$B,'Felosztás eredménykim'!$B91,'Eredeti fejléccel'!$CM:$CM)</f>
        <v>2382202</v>
      </c>
      <c r="FL91" s="6">
        <f>SUMIF('Eredeti fejléccel'!$B:$B,'Felosztás eredménykim'!$B91,'Eredeti fejléccel'!$CN:$CN)</f>
        <v>0</v>
      </c>
      <c r="FM91" s="8">
        <f t="shared" si="80"/>
        <v>2382202</v>
      </c>
      <c r="FN91" s="36">
        <f t="shared" si="105"/>
        <v>0</v>
      </c>
      <c r="FO91" s="101">
        <f t="shared" si="106"/>
        <v>0</v>
      </c>
      <c r="FP91" s="6">
        <f>SUMIF('Eredeti fejléccel'!$B:$B,'Felosztás eredménykim'!$B91,'Eredeti fejléccel'!$CO:$CO)</f>
        <v>0</v>
      </c>
      <c r="FQ91" s="6">
        <f>'Eredeti fejléccel'!CP91</f>
        <v>899668</v>
      </c>
      <c r="FR91" s="6">
        <f>'Eredeti fejléccel'!CQ91</f>
        <v>0</v>
      </c>
      <c r="FS91" s="103">
        <f t="shared" si="122"/>
        <v>899668</v>
      </c>
      <c r="FT91" s="36">
        <f t="shared" si="107"/>
        <v>0</v>
      </c>
      <c r="FU91" s="101">
        <f t="shared" si="108"/>
        <v>0</v>
      </c>
      <c r="FV91" s="101"/>
      <c r="FW91" s="6">
        <f>SUMIF('Eredeti fejléccel'!$B:$B,'Felosztás eredménykim'!$B91,'Eredeti fejléccel'!$CR:$CR)</f>
        <v>225008</v>
      </c>
      <c r="FX91" s="6">
        <f>SUMIF('Eredeti fejléccel'!$B:$B,'Felosztás eredménykim'!$B91,'Eredeti fejléccel'!$CS:$CS)</f>
        <v>4974</v>
      </c>
      <c r="FY91" s="6">
        <f>SUMIF('Eredeti fejléccel'!$B:$B,'Felosztás eredménykim'!$B91,'Eredeti fejléccel'!$CT:$CT)</f>
        <v>483205</v>
      </c>
      <c r="FZ91" s="6">
        <f>SUMIF('Eredeti fejléccel'!$B:$B,'Felosztás eredménykim'!$B91,'Eredeti fejléccel'!$CU:$CU)</f>
        <v>0</v>
      </c>
      <c r="GA91" s="103">
        <f t="shared" si="81"/>
        <v>713187</v>
      </c>
      <c r="GB91" s="36">
        <f t="shared" si="109"/>
        <v>0</v>
      </c>
      <c r="GC91" s="101">
        <f t="shared" si="110"/>
        <v>0</v>
      </c>
      <c r="GD91" s="6">
        <f>SUMIF('Eredeti fejléccel'!$B:$B,'Felosztás eredménykim'!$B91,'Eredeti fejléccel'!$CV:$CV)</f>
        <v>0</v>
      </c>
      <c r="GE91" s="6">
        <f>SUMIF('Eredeti fejléccel'!$B:$B,'Felosztás eredménykim'!$B91,'Eredeti fejléccel'!$CW:$CW)</f>
        <v>0</v>
      </c>
      <c r="GF91" s="103">
        <f t="shared" si="82"/>
        <v>0</v>
      </c>
      <c r="GG91" s="36">
        <f t="shared" si="111"/>
        <v>0</v>
      </c>
      <c r="GM91" s="6">
        <f>SUMIF('Eredeti fejléccel'!$B:$B,'Felosztás eredménykim'!$B91,'Eredeti fejléccel'!$CX:$CX)</f>
        <v>0</v>
      </c>
      <c r="GN91" s="6">
        <f>SUMIF('Eredeti fejléccel'!$B:$B,'Felosztás eredménykim'!$B91,'Eredeti fejléccel'!$CY:$CY)</f>
        <v>0</v>
      </c>
      <c r="GO91" s="6">
        <f>SUMIF('Eredeti fejléccel'!$B:$B,'Felosztás eredménykim'!$B91,'Eredeti fejléccel'!$CZ:$CZ)</f>
        <v>0</v>
      </c>
      <c r="GP91" s="6">
        <f>SUMIF('Eredeti fejléccel'!$B:$B,'Felosztás eredménykim'!$B91,'Eredeti fejléccel'!$DA:$DA)</f>
        <v>0</v>
      </c>
      <c r="GQ91" s="6">
        <f>SUMIF('Eredeti fejléccel'!$B:$B,'Felosztás eredménykim'!$B91,'Eredeti fejléccel'!$DB:$DB)</f>
        <v>0</v>
      </c>
      <c r="GR91" s="103">
        <f t="shared" si="83"/>
        <v>0</v>
      </c>
      <c r="GW91" s="36">
        <f t="shared" si="112"/>
        <v>0</v>
      </c>
      <c r="GX91" s="6">
        <f>SUMIF('Eredeti fejléccel'!$B:$B,'Felosztás eredménykim'!$B91,'Eredeti fejléccel'!$M:$M)</f>
        <v>0</v>
      </c>
      <c r="GY91" s="6">
        <f>SUMIF('Eredeti fejléccel'!$B:$B,'Felosztás eredménykim'!$B91,'Eredeti fejléccel'!$DC:$DC)</f>
        <v>0</v>
      </c>
      <c r="GZ91" s="6">
        <f>SUMIF('Eredeti fejléccel'!$B:$B,'Felosztás eredménykim'!$B91,'Eredeti fejléccel'!$DD:$DD)</f>
        <v>0</v>
      </c>
      <c r="HA91" s="6">
        <f>SUMIF('Eredeti fejléccel'!$B:$B,'Felosztás eredménykim'!$B91,'Eredeti fejléccel'!$DE:$DE)</f>
        <v>455093</v>
      </c>
      <c r="HB91" s="103">
        <f t="shared" si="84"/>
        <v>455093</v>
      </c>
      <c r="HD91" s="9">
        <f t="shared" si="137"/>
        <v>5667283.0000000037</v>
      </c>
      <c r="HE91" s="9">
        <v>5667283</v>
      </c>
      <c r="HF91" s="476"/>
      <c r="HH91" s="34">
        <f t="shared" si="85"/>
        <v>0</v>
      </c>
    </row>
    <row r="92" spans="1:218" x14ac:dyDescent="0.25">
      <c r="A92" s="4" t="s">
        <v>192</v>
      </c>
      <c r="B92" s="4" t="s">
        <v>192</v>
      </c>
      <c r="C92" s="1" t="s">
        <v>193</v>
      </c>
      <c r="D92" s="6">
        <f>SUMIF('Eredeti fejléccel'!$B:$B,'Felosztás eredménykim'!$B92,'Eredeti fejléccel'!$D:$D)</f>
        <v>0</v>
      </c>
      <c r="E92" s="6">
        <f>SUMIF('Eredeti fejléccel'!$B:$B,'Felosztás eredménykim'!$B92,'Eredeti fejléccel'!$E:$E)</f>
        <v>0</v>
      </c>
      <c r="F92" s="6">
        <f>SUMIF('Eredeti fejléccel'!$B:$B,'Felosztás eredménykim'!$B92,'Eredeti fejléccel'!$F:$F)</f>
        <v>0</v>
      </c>
      <c r="G92" s="6">
        <f>SUMIF('Eredeti fejléccel'!$B:$B,'Felosztás eredménykim'!$B92,'Eredeti fejléccel'!$G:$G)</f>
        <v>0</v>
      </c>
      <c r="H92" s="6"/>
      <c r="I92" s="6">
        <f>SUMIF('Eredeti fejléccel'!$B:$B,'Felosztás eredménykim'!$B92,'Eredeti fejléccel'!$O:$O)</f>
        <v>0</v>
      </c>
      <c r="J92" s="6">
        <f>SUMIF('Eredeti fejléccel'!$B:$B,'Felosztás eredménykim'!$B92,'Eredeti fejléccel'!$P:$P)</f>
        <v>0</v>
      </c>
      <c r="K92" s="6">
        <f>SUMIF('Eredeti fejléccel'!$B:$B,'Felosztás eredménykim'!$B92,'Eredeti fejléccel'!$Q:$Q)</f>
        <v>0</v>
      </c>
      <c r="L92" s="6">
        <f>SUMIF('Eredeti fejléccel'!$B:$B,'Felosztás eredménykim'!$B92,'Eredeti fejléccel'!$R:$R)</f>
        <v>0</v>
      </c>
      <c r="M92" s="6">
        <f>SUMIF('Eredeti fejléccel'!$B:$B,'Felosztás eredménykim'!$B92,'Eredeti fejléccel'!$T:$T)</f>
        <v>0</v>
      </c>
      <c r="N92" s="6">
        <f>SUMIF('Eredeti fejléccel'!$B:$B,'Felosztás eredménykim'!$B92,'Eredeti fejléccel'!$U:$U)</f>
        <v>0</v>
      </c>
      <c r="O92" s="6">
        <f>SUMIF('Eredeti fejléccel'!$B:$B,'Felosztás eredménykim'!$B92,'Eredeti fejléccel'!$V:$V)</f>
        <v>0</v>
      </c>
      <c r="P92" s="6">
        <f>SUMIF('Eredeti fejléccel'!$B:$B,'Felosztás eredménykim'!$B92,'Eredeti fejléccel'!$W:$W)</f>
        <v>0</v>
      </c>
      <c r="Q92" s="6">
        <f>SUMIF('Eredeti fejléccel'!$B:$B,'Felosztás eredménykim'!$B92,'Eredeti fejléccel'!$X:$X)</f>
        <v>0</v>
      </c>
      <c r="R92" s="6">
        <f>SUMIF('Eredeti fejléccel'!$B:$B,'Felosztás eredménykim'!$B92,'Eredeti fejléccel'!$Y:$Y)</f>
        <v>0</v>
      </c>
      <c r="S92" s="6">
        <f>SUMIF('Eredeti fejléccel'!$B:$B,'Felosztás eredménykim'!$B92,'Eredeti fejléccel'!$Z:$Z)</f>
        <v>0</v>
      </c>
      <c r="T92" s="6">
        <f>SUMIF('Eredeti fejléccel'!$B:$B,'Felosztás eredménykim'!$B92,'Eredeti fejléccel'!$AA:$AA)</f>
        <v>0</v>
      </c>
      <c r="U92" s="6">
        <f>SUMIF('Eredeti fejléccel'!$B:$B,'Felosztás eredménykim'!$B92,'Eredeti fejléccel'!$D:$D)</f>
        <v>0</v>
      </c>
      <c r="V92" s="6">
        <f>SUMIF('Eredeti fejléccel'!$B:$B,'Felosztás eredménykim'!$B92,'Eredeti fejléccel'!$AT:$AT)</f>
        <v>0</v>
      </c>
      <c r="X92" s="36">
        <f t="shared" si="86"/>
        <v>0</v>
      </c>
      <c r="Z92" s="6">
        <f>SUMIF('Eredeti fejléccel'!$B:$B,'Felosztás eredménykim'!$B92,'Eredeti fejléccel'!$K:$K)</f>
        <v>0</v>
      </c>
      <c r="AB92" s="6">
        <f>SUMIF('Eredeti fejléccel'!$B:$B,'Felosztás eredménykim'!$B92,'Eredeti fejléccel'!$AB:$AB)</f>
        <v>0</v>
      </c>
      <c r="AC92" s="6">
        <f>SUMIF('Eredeti fejléccel'!$B:$B,'Felosztás eredménykim'!$B92,'Eredeti fejléccel'!$AQ:$AQ)</f>
        <v>0</v>
      </c>
      <c r="AE92" s="73">
        <f t="shared" si="131"/>
        <v>0</v>
      </c>
      <c r="AF92" s="36">
        <f t="shared" si="87"/>
        <v>0</v>
      </c>
      <c r="AG92" s="8">
        <f t="shared" si="88"/>
        <v>0</v>
      </c>
      <c r="AI92" s="6">
        <f>SUMIF('Eredeti fejléccel'!$B:$B,'Felosztás eredménykim'!$B92,'Eredeti fejléccel'!$BB:$BB)</f>
        <v>0</v>
      </c>
      <c r="AJ92" s="6">
        <f>SUMIF('Eredeti fejléccel'!$B:$B,'Felosztás eredménykim'!$B92,'Eredeti fejléccel'!$AF:$AF)</f>
        <v>0</v>
      </c>
      <c r="AK92" s="8">
        <f t="shared" si="73"/>
        <v>0</v>
      </c>
      <c r="AL92" s="36">
        <f t="shared" si="89"/>
        <v>0</v>
      </c>
      <c r="AM92" s="8">
        <f t="shared" si="90"/>
        <v>0</v>
      </c>
      <c r="AN92" s="6">
        <f t="shared" si="123"/>
        <v>0</v>
      </c>
      <c r="AO92" s="6">
        <f>SUMIF('Eredeti fejléccel'!$B:$B,'Felosztás eredménykim'!$B92,'Eredeti fejléccel'!$AC:$AC)</f>
        <v>0</v>
      </c>
      <c r="AP92" s="6">
        <f>SUMIF('Eredeti fejléccel'!$B:$B,'Felosztás eredménykim'!$B92,'Eredeti fejléccel'!$AD:$AD)</f>
        <v>0</v>
      </c>
      <c r="AQ92" s="6">
        <f>SUMIF('Eredeti fejléccel'!$B:$B,'Felosztás eredménykim'!$B92,'Eredeti fejléccel'!$AE:$AE)</f>
        <v>0</v>
      </c>
      <c r="AR92" s="6">
        <f>SUMIF('Eredeti fejléccel'!$B:$B,'Felosztás eredménykim'!$B92,'Eredeti fejléccel'!$AG:$AG)</f>
        <v>0</v>
      </c>
      <c r="AS92" s="6">
        <f t="shared" si="124"/>
        <v>0</v>
      </c>
      <c r="AT92" s="36">
        <f t="shared" si="91"/>
        <v>0</v>
      </c>
      <c r="AU92" s="8">
        <f t="shared" si="92"/>
        <v>0</v>
      </c>
      <c r="AV92" s="6">
        <f>SUMIF('Eredeti fejléccel'!$B:$B,'Felosztás eredménykim'!$B92,'Eredeti fejléccel'!$AI:$AI)</f>
        <v>0</v>
      </c>
      <c r="AW92" s="6">
        <f>SUMIF('Eredeti fejléccel'!$B:$B,'Felosztás eredménykim'!$B92,'Eredeti fejléccel'!$AJ:$AJ)</f>
        <v>0</v>
      </c>
      <c r="AX92" s="6">
        <f>SUMIF('Eredeti fejléccel'!$B:$B,'Felosztás eredménykim'!$B92,'Eredeti fejléccel'!$AK:$AK)</f>
        <v>0</v>
      </c>
      <c r="AY92" s="6">
        <f>SUMIF('Eredeti fejléccel'!$B:$B,'Felosztás eredménykim'!$B92,'Eredeti fejléccel'!$AL:$AL)</f>
        <v>0</v>
      </c>
      <c r="AZ92" s="6">
        <f>SUMIF('Eredeti fejléccel'!$B:$B,'Felosztás eredménykim'!$B92,'Eredeti fejléccel'!$AM:$AM)</f>
        <v>0</v>
      </c>
      <c r="BA92" s="6">
        <f>SUMIF('Eredeti fejléccel'!$B:$B,'Felosztás eredménykim'!$B92,'Eredeti fejléccel'!$AN:$AN)</f>
        <v>0</v>
      </c>
      <c r="BB92" s="6">
        <f>SUMIF('Eredeti fejléccel'!$B:$B,'Felosztás eredménykim'!$B92,'Eredeti fejléccel'!$AP:$AP)</f>
        <v>0</v>
      </c>
      <c r="BD92" s="6">
        <f>SUMIF('Eredeti fejléccel'!$B:$B,'Felosztás eredménykim'!$B92,'Eredeti fejléccel'!$AS:$AS)</f>
        <v>0</v>
      </c>
      <c r="BE92" s="8">
        <f t="shared" si="74"/>
        <v>0</v>
      </c>
      <c r="BF92" s="36">
        <f t="shared" si="93"/>
        <v>0</v>
      </c>
      <c r="BG92" s="8">
        <f t="shared" si="94"/>
        <v>0</v>
      </c>
      <c r="BH92" s="6">
        <f t="shared" si="125"/>
        <v>0</v>
      </c>
      <c r="BI92" s="6">
        <f>SUMIF('Eredeti fejléccel'!$B:$B,'Felosztás eredménykim'!$B92,'Eredeti fejléccel'!$AH:$AH)</f>
        <v>0</v>
      </c>
      <c r="BJ92" s="6">
        <f>SUMIF('Eredeti fejléccel'!$B:$B,'Felosztás eredménykim'!$B92,'Eredeti fejléccel'!$AO:$AO)</f>
        <v>0</v>
      </c>
      <c r="BK92" s="6">
        <f>SUMIF('Eredeti fejléccel'!$B:$B,'Felosztás eredménykim'!$B92,'Eredeti fejléccel'!$BF:$BF)</f>
        <v>0</v>
      </c>
      <c r="BL92" s="8">
        <f t="shared" si="126"/>
        <v>0</v>
      </c>
      <c r="BM92" s="36">
        <f t="shared" si="95"/>
        <v>0</v>
      </c>
      <c r="BN92" s="8">
        <f t="shared" si="96"/>
        <v>0</v>
      </c>
      <c r="BP92" s="8">
        <f t="shared" si="127"/>
        <v>0</v>
      </c>
      <c r="BQ92" s="6">
        <f>SUMIF('Eredeti fejléccel'!$B:$B,'Felosztás eredménykim'!$B92,'Eredeti fejléccel'!$N:$N)</f>
        <v>0</v>
      </c>
      <c r="BR92" s="6">
        <f>SUMIF('Eredeti fejléccel'!$B:$B,'Felosztás eredménykim'!$B92,'Eredeti fejléccel'!$S:$S)</f>
        <v>0</v>
      </c>
      <c r="BT92" s="6">
        <f>SUMIF('Eredeti fejléccel'!$B:$B,'Felosztás eredménykim'!$B92,'Eredeti fejléccel'!$AR:$AR)</f>
        <v>0</v>
      </c>
      <c r="BU92" s="6">
        <f>SUMIF('Eredeti fejléccel'!$B:$B,'Felosztás eredménykim'!$B92,'Eredeti fejléccel'!$AU:$AU)</f>
        <v>0</v>
      </c>
      <c r="BV92" s="6">
        <f>SUMIF('Eredeti fejléccel'!$B:$B,'Felosztás eredménykim'!$B92,'Eredeti fejléccel'!$AV:$AV)</f>
        <v>625000</v>
      </c>
      <c r="BW92" s="6">
        <f>SUMIF('Eredeti fejléccel'!$B:$B,'Felosztás eredménykim'!$B92,'Eredeti fejléccel'!$AW:$AW)</f>
        <v>0</v>
      </c>
      <c r="BX92" s="6">
        <f>SUMIF('Eredeti fejléccel'!$B:$B,'Felosztás eredménykim'!$B92,'Eredeti fejléccel'!$AX:$AX)</f>
        <v>0</v>
      </c>
      <c r="BY92" s="6">
        <f>SUMIF('Eredeti fejléccel'!$B:$B,'Felosztás eredménykim'!$B92,'Eredeti fejléccel'!$AY:$AY)</f>
        <v>0</v>
      </c>
      <c r="BZ92" s="6">
        <f>SUMIF('Eredeti fejléccel'!$B:$B,'Felosztás eredménykim'!$B92,'Eredeti fejléccel'!$AZ:$AZ)</f>
        <v>0</v>
      </c>
      <c r="CA92" s="6">
        <f>SUMIF('Eredeti fejléccel'!$B:$B,'Felosztás eredménykim'!$B92,'Eredeti fejléccel'!$BA:$BA)</f>
        <v>150000</v>
      </c>
      <c r="CB92" s="6">
        <f t="shared" si="114"/>
        <v>775000</v>
      </c>
      <c r="CC92" s="36">
        <f t="shared" si="97"/>
        <v>0</v>
      </c>
      <c r="CD92" s="8">
        <f t="shared" si="98"/>
        <v>0</v>
      </c>
      <c r="CE92" s="6">
        <f>SUMIF('Eredeti fejléccel'!$B:$B,'Felosztás eredménykim'!$B92,'Eredeti fejléccel'!$BC:$BC)</f>
        <v>0</v>
      </c>
      <c r="CF92" s="8">
        <f t="shared" si="135"/>
        <v>0</v>
      </c>
      <c r="CG92" s="6">
        <f>SUMIF('Eredeti fejléccel'!$B:$B,'Felosztás eredménykim'!$B92,'Eredeti fejléccel'!$H:$H)</f>
        <v>0</v>
      </c>
      <c r="CH92" s="6">
        <f>SUMIF('Eredeti fejléccel'!$B:$B,'Felosztás eredménykim'!$B92,'Eredeti fejléccel'!$BE:$BE)</f>
        <v>0</v>
      </c>
      <c r="CI92" s="6">
        <f t="shared" si="75"/>
        <v>0</v>
      </c>
      <c r="CJ92" s="36">
        <f t="shared" si="99"/>
        <v>0</v>
      </c>
      <c r="CK92" s="8">
        <f t="shared" si="100"/>
        <v>0</v>
      </c>
      <c r="CL92" s="8">
        <f t="shared" si="136"/>
        <v>0</v>
      </c>
      <c r="CM92" s="6">
        <f>SUMIF('Eredeti fejléccel'!$B:$B,'Felosztás eredménykim'!$B92,'Eredeti fejléccel'!$BD:$BD)</f>
        <v>0</v>
      </c>
      <c r="CN92" s="8">
        <f t="shared" si="76"/>
        <v>0</v>
      </c>
      <c r="CO92" s="8">
        <f t="shared" si="115"/>
        <v>775000</v>
      </c>
      <c r="CR92" s="36">
        <f t="shared" si="101"/>
        <v>0</v>
      </c>
      <c r="CS92" s="6">
        <f>SUMIF('Eredeti fejléccel'!$B:$B,'Felosztás eredménykim'!$B92,'Eredeti fejléccel'!$I:$I)</f>
        <v>0</v>
      </c>
      <c r="CT92" s="6">
        <f>SUMIF('Eredeti fejléccel'!$B:$B,'Felosztás eredménykim'!$B92,'Eredeti fejléccel'!$BG:$BG)</f>
        <v>0</v>
      </c>
      <c r="CU92" s="6">
        <f>SUMIF('Eredeti fejléccel'!$B:$B,'Felosztás eredménykim'!$B92,'Eredeti fejléccel'!$BH:$BH)</f>
        <v>0</v>
      </c>
      <c r="CV92" s="6">
        <f>SUMIF('Eredeti fejléccel'!$B:$B,'Felosztás eredménykim'!$B92,'Eredeti fejléccel'!$BI:$BI)</f>
        <v>0</v>
      </c>
      <c r="CW92" s="6">
        <f>SUMIF('Eredeti fejléccel'!$B:$B,'Felosztás eredménykim'!$B92,'Eredeti fejléccel'!$BL:$BL)</f>
        <v>0</v>
      </c>
      <c r="CX92" s="6">
        <f t="shared" si="77"/>
        <v>0</v>
      </c>
      <c r="CY92" s="6">
        <f>SUMIF('Eredeti fejléccel'!$B:$B,'Felosztás eredménykim'!$B92,'Eredeti fejléccel'!$BJ:$BJ)</f>
        <v>0</v>
      </c>
      <c r="CZ92" s="6">
        <f>SUMIF('Eredeti fejléccel'!$B:$B,'Felosztás eredménykim'!$B92,'Eredeti fejléccel'!$BK:$BK)</f>
        <v>0</v>
      </c>
      <c r="DA92" s="99">
        <f t="shared" si="116"/>
        <v>0</v>
      </c>
      <c r="DC92" s="36">
        <f t="shared" si="102"/>
        <v>0</v>
      </c>
      <c r="DD92" s="6">
        <f>SUMIF('Eredeti fejléccel'!$B:$B,'Felosztás eredménykim'!$B92,'Eredeti fejléccel'!$J:$J)</f>
        <v>0</v>
      </c>
      <c r="DE92" s="6">
        <f>SUMIF('Eredeti fejléccel'!$B:$B,'Felosztás eredménykim'!$B92,'Eredeti fejléccel'!$BM:$BM)</f>
        <v>0</v>
      </c>
      <c r="DF92" s="6">
        <f t="shared" si="128"/>
        <v>0</v>
      </c>
      <c r="DG92" s="8">
        <f t="shared" si="117"/>
        <v>0</v>
      </c>
      <c r="DH92" s="8">
        <f t="shared" si="129"/>
        <v>0</v>
      </c>
      <c r="DJ92" s="6">
        <f>SUMIF('Eredeti fejléccel'!$B:$B,'Felosztás eredménykim'!$B92,'Eredeti fejléccel'!$BN:$BN)</f>
        <v>0</v>
      </c>
      <c r="DK92" s="6">
        <f>SUMIF('Eredeti fejléccel'!$B:$B,'Felosztás eredménykim'!$B92,'Eredeti fejléccel'!$BZ:$BZ)</f>
        <v>0</v>
      </c>
      <c r="DL92" s="8">
        <f t="shared" si="130"/>
        <v>0</v>
      </c>
      <c r="DM92" s="6">
        <f>SUMIF('Eredeti fejléccel'!$B:$B,'Felosztás eredménykim'!$B92,'Eredeti fejléccel'!$BR:$BR)</f>
        <v>0</v>
      </c>
      <c r="DN92" s="6">
        <f>SUMIF('Eredeti fejléccel'!$B:$B,'Felosztás eredménykim'!$B92,'Eredeti fejléccel'!$BS:$BS)</f>
        <v>0</v>
      </c>
      <c r="DO92" s="6">
        <f>SUMIF('Eredeti fejléccel'!$B:$B,'Felosztás eredménykim'!$B92,'Eredeti fejléccel'!$BO:$BO)</f>
        <v>0</v>
      </c>
      <c r="DP92" s="6">
        <f>SUMIF('Eredeti fejléccel'!$B:$B,'Felosztás eredménykim'!$B92,'Eredeti fejléccel'!$BP:$BP)</f>
        <v>0</v>
      </c>
      <c r="DQ92" s="6">
        <f>SUMIF('Eredeti fejléccel'!$B:$B,'Felosztás eredménykim'!$B92,'Eredeti fejléccel'!$BQ:$BQ)</f>
        <v>0</v>
      </c>
      <c r="DS92" s="8"/>
      <c r="DU92" s="6">
        <f>SUMIF('Eredeti fejléccel'!$B:$B,'Felosztás eredménykim'!$B92,'Eredeti fejléccel'!$BT:$BT)</f>
        <v>0</v>
      </c>
      <c r="DV92" s="6">
        <f>SUMIF('Eredeti fejléccel'!$B:$B,'Felosztás eredménykim'!$B92,'Eredeti fejléccel'!$BU:$BU)</f>
        <v>0</v>
      </c>
      <c r="DW92" s="6">
        <f>SUMIF('Eredeti fejléccel'!$B:$B,'Felosztás eredménykim'!$B92,'Eredeti fejléccel'!$BV:$BV)</f>
        <v>0</v>
      </c>
      <c r="DX92" s="6">
        <f>SUMIF('Eredeti fejléccel'!$B:$B,'Felosztás eredménykim'!$B92,'Eredeti fejléccel'!$BW:$BW)</f>
        <v>0</v>
      </c>
      <c r="DY92" s="6">
        <f>SUMIF('Eredeti fejléccel'!$B:$B,'Felosztás eredménykim'!$B92,'Eredeti fejléccel'!$BX:$BX)</f>
        <v>0</v>
      </c>
      <c r="EA92" s="6"/>
      <c r="EC92" s="6"/>
      <c r="EE92" s="6">
        <f>SUMIF('Eredeti fejléccel'!$B:$B,'Felosztás eredménykim'!$B92,'Eredeti fejléccel'!$CA:$CA)</f>
        <v>0</v>
      </c>
      <c r="EF92" s="6">
        <f>SUMIF('Eredeti fejléccel'!$B:$B,'Felosztás eredménykim'!$B92,'Eredeti fejléccel'!$CB:$CB)</f>
        <v>0</v>
      </c>
      <c r="EG92" s="6">
        <f>SUMIF('Eredeti fejléccel'!$B:$B,'Felosztás eredménykim'!$B92,'Eredeti fejléccel'!$CC:$CC)</f>
        <v>0</v>
      </c>
      <c r="EH92" s="6">
        <f>SUMIF('Eredeti fejléccel'!$B:$B,'Felosztás eredménykim'!$B92,'Eredeti fejléccel'!$CD:$CD)</f>
        <v>0</v>
      </c>
      <c r="EK92" s="6">
        <f>SUMIF('Eredeti fejléccel'!$B:$B,'Felosztás eredménykim'!$B92,'Eredeti fejléccel'!$CE:$CE)</f>
        <v>0</v>
      </c>
      <c r="EN92" s="6">
        <f>SUMIF('Eredeti fejléccel'!$B:$B,'Felosztás eredménykim'!$B92,'Eredeti fejléccel'!$CF:$CF)</f>
        <v>0</v>
      </c>
      <c r="EP92" s="6">
        <f>SUMIF('Eredeti fejléccel'!$B:$B,'Felosztás eredménykim'!$B92,'Eredeti fejléccel'!$CG:$CG)</f>
        <v>0</v>
      </c>
      <c r="ES92" s="6">
        <f>SUMIF('Eredeti fejléccel'!$B:$B,'Felosztás eredménykim'!$B92,'Eredeti fejléccel'!$CH:$CH)</f>
        <v>0</v>
      </c>
      <c r="ET92" s="6">
        <f>SUMIF('Eredeti fejléccel'!$B:$B,'Felosztás eredménykim'!$B92,'Eredeti fejléccel'!$CI:$CI)</f>
        <v>0</v>
      </c>
      <c r="EW92" s="8">
        <f t="shared" si="118"/>
        <v>0</v>
      </c>
      <c r="EX92" s="8">
        <f t="shared" si="78"/>
        <v>0</v>
      </c>
      <c r="EY92" s="8">
        <f t="shared" si="119"/>
        <v>0</v>
      </c>
      <c r="EZ92" s="8">
        <f t="shared" si="120"/>
        <v>0</v>
      </c>
      <c r="FA92" s="8">
        <f t="shared" si="121"/>
        <v>0</v>
      </c>
      <c r="FC92" s="6">
        <f>SUMIF('Eredeti fejléccel'!$B:$B,'Felosztás eredménykim'!$B92,'Eredeti fejléccel'!$L:$L)</f>
        <v>0</v>
      </c>
      <c r="FD92" s="6">
        <f>SUMIF('Eredeti fejléccel'!$B:$B,'Felosztás eredménykim'!$B92,'Eredeti fejléccel'!$CJ:$CJ)</f>
        <v>0</v>
      </c>
      <c r="FE92" s="6">
        <f>SUMIF('Eredeti fejléccel'!$B:$B,'Felosztás eredménykim'!$B92,'Eredeti fejléccel'!$CL:$CL)</f>
        <v>0</v>
      </c>
      <c r="FG92" s="99">
        <f t="shared" si="79"/>
        <v>0</v>
      </c>
      <c r="FH92" s="6">
        <f>SUMIF('Eredeti fejléccel'!$B:$B,'Felosztás eredménykim'!$B92,'Eredeti fejléccel'!$CK:$CK)</f>
        <v>0</v>
      </c>
      <c r="FI92" s="36">
        <f t="shared" si="103"/>
        <v>0</v>
      </c>
      <c r="FJ92" s="101">
        <f t="shared" si="104"/>
        <v>0</v>
      </c>
      <c r="FK92" s="6">
        <f>SUMIF('Eredeti fejléccel'!$B:$B,'Felosztás eredménykim'!$B92,'Eredeti fejléccel'!$CM:$CM)</f>
        <v>0</v>
      </c>
      <c r="FL92" s="6">
        <f>SUMIF('Eredeti fejléccel'!$B:$B,'Felosztás eredménykim'!$B92,'Eredeti fejléccel'!$CN:$CN)</f>
        <v>0</v>
      </c>
      <c r="FM92" s="8">
        <f t="shared" si="80"/>
        <v>0</v>
      </c>
      <c r="FN92" s="36">
        <f t="shared" si="105"/>
        <v>0</v>
      </c>
      <c r="FO92" s="101">
        <f t="shared" si="106"/>
        <v>0</v>
      </c>
      <c r="FP92" s="6">
        <f>SUMIF('Eredeti fejléccel'!$B:$B,'Felosztás eredménykim'!$B92,'Eredeti fejléccel'!$CO:$CO)</f>
        <v>0</v>
      </c>
      <c r="FQ92" s="6">
        <f>'Eredeti fejléccel'!CP92</f>
        <v>0</v>
      </c>
      <c r="FR92" s="6">
        <f>'Eredeti fejléccel'!CQ92</f>
        <v>0</v>
      </c>
      <c r="FS92" s="103">
        <f t="shared" si="122"/>
        <v>0</v>
      </c>
      <c r="FT92" s="36">
        <f t="shared" si="107"/>
        <v>0</v>
      </c>
      <c r="FU92" s="101">
        <f t="shared" si="108"/>
        <v>0</v>
      </c>
      <c r="FV92" s="101"/>
      <c r="FW92" s="6">
        <f>SUMIF('Eredeti fejléccel'!$B:$B,'Felosztás eredménykim'!$B92,'Eredeti fejléccel'!$CR:$CR)</f>
        <v>0</v>
      </c>
      <c r="FX92" s="6">
        <f>SUMIF('Eredeti fejléccel'!$B:$B,'Felosztás eredménykim'!$B92,'Eredeti fejléccel'!$CS:$CS)</f>
        <v>0</v>
      </c>
      <c r="FY92" s="6">
        <f>SUMIF('Eredeti fejléccel'!$B:$B,'Felosztás eredménykim'!$B92,'Eredeti fejléccel'!$CT:$CT)</f>
        <v>0</v>
      </c>
      <c r="FZ92" s="6">
        <f>SUMIF('Eredeti fejléccel'!$B:$B,'Felosztás eredménykim'!$B92,'Eredeti fejléccel'!$CU:$CU)</f>
        <v>0</v>
      </c>
      <c r="GA92" s="103">
        <f t="shared" si="81"/>
        <v>0</v>
      </c>
      <c r="GB92" s="36">
        <f t="shared" si="109"/>
        <v>0</v>
      </c>
      <c r="GC92" s="101">
        <f t="shared" si="110"/>
        <v>0</v>
      </c>
      <c r="GD92" s="6">
        <f>SUMIF('Eredeti fejléccel'!$B:$B,'Felosztás eredménykim'!$B92,'Eredeti fejléccel'!$CV:$CV)</f>
        <v>0</v>
      </c>
      <c r="GE92" s="6">
        <f>SUMIF('Eredeti fejléccel'!$B:$B,'Felosztás eredménykim'!$B92,'Eredeti fejléccel'!$CW:$CW)</f>
        <v>0</v>
      </c>
      <c r="GF92" s="103">
        <f t="shared" si="82"/>
        <v>0</v>
      </c>
      <c r="GG92" s="36">
        <f t="shared" si="111"/>
        <v>0</v>
      </c>
      <c r="GM92" s="6">
        <f>SUMIF('Eredeti fejléccel'!$B:$B,'Felosztás eredménykim'!$B92,'Eredeti fejléccel'!$CX:$CX)</f>
        <v>0</v>
      </c>
      <c r="GN92" s="6">
        <f>SUMIF('Eredeti fejléccel'!$B:$B,'Felosztás eredménykim'!$B92,'Eredeti fejléccel'!$CY:$CY)</f>
        <v>0</v>
      </c>
      <c r="GO92" s="6">
        <f>SUMIF('Eredeti fejléccel'!$B:$B,'Felosztás eredménykim'!$B92,'Eredeti fejléccel'!$CZ:$CZ)</f>
        <v>0</v>
      </c>
      <c r="GP92" s="6">
        <f>SUMIF('Eredeti fejléccel'!$B:$B,'Felosztás eredménykim'!$B92,'Eredeti fejléccel'!$DA:$DA)</f>
        <v>0</v>
      </c>
      <c r="GQ92" s="6">
        <f>SUMIF('Eredeti fejléccel'!$B:$B,'Felosztás eredménykim'!$B92,'Eredeti fejléccel'!$DB:$DB)</f>
        <v>0</v>
      </c>
      <c r="GR92" s="103">
        <f t="shared" si="83"/>
        <v>0</v>
      </c>
      <c r="GW92" s="36">
        <f t="shared" si="112"/>
        <v>0</v>
      </c>
      <c r="GX92" s="6">
        <f>SUMIF('Eredeti fejléccel'!$B:$B,'Felosztás eredménykim'!$B92,'Eredeti fejléccel'!$M:$M)</f>
        <v>0</v>
      </c>
      <c r="GY92" s="6">
        <f>SUMIF('Eredeti fejléccel'!$B:$B,'Felosztás eredménykim'!$B92,'Eredeti fejléccel'!$DC:$DC)</f>
        <v>0</v>
      </c>
      <c r="GZ92" s="6">
        <f>SUMIF('Eredeti fejléccel'!$B:$B,'Felosztás eredménykim'!$B92,'Eredeti fejléccel'!$DD:$DD)</f>
        <v>0</v>
      </c>
      <c r="HA92" s="6">
        <f>SUMIF('Eredeti fejléccel'!$B:$B,'Felosztás eredménykim'!$B92,'Eredeti fejléccel'!$DE:$DE)</f>
        <v>0</v>
      </c>
      <c r="HB92" s="103">
        <f t="shared" si="84"/>
        <v>0</v>
      </c>
      <c r="HD92" s="9">
        <f t="shared" si="137"/>
        <v>775000</v>
      </c>
      <c r="HE92" s="9">
        <v>775000</v>
      </c>
      <c r="HF92" s="476"/>
      <c r="HH92" s="34">
        <f t="shared" si="85"/>
        <v>0</v>
      </c>
    </row>
    <row r="93" spans="1:218" x14ac:dyDescent="0.25">
      <c r="A93" s="4" t="s">
        <v>194</v>
      </c>
      <c r="B93" s="4" t="s">
        <v>194</v>
      </c>
      <c r="C93" s="1" t="s">
        <v>195</v>
      </c>
      <c r="D93" s="6">
        <f>SUMIF('Eredeti fejléccel'!$B:$B,'Felosztás eredménykim'!$B93,'Eredeti fejléccel'!$D:$D)</f>
        <v>0</v>
      </c>
      <c r="E93" s="6">
        <f>SUMIF('Eredeti fejléccel'!$B:$B,'Felosztás eredménykim'!$B93,'Eredeti fejléccel'!$E:$E)</f>
        <v>0</v>
      </c>
      <c r="F93" s="6">
        <f>SUMIF('Eredeti fejléccel'!$B:$B,'Felosztás eredménykim'!$B93,'Eredeti fejléccel'!$F:$F)</f>
        <v>0</v>
      </c>
      <c r="G93" s="6">
        <f>SUMIF('Eredeti fejléccel'!$B:$B,'Felosztás eredménykim'!$B93,'Eredeti fejléccel'!$G:$G)</f>
        <v>0</v>
      </c>
      <c r="H93" s="6"/>
      <c r="I93" s="6">
        <f>SUMIF('Eredeti fejléccel'!$B:$B,'Felosztás eredménykim'!$B93,'Eredeti fejléccel'!$O:$O)</f>
        <v>0</v>
      </c>
      <c r="J93" s="6">
        <f>SUMIF('Eredeti fejléccel'!$B:$B,'Felosztás eredménykim'!$B93,'Eredeti fejléccel'!$P:$P)</f>
        <v>0</v>
      </c>
      <c r="K93" s="6">
        <f>SUMIF('Eredeti fejléccel'!$B:$B,'Felosztás eredménykim'!$B93,'Eredeti fejléccel'!$Q:$Q)</f>
        <v>0</v>
      </c>
      <c r="L93" s="6">
        <f>SUMIF('Eredeti fejléccel'!$B:$B,'Felosztás eredménykim'!$B93,'Eredeti fejléccel'!$R:$R)</f>
        <v>0</v>
      </c>
      <c r="M93" s="6">
        <f>SUMIF('Eredeti fejléccel'!$B:$B,'Felosztás eredménykim'!$B93,'Eredeti fejléccel'!$T:$T)</f>
        <v>0</v>
      </c>
      <c r="N93" s="6">
        <f>SUMIF('Eredeti fejléccel'!$B:$B,'Felosztás eredménykim'!$B93,'Eredeti fejléccel'!$U:$U)</f>
        <v>0</v>
      </c>
      <c r="O93" s="6">
        <f>SUMIF('Eredeti fejléccel'!$B:$B,'Felosztás eredménykim'!$B93,'Eredeti fejléccel'!$V:$V)</f>
        <v>0</v>
      </c>
      <c r="P93" s="6">
        <f>SUMIF('Eredeti fejléccel'!$B:$B,'Felosztás eredménykim'!$B93,'Eredeti fejléccel'!$W:$W)</f>
        <v>0</v>
      </c>
      <c r="Q93" s="6">
        <f>SUMIF('Eredeti fejléccel'!$B:$B,'Felosztás eredménykim'!$B93,'Eredeti fejléccel'!$X:$X)</f>
        <v>0</v>
      </c>
      <c r="R93" s="6">
        <f>SUMIF('Eredeti fejléccel'!$B:$B,'Felosztás eredménykim'!$B93,'Eredeti fejléccel'!$Y:$Y)</f>
        <v>0</v>
      </c>
      <c r="S93" s="6">
        <f>SUMIF('Eredeti fejléccel'!$B:$B,'Felosztás eredménykim'!$B93,'Eredeti fejléccel'!$Z:$Z)</f>
        <v>0</v>
      </c>
      <c r="T93" s="6">
        <f>SUMIF('Eredeti fejléccel'!$B:$B,'Felosztás eredménykim'!$B93,'Eredeti fejléccel'!$AA:$AA)</f>
        <v>0</v>
      </c>
      <c r="U93" s="6">
        <f>SUMIF('Eredeti fejléccel'!$B:$B,'Felosztás eredménykim'!$B93,'Eredeti fejléccel'!$D:$D)</f>
        <v>0</v>
      </c>
      <c r="V93" s="6">
        <f>SUMIF('Eredeti fejléccel'!$B:$B,'Felosztás eredménykim'!$B93,'Eredeti fejléccel'!$AT:$AT)</f>
        <v>975863</v>
      </c>
      <c r="X93" s="36">
        <f t="shared" si="86"/>
        <v>975863</v>
      </c>
      <c r="Z93" s="6">
        <f>SUMIF('Eredeti fejléccel'!$B:$B,'Felosztás eredménykim'!$B93,'Eredeti fejléccel'!$K:$K)</f>
        <v>0</v>
      </c>
      <c r="AB93" s="6">
        <f>SUMIF('Eredeti fejléccel'!$B:$B,'Felosztás eredménykim'!$B93,'Eredeti fejléccel'!$AB:$AB)</f>
        <v>0</v>
      </c>
      <c r="AC93" s="6">
        <f>SUMIF('Eredeti fejléccel'!$B:$B,'Felosztás eredménykim'!$B93,'Eredeti fejléccel'!$AQ:$AQ)</f>
        <v>0</v>
      </c>
      <c r="AE93" s="73">
        <f t="shared" si="131"/>
        <v>0</v>
      </c>
      <c r="AF93" s="36">
        <f t="shared" si="87"/>
        <v>116415.22677140408</v>
      </c>
      <c r="AG93" s="8">
        <f t="shared" si="88"/>
        <v>0</v>
      </c>
      <c r="AI93" s="6">
        <f>SUMIF('Eredeti fejléccel'!$B:$B,'Felosztás eredménykim'!$B93,'Eredeti fejléccel'!$BB:$BB)</f>
        <v>0</v>
      </c>
      <c r="AJ93" s="6">
        <f>SUMIF('Eredeti fejléccel'!$B:$B,'Felosztás eredménykim'!$B93,'Eredeti fejléccel'!$AF:$AF)</f>
        <v>0</v>
      </c>
      <c r="AK93" s="8">
        <f t="shared" si="73"/>
        <v>0</v>
      </c>
      <c r="AL93" s="36">
        <f t="shared" si="89"/>
        <v>46239.540282835398</v>
      </c>
      <c r="AM93" s="8">
        <f t="shared" si="90"/>
        <v>0</v>
      </c>
      <c r="AN93" s="6">
        <f t="shared" si="123"/>
        <v>0</v>
      </c>
      <c r="AO93" s="6">
        <f>SUMIF('Eredeti fejléccel'!$B:$B,'Felosztás eredménykim'!$B93,'Eredeti fejléccel'!$AC:$AC)</f>
        <v>0</v>
      </c>
      <c r="AP93" s="6">
        <f>SUMIF('Eredeti fejléccel'!$B:$B,'Felosztás eredménykim'!$B93,'Eredeti fejléccel'!$AD:$AD)</f>
        <v>0</v>
      </c>
      <c r="AQ93" s="6">
        <f>SUMIF('Eredeti fejléccel'!$B:$B,'Felosztás eredménykim'!$B93,'Eredeti fejléccel'!$AE:$AE)</f>
        <v>0</v>
      </c>
      <c r="AR93" s="6">
        <f>SUMIF('Eredeti fejléccel'!$B:$B,'Felosztás eredménykim'!$B93,'Eredeti fejléccel'!$AG:$AG)</f>
        <v>0</v>
      </c>
      <c r="AS93" s="6">
        <f t="shared" si="124"/>
        <v>0</v>
      </c>
      <c r="AT93" s="36">
        <f t="shared" si="91"/>
        <v>75106.597917034902</v>
      </c>
      <c r="AU93" s="8">
        <f t="shared" si="92"/>
        <v>0</v>
      </c>
      <c r="AV93" s="6">
        <f>SUMIF('Eredeti fejléccel'!$B:$B,'Felosztás eredménykim'!$B93,'Eredeti fejléccel'!$AI:$AI)</f>
        <v>0</v>
      </c>
      <c r="AW93" s="6">
        <f>SUMIF('Eredeti fejléccel'!$B:$B,'Felosztás eredménykim'!$B93,'Eredeti fejléccel'!$AJ:$AJ)</f>
        <v>0</v>
      </c>
      <c r="AX93" s="6">
        <f>SUMIF('Eredeti fejléccel'!$B:$B,'Felosztás eredménykim'!$B93,'Eredeti fejléccel'!$AK:$AK)</f>
        <v>0</v>
      </c>
      <c r="AY93" s="6">
        <f>SUMIF('Eredeti fejléccel'!$B:$B,'Felosztás eredménykim'!$B93,'Eredeti fejléccel'!$AL:$AL)</f>
        <v>0</v>
      </c>
      <c r="AZ93" s="6">
        <f>SUMIF('Eredeti fejléccel'!$B:$B,'Felosztás eredménykim'!$B93,'Eredeti fejléccel'!$AM:$AM)</f>
        <v>0</v>
      </c>
      <c r="BA93" s="6">
        <f>SUMIF('Eredeti fejléccel'!$B:$B,'Felosztás eredménykim'!$B93,'Eredeti fejléccel'!$AN:$AN)</f>
        <v>0</v>
      </c>
      <c r="BB93" s="6">
        <f>SUMIF('Eredeti fejléccel'!$B:$B,'Felosztás eredménykim'!$B93,'Eredeti fejléccel'!$AP:$AP)</f>
        <v>0</v>
      </c>
      <c r="BD93" s="6">
        <f>SUMIF('Eredeti fejléccel'!$B:$B,'Felosztás eredménykim'!$B93,'Eredeti fejléccel'!$AS:$AS)</f>
        <v>0</v>
      </c>
      <c r="BE93" s="8">
        <f t="shared" si="74"/>
        <v>0</v>
      </c>
      <c r="BF93" s="36">
        <f t="shared" si="93"/>
        <v>19593.02554357432</v>
      </c>
      <c r="BG93" s="8">
        <f t="shared" si="94"/>
        <v>0</v>
      </c>
      <c r="BH93" s="6">
        <f t="shared" si="125"/>
        <v>0</v>
      </c>
      <c r="BI93" s="6">
        <f>SUMIF('Eredeti fejléccel'!$B:$B,'Felosztás eredménykim'!$B93,'Eredeti fejléccel'!$AH:$AH)</f>
        <v>0</v>
      </c>
      <c r="BJ93" s="6">
        <f>SUMIF('Eredeti fejléccel'!$B:$B,'Felosztás eredménykim'!$B93,'Eredeti fejléccel'!$AO:$AO)</f>
        <v>0</v>
      </c>
      <c r="BK93" s="6">
        <f>SUMIF('Eredeti fejléccel'!$B:$B,'Felosztás eredménykim'!$B93,'Eredeti fejléccel'!$BF:$BF)</f>
        <v>0</v>
      </c>
      <c r="BL93" s="8">
        <f t="shared" si="126"/>
        <v>0</v>
      </c>
      <c r="BM93" s="36">
        <f t="shared" si="95"/>
        <v>73408.535703258458</v>
      </c>
      <c r="BN93" s="8">
        <f t="shared" si="96"/>
        <v>0</v>
      </c>
      <c r="BP93" s="8">
        <f t="shared" si="127"/>
        <v>0</v>
      </c>
      <c r="BQ93" s="6">
        <f>SUMIF('Eredeti fejléccel'!$B:$B,'Felosztás eredménykim'!$B93,'Eredeti fejléccel'!$N:$N)</f>
        <v>0</v>
      </c>
      <c r="BR93" s="6">
        <f>SUMIF('Eredeti fejléccel'!$B:$B,'Felosztás eredménykim'!$B93,'Eredeti fejléccel'!$S:$S)</f>
        <v>0</v>
      </c>
      <c r="BT93" s="6">
        <f>SUMIF('Eredeti fejléccel'!$B:$B,'Felosztás eredménykim'!$B93,'Eredeti fejléccel'!$AR:$AR)</f>
        <v>0</v>
      </c>
      <c r="BU93" s="6">
        <f>SUMIF('Eredeti fejléccel'!$B:$B,'Felosztás eredménykim'!$B93,'Eredeti fejléccel'!$AU:$AU)</f>
        <v>0</v>
      </c>
      <c r="BV93" s="6">
        <f>SUMIF('Eredeti fejléccel'!$B:$B,'Felosztás eredménykim'!$B93,'Eredeti fejléccel'!$AV:$AV)</f>
        <v>0</v>
      </c>
      <c r="BW93" s="6">
        <f>SUMIF('Eredeti fejléccel'!$B:$B,'Felosztás eredménykim'!$B93,'Eredeti fejléccel'!$AW:$AW)</f>
        <v>0</v>
      </c>
      <c r="BX93" s="6">
        <f>SUMIF('Eredeti fejléccel'!$B:$B,'Felosztás eredménykim'!$B93,'Eredeti fejléccel'!$AX:$AX)</f>
        <v>0</v>
      </c>
      <c r="BY93" s="6">
        <f>SUMIF('Eredeti fejléccel'!$B:$B,'Felosztás eredménykim'!$B93,'Eredeti fejléccel'!$AY:$AY)</f>
        <v>0</v>
      </c>
      <c r="BZ93" s="6">
        <f>SUMIF('Eredeti fejléccel'!$B:$B,'Felosztás eredménykim'!$B93,'Eredeti fejléccel'!$AZ:$AZ)</f>
        <v>0</v>
      </c>
      <c r="CA93" s="6">
        <f>SUMIF('Eredeti fejléccel'!$B:$B,'Felosztás eredménykim'!$B93,'Eredeti fejléccel'!$BA:$BA)</f>
        <v>0</v>
      </c>
      <c r="CB93" s="6">
        <f t="shared" si="114"/>
        <v>0</v>
      </c>
      <c r="CC93" s="36">
        <f t="shared" si="97"/>
        <v>19984.886054445808</v>
      </c>
      <c r="CD93" s="8">
        <f t="shared" si="98"/>
        <v>0</v>
      </c>
      <c r="CE93" s="6">
        <f>SUMIF('Eredeti fejléccel'!$B:$B,'Felosztás eredménykim'!$B93,'Eredeti fejléccel'!$BC:$BC)</f>
        <v>0</v>
      </c>
      <c r="CF93" s="8">
        <f t="shared" si="135"/>
        <v>0</v>
      </c>
      <c r="CG93" s="6">
        <f>SUMIF('Eredeti fejléccel'!$B:$B,'Felosztás eredménykim'!$B93,'Eredeti fejléccel'!$H:$H)</f>
        <v>0</v>
      </c>
      <c r="CH93" s="6">
        <f>SUMIF('Eredeti fejléccel'!$B:$B,'Felosztás eredménykim'!$B93,'Eredeti fejléccel'!$BE:$BE)</f>
        <v>0</v>
      </c>
      <c r="CI93" s="6">
        <f t="shared" si="75"/>
        <v>0</v>
      </c>
      <c r="CJ93" s="36">
        <f t="shared" si="99"/>
        <v>14368.218731954505</v>
      </c>
      <c r="CK93" s="8">
        <f t="shared" si="100"/>
        <v>0</v>
      </c>
      <c r="CL93" s="8">
        <f t="shared" si="136"/>
        <v>0</v>
      </c>
      <c r="CM93" s="6">
        <f>SUMIF('Eredeti fejléccel'!$B:$B,'Felosztás eredménykim'!$B93,'Eredeti fejléccel'!$BD:$BD)</f>
        <v>0</v>
      </c>
      <c r="CN93" s="8">
        <f t="shared" si="76"/>
        <v>0</v>
      </c>
      <c r="CO93" s="8">
        <f t="shared" si="115"/>
        <v>365116.0310045075</v>
      </c>
      <c r="CR93" s="36">
        <f t="shared" si="101"/>
        <v>86307.007759175802</v>
      </c>
      <c r="CS93" s="6">
        <f>SUMIF('Eredeti fejléccel'!$B:$B,'Felosztás eredménykim'!$B93,'Eredeti fejléccel'!$I:$I)</f>
        <v>0</v>
      </c>
      <c r="CT93" s="6">
        <f>SUMIF('Eredeti fejléccel'!$B:$B,'Felosztás eredménykim'!$B93,'Eredeti fejléccel'!$BG:$BG)</f>
        <v>0</v>
      </c>
      <c r="CU93" s="6">
        <f>SUMIF('Eredeti fejléccel'!$B:$B,'Felosztás eredménykim'!$B93,'Eredeti fejléccel'!$BH:$BH)</f>
        <v>1738355</v>
      </c>
      <c r="CV93" s="6">
        <f>SUMIF('Eredeti fejléccel'!$B:$B,'Felosztás eredménykim'!$B93,'Eredeti fejléccel'!$BI:$BI)</f>
        <v>0</v>
      </c>
      <c r="CW93" s="6">
        <f>SUMIF('Eredeti fejléccel'!$B:$B,'Felosztás eredménykim'!$B93,'Eredeti fejléccel'!$BL:$BL)</f>
        <v>0</v>
      </c>
      <c r="CX93" s="6">
        <f t="shared" si="77"/>
        <v>1738355</v>
      </c>
      <c r="CY93" s="6">
        <f>SUMIF('Eredeti fejléccel'!$B:$B,'Felosztás eredménykim'!$B93,'Eredeti fejléccel'!$BJ:$BJ)</f>
        <v>0</v>
      </c>
      <c r="CZ93" s="6">
        <f>SUMIF('Eredeti fejléccel'!$B:$B,'Felosztás eredménykim'!$B93,'Eredeti fejléccel'!$BK:$BK)</f>
        <v>0</v>
      </c>
      <c r="DA93" s="99">
        <f t="shared" si="116"/>
        <v>1738355</v>
      </c>
      <c r="DC93" s="36">
        <f t="shared" si="102"/>
        <v>75593.251062459778</v>
      </c>
      <c r="DD93" s="6">
        <f>SUMIF('Eredeti fejléccel'!$B:$B,'Felosztás eredménykim'!$B93,'Eredeti fejléccel'!$J:$J)</f>
        <v>0</v>
      </c>
      <c r="DE93" s="6">
        <f>SUMIF('Eredeti fejléccel'!$B:$B,'Felosztás eredménykim'!$B93,'Eredeti fejléccel'!$BM:$BM)</f>
        <v>0</v>
      </c>
      <c r="DF93" s="6">
        <f t="shared" si="128"/>
        <v>0</v>
      </c>
      <c r="DG93" s="8">
        <f t="shared" si="117"/>
        <v>0</v>
      </c>
      <c r="DH93" s="8">
        <f t="shared" si="129"/>
        <v>0</v>
      </c>
      <c r="DJ93" s="6">
        <f>SUMIF('Eredeti fejléccel'!$B:$B,'Felosztás eredménykim'!$B93,'Eredeti fejléccel'!$BN:$BN)</f>
        <v>0</v>
      </c>
      <c r="DK93" s="6">
        <f>SUMIF('Eredeti fejléccel'!$B:$B,'Felosztás eredménykim'!$B93,'Eredeti fejléccel'!$BZ:$BZ)</f>
        <v>0</v>
      </c>
      <c r="DL93" s="8">
        <f t="shared" si="130"/>
        <v>0</v>
      </c>
      <c r="DM93" s="6">
        <f>SUMIF('Eredeti fejléccel'!$B:$B,'Felosztás eredménykim'!$B93,'Eredeti fejléccel'!$BR:$BR)</f>
        <v>0</v>
      </c>
      <c r="DN93" s="6">
        <f>SUMIF('Eredeti fejléccel'!$B:$B,'Felosztás eredménykim'!$B93,'Eredeti fejléccel'!$BS:$BS)</f>
        <v>0</v>
      </c>
      <c r="DO93" s="6">
        <f>SUMIF('Eredeti fejléccel'!$B:$B,'Felosztás eredménykim'!$B93,'Eredeti fejléccel'!$BO:$BO)</f>
        <v>0</v>
      </c>
      <c r="DP93" s="6">
        <f>SUMIF('Eredeti fejléccel'!$B:$B,'Felosztás eredménykim'!$B93,'Eredeti fejléccel'!$BP:$BP)</f>
        <v>0</v>
      </c>
      <c r="DQ93" s="6">
        <f>SUMIF('Eredeti fejléccel'!$B:$B,'Felosztás eredménykim'!$B93,'Eredeti fejléccel'!$BQ:$BQ)</f>
        <v>0</v>
      </c>
      <c r="DS93" s="8"/>
      <c r="DU93" s="6">
        <f>SUMIF('Eredeti fejléccel'!$B:$B,'Felosztás eredménykim'!$B93,'Eredeti fejléccel'!$BT:$BT)</f>
        <v>0</v>
      </c>
      <c r="DV93" s="6">
        <f>SUMIF('Eredeti fejléccel'!$B:$B,'Felosztás eredménykim'!$B93,'Eredeti fejléccel'!$BU:$BU)</f>
        <v>0</v>
      </c>
      <c r="DW93" s="6">
        <f>SUMIF('Eredeti fejléccel'!$B:$B,'Felosztás eredménykim'!$B93,'Eredeti fejléccel'!$BV:$BV)</f>
        <v>0</v>
      </c>
      <c r="DX93" s="6">
        <f>SUMIF('Eredeti fejléccel'!$B:$B,'Felosztás eredménykim'!$B93,'Eredeti fejléccel'!$BW:$BW)</f>
        <v>0</v>
      </c>
      <c r="DY93" s="6">
        <f>SUMIF('Eredeti fejléccel'!$B:$B,'Felosztás eredménykim'!$B93,'Eredeti fejléccel'!$BX:$BX)</f>
        <v>0</v>
      </c>
      <c r="EA93" s="6"/>
      <c r="EC93" s="6"/>
      <c r="EE93" s="6">
        <f>SUMIF('Eredeti fejléccel'!$B:$B,'Felosztás eredménykim'!$B93,'Eredeti fejléccel'!$CA:$CA)</f>
        <v>0</v>
      </c>
      <c r="EF93" s="6">
        <f>SUMIF('Eredeti fejléccel'!$B:$B,'Felosztás eredménykim'!$B93,'Eredeti fejléccel'!$CB:$CB)</f>
        <v>0</v>
      </c>
      <c r="EG93" s="6">
        <f>SUMIF('Eredeti fejléccel'!$B:$B,'Felosztás eredménykim'!$B93,'Eredeti fejléccel'!$CC:$CC)</f>
        <v>0</v>
      </c>
      <c r="EH93" s="6">
        <f>SUMIF('Eredeti fejléccel'!$B:$B,'Felosztás eredménykim'!$B93,'Eredeti fejléccel'!$CD:$CD)</f>
        <v>0</v>
      </c>
      <c r="EK93" s="6">
        <f>SUMIF('Eredeti fejléccel'!$B:$B,'Felosztás eredménykim'!$B93,'Eredeti fejléccel'!$CE:$CE)</f>
        <v>0</v>
      </c>
      <c r="EN93" s="6">
        <f>SUMIF('Eredeti fejléccel'!$B:$B,'Felosztás eredménykim'!$B93,'Eredeti fejléccel'!$CF:$CF)</f>
        <v>0</v>
      </c>
      <c r="EP93" s="6">
        <f>SUMIF('Eredeti fejléccel'!$B:$B,'Felosztás eredménykim'!$B93,'Eredeti fejléccel'!$CG:$CG)</f>
        <v>0</v>
      </c>
      <c r="ES93" s="6">
        <f>SUMIF('Eredeti fejléccel'!$B:$B,'Felosztás eredménykim'!$B93,'Eredeti fejléccel'!$CH:$CH)</f>
        <v>0</v>
      </c>
      <c r="ET93" s="6">
        <f>SUMIF('Eredeti fejléccel'!$B:$B,'Felosztás eredménykim'!$B93,'Eredeti fejléccel'!$CI:$CI)</f>
        <v>0</v>
      </c>
      <c r="EW93" s="8">
        <f t="shared" si="118"/>
        <v>0</v>
      </c>
      <c r="EX93" s="8">
        <f t="shared" si="78"/>
        <v>0</v>
      </c>
      <c r="EY93" s="8">
        <f t="shared" si="119"/>
        <v>0</v>
      </c>
      <c r="EZ93" s="8">
        <f t="shared" si="120"/>
        <v>0</v>
      </c>
      <c r="FA93" s="8">
        <f t="shared" si="121"/>
        <v>0</v>
      </c>
      <c r="FC93" s="6">
        <f>SUMIF('Eredeti fejléccel'!$B:$B,'Felosztás eredménykim'!$B93,'Eredeti fejléccel'!$L:$L)</f>
        <v>0</v>
      </c>
      <c r="FD93" s="6">
        <f>SUMIF('Eredeti fejléccel'!$B:$B,'Felosztás eredménykim'!$B93,'Eredeti fejléccel'!$CJ:$CJ)</f>
        <v>0</v>
      </c>
      <c r="FE93" s="6">
        <f>SUMIF('Eredeti fejléccel'!$B:$B,'Felosztás eredménykim'!$B93,'Eredeti fejléccel'!$CL:$CL)</f>
        <v>0</v>
      </c>
      <c r="FG93" s="99">
        <f t="shared" si="79"/>
        <v>0</v>
      </c>
      <c r="FH93" s="6">
        <f>SUMIF('Eredeti fejléccel'!$B:$B,'Felosztás eredménykim'!$B93,'Eredeti fejléccel'!$CK:$CK)</f>
        <v>0</v>
      </c>
      <c r="FI93" s="36">
        <f t="shared" si="103"/>
        <v>88940.250570112054</v>
      </c>
      <c r="FJ93" s="101">
        <f t="shared" si="104"/>
        <v>0</v>
      </c>
      <c r="FK93" s="6">
        <f>SUMIF('Eredeti fejléccel'!$B:$B,'Felosztás eredménykim'!$B93,'Eredeti fejléccel'!$CM:$CM)</f>
        <v>9310</v>
      </c>
      <c r="FL93" s="6">
        <f>SUMIF('Eredeti fejléccel'!$B:$B,'Felosztás eredménykim'!$B93,'Eredeti fejléccel'!$CN:$CN)</f>
        <v>0</v>
      </c>
      <c r="FM93" s="8">
        <f t="shared" si="80"/>
        <v>9310</v>
      </c>
      <c r="FN93" s="36">
        <f t="shared" si="105"/>
        <v>75613.803984506492</v>
      </c>
      <c r="FO93" s="101">
        <f t="shared" si="106"/>
        <v>0</v>
      </c>
      <c r="FP93" s="6">
        <f>SUMIF('Eredeti fejléccel'!$B:$B,'Felosztás eredménykim'!$B93,'Eredeti fejléccel'!$CO:$CO)</f>
        <v>0</v>
      </c>
      <c r="FQ93" s="6">
        <f>'Eredeti fejléccel'!CP93</f>
        <v>1582078</v>
      </c>
      <c r="FR93" s="6">
        <f>'Eredeti fejléccel'!CQ93</f>
        <v>0</v>
      </c>
      <c r="FS93" s="103">
        <f t="shared" si="122"/>
        <v>1582078</v>
      </c>
      <c r="FT93" s="36">
        <f t="shared" si="107"/>
        <v>208716.14761932605</v>
      </c>
      <c r="FU93" s="101">
        <f t="shared" si="108"/>
        <v>0</v>
      </c>
      <c r="FV93" s="101"/>
      <c r="FW93" s="6">
        <f>SUMIF('Eredeti fejléccel'!$B:$B,'Felosztás eredménykim'!$B93,'Eredeti fejléccel'!$CR:$CR)</f>
        <v>17379</v>
      </c>
      <c r="FX93" s="6">
        <f>SUMIF('Eredeti fejléccel'!$B:$B,'Felosztás eredménykim'!$B93,'Eredeti fejléccel'!$CS:$CS)</f>
        <v>0</v>
      </c>
      <c r="FY93" s="6">
        <f>SUMIF('Eredeti fejléccel'!$B:$B,'Felosztás eredménykim'!$B93,'Eredeti fejléccel'!$CT:$CT)</f>
        <v>789570</v>
      </c>
      <c r="FZ93" s="6">
        <f>SUMIF('Eredeti fejléccel'!$B:$B,'Felosztás eredménykim'!$B93,'Eredeti fejléccel'!$CU:$CU)</f>
        <v>0</v>
      </c>
      <c r="GA93" s="103">
        <f t="shared" si="81"/>
        <v>806949</v>
      </c>
      <c r="GB93" s="36">
        <f t="shared" si="109"/>
        <v>27820.173164110878</v>
      </c>
      <c r="GC93" s="101">
        <f t="shared" si="110"/>
        <v>0</v>
      </c>
      <c r="GD93" s="6">
        <f>SUMIF('Eredeti fejléccel'!$B:$B,'Felosztás eredménykim'!$B93,'Eredeti fejléccel'!$CV:$CV)</f>
        <v>195861</v>
      </c>
      <c r="GE93" s="6">
        <f>SUMIF('Eredeti fejléccel'!$B:$B,'Felosztás eredménykim'!$B93,'Eredeti fejléccel'!$CW:$CW)</f>
        <v>0</v>
      </c>
      <c r="GF93" s="103">
        <f t="shared" si="82"/>
        <v>195861</v>
      </c>
      <c r="GG93" s="36">
        <f t="shared" si="111"/>
        <v>0</v>
      </c>
      <c r="GM93" s="6">
        <f>SUMIF('Eredeti fejléccel'!$B:$B,'Felosztás eredménykim'!$B93,'Eredeti fejléccel'!$CX:$CX)</f>
        <v>0</v>
      </c>
      <c r="GN93" s="6">
        <f>SUMIF('Eredeti fejléccel'!$B:$B,'Felosztás eredménykim'!$B93,'Eredeti fejléccel'!$CY:$CY)</f>
        <v>0</v>
      </c>
      <c r="GO93" s="6">
        <f>SUMIF('Eredeti fejléccel'!$B:$B,'Felosztás eredménykim'!$B93,'Eredeti fejléccel'!$CZ:$CZ)</f>
        <v>0</v>
      </c>
      <c r="GP93" s="6">
        <f>SUMIF('Eredeti fejléccel'!$B:$B,'Felosztás eredménykim'!$B93,'Eredeti fejléccel'!$DA:$DA)</f>
        <v>0</v>
      </c>
      <c r="GQ93" s="6">
        <f>SUMIF('Eredeti fejléccel'!$B:$B,'Felosztás eredménykim'!$B93,'Eredeti fejléccel'!$DB:$DB)</f>
        <v>0</v>
      </c>
      <c r="GR93" s="103">
        <f t="shared" si="83"/>
        <v>0</v>
      </c>
      <c r="GW93" s="36">
        <f t="shared" si="112"/>
        <v>47756.334835801681</v>
      </c>
      <c r="GX93" s="6">
        <f>SUMIF('Eredeti fejléccel'!$B:$B,'Felosztás eredménykim'!$B93,'Eredeti fejléccel'!$M:$M)</f>
        <v>0</v>
      </c>
      <c r="GY93" s="6">
        <f>SUMIF('Eredeti fejléccel'!$B:$B,'Felosztás eredménykim'!$B93,'Eredeti fejléccel'!$DC:$DC)</f>
        <v>92414</v>
      </c>
      <c r="GZ93" s="6">
        <f>SUMIF('Eredeti fejléccel'!$B:$B,'Felosztás eredménykim'!$B93,'Eredeti fejléccel'!$DD:$DD)</f>
        <v>0</v>
      </c>
      <c r="HA93" s="6">
        <f>SUMIF('Eredeti fejléccel'!$B:$B,'Felosztás eredménykim'!$B93,'Eredeti fejléccel'!$DE:$DE)</f>
        <v>137196</v>
      </c>
      <c r="HB93" s="103">
        <f t="shared" si="84"/>
        <v>229610</v>
      </c>
      <c r="HD93" s="9">
        <f t="shared" si="137"/>
        <v>5538025.9999999981</v>
      </c>
      <c r="HE93" s="9">
        <v>5538026</v>
      </c>
      <c r="HF93" s="476"/>
      <c r="HH93" s="34">
        <f t="shared" si="85"/>
        <v>0</v>
      </c>
    </row>
    <row r="94" spans="1:218" x14ac:dyDescent="0.25">
      <c r="A94" s="4" t="s">
        <v>196</v>
      </c>
      <c r="B94" s="4" t="s">
        <v>196</v>
      </c>
      <c r="C94" s="1" t="s">
        <v>197</v>
      </c>
      <c r="D94" s="6">
        <f>SUMIF('Eredeti fejléccel'!$B:$B,'Felosztás eredménykim'!$B94,'Eredeti fejléccel'!$D:$D)</f>
        <v>0</v>
      </c>
      <c r="E94" s="6">
        <f>SUMIF('Eredeti fejléccel'!$B:$B,'Felosztás eredménykim'!$B94,'Eredeti fejléccel'!$E:$E)</f>
        <v>1550000</v>
      </c>
      <c r="F94" s="6">
        <f>SUMIF('Eredeti fejléccel'!$B:$B,'Felosztás eredménykim'!$B94,'Eredeti fejléccel'!$F:$F)</f>
        <v>0</v>
      </c>
      <c r="G94" s="6">
        <f>SUMIF('Eredeti fejléccel'!$B:$B,'Felosztás eredménykim'!$B94,'Eredeti fejléccel'!$G:$G)</f>
        <v>0</v>
      </c>
      <c r="H94" s="6"/>
      <c r="I94" s="6">
        <f>SUMIF('Eredeti fejléccel'!$B:$B,'Felosztás eredménykim'!$B94,'Eredeti fejléccel'!$O:$O)</f>
        <v>1590000</v>
      </c>
      <c r="J94" s="6">
        <f>SUMIF('Eredeti fejléccel'!$B:$B,'Felosztás eredménykim'!$B94,'Eredeti fejléccel'!$P:$P)</f>
        <v>0</v>
      </c>
      <c r="K94" s="6">
        <f>SUMIF('Eredeti fejléccel'!$B:$B,'Felosztás eredménykim'!$B94,'Eredeti fejléccel'!$Q:$Q)</f>
        <v>0</v>
      </c>
      <c r="L94" s="6">
        <f>SUMIF('Eredeti fejléccel'!$B:$B,'Felosztás eredménykim'!$B94,'Eredeti fejléccel'!$R:$R)</f>
        <v>2150000</v>
      </c>
      <c r="M94" s="6">
        <f>SUMIF('Eredeti fejléccel'!$B:$B,'Felosztás eredménykim'!$B94,'Eredeti fejléccel'!$T:$T)</f>
        <v>0</v>
      </c>
      <c r="N94" s="6">
        <f>SUMIF('Eredeti fejléccel'!$B:$B,'Felosztás eredménykim'!$B94,'Eredeti fejléccel'!$U:$U)</f>
        <v>0</v>
      </c>
      <c r="O94" s="6">
        <f>SUMIF('Eredeti fejléccel'!$B:$B,'Felosztás eredménykim'!$B94,'Eredeti fejléccel'!$V:$V)</f>
        <v>2920000</v>
      </c>
      <c r="P94" s="6">
        <f>SUMIF('Eredeti fejléccel'!$B:$B,'Felosztás eredménykim'!$B94,'Eredeti fejléccel'!$W:$W)</f>
        <v>1416000</v>
      </c>
      <c r="Q94" s="6">
        <f>SUMIF('Eredeti fejléccel'!$B:$B,'Felosztás eredménykim'!$B94,'Eredeti fejléccel'!$X:$X)</f>
        <v>5879998</v>
      </c>
      <c r="R94" s="6">
        <f>SUMIF('Eredeti fejléccel'!$B:$B,'Felosztás eredménykim'!$B94,'Eredeti fejléccel'!$Y:$Y)</f>
        <v>1250000</v>
      </c>
      <c r="S94" s="6">
        <f>SUMIF('Eredeti fejléccel'!$B:$B,'Felosztás eredménykim'!$B94,'Eredeti fejléccel'!$Z:$Z)</f>
        <v>1200000</v>
      </c>
      <c r="T94" s="6">
        <f>SUMIF('Eredeti fejléccel'!$B:$B,'Felosztás eredménykim'!$B94,'Eredeti fejléccel'!$AA:$AA)</f>
        <v>0</v>
      </c>
      <c r="U94" s="6">
        <f>SUMIF('Eredeti fejléccel'!$B:$B,'Felosztás eredménykim'!$B94,'Eredeti fejléccel'!$D:$D)</f>
        <v>0</v>
      </c>
      <c r="V94" s="6">
        <f>SUMIF('Eredeti fejléccel'!$B:$B,'Felosztás eredménykim'!$B94,'Eredeti fejléccel'!$AT:$AT)</f>
        <v>2899999</v>
      </c>
      <c r="X94" s="36">
        <f t="shared" si="86"/>
        <v>20855997</v>
      </c>
      <c r="Z94" s="6">
        <f>SUMIF('Eredeti fejléccel'!$B:$B,'Felosztás eredménykim'!$B94,'Eredeti fejléccel'!$K:$K)</f>
        <v>2139000</v>
      </c>
      <c r="AB94" s="6">
        <f>SUMIF('Eredeti fejléccel'!$B:$B,'Felosztás eredménykim'!$B94,'Eredeti fejléccel'!$AB:$AB)</f>
        <v>0</v>
      </c>
      <c r="AC94" s="6">
        <f>SUMIF('Eredeti fejléccel'!$B:$B,'Felosztás eredménykim'!$B94,'Eredeti fejléccel'!$AQ:$AQ)</f>
        <v>0</v>
      </c>
      <c r="AE94" s="73">
        <f t="shared" si="131"/>
        <v>2139000</v>
      </c>
      <c r="AF94" s="36">
        <f t="shared" si="87"/>
        <v>2488008.6859515356</v>
      </c>
      <c r="AG94" s="8">
        <f t="shared" si="88"/>
        <v>682008.31768178148</v>
      </c>
      <c r="AI94" s="6">
        <f>SUMIF('Eredeti fejléccel'!$B:$B,'Felosztás eredménykim'!$B94,'Eredeti fejléccel'!$BB:$BB)</f>
        <v>6660000</v>
      </c>
      <c r="AJ94" s="6">
        <f>SUMIF('Eredeti fejléccel'!$B:$B,'Felosztás eredménykim'!$B94,'Eredeti fejléccel'!$AF:$AF)</f>
        <v>0</v>
      </c>
      <c r="AK94" s="8">
        <f t="shared" si="73"/>
        <v>7342008.3176817819</v>
      </c>
      <c r="AL94" s="36">
        <f t="shared" si="89"/>
        <v>988224.48788425652</v>
      </c>
      <c r="AM94" s="8">
        <f t="shared" si="90"/>
        <v>270890.26026294602</v>
      </c>
      <c r="AN94" s="6">
        <f t="shared" si="123"/>
        <v>0</v>
      </c>
      <c r="AO94" s="6">
        <f>SUMIF('Eredeti fejléccel'!$B:$B,'Felosztás eredménykim'!$B94,'Eredeti fejléccel'!$AC:$AC)</f>
        <v>0</v>
      </c>
      <c r="AP94" s="6">
        <f>SUMIF('Eredeti fejléccel'!$B:$B,'Felosztás eredménykim'!$B94,'Eredeti fejléccel'!$AD:$AD)</f>
        <v>0</v>
      </c>
      <c r="AQ94" s="6">
        <f>SUMIF('Eredeti fejléccel'!$B:$B,'Felosztás eredménykim'!$B94,'Eredeti fejléccel'!$AE:$AE)</f>
        <v>0</v>
      </c>
      <c r="AR94" s="6">
        <f>SUMIF('Eredeti fejléccel'!$B:$B,'Felosztás eredménykim'!$B94,'Eredeti fejléccel'!$AG:$AG)</f>
        <v>8974500</v>
      </c>
      <c r="AS94" s="6">
        <f t="shared" si="124"/>
        <v>9245390.2602629457</v>
      </c>
      <c r="AT94" s="36">
        <f t="shared" si="91"/>
        <v>1605166.8941622812</v>
      </c>
      <c r="AU94" s="8">
        <f t="shared" si="92"/>
        <v>440005.36624631064</v>
      </c>
      <c r="AV94" s="6">
        <f>SUMIF('Eredeti fejléccel'!$B:$B,'Felosztás eredménykim'!$B94,'Eredeti fejléccel'!$AI:$AI)</f>
        <v>0</v>
      </c>
      <c r="AW94" s="6">
        <f>SUMIF('Eredeti fejléccel'!$B:$B,'Felosztás eredménykim'!$B94,'Eredeti fejléccel'!$AJ:$AJ)</f>
        <v>600000</v>
      </c>
      <c r="AX94" s="6">
        <f>SUMIF('Eredeti fejléccel'!$B:$B,'Felosztás eredménykim'!$B94,'Eredeti fejléccel'!$AK:$AK)</f>
        <v>3750000</v>
      </c>
      <c r="AY94" s="6">
        <f>SUMIF('Eredeti fejléccel'!$B:$B,'Felosztás eredménykim'!$B94,'Eredeti fejléccel'!$AL:$AL)</f>
        <v>1470000</v>
      </c>
      <c r="AZ94" s="6">
        <f>SUMIF('Eredeti fejléccel'!$B:$B,'Felosztás eredménykim'!$B94,'Eredeti fejléccel'!$AM:$AM)</f>
        <v>2110000</v>
      </c>
      <c r="BA94" s="6">
        <f>SUMIF('Eredeti fejléccel'!$B:$B,'Felosztás eredménykim'!$B94,'Eredeti fejléccel'!$AN:$AN)</f>
        <v>0</v>
      </c>
      <c r="BB94" s="6">
        <f>SUMIF('Eredeti fejléccel'!$B:$B,'Felosztás eredménykim'!$B94,'Eredeti fejléccel'!$AP:$AP)</f>
        <v>900000</v>
      </c>
      <c r="BD94" s="6">
        <f>SUMIF('Eredeti fejléccel'!$B:$B,'Felosztás eredménykim'!$B94,'Eredeti fejléccel'!$AS:$AS)</f>
        <v>0</v>
      </c>
      <c r="BE94" s="8">
        <f t="shared" si="74"/>
        <v>9270005.366246311</v>
      </c>
      <c r="BF94" s="36">
        <f t="shared" si="93"/>
        <v>418739.18978146458</v>
      </c>
      <c r="BG94" s="8">
        <f t="shared" si="94"/>
        <v>114784.00858599407</v>
      </c>
      <c r="BH94" s="6">
        <f t="shared" si="125"/>
        <v>0</v>
      </c>
      <c r="BI94" s="6">
        <f>SUMIF('Eredeti fejléccel'!$B:$B,'Felosztás eredménykim'!$B94,'Eredeti fejléccel'!$AH:$AH)</f>
        <v>6660000</v>
      </c>
      <c r="BJ94" s="6">
        <f>SUMIF('Eredeti fejléccel'!$B:$B,'Felosztás eredménykim'!$B94,'Eredeti fejléccel'!$AO:$AO)</f>
        <v>0</v>
      </c>
      <c r="BK94" s="6">
        <f>SUMIF('Eredeti fejléccel'!$B:$B,'Felosztás eredménykim'!$B94,'Eredeti fejléccel'!$BF:$BF)</f>
        <v>0</v>
      </c>
      <c r="BL94" s="8">
        <f t="shared" si="126"/>
        <v>6774784.0085859941</v>
      </c>
      <c r="BM94" s="36">
        <f t="shared" si="95"/>
        <v>1568876.1643812209</v>
      </c>
      <c r="BN94" s="8">
        <f t="shared" si="96"/>
        <v>430057.41883552447</v>
      </c>
      <c r="BP94" s="8">
        <f t="shared" si="127"/>
        <v>0</v>
      </c>
      <c r="BQ94" s="6">
        <f>SUMIF('Eredeti fejléccel'!$B:$B,'Felosztás eredménykim'!$B94,'Eredeti fejléccel'!$N:$N)</f>
        <v>0</v>
      </c>
      <c r="BR94" s="6">
        <f>SUMIF('Eredeti fejléccel'!$B:$B,'Felosztás eredménykim'!$B94,'Eredeti fejléccel'!$S:$S)</f>
        <v>0</v>
      </c>
      <c r="BT94" s="6">
        <f>SUMIF('Eredeti fejléccel'!$B:$B,'Felosztás eredménykim'!$B94,'Eredeti fejléccel'!$AR:$AR)</f>
        <v>0</v>
      </c>
      <c r="BU94" s="6">
        <f>SUMIF('Eredeti fejléccel'!$B:$B,'Felosztás eredménykim'!$B94,'Eredeti fejléccel'!$AU:$AU)</f>
        <v>0</v>
      </c>
      <c r="BV94" s="6">
        <f>SUMIF('Eredeti fejléccel'!$B:$B,'Felosztás eredménykim'!$B94,'Eredeti fejléccel'!$AV:$AV)</f>
        <v>3660000</v>
      </c>
      <c r="BW94" s="6">
        <f>SUMIF('Eredeti fejléccel'!$B:$B,'Felosztás eredménykim'!$B94,'Eredeti fejléccel'!$AW:$AW)</f>
        <v>0</v>
      </c>
      <c r="BX94" s="6">
        <f>SUMIF('Eredeti fejléccel'!$B:$B,'Felosztás eredménykim'!$B94,'Eredeti fejléccel'!$AX:$AX)</f>
        <v>0</v>
      </c>
      <c r="BY94" s="6">
        <f>SUMIF('Eredeti fejléccel'!$B:$B,'Felosztás eredménykim'!$B94,'Eredeti fejléccel'!$AY:$AY)</f>
        <v>0</v>
      </c>
      <c r="BZ94" s="6">
        <f>SUMIF('Eredeti fejléccel'!$B:$B,'Felosztás eredménykim'!$B94,'Eredeti fejléccel'!$AZ:$AZ)</f>
        <v>0</v>
      </c>
      <c r="CA94" s="6">
        <f>SUMIF('Eredeti fejléccel'!$B:$B,'Felosztás eredménykim'!$B94,'Eredeti fejléccel'!$BA:$BA)</f>
        <v>11396000</v>
      </c>
      <c r="CB94" s="6">
        <f t="shared" si="114"/>
        <v>15486057.418835524</v>
      </c>
      <c r="CC94" s="36">
        <f t="shared" si="97"/>
        <v>427113.97357709392</v>
      </c>
      <c r="CD94" s="8">
        <f t="shared" si="98"/>
        <v>117079.68875771396</v>
      </c>
      <c r="CE94" s="6">
        <f>SUMIF('Eredeti fejléccel'!$B:$B,'Felosztás eredménykim'!$B94,'Eredeti fejléccel'!$BC:$BC)</f>
        <v>0</v>
      </c>
      <c r="CF94" s="8">
        <f t="shared" si="135"/>
        <v>0</v>
      </c>
      <c r="CG94" s="6">
        <f>SUMIF('Eredeti fejléccel'!$B:$B,'Felosztás eredménykim'!$B94,'Eredeti fejléccel'!$H:$H)</f>
        <v>0</v>
      </c>
      <c r="CH94" s="6">
        <f>SUMIF('Eredeti fejléccel'!$B:$B,'Felosztás eredménykim'!$B94,'Eredeti fejléccel'!$BE:$BE)</f>
        <v>1980000</v>
      </c>
      <c r="CI94" s="6">
        <f t="shared" si="75"/>
        <v>2097079.6887577139</v>
      </c>
      <c r="CJ94" s="36">
        <f t="shared" si="99"/>
        <v>307075.40583974076</v>
      </c>
      <c r="CK94" s="8">
        <f t="shared" si="100"/>
        <v>84174.939629728993</v>
      </c>
      <c r="CL94" s="8">
        <f t="shared" si="136"/>
        <v>0</v>
      </c>
      <c r="CM94" s="6">
        <f>SUMIF('Eredeti fejléccel'!$B:$B,'Felosztás eredménykim'!$B94,'Eredeti fejléccel'!$BD:$BD)</f>
        <v>1960000</v>
      </c>
      <c r="CN94" s="8">
        <f t="shared" si="76"/>
        <v>2044174.9396297289</v>
      </c>
      <c r="CO94" s="8">
        <f t="shared" si="115"/>
        <v>60062704.801577605</v>
      </c>
      <c r="CR94" s="36">
        <f t="shared" si="101"/>
        <v>1844540.3657115265</v>
      </c>
      <c r="CS94" s="6">
        <f>SUMIF('Eredeti fejléccel'!$B:$B,'Felosztás eredménykim'!$B94,'Eredeti fejléccel'!$I:$I)</f>
        <v>1182900</v>
      </c>
      <c r="CT94" s="6">
        <f>SUMIF('Eredeti fejléccel'!$B:$B,'Felosztás eredménykim'!$B94,'Eredeti fejléccel'!$BG:$BG)</f>
        <v>0</v>
      </c>
      <c r="CU94" s="6">
        <f>SUMIF('Eredeti fejléccel'!$B:$B,'Felosztás eredménykim'!$B94,'Eredeti fejléccel'!$BH:$BH)</f>
        <v>8985000</v>
      </c>
      <c r="CV94" s="6">
        <f>SUMIF('Eredeti fejléccel'!$B:$B,'Felosztás eredménykim'!$B94,'Eredeti fejléccel'!$BI:$BI)</f>
        <v>1701000</v>
      </c>
      <c r="CW94" s="6">
        <f>SUMIF('Eredeti fejléccel'!$B:$B,'Felosztás eredménykim'!$B94,'Eredeti fejléccel'!$BL:$BL)</f>
        <v>0</v>
      </c>
      <c r="CX94" s="6">
        <f t="shared" si="77"/>
        <v>11868900</v>
      </c>
      <c r="CY94" s="6">
        <f>SUMIF('Eredeti fejléccel'!$B:$B,'Felosztás eredménykim'!$B94,'Eredeti fejléccel'!$BJ:$BJ)</f>
        <v>0</v>
      </c>
      <c r="CZ94" s="6">
        <f>SUMIF('Eredeti fejléccel'!$B:$B,'Felosztás eredménykim'!$B94,'Eredeti fejléccel'!$BK:$BK)</f>
        <v>0</v>
      </c>
      <c r="DA94" s="99">
        <f t="shared" si="116"/>
        <v>11868900</v>
      </c>
      <c r="DC94" s="36">
        <f t="shared" si="102"/>
        <v>1615567.5718609148</v>
      </c>
      <c r="DD94" s="6">
        <f>SUMIF('Eredeti fejléccel'!$B:$B,'Felosztás eredménykim'!$B94,'Eredeti fejléccel'!$J:$J)</f>
        <v>0</v>
      </c>
      <c r="DE94" s="6">
        <f>SUMIF('Eredeti fejléccel'!$B:$B,'Felosztás eredménykim'!$B94,'Eredeti fejléccel'!$BM:$BM)</f>
        <v>4513000</v>
      </c>
      <c r="DF94" s="6">
        <f t="shared" si="128"/>
        <v>0</v>
      </c>
      <c r="DG94" s="8">
        <f t="shared" si="117"/>
        <v>0</v>
      </c>
      <c r="DH94" s="8">
        <f t="shared" si="129"/>
        <v>4513000</v>
      </c>
      <c r="DJ94" s="6">
        <f>SUMIF('Eredeti fejléccel'!$B:$B,'Felosztás eredménykim'!$B94,'Eredeti fejléccel'!$BN:$BN)</f>
        <v>3042500</v>
      </c>
      <c r="DK94" s="6">
        <f>SUMIF('Eredeti fejléccel'!$B:$B,'Felosztás eredménykim'!$B94,'Eredeti fejléccel'!$BZ:$BZ)</f>
        <v>0</v>
      </c>
      <c r="DL94" s="8">
        <f t="shared" si="130"/>
        <v>3042500</v>
      </c>
      <c r="DM94" s="6">
        <f>SUMIF('Eredeti fejléccel'!$B:$B,'Felosztás eredménykim'!$B94,'Eredeti fejléccel'!$BR:$BR)</f>
        <v>0</v>
      </c>
      <c r="DN94" s="6">
        <f>SUMIF('Eredeti fejléccel'!$B:$B,'Felosztás eredménykim'!$B94,'Eredeti fejléccel'!$BS:$BS)</f>
        <v>0</v>
      </c>
      <c r="DO94" s="6">
        <f>SUMIF('Eredeti fejléccel'!$B:$B,'Felosztás eredménykim'!$B94,'Eredeti fejléccel'!$BO:$BO)</f>
        <v>0</v>
      </c>
      <c r="DP94" s="6">
        <f>SUMIF('Eredeti fejléccel'!$B:$B,'Felosztás eredménykim'!$B94,'Eredeti fejléccel'!$BP:$BP)</f>
        <v>0</v>
      </c>
      <c r="DQ94" s="6">
        <f>SUMIF('Eredeti fejléccel'!$B:$B,'Felosztás eredménykim'!$B94,'Eredeti fejléccel'!$BQ:$BQ)</f>
        <v>0</v>
      </c>
      <c r="DS94" s="8"/>
      <c r="DU94" s="6">
        <f>SUMIF('Eredeti fejléccel'!$B:$B,'Felosztás eredménykim'!$B94,'Eredeti fejléccel'!$BT:$BT)</f>
        <v>0</v>
      </c>
      <c r="DV94" s="6">
        <f>SUMIF('Eredeti fejléccel'!$B:$B,'Felosztás eredménykim'!$B94,'Eredeti fejléccel'!$BU:$BU)</f>
        <v>0</v>
      </c>
      <c r="DW94" s="6">
        <f>SUMIF('Eredeti fejléccel'!$B:$B,'Felosztás eredménykim'!$B94,'Eredeti fejléccel'!$BV:$BV)</f>
        <v>0</v>
      </c>
      <c r="DX94" s="6">
        <f>SUMIF('Eredeti fejléccel'!$B:$B,'Felosztás eredménykim'!$B94,'Eredeti fejléccel'!$BW:$BW)</f>
        <v>0</v>
      </c>
      <c r="DY94" s="6">
        <f>SUMIF('Eredeti fejléccel'!$B:$B,'Felosztás eredménykim'!$B94,'Eredeti fejléccel'!$BX:$BX)</f>
        <v>0</v>
      </c>
      <c r="EA94" s="6"/>
      <c r="EC94" s="6"/>
      <c r="EE94" s="6">
        <f>SUMIF('Eredeti fejléccel'!$B:$B,'Felosztás eredménykim'!$B94,'Eredeti fejléccel'!$CA:$CA)</f>
        <v>0</v>
      </c>
      <c r="EF94" s="6">
        <f>SUMIF('Eredeti fejléccel'!$B:$B,'Felosztás eredménykim'!$B94,'Eredeti fejléccel'!$CB:$CB)</f>
        <v>0</v>
      </c>
      <c r="EG94" s="6">
        <f>SUMIF('Eredeti fejléccel'!$B:$B,'Felosztás eredménykim'!$B94,'Eredeti fejléccel'!$CC:$CC)</f>
        <v>0</v>
      </c>
      <c r="EH94" s="6">
        <f>SUMIF('Eredeti fejléccel'!$B:$B,'Felosztás eredménykim'!$B94,'Eredeti fejléccel'!$CD:$CD)</f>
        <v>0</v>
      </c>
      <c r="EK94" s="6">
        <f>SUMIF('Eredeti fejléccel'!$B:$B,'Felosztás eredménykim'!$B94,'Eredeti fejléccel'!$CE:$CE)</f>
        <v>0</v>
      </c>
      <c r="EN94" s="6">
        <f>SUMIF('Eredeti fejléccel'!$B:$B,'Felosztás eredménykim'!$B94,'Eredeti fejléccel'!$CF:$CF)</f>
        <v>0</v>
      </c>
      <c r="EP94" s="6">
        <f>SUMIF('Eredeti fejléccel'!$B:$B,'Felosztás eredménykim'!$B94,'Eredeti fejléccel'!$CG:$CG)</f>
        <v>0</v>
      </c>
      <c r="ES94" s="6">
        <f>SUMIF('Eredeti fejléccel'!$B:$B,'Felosztás eredménykim'!$B94,'Eredeti fejléccel'!$CH:$CH)</f>
        <v>0</v>
      </c>
      <c r="ET94" s="6">
        <f>SUMIF('Eredeti fejléccel'!$B:$B,'Felosztás eredménykim'!$B94,'Eredeti fejléccel'!$CI:$CI)</f>
        <v>0</v>
      </c>
      <c r="EW94" s="8">
        <f t="shared" si="118"/>
        <v>0</v>
      </c>
      <c r="EX94" s="8">
        <f t="shared" si="78"/>
        <v>0</v>
      </c>
      <c r="EY94" s="8">
        <f t="shared" si="119"/>
        <v>4513000</v>
      </c>
      <c r="EZ94" s="8">
        <f t="shared" si="120"/>
        <v>7555500</v>
      </c>
      <c r="FA94" s="8">
        <f t="shared" si="121"/>
        <v>4513000</v>
      </c>
      <c r="FC94" s="6">
        <f>SUMIF('Eredeti fejléccel'!$B:$B,'Felosztás eredménykim'!$B94,'Eredeti fejléccel'!$L:$L)</f>
        <v>0</v>
      </c>
      <c r="FD94" s="6">
        <f>SUMIF('Eredeti fejléccel'!$B:$B,'Felosztás eredménykim'!$B94,'Eredeti fejléccel'!$CJ:$CJ)</f>
        <v>1564600</v>
      </c>
      <c r="FE94" s="6">
        <f>SUMIF('Eredeti fejléccel'!$B:$B,'Felosztás eredménykim'!$B94,'Eredeti fejléccel'!$CL:$CL)</f>
        <v>0</v>
      </c>
      <c r="FG94" s="99">
        <f t="shared" si="79"/>
        <v>1564600</v>
      </c>
      <c r="FH94" s="6">
        <f>SUMIF('Eredeti fejléccel'!$B:$B,'Felosztás eredménykim'!$B94,'Eredeti fejléccel'!$CK:$CK)</f>
        <v>0</v>
      </c>
      <c r="FI94" s="36">
        <f t="shared" si="103"/>
        <v>1900817.6343088171</v>
      </c>
      <c r="FJ94" s="101">
        <f t="shared" si="104"/>
        <v>346944.04203718674</v>
      </c>
      <c r="FK94" s="6">
        <f>SUMIF('Eredeti fejléccel'!$B:$B,'Felosztás eredménykim'!$B94,'Eredeti fejléccel'!$CM:$CM)</f>
        <v>8068800</v>
      </c>
      <c r="FL94" s="6">
        <f>SUMIF('Eredeti fejléccel'!$B:$B,'Felosztás eredménykim'!$B94,'Eredeti fejléccel'!$CN:$CN)</f>
        <v>0</v>
      </c>
      <c r="FM94" s="8">
        <f t="shared" si="80"/>
        <v>8415744.0420371871</v>
      </c>
      <c r="FN94" s="36">
        <f t="shared" si="105"/>
        <v>1616006.8258141312</v>
      </c>
      <c r="FO94" s="101">
        <f t="shared" si="106"/>
        <v>294959.35327405011</v>
      </c>
      <c r="FP94" s="6">
        <f>SUMIF('Eredeti fejléccel'!$B:$B,'Felosztás eredménykim'!$B94,'Eredeti fejléccel'!$CO:$CO)</f>
        <v>4810000</v>
      </c>
      <c r="FQ94" s="6">
        <f>'Eredeti fejléccel'!CP94</f>
        <v>2613000</v>
      </c>
      <c r="FR94" s="6">
        <f>'Eredeti fejléccel'!CQ94</f>
        <v>0</v>
      </c>
      <c r="FS94" s="103">
        <f t="shared" si="122"/>
        <v>7717959.3532740502</v>
      </c>
      <c r="FT94" s="36">
        <f t="shared" si="107"/>
        <v>4460650.0590761425</v>
      </c>
      <c r="FU94" s="101">
        <f t="shared" si="108"/>
        <v>814173.82376717869</v>
      </c>
      <c r="FV94" s="101"/>
      <c r="FW94" s="6">
        <f>SUMIF('Eredeti fejléccel'!$B:$B,'Felosztás eredménykim'!$B94,'Eredeti fejléccel'!$CR:$CR)</f>
        <v>15144500</v>
      </c>
      <c r="FX94" s="6">
        <f>SUMIF('Eredeti fejléccel'!$B:$B,'Felosztás eredménykim'!$B94,'Eredeti fejléccel'!$CS:$CS)</f>
        <v>1314750</v>
      </c>
      <c r="FY94" s="6">
        <f>SUMIF('Eredeti fejléccel'!$B:$B,'Felosztás eredménykim'!$B94,'Eredeti fejléccel'!$CT:$CT)</f>
        <v>62100</v>
      </c>
      <c r="FZ94" s="6">
        <f>SUMIF('Eredeti fejléccel'!$B:$B,'Felosztás eredménykim'!$B94,'Eredeti fejléccel'!$CU:$CU)</f>
        <v>0</v>
      </c>
      <c r="GA94" s="103">
        <f t="shared" si="81"/>
        <v>17335523.823767178</v>
      </c>
      <c r="GB94" s="36">
        <f t="shared" si="109"/>
        <v>594568.54912029358</v>
      </c>
      <c r="GC94" s="101">
        <f t="shared" si="110"/>
        <v>108522.78092158448</v>
      </c>
      <c r="GD94" s="6">
        <f>SUMIF('Eredeti fejléccel'!$B:$B,'Felosztás eredménykim'!$B94,'Eredeti fejléccel'!$CV:$CV)</f>
        <v>2490000</v>
      </c>
      <c r="GE94" s="6">
        <f>SUMIF('Eredeti fejléccel'!$B:$B,'Felosztás eredménykim'!$B94,'Eredeti fejléccel'!$CW:$CW)</f>
        <v>0</v>
      </c>
      <c r="GF94" s="103">
        <f t="shared" si="82"/>
        <v>2598522.7809215845</v>
      </c>
      <c r="GG94" s="36">
        <f t="shared" si="111"/>
        <v>0</v>
      </c>
      <c r="GM94" s="6">
        <f>SUMIF('Eredeti fejléccel'!$B:$B,'Felosztás eredménykim'!$B94,'Eredeti fejléccel'!$CX:$CX)</f>
        <v>0</v>
      </c>
      <c r="GN94" s="6">
        <f>SUMIF('Eredeti fejléccel'!$B:$B,'Felosztás eredménykim'!$B94,'Eredeti fejléccel'!$CY:$CY)</f>
        <v>0</v>
      </c>
      <c r="GO94" s="6">
        <f>SUMIF('Eredeti fejléccel'!$B:$B,'Felosztás eredménykim'!$B94,'Eredeti fejléccel'!$CZ:$CZ)</f>
        <v>0</v>
      </c>
      <c r="GP94" s="6">
        <f>SUMIF('Eredeti fejléccel'!$B:$B,'Felosztás eredménykim'!$B94,'Eredeti fejléccel'!$DA:$DA)</f>
        <v>0</v>
      </c>
      <c r="GQ94" s="6">
        <f>SUMIF('Eredeti fejléccel'!$B:$B,'Felosztás eredménykim'!$B94,'Eredeti fejléccel'!$DB:$DB)</f>
        <v>0</v>
      </c>
      <c r="GR94" s="103">
        <f t="shared" si="83"/>
        <v>0</v>
      </c>
      <c r="GW94" s="36">
        <f t="shared" si="112"/>
        <v>1020641.1925305862</v>
      </c>
      <c r="GX94" s="6">
        <f>SUMIF('Eredeti fejléccel'!$B:$B,'Felosztás eredménykim'!$B94,'Eredeti fejléccel'!$M:$M)</f>
        <v>0</v>
      </c>
      <c r="GY94" s="6">
        <f>SUMIF('Eredeti fejléccel'!$B:$B,'Felosztás eredménykim'!$B94,'Eredeti fejléccel'!$DC:$DC)</f>
        <v>1890000</v>
      </c>
      <c r="GZ94" s="6">
        <f>SUMIF('Eredeti fejléccel'!$B:$B,'Felosztás eredménykim'!$B94,'Eredeti fejléccel'!$DD:$DD)</f>
        <v>0</v>
      </c>
      <c r="HA94" s="6">
        <f>SUMIF('Eredeti fejléccel'!$B:$B,'Felosztás eredménykim'!$B94,'Eredeti fejléccel'!$DE:$DE)</f>
        <v>4128400</v>
      </c>
      <c r="HB94" s="103">
        <f t="shared" si="84"/>
        <v>6018400</v>
      </c>
      <c r="HD94" s="9">
        <f t="shared" si="137"/>
        <v>134626046.99999994</v>
      </c>
      <c r="HE94" s="9">
        <v>134626047</v>
      </c>
      <c r="HF94" s="476"/>
      <c r="HH94" s="34">
        <f t="shared" si="85"/>
        <v>0</v>
      </c>
    </row>
    <row r="95" spans="1:218" x14ac:dyDescent="0.25">
      <c r="A95" s="4" t="s">
        <v>198</v>
      </c>
      <c r="B95" s="4" t="s">
        <v>198</v>
      </c>
      <c r="C95" s="1" t="s">
        <v>199</v>
      </c>
      <c r="D95" s="6">
        <f>SUMIF('Eredeti fejléccel'!$B:$B,'Felosztás eredménykim'!$B95,'Eredeti fejléccel'!$D:$D)</f>
        <v>0</v>
      </c>
      <c r="E95" s="6">
        <f>SUMIF('Eredeti fejléccel'!$B:$B,'Felosztás eredménykim'!$B95,'Eredeti fejléccel'!$E:$E)</f>
        <v>0</v>
      </c>
      <c r="F95" s="6">
        <f>SUMIF('Eredeti fejléccel'!$B:$B,'Felosztás eredménykim'!$B95,'Eredeti fejléccel'!$F:$F)</f>
        <v>0</v>
      </c>
      <c r="G95" s="6">
        <f>SUMIF('Eredeti fejléccel'!$B:$B,'Felosztás eredménykim'!$B95,'Eredeti fejléccel'!$G:$G)</f>
        <v>0</v>
      </c>
      <c r="H95" s="6"/>
      <c r="I95" s="6">
        <f>SUMIF('Eredeti fejléccel'!$B:$B,'Felosztás eredménykim'!$B95,'Eredeti fejléccel'!$O:$O)</f>
        <v>0</v>
      </c>
      <c r="J95" s="6">
        <f>SUMIF('Eredeti fejléccel'!$B:$B,'Felosztás eredménykim'!$B95,'Eredeti fejléccel'!$P:$P)</f>
        <v>0</v>
      </c>
      <c r="K95" s="6">
        <f>SUMIF('Eredeti fejléccel'!$B:$B,'Felosztás eredménykim'!$B95,'Eredeti fejléccel'!$Q:$Q)</f>
        <v>0</v>
      </c>
      <c r="L95" s="6">
        <f>SUMIF('Eredeti fejléccel'!$B:$B,'Felosztás eredménykim'!$B95,'Eredeti fejléccel'!$R:$R)</f>
        <v>0</v>
      </c>
      <c r="M95" s="6">
        <f>SUMIF('Eredeti fejléccel'!$B:$B,'Felosztás eredménykim'!$B95,'Eredeti fejléccel'!$T:$T)</f>
        <v>0</v>
      </c>
      <c r="N95" s="6">
        <f>SUMIF('Eredeti fejléccel'!$B:$B,'Felosztás eredménykim'!$B95,'Eredeti fejléccel'!$U:$U)</f>
        <v>0</v>
      </c>
      <c r="O95" s="6">
        <f>SUMIF('Eredeti fejléccel'!$B:$B,'Felosztás eredménykim'!$B95,'Eredeti fejléccel'!$V:$V)</f>
        <v>0</v>
      </c>
      <c r="P95" s="6">
        <f>SUMIF('Eredeti fejléccel'!$B:$B,'Felosztás eredménykim'!$B95,'Eredeti fejléccel'!$W:$W)</f>
        <v>0</v>
      </c>
      <c r="Q95" s="6">
        <f>SUMIF('Eredeti fejléccel'!$B:$B,'Felosztás eredménykim'!$B95,'Eredeti fejléccel'!$X:$X)</f>
        <v>0</v>
      </c>
      <c r="R95" s="6">
        <f>SUMIF('Eredeti fejléccel'!$B:$B,'Felosztás eredménykim'!$B95,'Eredeti fejléccel'!$Y:$Y)</f>
        <v>0</v>
      </c>
      <c r="S95" s="6">
        <f>SUMIF('Eredeti fejléccel'!$B:$B,'Felosztás eredménykim'!$B95,'Eredeti fejléccel'!$Z:$Z)</f>
        <v>0</v>
      </c>
      <c r="T95" s="6">
        <f>SUMIF('Eredeti fejléccel'!$B:$B,'Felosztás eredménykim'!$B95,'Eredeti fejléccel'!$AA:$AA)</f>
        <v>0</v>
      </c>
      <c r="U95" s="6">
        <f>SUMIF('Eredeti fejléccel'!$B:$B,'Felosztás eredménykim'!$B95,'Eredeti fejléccel'!$D:$D)</f>
        <v>0</v>
      </c>
      <c r="V95" s="6">
        <f>SUMIF('Eredeti fejléccel'!$B:$B,'Felosztás eredménykim'!$B95,'Eredeti fejléccel'!$AT:$AT)</f>
        <v>0</v>
      </c>
      <c r="X95" s="36">
        <f t="shared" si="86"/>
        <v>0</v>
      </c>
      <c r="Z95" s="6">
        <f>SUMIF('Eredeti fejléccel'!$B:$B,'Felosztás eredménykim'!$B95,'Eredeti fejléccel'!$K:$K)</f>
        <v>0</v>
      </c>
      <c r="AB95" s="6">
        <f>SUMIF('Eredeti fejléccel'!$B:$B,'Felosztás eredménykim'!$B95,'Eredeti fejléccel'!$AB:$AB)</f>
        <v>0</v>
      </c>
      <c r="AC95" s="6">
        <f>SUMIF('Eredeti fejléccel'!$B:$B,'Felosztás eredménykim'!$B95,'Eredeti fejléccel'!$AQ:$AQ)</f>
        <v>0</v>
      </c>
      <c r="AE95" s="73">
        <f t="shared" si="131"/>
        <v>0</v>
      </c>
      <c r="AF95" s="36">
        <f t="shared" si="87"/>
        <v>0</v>
      </c>
      <c r="AG95" s="8">
        <f t="shared" si="88"/>
        <v>0</v>
      </c>
      <c r="AI95" s="6">
        <f>SUMIF('Eredeti fejléccel'!$B:$B,'Felosztás eredménykim'!$B95,'Eredeti fejléccel'!$BB:$BB)</f>
        <v>8519235</v>
      </c>
      <c r="AJ95" s="6">
        <f>SUMIF('Eredeti fejléccel'!$B:$B,'Felosztás eredménykim'!$B95,'Eredeti fejléccel'!$AF:$AF)</f>
        <v>0</v>
      </c>
      <c r="AK95" s="8">
        <f t="shared" si="73"/>
        <v>8519235</v>
      </c>
      <c r="AL95" s="36">
        <f t="shared" si="89"/>
        <v>0</v>
      </c>
      <c r="AM95" s="8">
        <f t="shared" si="90"/>
        <v>0</v>
      </c>
      <c r="AN95" s="6">
        <f t="shared" si="123"/>
        <v>0</v>
      </c>
      <c r="AO95" s="6">
        <f>SUMIF('Eredeti fejléccel'!$B:$B,'Felosztás eredménykim'!$B95,'Eredeti fejléccel'!$AC:$AC)</f>
        <v>0</v>
      </c>
      <c r="AP95" s="6">
        <f>SUMIF('Eredeti fejléccel'!$B:$B,'Felosztás eredménykim'!$B95,'Eredeti fejléccel'!$AD:$AD)</f>
        <v>0</v>
      </c>
      <c r="AQ95" s="6">
        <f>SUMIF('Eredeti fejléccel'!$B:$B,'Felosztás eredménykim'!$B95,'Eredeti fejléccel'!$AE:$AE)</f>
        <v>0</v>
      </c>
      <c r="AR95" s="6">
        <f>SUMIF('Eredeti fejléccel'!$B:$B,'Felosztás eredménykim'!$B95,'Eredeti fejléccel'!$AG:$AG)</f>
        <v>0</v>
      </c>
      <c r="AS95" s="6">
        <f t="shared" si="124"/>
        <v>0</v>
      </c>
      <c r="AT95" s="36">
        <f t="shared" si="91"/>
        <v>0</v>
      </c>
      <c r="AU95" s="8">
        <f t="shared" si="92"/>
        <v>0</v>
      </c>
      <c r="AV95" s="6">
        <f>SUMIF('Eredeti fejléccel'!$B:$B,'Felosztás eredménykim'!$B95,'Eredeti fejléccel'!$AI:$AI)</f>
        <v>0</v>
      </c>
      <c r="AW95" s="6">
        <f>SUMIF('Eredeti fejléccel'!$B:$B,'Felosztás eredménykim'!$B95,'Eredeti fejléccel'!$AJ:$AJ)</f>
        <v>0</v>
      </c>
      <c r="AX95" s="6">
        <f>SUMIF('Eredeti fejléccel'!$B:$B,'Felosztás eredménykim'!$B95,'Eredeti fejléccel'!$AK:$AK)</f>
        <v>0</v>
      </c>
      <c r="AY95" s="6">
        <f>SUMIF('Eredeti fejléccel'!$B:$B,'Felosztás eredménykim'!$B95,'Eredeti fejléccel'!$AL:$AL)</f>
        <v>0</v>
      </c>
      <c r="AZ95" s="6">
        <f>SUMIF('Eredeti fejléccel'!$B:$B,'Felosztás eredménykim'!$B95,'Eredeti fejléccel'!$AM:$AM)</f>
        <v>0</v>
      </c>
      <c r="BA95" s="6">
        <f>SUMIF('Eredeti fejléccel'!$B:$B,'Felosztás eredménykim'!$B95,'Eredeti fejléccel'!$AN:$AN)</f>
        <v>0</v>
      </c>
      <c r="BB95" s="6">
        <f>SUMIF('Eredeti fejléccel'!$B:$B,'Felosztás eredménykim'!$B95,'Eredeti fejléccel'!$AP:$AP)</f>
        <v>0</v>
      </c>
      <c r="BD95" s="6">
        <f>SUMIF('Eredeti fejléccel'!$B:$B,'Felosztás eredménykim'!$B95,'Eredeti fejléccel'!$AS:$AS)</f>
        <v>0</v>
      </c>
      <c r="BE95" s="8">
        <f t="shared" si="74"/>
        <v>0</v>
      </c>
      <c r="BF95" s="36">
        <f t="shared" si="93"/>
        <v>0</v>
      </c>
      <c r="BG95" s="8">
        <f t="shared" si="94"/>
        <v>0</v>
      </c>
      <c r="BH95" s="6">
        <f t="shared" si="125"/>
        <v>0</v>
      </c>
      <c r="BI95" s="6">
        <f>SUMIF('Eredeti fejléccel'!$B:$B,'Felosztás eredménykim'!$B95,'Eredeti fejléccel'!$AH:$AH)</f>
        <v>0</v>
      </c>
      <c r="BJ95" s="6">
        <f>SUMIF('Eredeti fejléccel'!$B:$B,'Felosztás eredménykim'!$B95,'Eredeti fejléccel'!$AO:$AO)</f>
        <v>0</v>
      </c>
      <c r="BK95" s="6">
        <f>SUMIF('Eredeti fejléccel'!$B:$B,'Felosztás eredménykim'!$B95,'Eredeti fejléccel'!$BF:$BF)</f>
        <v>0</v>
      </c>
      <c r="BL95" s="8">
        <f t="shared" si="126"/>
        <v>0</v>
      </c>
      <c r="BM95" s="36">
        <f t="shared" si="95"/>
        <v>0</v>
      </c>
      <c r="BN95" s="8">
        <f t="shared" si="96"/>
        <v>0</v>
      </c>
      <c r="BP95" s="8">
        <f t="shared" si="127"/>
        <v>0</v>
      </c>
      <c r="BQ95" s="6">
        <f>SUMIF('Eredeti fejléccel'!$B:$B,'Felosztás eredménykim'!$B95,'Eredeti fejléccel'!$N:$N)</f>
        <v>0</v>
      </c>
      <c r="BR95" s="6">
        <f>SUMIF('Eredeti fejléccel'!$B:$B,'Felosztás eredménykim'!$B95,'Eredeti fejléccel'!$S:$S)</f>
        <v>0</v>
      </c>
      <c r="BT95" s="6">
        <f>SUMIF('Eredeti fejléccel'!$B:$B,'Felosztás eredménykim'!$B95,'Eredeti fejléccel'!$AR:$AR)</f>
        <v>0</v>
      </c>
      <c r="BU95" s="6">
        <f>SUMIF('Eredeti fejléccel'!$B:$B,'Felosztás eredménykim'!$B95,'Eredeti fejléccel'!$AU:$AU)</f>
        <v>0</v>
      </c>
      <c r="BV95" s="6">
        <f>SUMIF('Eredeti fejléccel'!$B:$B,'Felosztás eredménykim'!$B95,'Eredeti fejléccel'!$AV:$AV)</f>
        <v>0</v>
      </c>
      <c r="BW95" s="6">
        <f>SUMIF('Eredeti fejléccel'!$B:$B,'Felosztás eredménykim'!$B95,'Eredeti fejléccel'!$AW:$AW)</f>
        <v>0</v>
      </c>
      <c r="BX95" s="6">
        <f>SUMIF('Eredeti fejléccel'!$B:$B,'Felosztás eredménykim'!$B95,'Eredeti fejléccel'!$AX:$AX)</f>
        <v>0</v>
      </c>
      <c r="BY95" s="6">
        <f>SUMIF('Eredeti fejléccel'!$B:$B,'Felosztás eredménykim'!$B95,'Eredeti fejléccel'!$AY:$AY)</f>
        <v>0</v>
      </c>
      <c r="BZ95" s="6">
        <f>SUMIF('Eredeti fejléccel'!$B:$B,'Felosztás eredménykim'!$B95,'Eredeti fejléccel'!$AZ:$AZ)</f>
        <v>0</v>
      </c>
      <c r="CA95" s="6">
        <f>SUMIF('Eredeti fejléccel'!$B:$B,'Felosztás eredménykim'!$B95,'Eredeti fejléccel'!$BA:$BA)</f>
        <v>0</v>
      </c>
      <c r="CB95" s="6">
        <f t="shared" si="114"/>
        <v>0</v>
      </c>
      <c r="CC95" s="36">
        <f t="shared" si="97"/>
        <v>0</v>
      </c>
      <c r="CD95" s="8">
        <f t="shared" si="98"/>
        <v>0</v>
      </c>
      <c r="CE95" s="6">
        <f>SUMIF('Eredeti fejléccel'!$B:$B,'Felosztás eredménykim'!$B95,'Eredeti fejléccel'!$BC:$BC)</f>
        <v>0</v>
      </c>
      <c r="CF95" s="8">
        <f t="shared" si="135"/>
        <v>0</v>
      </c>
      <c r="CG95" s="6">
        <f>SUMIF('Eredeti fejléccel'!$B:$B,'Felosztás eredménykim'!$B95,'Eredeti fejléccel'!$H:$H)</f>
        <v>0</v>
      </c>
      <c r="CH95" s="6">
        <f>SUMIF('Eredeti fejléccel'!$B:$B,'Felosztás eredménykim'!$B95,'Eredeti fejléccel'!$BE:$BE)</f>
        <v>0</v>
      </c>
      <c r="CI95" s="6">
        <f t="shared" si="75"/>
        <v>0</v>
      </c>
      <c r="CJ95" s="36">
        <f t="shared" si="99"/>
        <v>0</v>
      </c>
      <c r="CK95" s="8">
        <f t="shared" si="100"/>
        <v>0</v>
      </c>
      <c r="CL95" s="8">
        <f t="shared" si="136"/>
        <v>0</v>
      </c>
      <c r="CM95" s="6">
        <f>SUMIF('Eredeti fejléccel'!$B:$B,'Felosztás eredménykim'!$B95,'Eredeti fejléccel'!$BD:$BD)</f>
        <v>0</v>
      </c>
      <c r="CN95" s="8">
        <f t="shared" si="76"/>
        <v>0</v>
      </c>
      <c r="CO95" s="8">
        <f t="shared" si="115"/>
        <v>8519235</v>
      </c>
      <c r="CR95" s="36">
        <f t="shared" si="101"/>
        <v>0</v>
      </c>
      <c r="CS95" s="6">
        <f>SUMIF('Eredeti fejléccel'!$B:$B,'Felosztás eredménykim'!$B95,'Eredeti fejléccel'!$I:$I)</f>
        <v>0</v>
      </c>
      <c r="CT95" s="6">
        <f>SUMIF('Eredeti fejléccel'!$B:$B,'Felosztás eredménykim'!$B95,'Eredeti fejléccel'!$BG:$BG)</f>
        <v>0</v>
      </c>
      <c r="CU95" s="6">
        <f>SUMIF('Eredeti fejléccel'!$B:$B,'Felosztás eredménykim'!$B95,'Eredeti fejléccel'!$BH:$BH)</f>
        <v>0</v>
      </c>
      <c r="CV95" s="6">
        <f>SUMIF('Eredeti fejléccel'!$B:$B,'Felosztás eredménykim'!$B95,'Eredeti fejléccel'!$BI:$BI)</f>
        <v>0</v>
      </c>
      <c r="CW95" s="6">
        <f>SUMIF('Eredeti fejléccel'!$B:$B,'Felosztás eredménykim'!$B95,'Eredeti fejléccel'!$BL:$BL)</f>
        <v>0</v>
      </c>
      <c r="CX95" s="6">
        <f t="shared" si="77"/>
        <v>0</v>
      </c>
      <c r="CY95" s="6">
        <f>SUMIF('Eredeti fejléccel'!$B:$B,'Felosztás eredménykim'!$B95,'Eredeti fejléccel'!$BJ:$BJ)</f>
        <v>0</v>
      </c>
      <c r="CZ95" s="6">
        <f>SUMIF('Eredeti fejléccel'!$B:$B,'Felosztás eredménykim'!$B95,'Eredeti fejléccel'!$BK:$BK)</f>
        <v>0</v>
      </c>
      <c r="DA95" s="99">
        <f t="shared" si="116"/>
        <v>0</v>
      </c>
      <c r="DC95" s="36">
        <f t="shared" si="102"/>
        <v>0</v>
      </c>
      <c r="DD95" s="6">
        <f>SUMIF('Eredeti fejléccel'!$B:$B,'Felosztás eredménykim'!$B95,'Eredeti fejléccel'!$J:$J)</f>
        <v>0</v>
      </c>
      <c r="DE95" s="6">
        <f>SUMIF('Eredeti fejléccel'!$B:$B,'Felosztás eredménykim'!$B95,'Eredeti fejléccel'!$BM:$BM)</f>
        <v>330000</v>
      </c>
      <c r="DF95" s="6">
        <f t="shared" si="128"/>
        <v>0</v>
      </c>
      <c r="DG95" s="8">
        <f t="shared" si="117"/>
        <v>0</v>
      </c>
      <c r="DH95" s="8">
        <f t="shared" si="129"/>
        <v>330000</v>
      </c>
      <c r="DJ95" s="6">
        <f>SUMIF('Eredeti fejléccel'!$B:$B,'Felosztás eredménykim'!$B95,'Eredeti fejléccel'!$BN:$BN)</f>
        <v>1714250</v>
      </c>
      <c r="DK95" s="6">
        <f>SUMIF('Eredeti fejléccel'!$B:$B,'Felosztás eredménykim'!$B95,'Eredeti fejléccel'!$BZ:$BZ)</f>
        <v>0</v>
      </c>
      <c r="DL95" s="8">
        <f t="shared" si="130"/>
        <v>1714250</v>
      </c>
      <c r="DM95" s="6">
        <f>SUMIF('Eredeti fejléccel'!$B:$B,'Felosztás eredménykim'!$B95,'Eredeti fejléccel'!$BR:$BR)</f>
        <v>0</v>
      </c>
      <c r="DN95" s="6">
        <f>SUMIF('Eredeti fejléccel'!$B:$B,'Felosztás eredménykim'!$B95,'Eredeti fejléccel'!$BS:$BS)</f>
        <v>0</v>
      </c>
      <c r="DO95" s="6">
        <f>SUMIF('Eredeti fejléccel'!$B:$B,'Felosztás eredménykim'!$B95,'Eredeti fejléccel'!$BO:$BO)</f>
        <v>0</v>
      </c>
      <c r="DP95" s="6">
        <f>SUMIF('Eredeti fejléccel'!$B:$B,'Felosztás eredménykim'!$B95,'Eredeti fejléccel'!$BP:$BP)</f>
        <v>0</v>
      </c>
      <c r="DQ95" s="6">
        <f>SUMIF('Eredeti fejléccel'!$B:$B,'Felosztás eredménykim'!$B95,'Eredeti fejléccel'!$BQ:$BQ)</f>
        <v>0</v>
      </c>
      <c r="DS95" s="8"/>
      <c r="DU95" s="6">
        <f>SUMIF('Eredeti fejléccel'!$B:$B,'Felosztás eredménykim'!$B95,'Eredeti fejléccel'!$BT:$BT)</f>
        <v>0</v>
      </c>
      <c r="DV95" s="6">
        <f>SUMIF('Eredeti fejléccel'!$B:$B,'Felosztás eredménykim'!$B95,'Eredeti fejléccel'!$BU:$BU)</f>
        <v>0</v>
      </c>
      <c r="DW95" s="6">
        <f>SUMIF('Eredeti fejléccel'!$B:$B,'Felosztás eredménykim'!$B95,'Eredeti fejléccel'!$BV:$BV)</f>
        <v>0</v>
      </c>
      <c r="DX95" s="6">
        <f>SUMIF('Eredeti fejléccel'!$B:$B,'Felosztás eredménykim'!$B95,'Eredeti fejléccel'!$BW:$BW)</f>
        <v>0</v>
      </c>
      <c r="DY95" s="6">
        <f>SUMIF('Eredeti fejléccel'!$B:$B,'Felosztás eredménykim'!$B95,'Eredeti fejléccel'!$BX:$BX)</f>
        <v>0</v>
      </c>
      <c r="EA95" s="6"/>
      <c r="EC95" s="6"/>
      <c r="EE95" s="6">
        <f>SUMIF('Eredeti fejléccel'!$B:$B,'Felosztás eredménykim'!$B95,'Eredeti fejléccel'!$CA:$CA)</f>
        <v>0</v>
      </c>
      <c r="EF95" s="6">
        <f>SUMIF('Eredeti fejléccel'!$B:$B,'Felosztás eredménykim'!$B95,'Eredeti fejléccel'!$CB:$CB)</f>
        <v>0</v>
      </c>
      <c r="EG95" s="6">
        <f>SUMIF('Eredeti fejléccel'!$B:$B,'Felosztás eredménykim'!$B95,'Eredeti fejléccel'!$CC:$CC)</f>
        <v>0</v>
      </c>
      <c r="EH95" s="6">
        <f>SUMIF('Eredeti fejléccel'!$B:$B,'Felosztás eredménykim'!$B95,'Eredeti fejléccel'!$CD:$CD)</f>
        <v>0</v>
      </c>
      <c r="EK95" s="6">
        <f>SUMIF('Eredeti fejléccel'!$B:$B,'Felosztás eredménykim'!$B95,'Eredeti fejléccel'!$CE:$CE)</f>
        <v>0</v>
      </c>
      <c r="EN95" s="6">
        <f>SUMIF('Eredeti fejléccel'!$B:$B,'Felosztás eredménykim'!$B95,'Eredeti fejléccel'!$CF:$CF)</f>
        <v>0</v>
      </c>
      <c r="EP95" s="6">
        <f>SUMIF('Eredeti fejléccel'!$B:$B,'Felosztás eredménykim'!$B95,'Eredeti fejléccel'!$CG:$CG)</f>
        <v>0</v>
      </c>
      <c r="ES95" s="6">
        <f>SUMIF('Eredeti fejléccel'!$B:$B,'Felosztás eredménykim'!$B95,'Eredeti fejléccel'!$CH:$CH)</f>
        <v>0</v>
      </c>
      <c r="ET95" s="6">
        <f>SUMIF('Eredeti fejléccel'!$B:$B,'Felosztás eredménykim'!$B95,'Eredeti fejléccel'!$CI:$CI)</f>
        <v>0</v>
      </c>
      <c r="EW95" s="8">
        <f t="shared" si="118"/>
        <v>0</v>
      </c>
      <c r="EX95" s="8">
        <f t="shared" si="78"/>
        <v>0</v>
      </c>
      <c r="EY95" s="8">
        <f t="shared" si="119"/>
        <v>330000</v>
      </c>
      <c r="EZ95" s="8">
        <f t="shared" si="120"/>
        <v>2044250</v>
      </c>
      <c r="FA95" s="8">
        <f t="shared" si="121"/>
        <v>330000</v>
      </c>
      <c r="FC95" s="6">
        <f>SUMIF('Eredeti fejléccel'!$B:$B,'Felosztás eredménykim'!$B95,'Eredeti fejléccel'!$L:$L)</f>
        <v>0</v>
      </c>
      <c r="FD95" s="6">
        <f>SUMIF('Eredeti fejléccel'!$B:$B,'Felosztás eredménykim'!$B95,'Eredeti fejléccel'!$CJ:$CJ)</f>
        <v>0</v>
      </c>
      <c r="FE95" s="6">
        <f>SUMIF('Eredeti fejléccel'!$B:$B,'Felosztás eredménykim'!$B95,'Eredeti fejléccel'!$CL:$CL)</f>
        <v>0</v>
      </c>
      <c r="FG95" s="99">
        <f t="shared" si="79"/>
        <v>0</v>
      </c>
      <c r="FH95" s="6">
        <f>SUMIF('Eredeti fejléccel'!$B:$B,'Felosztás eredménykim'!$B95,'Eredeti fejléccel'!$CK:$CK)</f>
        <v>0</v>
      </c>
      <c r="FI95" s="36">
        <f t="shared" si="103"/>
        <v>0</v>
      </c>
      <c r="FJ95" s="101">
        <f t="shared" si="104"/>
        <v>0</v>
      </c>
      <c r="FK95" s="6">
        <f>SUMIF('Eredeti fejléccel'!$B:$B,'Felosztás eredménykim'!$B95,'Eredeti fejléccel'!$CM:$CM)</f>
        <v>0</v>
      </c>
      <c r="FL95" s="6">
        <f>SUMIF('Eredeti fejléccel'!$B:$B,'Felosztás eredménykim'!$B95,'Eredeti fejléccel'!$CN:$CN)</f>
        <v>0</v>
      </c>
      <c r="FM95" s="8">
        <f t="shared" si="80"/>
        <v>0</v>
      </c>
      <c r="FN95" s="36">
        <f t="shared" si="105"/>
        <v>0</v>
      </c>
      <c r="FO95" s="101">
        <f t="shared" si="106"/>
        <v>0</v>
      </c>
      <c r="FP95" s="6">
        <f>SUMIF('Eredeti fejléccel'!$B:$B,'Felosztás eredménykim'!$B95,'Eredeti fejléccel'!$CO:$CO)</f>
        <v>0</v>
      </c>
      <c r="FQ95" s="6">
        <f>'Eredeti fejléccel'!CP95</f>
        <v>0</v>
      </c>
      <c r="FR95" s="6">
        <f>'Eredeti fejléccel'!CQ95</f>
        <v>0</v>
      </c>
      <c r="FS95" s="103">
        <f t="shared" si="122"/>
        <v>0</v>
      </c>
      <c r="FT95" s="36">
        <f t="shared" si="107"/>
        <v>0</v>
      </c>
      <c r="FU95" s="101">
        <f t="shared" si="108"/>
        <v>0</v>
      </c>
      <c r="FV95" s="101"/>
      <c r="FW95" s="6">
        <f>SUMIF('Eredeti fejléccel'!$B:$B,'Felosztás eredménykim'!$B95,'Eredeti fejléccel'!$CR:$CR)</f>
        <v>0</v>
      </c>
      <c r="FX95" s="6">
        <f>SUMIF('Eredeti fejléccel'!$B:$B,'Felosztás eredménykim'!$B95,'Eredeti fejléccel'!$CS:$CS)</f>
        <v>0</v>
      </c>
      <c r="FY95" s="6">
        <f>SUMIF('Eredeti fejléccel'!$B:$B,'Felosztás eredménykim'!$B95,'Eredeti fejléccel'!$CT:$CT)</f>
        <v>0</v>
      </c>
      <c r="FZ95" s="6">
        <f>SUMIF('Eredeti fejléccel'!$B:$B,'Felosztás eredménykim'!$B95,'Eredeti fejléccel'!$CU:$CU)</f>
        <v>0</v>
      </c>
      <c r="GA95" s="103">
        <f t="shared" si="81"/>
        <v>0</v>
      </c>
      <c r="GB95" s="36">
        <f t="shared" si="109"/>
        <v>0</v>
      </c>
      <c r="GC95" s="101">
        <f t="shared" si="110"/>
        <v>0</v>
      </c>
      <c r="GD95" s="6">
        <f>SUMIF('Eredeti fejléccel'!$B:$B,'Felosztás eredménykim'!$B95,'Eredeti fejléccel'!$CV:$CV)</f>
        <v>0</v>
      </c>
      <c r="GE95" s="6">
        <f>SUMIF('Eredeti fejléccel'!$B:$B,'Felosztás eredménykim'!$B95,'Eredeti fejléccel'!$CW:$CW)</f>
        <v>0</v>
      </c>
      <c r="GF95" s="103">
        <f t="shared" si="82"/>
        <v>0</v>
      </c>
      <c r="GG95" s="36">
        <f t="shared" si="111"/>
        <v>0</v>
      </c>
      <c r="GM95" s="6">
        <f>SUMIF('Eredeti fejléccel'!$B:$B,'Felosztás eredménykim'!$B95,'Eredeti fejléccel'!$CX:$CX)</f>
        <v>0</v>
      </c>
      <c r="GN95" s="6">
        <f>SUMIF('Eredeti fejléccel'!$B:$B,'Felosztás eredménykim'!$B95,'Eredeti fejléccel'!$CY:$CY)</f>
        <v>0</v>
      </c>
      <c r="GO95" s="6">
        <f>SUMIF('Eredeti fejléccel'!$B:$B,'Felosztás eredménykim'!$B95,'Eredeti fejléccel'!$CZ:$CZ)</f>
        <v>0</v>
      </c>
      <c r="GP95" s="6">
        <f>SUMIF('Eredeti fejléccel'!$B:$B,'Felosztás eredménykim'!$B95,'Eredeti fejléccel'!$DA:$DA)</f>
        <v>0</v>
      </c>
      <c r="GQ95" s="6">
        <f>SUMIF('Eredeti fejléccel'!$B:$B,'Felosztás eredménykim'!$B95,'Eredeti fejléccel'!$DB:$DB)</f>
        <v>0</v>
      </c>
      <c r="GR95" s="103">
        <f t="shared" si="83"/>
        <v>0</v>
      </c>
      <c r="GW95" s="36">
        <f t="shared" si="112"/>
        <v>0</v>
      </c>
      <c r="GX95" s="6">
        <f>SUMIF('Eredeti fejléccel'!$B:$B,'Felosztás eredménykim'!$B95,'Eredeti fejléccel'!$M:$M)</f>
        <v>0</v>
      </c>
      <c r="GY95" s="6">
        <f>SUMIF('Eredeti fejléccel'!$B:$B,'Felosztás eredménykim'!$B95,'Eredeti fejléccel'!$DC:$DC)</f>
        <v>0</v>
      </c>
      <c r="GZ95" s="6">
        <f>SUMIF('Eredeti fejléccel'!$B:$B,'Felosztás eredménykim'!$B95,'Eredeti fejléccel'!$DD:$DD)</f>
        <v>0</v>
      </c>
      <c r="HA95" s="6">
        <f>SUMIF('Eredeti fejléccel'!$B:$B,'Felosztás eredménykim'!$B95,'Eredeti fejléccel'!$DE:$DE)</f>
        <v>0</v>
      </c>
      <c r="HB95" s="103">
        <f t="shared" si="84"/>
        <v>0</v>
      </c>
      <c r="HD95" s="9">
        <f t="shared" si="137"/>
        <v>10563485</v>
      </c>
      <c r="HE95" s="9">
        <v>10563485</v>
      </c>
      <c r="HF95" s="476"/>
      <c r="HH95" s="34">
        <f t="shared" si="85"/>
        <v>0</v>
      </c>
    </row>
    <row r="96" spans="1:218" x14ac:dyDescent="0.25">
      <c r="A96" s="4" t="s">
        <v>200</v>
      </c>
      <c r="B96" s="4" t="s">
        <v>200</v>
      </c>
      <c r="C96" s="1" t="s">
        <v>201</v>
      </c>
      <c r="D96" s="6">
        <f>SUMIF('Eredeti fejléccel'!$B:$B,'Felosztás eredménykim'!$B96,'Eredeti fejléccel'!$D:$D)</f>
        <v>0</v>
      </c>
      <c r="E96" s="6">
        <f>SUMIF('Eredeti fejléccel'!$B:$B,'Felosztás eredménykim'!$B96,'Eredeti fejléccel'!$E:$E)</f>
        <v>0</v>
      </c>
      <c r="F96" s="6">
        <f>SUMIF('Eredeti fejléccel'!$B:$B,'Felosztás eredménykim'!$B96,'Eredeti fejléccel'!$F:$F)</f>
        <v>0</v>
      </c>
      <c r="G96" s="6">
        <f>SUMIF('Eredeti fejléccel'!$B:$B,'Felosztás eredménykim'!$B96,'Eredeti fejléccel'!$G:$G)</f>
        <v>0</v>
      </c>
      <c r="H96" s="6"/>
      <c r="I96" s="6">
        <f>SUMIF('Eredeti fejléccel'!$B:$B,'Felosztás eredménykim'!$B96,'Eredeti fejléccel'!$O:$O)</f>
        <v>0</v>
      </c>
      <c r="J96" s="6">
        <f>SUMIF('Eredeti fejléccel'!$B:$B,'Felosztás eredménykim'!$B96,'Eredeti fejléccel'!$P:$P)</f>
        <v>0</v>
      </c>
      <c r="K96" s="6">
        <f>SUMIF('Eredeti fejléccel'!$B:$B,'Felosztás eredménykim'!$B96,'Eredeti fejléccel'!$Q:$Q)</f>
        <v>0</v>
      </c>
      <c r="L96" s="6">
        <f>SUMIF('Eredeti fejléccel'!$B:$B,'Felosztás eredménykim'!$B96,'Eredeti fejléccel'!$R:$R)</f>
        <v>82057</v>
      </c>
      <c r="M96" s="6">
        <f>SUMIF('Eredeti fejléccel'!$B:$B,'Felosztás eredménykim'!$B96,'Eredeti fejléccel'!$T:$T)</f>
        <v>0</v>
      </c>
      <c r="N96" s="6">
        <f>SUMIF('Eredeti fejléccel'!$B:$B,'Felosztás eredménykim'!$B96,'Eredeti fejléccel'!$U:$U)</f>
        <v>0</v>
      </c>
      <c r="O96" s="6">
        <f>SUMIF('Eredeti fejléccel'!$B:$B,'Felosztás eredménykim'!$B96,'Eredeti fejléccel'!$V:$V)</f>
        <v>0</v>
      </c>
      <c r="P96" s="6">
        <f>SUMIF('Eredeti fejléccel'!$B:$B,'Felosztás eredménykim'!$B96,'Eredeti fejléccel'!$W:$W)</f>
        <v>0</v>
      </c>
      <c r="Q96" s="6">
        <f>SUMIF('Eredeti fejléccel'!$B:$B,'Felosztás eredménykim'!$B96,'Eredeti fejléccel'!$X:$X)</f>
        <v>0</v>
      </c>
      <c r="R96" s="6">
        <f>SUMIF('Eredeti fejléccel'!$B:$B,'Felosztás eredménykim'!$B96,'Eredeti fejléccel'!$Y:$Y)</f>
        <v>0</v>
      </c>
      <c r="S96" s="6">
        <f>SUMIF('Eredeti fejléccel'!$B:$B,'Felosztás eredménykim'!$B96,'Eredeti fejléccel'!$Z:$Z)</f>
        <v>0</v>
      </c>
      <c r="T96" s="6">
        <f>SUMIF('Eredeti fejléccel'!$B:$B,'Felosztás eredménykim'!$B96,'Eredeti fejléccel'!$AA:$AA)</f>
        <v>0</v>
      </c>
      <c r="U96" s="6">
        <f>SUMIF('Eredeti fejléccel'!$B:$B,'Felosztás eredménykim'!$B96,'Eredeti fejléccel'!$D:$D)</f>
        <v>0</v>
      </c>
      <c r="V96" s="6">
        <f>SUMIF('Eredeti fejléccel'!$B:$B,'Felosztás eredménykim'!$B96,'Eredeti fejléccel'!$AT:$AT)</f>
        <v>0</v>
      </c>
      <c r="X96" s="36">
        <f t="shared" si="86"/>
        <v>82057</v>
      </c>
      <c r="Z96" s="6">
        <f>SUMIF('Eredeti fejléccel'!$B:$B,'Felosztás eredménykim'!$B96,'Eredeti fejléccel'!$K:$K)</f>
        <v>0</v>
      </c>
      <c r="AB96" s="6">
        <f>SUMIF('Eredeti fejléccel'!$B:$B,'Felosztás eredménykim'!$B96,'Eredeti fejléccel'!$AB:$AB)</f>
        <v>0</v>
      </c>
      <c r="AC96" s="6">
        <f>SUMIF('Eredeti fejléccel'!$B:$B,'Felosztás eredménykim'!$B96,'Eredeti fejléccel'!$AQ:$AQ)</f>
        <v>0</v>
      </c>
      <c r="AE96" s="73">
        <f t="shared" si="131"/>
        <v>0</v>
      </c>
      <c r="AF96" s="36">
        <f t="shared" si="87"/>
        <v>9788.9604003647055</v>
      </c>
      <c r="AG96" s="8">
        <f t="shared" si="88"/>
        <v>0</v>
      </c>
      <c r="AI96" s="6">
        <f>SUMIF('Eredeti fejléccel'!$B:$B,'Felosztás eredménykim'!$B96,'Eredeti fejléccel'!$BB:$BB)</f>
        <v>0</v>
      </c>
      <c r="AJ96" s="6">
        <f>SUMIF('Eredeti fejléccel'!$B:$B,'Felosztás eredménykim'!$B96,'Eredeti fejléccel'!$AF:$AF)</f>
        <v>0</v>
      </c>
      <c r="AK96" s="8">
        <f t="shared" si="73"/>
        <v>0</v>
      </c>
      <c r="AL96" s="36">
        <f t="shared" si="89"/>
        <v>3888.1256456988572</v>
      </c>
      <c r="AM96" s="8">
        <f t="shared" si="90"/>
        <v>0</v>
      </c>
      <c r="AN96" s="6">
        <f t="shared" si="123"/>
        <v>0</v>
      </c>
      <c r="AO96" s="6">
        <f>SUMIF('Eredeti fejléccel'!$B:$B,'Felosztás eredménykim'!$B96,'Eredeti fejléccel'!$AC:$AC)</f>
        <v>0</v>
      </c>
      <c r="AP96" s="6">
        <f>SUMIF('Eredeti fejléccel'!$B:$B,'Felosztás eredménykim'!$B96,'Eredeti fejléccel'!$AD:$AD)</f>
        <v>0</v>
      </c>
      <c r="AQ96" s="6">
        <f>SUMIF('Eredeti fejléccel'!$B:$B,'Felosztás eredménykim'!$B96,'Eredeti fejléccel'!$AE:$AE)</f>
        <v>0</v>
      </c>
      <c r="AR96" s="6">
        <f>SUMIF('Eredeti fejléccel'!$B:$B,'Felosztás eredménykim'!$B96,'Eredeti fejléccel'!$AG:$AG)</f>
        <v>0</v>
      </c>
      <c r="AS96" s="6">
        <f t="shared" si="124"/>
        <v>0</v>
      </c>
      <c r="AT96" s="36">
        <f t="shared" si="91"/>
        <v>6315.4583228159399</v>
      </c>
      <c r="AU96" s="8">
        <f t="shared" si="92"/>
        <v>0</v>
      </c>
      <c r="AV96" s="6">
        <f>SUMIF('Eredeti fejléccel'!$B:$B,'Felosztás eredménykim'!$B96,'Eredeti fejléccel'!$AI:$AI)</f>
        <v>0</v>
      </c>
      <c r="AW96" s="6">
        <f>SUMIF('Eredeti fejléccel'!$B:$B,'Felosztás eredménykim'!$B96,'Eredeti fejléccel'!$AJ:$AJ)</f>
        <v>0</v>
      </c>
      <c r="AX96" s="6">
        <f>SUMIF('Eredeti fejléccel'!$B:$B,'Felosztás eredménykim'!$B96,'Eredeti fejléccel'!$AK:$AK)</f>
        <v>395996</v>
      </c>
      <c r="AY96" s="6">
        <f>SUMIF('Eredeti fejléccel'!$B:$B,'Felosztás eredménykim'!$B96,'Eredeti fejléccel'!$AL:$AL)</f>
        <v>0</v>
      </c>
      <c r="AZ96" s="6">
        <f>SUMIF('Eredeti fejléccel'!$B:$B,'Felosztás eredménykim'!$B96,'Eredeti fejléccel'!$AM:$AM)</f>
        <v>190476</v>
      </c>
      <c r="BA96" s="6">
        <f>SUMIF('Eredeti fejléccel'!$B:$B,'Felosztás eredménykim'!$B96,'Eredeti fejléccel'!$AN:$AN)</f>
        <v>0</v>
      </c>
      <c r="BB96" s="6">
        <f>SUMIF('Eredeti fejléccel'!$B:$B,'Felosztás eredménykim'!$B96,'Eredeti fejléccel'!$AP:$AP)</f>
        <v>0</v>
      </c>
      <c r="BD96" s="6">
        <f>SUMIF('Eredeti fejléccel'!$B:$B,'Felosztás eredménykim'!$B96,'Eredeti fejléccel'!$AS:$AS)</f>
        <v>0</v>
      </c>
      <c r="BE96" s="8">
        <f t="shared" si="74"/>
        <v>586472</v>
      </c>
      <c r="BF96" s="36">
        <f t="shared" si="93"/>
        <v>1647.5108668215494</v>
      </c>
      <c r="BG96" s="8">
        <f t="shared" si="94"/>
        <v>0</v>
      </c>
      <c r="BH96" s="6">
        <f t="shared" si="125"/>
        <v>0</v>
      </c>
      <c r="BI96" s="6">
        <f>SUMIF('Eredeti fejléccel'!$B:$B,'Felosztás eredménykim'!$B96,'Eredeti fejléccel'!$AH:$AH)</f>
        <v>178500</v>
      </c>
      <c r="BJ96" s="6">
        <f>SUMIF('Eredeti fejléccel'!$B:$B,'Felosztás eredménykim'!$B96,'Eredeti fejléccel'!$AO:$AO)</f>
        <v>0</v>
      </c>
      <c r="BK96" s="6">
        <f>SUMIF('Eredeti fejléccel'!$B:$B,'Felosztás eredménykim'!$B96,'Eredeti fejléccel'!$BF:$BF)</f>
        <v>0</v>
      </c>
      <c r="BL96" s="8">
        <f t="shared" si="126"/>
        <v>178500</v>
      </c>
      <c r="BM96" s="36">
        <f t="shared" si="95"/>
        <v>6172.6740476914056</v>
      </c>
      <c r="BN96" s="8">
        <f t="shared" si="96"/>
        <v>0</v>
      </c>
      <c r="BP96" s="8">
        <f t="shared" si="127"/>
        <v>0</v>
      </c>
      <c r="BQ96" s="6">
        <f>SUMIF('Eredeti fejléccel'!$B:$B,'Felosztás eredménykim'!$B96,'Eredeti fejléccel'!$N:$N)</f>
        <v>0</v>
      </c>
      <c r="BR96" s="6">
        <f>SUMIF('Eredeti fejléccel'!$B:$B,'Felosztás eredménykim'!$B96,'Eredeti fejléccel'!$S:$S)</f>
        <v>0</v>
      </c>
      <c r="BT96" s="6">
        <f>SUMIF('Eredeti fejléccel'!$B:$B,'Felosztás eredménykim'!$B96,'Eredeti fejléccel'!$AR:$AR)</f>
        <v>0</v>
      </c>
      <c r="BU96" s="6">
        <f>SUMIF('Eredeti fejléccel'!$B:$B,'Felosztás eredménykim'!$B96,'Eredeti fejléccel'!$AU:$AU)</f>
        <v>0</v>
      </c>
      <c r="BV96" s="6">
        <f>SUMIF('Eredeti fejléccel'!$B:$B,'Felosztás eredménykim'!$B96,'Eredeti fejléccel'!$AV:$AV)</f>
        <v>0</v>
      </c>
      <c r="BW96" s="6">
        <f>SUMIF('Eredeti fejléccel'!$B:$B,'Felosztás eredménykim'!$B96,'Eredeti fejléccel'!$AW:$AW)</f>
        <v>0</v>
      </c>
      <c r="BX96" s="6">
        <f>SUMIF('Eredeti fejléccel'!$B:$B,'Felosztás eredménykim'!$B96,'Eredeti fejléccel'!$AX:$AX)</f>
        <v>0</v>
      </c>
      <c r="BY96" s="6">
        <f>SUMIF('Eredeti fejléccel'!$B:$B,'Felosztás eredménykim'!$B96,'Eredeti fejléccel'!$AY:$AY)</f>
        <v>0</v>
      </c>
      <c r="BZ96" s="6">
        <f>SUMIF('Eredeti fejléccel'!$B:$B,'Felosztás eredménykim'!$B96,'Eredeti fejléccel'!$AZ:$AZ)</f>
        <v>0</v>
      </c>
      <c r="CA96" s="6">
        <f>SUMIF('Eredeti fejléccel'!$B:$B,'Felosztás eredménykim'!$B96,'Eredeti fejléccel'!$BA:$BA)</f>
        <v>0</v>
      </c>
      <c r="CB96" s="6">
        <f t="shared" si="114"/>
        <v>0</v>
      </c>
      <c r="CC96" s="36">
        <f t="shared" si="97"/>
        <v>1680.4610841579804</v>
      </c>
      <c r="CD96" s="8">
        <f t="shared" si="98"/>
        <v>0</v>
      </c>
      <c r="CE96" s="6">
        <f>SUMIF('Eredeti fejléccel'!$B:$B,'Felosztás eredménykim'!$B96,'Eredeti fejléccel'!$BC:$BC)</f>
        <v>0</v>
      </c>
      <c r="CF96" s="8">
        <f t="shared" si="135"/>
        <v>0</v>
      </c>
      <c r="CG96" s="6">
        <f>SUMIF('Eredeti fejléccel'!$B:$B,'Felosztás eredménykim'!$B96,'Eredeti fejléccel'!$H:$H)</f>
        <v>0</v>
      </c>
      <c r="CH96" s="6">
        <f>SUMIF('Eredeti fejléccel'!$B:$B,'Felosztás eredménykim'!$B96,'Eredeti fejléccel'!$BE:$BE)</f>
        <v>0</v>
      </c>
      <c r="CI96" s="6">
        <f t="shared" si="75"/>
        <v>0</v>
      </c>
      <c r="CJ96" s="36">
        <f t="shared" si="99"/>
        <v>1208.1746356691365</v>
      </c>
      <c r="CK96" s="8">
        <f t="shared" si="100"/>
        <v>0</v>
      </c>
      <c r="CL96" s="8">
        <f t="shared" si="136"/>
        <v>0</v>
      </c>
      <c r="CM96" s="6">
        <f>SUMIF('Eredeti fejléccel'!$B:$B,'Felosztás eredménykim'!$B96,'Eredeti fejléccel'!$BD:$BD)</f>
        <v>0</v>
      </c>
      <c r="CN96" s="8">
        <f t="shared" si="76"/>
        <v>0</v>
      </c>
      <c r="CO96" s="8">
        <f t="shared" si="115"/>
        <v>795673.36500321946</v>
      </c>
      <c r="CR96" s="36">
        <f t="shared" si="101"/>
        <v>7257.2626851255636</v>
      </c>
      <c r="CS96" s="6">
        <f>SUMIF('Eredeti fejléccel'!$B:$B,'Felosztás eredménykim'!$B96,'Eredeti fejléccel'!$I:$I)</f>
        <v>0</v>
      </c>
      <c r="CT96" s="6">
        <f>SUMIF('Eredeti fejléccel'!$B:$B,'Felosztás eredménykim'!$B96,'Eredeti fejléccel'!$BG:$BG)</f>
        <v>0</v>
      </c>
      <c r="CU96" s="6">
        <f>SUMIF('Eredeti fejléccel'!$B:$B,'Felosztás eredménykim'!$B96,'Eredeti fejléccel'!$BH:$BH)</f>
        <v>0</v>
      </c>
      <c r="CV96" s="6">
        <f>SUMIF('Eredeti fejléccel'!$B:$B,'Felosztás eredménykim'!$B96,'Eredeti fejléccel'!$BI:$BI)</f>
        <v>0</v>
      </c>
      <c r="CW96" s="6">
        <f>SUMIF('Eredeti fejléccel'!$B:$B,'Felosztás eredménykim'!$B96,'Eredeti fejléccel'!$BL:$BL)</f>
        <v>0</v>
      </c>
      <c r="CX96" s="6">
        <f t="shared" si="77"/>
        <v>0</v>
      </c>
      <c r="CY96" s="6">
        <f>SUMIF('Eredeti fejléccel'!$B:$B,'Felosztás eredménykim'!$B96,'Eredeti fejléccel'!$BJ:$BJ)</f>
        <v>0</v>
      </c>
      <c r="CZ96" s="6">
        <f>SUMIF('Eredeti fejléccel'!$B:$B,'Felosztás eredménykim'!$B96,'Eredeti fejléccel'!$BK:$BK)</f>
        <v>0</v>
      </c>
      <c r="DA96" s="99">
        <f t="shared" si="116"/>
        <v>0</v>
      </c>
      <c r="DC96" s="36">
        <f t="shared" si="102"/>
        <v>6356.3793303283974</v>
      </c>
      <c r="DD96" s="6">
        <f>SUMIF('Eredeti fejléccel'!$B:$B,'Felosztás eredménykim'!$B96,'Eredeti fejléccel'!$J:$J)</f>
        <v>0</v>
      </c>
      <c r="DE96" s="6">
        <f>SUMIF('Eredeti fejléccel'!$B:$B,'Felosztás eredménykim'!$B96,'Eredeti fejléccel'!$BM:$BM)</f>
        <v>0</v>
      </c>
      <c r="DF96" s="6">
        <f t="shared" si="128"/>
        <v>0</v>
      </c>
      <c r="DG96" s="8">
        <f t="shared" si="117"/>
        <v>0</v>
      </c>
      <c r="DH96" s="8">
        <f t="shared" si="129"/>
        <v>0</v>
      </c>
      <c r="DJ96" s="6">
        <f>SUMIF('Eredeti fejléccel'!$B:$B,'Felosztás eredménykim'!$B96,'Eredeti fejléccel'!$BN:$BN)</f>
        <v>0</v>
      </c>
      <c r="DK96" s="6">
        <f>SUMIF('Eredeti fejléccel'!$B:$B,'Felosztás eredménykim'!$B96,'Eredeti fejléccel'!$BZ:$BZ)</f>
        <v>0</v>
      </c>
      <c r="DL96" s="8">
        <f t="shared" si="130"/>
        <v>0</v>
      </c>
      <c r="DM96" s="6">
        <f>SUMIF('Eredeti fejléccel'!$B:$B,'Felosztás eredménykim'!$B96,'Eredeti fejléccel'!$BR:$BR)</f>
        <v>0</v>
      </c>
      <c r="DN96" s="6">
        <f>SUMIF('Eredeti fejléccel'!$B:$B,'Felosztás eredménykim'!$B96,'Eredeti fejléccel'!$BS:$BS)</f>
        <v>0</v>
      </c>
      <c r="DO96" s="6">
        <f>SUMIF('Eredeti fejléccel'!$B:$B,'Felosztás eredménykim'!$B96,'Eredeti fejléccel'!$BO:$BO)</f>
        <v>0</v>
      </c>
      <c r="DP96" s="6">
        <f>SUMIF('Eredeti fejléccel'!$B:$B,'Felosztás eredménykim'!$B96,'Eredeti fejléccel'!$BP:$BP)</f>
        <v>0</v>
      </c>
      <c r="DQ96" s="6">
        <f>SUMIF('Eredeti fejléccel'!$B:$B,'Felosztás eredménykim'!$B96,'Eredeti fejléccel'!$BQ:$BQ)</f>
        <v>0</v>
      </c>
      <c r="DS96" s="8"/>
      <c r="DU96" s="6">
        <f>SUMIF('Eredeti fejléccel'!$B:$B,'Felosztás eredménykim'!$B96,'Eredeti fejléccel'!$BT:$BT)</f>
        <v>0</v>
      </c>
      <c r="DV96" s="6">
        <f>SUMIF('Eredeti fejléccel'!$B:$B,'Felosztás eredménykim'!$B96,'Eredeti fejléccel'!$BU:$BU)</f>
        <v>0</v>
      </c>
      <c r="DW96" s="6">
        <f>SUMIF('Eredeti fejléccel'!$B:$B,'Felosztás eredménykim'!$B96,'Eredeti fejléccel'!$BV:$BV)</f>
        <v>0</v>
      </c>
      <c r="DX96" s="6">
        <f>SUMIF('Eredeti fejléccel'!$B:$B,'Felosztás eredménykim'!$B96,'Eredeti fejléccel'!$BW:$BW)</f>
        <v>0</v>
      </c>
      <c r="DY96" s="6">
        <f>SUMIF('Eredeti fejléccel'!$B:$B,'Felosztás eredménykim'!$B96,'Eredeti fejléccel'!$BX:$BX)</f>
        <v>0</v>
      </c>
      <c r="EA96" s="6"/>
      <c r="EC96" s="6"/>
      <c r="EE96" s="6">
        <f>SUMIF('Eredeti fejléccel'!$B:$B,'Felosztás eredménykim'!$B96,'Eredeti fejléccel'!$CA:$CA)</f>
        <v>0</v>
      </c>
      <c r="EF96" s="6">
        <f>SUMIF('Eredeti fejléccel'!$B:$B,'Felosztás eredménykim'!$B96,'Eredeti fejléccel'!$CB:$CB)</f>
        <v>0</v>
      </c>
      <c r="EG96" s="6">
        <f>SUMIF('Eredeti fejléccel'!$B:$B,'Felosztás eredménykim'!$B96,'Eredeti fejléccel'!$CC:$CC)</f>
        <v>0</v>
      </c>
      <c r="EH96" s="6">
        <f>SUMIF('Eredeti fejléccel'!$B:$B,'Felosztás eredménykim'!$B96,'Eredeti fejléccel'!$CD:$CD)</f>
        <v>0</v>
      </c>
      <c r="EK96" s="6">
        <f>SUMIF('Eredeti fejléccel'!$B:$B,'Felosztás eredménykim'!$B96,'Eredeti fejléccel'!$CE:$CE)</f>
        <v>0</v>
      </c>
      <c r="EN96" s="6">
        <f>SUMIF('Eredeti fejléccel'!$B:$B,'Felosztás eredménykim'!$B96,'Eredeti fejléccel'!$CF:$CF)</f>
        <v>0</v>
      </c>
      <c r="EP96" s="6">
        <f>SUMIF('Eredeti fejléccel'!$B:$B,'Felosztás eredménykim'!$B96,'Eredeti fejléccel'!$CG:$CG)</f>
        <v>0</v>
      </c>
      <c r="ES96" s="6">
        <f>SUMIF('Eredeti fejléccel'!$B:$B,'Felosztás eredménykim'!$B96,'Eredeti fejléccel'!$CH:$CH)</f>
        <v>0</v>
      </c>
      <c r="ET96" s="6">
        <f>SUMIF('Eredeti fejléccel'!$B:$B,'Felosztás eredménykim'!$B96,'Eredeti fejléccel'!$CI:$CI)</f>
        <v>0</v>
      </c>
      <c r="EW96" s="8">
        <f t="shared" si="118"/>
        <v>0</v>
      </c>
      <c r="EX96" s="8">
        <f t="shared" si="78"/>
        <v>0</v>
      </c>
      <c r="EY96" s="8">
        <f t="shared" si="119"/>
        <v>0</v>
      </c>
      <c r="EZ96" s="8">
        <f t="shared" si="120"/>
        <v>0</v>
      </c>
      <c r="FA96" s="8">
        <f t="shared" si="121"/>
        <v>0</v>
      </c>
      <c r="FC96" s="6">
        <f>SUMIF('Eredeti fejléccel'!$B:$B,'Felosztás eredménykim'!$B96,'Eredeti fejléccel'!$L:$L)</f>
        <v>0</v>
      </c>
      <c r="FD96" s="6">
        <f>SUMIF('Eredeti fejléccel'!$B:$B,'Felosztás eredménykim'!$B96,'Eredeti fejléccel'!$CJ:$CJ)</f>
        <v>0</v>
      </c>
      <c r="FE96" s="6">
        <f>SUMIF('Eredeti fejléccel'!$B:$B,'Felosztás eredménykim'!$B96,'Eredeti fejléccel'!$CL:$CL)</f>
        <v>0</v>
      </c>
      <c r="FG96" s="99">
        <f t="shared" si="79"/>
        <v>0</v>
      </c>
      <c r="FH96" s="6">
        <f>SUMIF('Eredeti fejléccel'!$B:$B,'Felosztás eredménykim'!$B96,'Eredeti fejléccel'!$CK:$CK)</f>
        <v>0</v>
      </c>
      <c r="FI96" s="36">
        <f t="shared" si="103"/>
        <v>7478.6831153877984</v>
      </c>
      <c r="FJ96" s="101">
        <f t="shared" si="104"/>
        <v>0</v>
      </c>
      <c r="FK96" s="6">
        <f>SUMIF('Eredeti fejléccel'!$B:$B,'Felosztás eredménykim'!$B96,'Eredeti fejléccel'!$CM:$CM)</f>
        <v>0</v>
      </c>
      <c r="FL96" s="6">
        <f>SUMIF('Eredeti fejléccel'!$B:$B,'Felosztás eredménykim'!$B96,'Eredeti fejléccel'!$CN:$CN)</f>
        <v>0</v>
      </c>
      <c r="FM96" s="8">
        <f t="shared" si="80"/>
        <v>0</v>
      </c>
      <c r="FN96" s="36">
        <f t="shared" si="105"/>
        <v>6358.1075556268133</v>
      </c>
      <c r="FO96" s="101">
        <f t="shared" si="106"/>
        <v>0</v>
      </c>
      <c r="FP96" s="6">
        <f>SUMIF('Eredeti fejléccel'!$B:$B,'Felosztás eredménykim'!$B96,'Eredeti fejléccel'!$CO:$CO)</f>
        <v>0</v>
      </c>
      <c r="FQ96" s="6">
        <f>'Eredeti fejléccel'!CP96</f>
        <v>0</v>
      </c>
      <c r="FR96" s="6">
        <f>'Eredeti fejléccel'!CQ96</f>
        <v>0</v>
      </c>
      <c r="FS96" s="103">
        <f t="shared" si="122"/>
        <v>0</v>
      </c>
      <c r="FT96" s="36">
        <f t="shared" si="107"/>
        <v>17550.230847156861</v>
      </c>
      <c r="FU96" s="101">
        <f t="shared" si="108"/>
        <v>0</v>
      </c>
      <c r="FV96" s="101"/>
      <c r="FW96" s="6">
        <f>SUMIF('Eredeti fejléccel'!$B:$B,'Felosztás eredménykim'!$B96,'Eredeti fejléccel'!$CR:$CR)</f>
        <v>0</v>
      </c>
      <c r="FX96" s="6">
        <f>SUMIF('Eredeti fejléccel'!$B:$B,'Felosztás eredménykim'!$B96,'Eredeti fejléccel'!$CS:$CS)</f>
        <v>0</v>
      </c>
      <c r="FY96" s="6">
        <f>SUMIF('Eredeti fejléccel'!$B:$B,'Felosztás eredménykim'!$B96,'Eredeti fejléccel'!$CT:$CT)</f>
        <v>0</v>
      </c>
      <c r="FZ96" s="6">
        <f>SUMIF('Eredeti fejléccel'!$B:$B,'Felosztás eredménykim'!$B96,'Eredeti fejléccel'!$CU:$CU)</f>
        <v>0</v>
      </c>
      <c r="GA96" s="103">
        <f t="shared" si="81"/>
        <v>0</v>
      </c>
      <c r="GB96" s="36">
        <f t="shared" si="109"/>
        <v>2339.3037232966576</v>
      </c>
      <c r="GC96" s="101">
        <f t="shared" si="110"/>
        <v>0</v>
      </c>
      <c r="GD96" s="6">
        <f>SUMIF('Eredeti fejléccel'!$B:$B,'Felosztás eredménykim'!$B96,'Eredeti fejléccel'!$CV:$CV)</f>
        <v>12913</v>
      </c>
      <c r="GE96" s="6">
        <f>SUMIF('Eredeti fejléccel'!$B:$B,'Felosztás eredménykim'!$B96,'Eredeti fejléccel'!$CW:$CW)</f>
        <v>0</v>
      </c>
      <c r="GF96" s="103">
        <f t="shared" si="82"/>
        <v>12913</v>
      </c>
      <c r="GG96" s="36">
        <f t="shared" si="111"/>
        <v>0</v>
      </c>
      <c r="GM96" s="6">
        <f>SUMIF('Eredeti fejléccel'!$B:$B,'Felosztás eredménykim'!$B96,'Eredeti fejléccel'!$CX:$CX)</f>
        <v>0</v>
      </c>
      <c r="GN96" s="6">
        <f>SUMIF('Eredeti fejléccel'!$B:$B,'Felosztás eredménykim'!$B96,'Eredeti fejléccel'!$CY:$CY)</f>
        <v>0</v>
      </c>
      <c r="GO96" s="6">
        <f>SUMIF('Eredeti fejléccel'!$B:$B,'Felosztás eredménykim'!$B96,'Eredeti fejléccel'!$CZ:$CZ)</f>
        <v>0</v>
      </c>
      <c r="GP96" s="6">
        <f>SUMIF('Eredeti fejléccel'!$B:$B,'Felosztás eredménykim'!$B96,'Eredeti fejléccel'!$DA:$DA)</f>
        <v>0</v>
      </c>
      <c r="GQ96" s="6">
        <f>SUMIF('Eredeti fejléccel'!$B:$B,'Felosztás eredménykim'!$B96,'Eredeti fejléccel'!$DB:$DB)</f>
        <v>0</v>
      </c>
      <c r="GR96" s="103">
        <f t="shared" si="83"/>
        <v>0</v>
      </c>
      <c r="GW96" s="36">
        <f t="shared" si="112"/>
        <v>4015.6677398583388</v>
      </c>
      <c r="GX96" s="6">
        <f>SUMIF('Eredeti fejléccel'!$B:$B,'Felosztás eredménykim'!$B96,'Eredeti fejléccel'!$M:$M)</f>
        <v>0</v>
      </c>
      <c r="GY96" s="6">
        <f>SUMIF('Eredeti fejléccel'!$B:$B,'Felosztás eredménykim'!$B96,'Eredeti fejléccel'!$DC:$DC)</f>
        <v>0</v>
      </c>
      <c r="GZ96" s="6">
        <f>SUMIF('Eredeti fejléccel'!$B:$B,'Felosztás eredménykim'!$B96,'Eredeti fejléccel'!$DD:$DD)</f>
        <v>0</v>
      </c>
      <c r="HA96" s="6">
        <f>SUMIF('Eredeti fejléccel'!$B:$B,'Felosztás eredménykim'!$B96,'Eredeti fejléccel'!$DE:$DE)</f>
        <v>0</v>
      </c>
      <c r="HB96" s="103">
        <f t="shared" si="84"/>
        <v>0</v>
      </c>
      <c r="HD96" s="9">
        <f t="shared" si="137"/>
        <v>859941.99999999988</v>
      </c>
      <c r="HE96" s="9">
        <v>859942</v>
      </c>
      <c r="HF96" s="476"/>
      <c r="HH96" s="34">
        <f t="shared" si="85"/>
        <v>0</v>
      </c>
    </row>
    <row r="97" spans="1:232" x14ac:dyDescent="0.25">
      <c r="A97" s="4" t="s">
        <v>202</v>
      </c>
      <c r="B97" s="4" t="s">
        <v>202</v>
      </c>
      <c r="C97" s="1" t="s">
        <v>203</v>
      </c>
      <c r="D97" s="6">
        <f>SUMIF('Eredeti fejléccel'!$B:$B,'Felosztás eredménykim'!$B97,'Eredeti fejléccel'!$D:$D)</f>
        <v>0</v>
      </c>
      <c r="E97" s="6">
        <f>SUMIF('Eredeti fejléccel'!$B:$B,'Felosztás eredménykim'!$B97,'Eredeti fejléccel'!$E:$E)</f>
        <v>3009000</v>
      </c>
      <c r="F97" s="6">
        <f>SUMIF('Eredeti fejléccel'!$B:$B,'Felosztás eredménykim'!$B97,'Eredeti fejléccel'!$F:$F)</f>
        <v>0</v>
      </c>
      <c r="G97" s="6">
        <f>SUMIF('Eredeti fejléccel'!$B:$B,'Felosztás eredménykim'!$B97,'Eredeti fejléccel'!$G:$G)</f>
        <v>0</v>
      </c>
      <c r="H97" s="6"/>
      <c r="I97" s="6">
        <f>SUMIF('Eredeti fejléccel'!$B:$B,'Felosztás eredménykim'!$B97,'Eredeti fejléccel'!$O:$O)</f>
        <v>1464000</v>
      </c>
      <c r="J97" s="6">
        <f>SUMIF('Eredeti fejléccel'!$B:$B,'Felosztás eredménykim'!$B97,'Eredeti fejléccel'!$P:$P)</f>
        <v>0</v>
      </c>
      <c r="K97" s="6">
        <f>SUMIF('Eredeti fejléccel'!$B:$B,'Felosztás eredménykim'!$B97,'Eredeti fejléccel'!$Q:$Q)</f>
        <v>0</v>
      </c>
      <c r="L97" s="6">
        <f>SUMIF('Eredeti fejléccel'!$B:$B,'Felosztás eredménykim'!$B97,'Eredeti fejléccel'!$R:$R)</f>
        <v>2015000</v>
      </c>
      <c r="M97" s="6">
        <f>SUMIF('Eredeti fejléccel'!$B:$B,'Felosztás eredménykim'!$B97,'Eredeti fejléccel'!$T:$T)</f>
        <v>0</v>
      </c>
      <c r="N97" s="6">
        <f>SUMIF('Eredeti fejléccel'!$B:$B,'Felosztás eredménykim'!$B97,'Eredeti fejléccel'!$U:$U)</f>
        <v>0</v>
      </c>
      <c r="O97" s="6">
        <f>SUMIF('Eredeti fejléccel'!$B:$B,'Felosztás eredménykim'!$B97,'Eredeti fejléccel'!$V:$V)</f>
        <v>2320000</v>
      </c>
      <c r="P97" s="6">
        <f>SUMIF('Eredeti fejléccel'!$B:$B,'Felosztás eredménykim'!$B97,'Eredeti fejléccel'!$W:$W)</f>
        <v>2061800</v>
      </c>
      <c r="Q97" s="6">
        <f>SUMIF('Eredeti fejléccel'!$B:$B,'Felosztás eredménykim'!$B97,'Eredeti fejléccel'!$X:$X)</f>
        <v>5495000</v>
      </c>
      <c r="R97" s="6">
        <f>SUMIF('Eredeti fejléccel'!$B:$B,'Felosztás eredménykim'!$B97,'Eredeti fejléccel'!$Y:$Y)</f>
        <v>1460000</v>
      </c>
      <c r="S97" s="6">
        <f>SUMIF('Eredeti fejléccel'!$B:$B,'Felosztás eredménykim'!$B97,'Eredeti fejléccel'!$Z:$Z)</f>
        <v>790000</v>
      </c>
      <c r="T97" s="6">
        <f>SUMIF('Eredeti fejléccel'!$B:$B,'Felosztás eredménykim'!$B97,'Eredeti fejléccel'!$AA:$AA)</f>
        <v>0</v>
      </c>
      <c r="U97" s="6">
        <f>SUMIF('Eredeti fejléccel'!$B:$B,'Felosztás eredménykim'!$B97,'Eredeti fejléccel'!$D:$D)</f>
        <v>0</v>
      </c>
      <c r="V97" s="6">
        <f>SUMIF('Eredeti fejléccel'!$B:$B,'Felosztás eredménykim'!$B97,'Eredeti fejléccel'!$AT:$AT)</f>
        <v>2650000</v>
      </c>
      <c r="X97" s="36">
        <f t="shared" si="86"/>
        <v>21264800</v>
      </c>
      <c r="Z97" s="6">
        <f>SUMIF('Eredeti fejléccel'!$B:$B,'Felosztás eredménykim'!$B97,'Eredeti fejléccel'!$K:$K)</f>
        <v>2312800</v>
      </c>
      <c r="AB97" s="6">
        <f>SUMIF('Eredeti fejléccel'!$B:$B,'Felosztás eredménykim'!$B97,'Eredeti fejléccel'!$AB:$AB)</f>
        <v>0</v>
      </c>
      <c r="AC97" s="6">
        <f>SUMIF('Eredeti fejléccel'!$B:$B,'Felosztás eredménykim'!$B97,'Eredeti fejléccel'!$AQ:$AQ)</f>
        <v>0</v>
      </c>
      <c r="AE97" s="73">
        <f t="shared" si="131"/>
        <v>2312800</v>
      </c>
      <c r="AF97" s="36">
        <f t="shared" si="87"/>
        <v>2536776.6932946052</v>
      </c>
      <c r="AG97" s="8">
        <f t="shared" si="88"/>
        <v>737423.48627135297</v>
      </c>
      <c r="AI97" s="6">
        <f>SUMIF('Eredeti fejléccel'!$B:$B,'Felosztás eredménykim'!$B97,'Eredeti fejléccel'!$BB:$BB)</f>
        <v>4022800</v>
      </c>
      <c r="AJ97" s="6">
        <f>SUMIF('Eredeti fejléccel'!$B:$B,'Felosztás eredménykim'!$B97,'Eredeti fejléccel'!$AF:$AF)</f>
        <v>0</v>
      </c>
      <c r="AK97" s="8">
        <f t="shared" si="73"/>
        <v>4760223.4862713534</v>
      </c>
      <c r="AL97" s="36">
        <f t="shared" si="89"/>
        <v>1007594.8941669457</v>
      </c>
      <c r="AM97" s="8">
        <f t="shared" si="90"/>
        <v>292900.88543064124</v>
      </c>
      <c r="AN97" s="6">
        <f t="shared" si="123"/>
        <v>0</v>
      </c>
      <c r="AO97" s="6">
        <f>SUMIF('Eredeti fejléccel'!$B:$B,'Felosztás eredménykim'!$B97,'Eredeti fejléccel'!$AC:$AC)</f>
        <v>0</v>
      </c>
      <c r="AP97" s="6">
        <f>SUMIF('Eredeti fejléccel'!$B:$B,'Felosztás eredménykim'!$B97,'Eredeti fejléccel'!$AD:$AD)</f>
        <v>0</v>
      </c>
      <c r="AQ97" s="6">
        <f>SUMIF('Eredeti fejléccel'!$B:$B,'Felosztás eredménykim'!$B97,'Eredeti fejléccel'!$AE:$AE)</f>
        <v>0</v>
      </c>
      <c r="AR97" s="6">
        <f>SUMIF('Eredeti fejléccel'!$B:$B,'Felosztás eredménykim'!$B97,'Eredeti fejléccel'!$AG:$AG)</f>
        <v>5085000</v>
      </c>
      <c r="AS97" s="6">
        <f t="shared" si="124"/>
        <v>5377900.8854306415</v>
      </c>
      <c r="AT97" s="36">
        <f t="shared" si="91"/>
        <v>1636630.1247061971</v>
      </c>
      <c r="AU97" s="8">
        <f t="shared" si="92"/>
        <v>475757.08791700198</v>
      </c>
      <c r="AV97" s="6">
        <f>SUMIF('Eredeti fejléccel'!$B:$B,'Felosztás eredménykim'!$B97,'Eredeti fejléccel'!$AI:$AI)</f>
        <v>0</v>
      </c>
      <c r="AW97" s="6">
        <f>SUMIF('Eredeti fejléccel'!$B:$B,'Felosztás eredménykim'!$B97,'Eredeti fejléccel'!$AJ:$AJ)</f>
        <v>700000</v>
      </c>
      <c r="AX97" s="6">
        <f>SUMIF('Eredeti fejléccel'!$B:$B,'Felosztás eredménykim'!$B97,'Eredeti fejléccel'!$AK:$AK)</f>
        <v>3810000</v>
      </c>
      <c r="AY97" s="6">
        <f>SUMIF('Eredeti fejléccel'!$B:$B,'Felosztás eredménykim'!$B97,'Eredeti fejléccel'!$AL:$AL)</f>
        <v>1680000</v>
      </c>
      <c r="AZ97" s="6">
        <f>SUMIF('Eredeti fejléccel'!$B:$B,'Felosztás eredménykim'!$B97,'Eredeti fejléccel'!$AM:$AM)</f>
        <v>1880000</v>
      </c>
      <c r="BA97" s="6">
        <f>SUMIF('Eredeti fejléccel'!$B:$B,'Felosztás eredménykim'!$B97,'Eredeti fejléccel'!$AN:$AN)</f>
        <v>0</v>
      </c>
      <c r="BB97" s="6">
        <f>SUMIF('Eredeti fejléccel'!$B:$B,'Felosztás eredménykim'!$B97,'Eredeti fejléccel'!$AP:$AP)</f>
        <v>915000</v>
      </c>
      <c r="BD97" s="6">
        <f>SUMIF('Eredeti fejléccel'!$B:$B,'Felosztás eredménykim'!$B97,'Eredeti fejléccel'!$AS:$AS)</f>
        <v>0</v>
      </c>
      <c r="BE97" s="8">
        <f t="shared" si="74"/>
        <v>9460757.0879170019</v>
      </c>
      <c r="BF97" s="36">
        <f t="shared" si="93"/>
        <v>426946.98905379052</v>
      </c>
      <c r="BG97" s="8">
        <f t="shared" si="94"/>
        <v>124110.54467400051</v>
      </c>
      <c r="BH97" s="6">
        <f t="shared" si="125"/>
        <v>0</v>
      </c>
      <c r="BI97" s="6">
        <f>SUMIF('Eredeti fejléccel'!$B:$B,'Felosztás eredménykim'!$B97,'Eredeti fejléccel'!$AH:$AH)</f>
        <v>1703000</v>
      </c>
      <c r="BJ97" s="6">
        <f>SUMIF('Eredeti fejléccel'!$B:$B,'Felosztás eredménykim'!$B97,'Eredeti fejléccel'!$AO:$AO)</f>
        <v>0</v>
      </c>
      <c r="BK97" s="6">
        <f>SUMIF('Eredeti fejléccel'!$B:$B,'Felosztás eredménykim'!$B97,'Eredeti fejléccel'!$BF:$BF)</f>
        <v>0</v>
      </c>
      <c r="BL97" s="8">
        <f t="shared" si="126"/>
        <v>1827110.5446740005</v>
      </c>
      <c r="BM97" s="36">
        <f t="shared" si="95"/>
        <v>1599628.0523215353</v>
      </c>
      <c r="BN97" s="8">
        <f t="shared" si="96"/>
        <v>465000.84071192192</v>
      </c>
      <c r="BP97" s="8">
        <f t="shared" si="127"/>
        <v>0</v>
      </c>
      <c r="BQ97" s="6">
        <f>SUMIF('Eredeti fejléccel'!$B:$B,'Felosztás eredménykim'!$B97,'Eredeti fejléccel'!$N:$N)</f>
        <v>0</v>
      </c>
      <c r="BR97" s="6">
        <f>SUMIF('Eredeti fejléccel'!$B:$B,'Felosztás eredménykim'!$B97,'Eredeti fejléccel'!$S:$S)</f>
        <v>0</v>
      </c>
      <c r="BT97" s="6">
        <f>SUMIF('Eredeti fejléccel'!$B:$B,'Felosztás eredménykim'!$B97,'Eredeti fejléccel'!$AR:$AR)</f>
        <v>0</v>
      </c>
      <c r="BU97" s="6">
        <f>SUMIF('Eredeti fejléccel'!$B:$B,'Felosztás eredménykim'!$B97,'Eredeti fejléccel'!$AU:$AU)</f>
        <v>0</v>
      </c>
      <c r="BV97" s="6">
        <f>SUMIF('Eredeti fejléccel'!$B:$B,'Felosztás eredménykim'!$B97,'Eredeti fejléccel'!$AV:$AV)</f>
        <v>1750000</v>
      </c>
      <c r="BW97" s="6">
        <f>SUMIF('Eredeti fejléccel'!$B:$B,'Felosztás eredménykim'!$B97,'Eredeti fejléccel'!$AW:$AW)</f>
        <v>0</v>
      </c>
      <c r="BX97" s="6">
        <f>SUMIF('Eredeti fejléccel'!$B:$B,'Felosztás eredménykim'!$B97,'Eredeti fejléccel'!$AX:$AX)</f>
        <v>0</v>
      </c>
      <c r="BY97" s="6">
        <f>SUMIF('Eredeti fejléccel'!$B:$B,'Felosztás eredménykim'!$B97,'Eredeti fejléccel'!$AY:$AY)</f>
        <v>0</v>
      </c>
      <c r="BZ97" s="6">
        <f>SUMIF('Eredeti fejléccel'!$B:$B,'Felosztás eredménykim'!$B97,'Eredeti fejléccel'!$AZ:$AZ)</f>
        <v>0</v>
      </c>
      <c r="CA97" s="6">
        <f>SUMIF('Eredeti fejléccel'!$B:$B,'Felosztás eredménykim'!$B97,'Eredeti fejléccel'!$BA:$BA)</f>
        <v>6058000</v>
      </c>
      <c r="CB97" s="6">
        <f t="shared" si="114"/>
        <v>8273000.8407119215</v>
      </c>
      <c r="CC97" s="36">
        <f t="shared" si="97"/>
        <v>435485.92883486632</v>
      </c>
      <c r="CD97" s="8">
        <f t="shared" si="98"/>
        <v>126592.75556748052</v>
      </c>
      <c r="CE97" s="6">
        <f>SUMIF('Eredeti fejléccel'!$B:$B,'Felosztás eredménykim'!$B97,'Eredeti fejléccel'!$BC:$BC)</f>
        <v>400000</v>
      </c>
      <c r="CF97" s="8">
        <f t="shared" si="135"/>
        <v>-200000</v>
      </c>
      <c r="CG97" s="6">
        <f>SUMIF('Eredeti fejléccel'!$B:$B,'Felosztás eredménykim'!$B97,'Eredeti fejléccel'!$H:$H)</f>
        <v>0</v>
      </c>
      <c r="CH97" s="6">
        <f>SUMIF('Eredeti fejléccel'!$B:$B,'Felosztás eredménykim'!$B97,'Eredeti fejléccel'!$BE:$BE)</f>
        <v>1955000</v>
      </c>
      <c r="CI97" s="6">
        <f t="shared" si="75"/>
        <v>2281592.7555674808</v>
      </c>
      <c r="CJ97" s="36">
        <f t="shared" si="99"/>
        <v>313094.45863944641</v>
      </c>
      <c r="CK97" s="8">
        <f t="shared" si="100"/>
        <v>91014.39942760038</v>
      </c>
      <c r="CL97" s="8">
        <f t="shared" si="136"/>
        <v>200000</v>
      </c>
      <c r="CM97" s="6">
        <f>SUMIF('Eredeti fejléccel'!$B:$B,'Felosztás eredménykim'!$B97,'Eredeti fejléccel'!$BD:$BD)</f>
        <v>1750000</v>
      </c>
      <c r="CN97" s="8">
        <f t="shared" si="76"/>
        <v>2041014.3994276004</v>
      </c>
      <c r="CO97" s="8">
        <f t="shared" si="115"/>
        <v>41977757.141017385</v>
      </c>
      <c r="CR97" s="36">
        <f t="shared" si="101"/>
        <v>1880695.6084996781</v>
      </c>
      <c r="CS97" s="6">
        <f>SUMIF('Eredeti fejléccel'!$B:$B,'Felosztás eredménykim'!$B97,'Eredeti fejléccel'!$I:$I)</f>
        <v>1093800</v>
      </c>
      <c r="CT97" s="6">
        <f>SUMIF('Eredeti fejléccel'!$B:$B,'Felosztás eredménykim'!$B97,'Eredeti fejléccel'!$BG:$BG)</f>
        <v>0</v>
      </c>
      <c r="CU97" s="6">
        <f>SUMIF('Eredeti fejléccel'!$B:$B,'Felosztás eredménykim'!$B97,'Eredeti fejléccel'!$BH:$BH)</f>
        <v>6313000</v>
      </c>
      <c r="CV97" s="6">
        <f>SUMIF('Eredeti fejléccel'!$B:$B,'Felosztás eredménykim'!$B97,'Eredeti fejléccel'!$BI:$BI)</f>
        <v>1549000</v>
      </c>
      <c r="CW97" s="6">
        <f>SUMIF('Eredeti fejléccel'!$B:$B,'Felosztás eredménykim'!$B97,'Eredeti fejléccel'!$BL:$BL)</f>
        <v>0</v>
      </c>
      <c r="CX97" s="6">
        <f t="shared" si="77"/>
        <v>8955800</v>
      </c>
      <c r="CY97" s="6">
        <f>SUMIF('Eredeti fejléccel'!$B:$B,'Felosztás eredménykim'!$B97,'Eredeti fejléccel'!$BJ:$BJ)</f>
        <v>0</v>
      </c>
      <c r="CZ97" s="6">
        <f>SUMIF('Eredeti fejléccel'!$B:$B,'Felosztás eredménykim'!$B97,'Eredeti fejléccel'!$BK:$BK)</f>
        <v>0</v>
      </c>
      <c r="DA97" s="99">
        <f t="shared" si="116"/>
        <v>8955800</v>
      </c>
      <c r="DC97" s="36">
        <f t="shared" si="102"/>
        <v>1647234.6683837736</v>
      </c>
      <c r="DD97" s="6">
        <f>SUMIF('Eredeti fejléccel'!$B:$B,'Felosztás eredménykim'!$B97,'Eredeti fejléccel'!$J:$J)</f>
        <v>0</v>
      </c>
      <c r="DE97" s="6">
        <f>SUMIF('Eredeti fejléccel'!$B:$B,'Felosztás eredménykim'!$B97,'Eredeti fejléccel'!$BM:$BM)</f>
        <v>3882000</v>
      </c>
      <c r="DF97" s="6">
        <f t="shared" si="128"/>
        <v>0</v>
      </c>
      <c r="DG97" s="8">
        <f t="shared" si="117"/>
        <v>0</v>
      </c>
      <c r="DH97" s="8">
        <f t="shared" si="129"/>
        <v>3882000</v>
      </c>
      <c r="DJ97" s="6">
        <f>SUMIF('Eredeti fejléccel'!$B:$B,'Felosztás eredménykim'!$B97,'Eredeti fejléccel'!$BN:$BN)</f>
        <v>1691000</v>
      </c>
      <c r="DK97" s="6">
        <f>SUMIF('Eredeti fejléccel'!$B:$B,'Felosztás eredménykim'!$B97,'Eredeti fejléccel'!$BZ:$BZ)</f>
        <v>0</v>
      </c>
      <c r="DL97" s="8">
        <f t="shared" si="130"/>
        <v>1691000</v>
      </c>
      <c r="DM97" s="6">
        <f>SUMIF('Eredeti fejléccel'!$B:$B,'Felosztás eredménykim'!$B97,'Eredeti fejléccel'!$BR:$BR)</f>
        <v>0</v>
      </c>
      <c r="DN97" s="6">
        <f>SUMIF('Eredeti fejléccel'!$B:$B,'Felosztás eredménykim'!$B97,'Eredeti fejléccel'!$BS:$BS)</f>
        <v>0</v>
      </c>
      <c r="DO97" s="6">
        <f>SUMIF('Eredeti fejléccel'!$B:$B,'Felosztás eredménykim'!$B97,'Eredeti fejléccel'!$BO:$BO)</f>
        <v>0</v>
      </c>
      <c r="DP97" s="6">
        <f>SUMIF('Eredeti fejléccel'!$B:$B,'Felosztás eredménykim'!$B97,'Eredeti fejléccel'!$BP:$BP)</f>
        <v>0</v>
      </c>
      <c r="DQ97" s="6">
        <f>SUMIF('Eredeti fejléccel'!$B:$B,'Felosztás eredménykim'!$B97,'Eredeti fejléccel'!$BQ:$BQ)</f>
        <v>0</v>
      </c>
      <c r="DS97" s="8"/>
      <c r="DU97" s="6">
        <f>SUMIF('Eredeti fejléccel'!$B:$B,'Felosztás eredménykim'!$B97,'Eredeti fejléccel'!$BT:$BT)</f>
        <v>0</v>
      </c>
      <c r="DV97" s="6">
        <f>SUMIF('Eredeti fejléccel'!$B:$B,'Felosztás eredménykim'!$B97,'Eredeti fejléccel'!$BU:$BU)</f>
        <v>0</v>
      </c>
      <c r="DW97" s="6">
        <f>SUMIF('Eredeti fejléccel'!$B:$B,'Felosztás eredménykim'!$B97,'Eredeti fejléccel'!$BV:$BV)</f>
        <v>0</v>
      </c>
      <c r="DX97" s="6">
        <f>SUMIF('Eredeti fejléccel'!$B:$B,'Felosztás eredménykim'!$B97,'Eredeti fejléccel'!$BW:$BW)</f>
        <v>0</v>
      </c>
      <c r="DY97" s="6">
        <f>SUMIF('Eredeti fejléccel'!$B:$B,'Felosztás eredménykim'!$B97,'Eredeti fejléccel'!$BX:$BX)</f>
        <v>0</v>
      </c>
      <c r="EA97" s="6"/>
      <c r="EC97" s="6"/>
      <c r="EE97" s="6">
        <f>SUMIF('Eredeti fejléccel'!$B:$B,'Felosztás eredménykim'!$B97,'Eredeti fejléccel'!$CA:$CA)</f>
        <v>0</v>
      </c>
      <c r="EF97" s="6">
        <f>SUMIF('Eredeti fejléccel'!$B:$B,'Felosztás eredménykim'!$B97,'Eredeti fejléccel'!$CB:$CB)</f>
        <v>0</v>
      </c>
      <c r="EG97" s="6">
        <f>SUMIF('Eredeti fejléccel'!$B:$B,'Felosztás eredménykim'!$B97,'Eredeti fejléccel'!$CC:$CC)</f>
        <v>0</v>
      </c>
      <c r="EH97" s="6">
        <f>SUMIF('Eredeti fejléccel'!$B:$B,'Felosztás eredménykim'!$B97,'Eredeti fejléccel'!$CD:$CD)</f>
        <v>0</v>
      </c>
      <c r="EK97" s="6">
        <f>SUMIF('Eredeti fejléccel'!$B:$B,'Felosztás eredménykim'!$B97,'Eredeti fejléccel'!$CE:$CE)</f>
        <v>0</v>
      </c>
      <c r="EN97" s="6">
        <f>SUMIF('Eredeti fejléccel'!$B:$B,'Felosztás eredménykim'!$B97,'Eredeti fejléccel'!$CF:$CF)</f>
        <v>0</v>
      </c>
      <c r="EP97" s="6">
        <f>SUMIF('Eredeti fejléccel'!$B:$B,'Felosztás eredménykim'!$B97,'Eredeti fejléccel'!$CG:$CG)</f>
        <v>0</v>
      </c>
      <c r="ES97" s="6">
        <f>SUMIF('Eredeti fejléccel'!$B:$B,'Felosztás eredménykim'!$B97,'Eredeti fejléccel'!$CH:$CH)</f>
        <v>0</v>
      </c>
      <c r="ET97" s="6">
        <f>SUMIF('Eredeti fejléccel'!$B:$B,'Felosztás eredménykim'!$B97,'Eredeti fejléccel'!$CI:$CI)</f>
        <v>0</v>
      </c>
      <c r="EW97" s="8">
        <f t="shared" si="118"/>
        <v>0</v>
      </c>
      <c r="EX97" s="8">
        <f t="shared" si="78"/>
        <v>0</v>
      </c>
      <c r="EY97" s="8">
        <f t="shared" si="119"/>
        <v>3882000</v>
      </c>
      <c r="EZ97" s="8">
        <f t="shared" si="120"/>
        <v>5573000</v>
      </c>
      <c r="FA97" s="8">
        <f t="shared" si="121"/>
        <v>3882000</v>
      </c>
      <c r="FC97" s="6">
        <f>SUMIF('Eredeti fejléccel'!$B:$B,'Felosztás eredménykim'!$B97,'Eredeti fejléccel'!$L:$L)</f>
        <v>0</v>
      </c>
      <c r="FD97" s="6">
        <f>SUMIF('Eredeti fejléccel'!$B:$B,'Felosztás eredménykim'!$B97,'Eredeti fejléccel'!$CJ:$CJ)</f>
        <v>2068200</v>
      </c>
      <c r="FE97" s="6">
        <f>SUMIF('Eredeti fejléccel'!$B:$B,'Felosztás eredménykim'!$B97,'Eredeti fejléccel'!$CL:$CL)</f>
        <v>0</v>
      </c>
      <c r="FG97" s="99">
        <f t="shared" si="79"/>
        <v>2068200</v>
      </c>
      <c r="FH97" s="6">
        <f>SUMIF('Eredeti fejléccel'!$B:$B,'Felosztás eredménykim'!$B97,'Eredeti fejléccel'!$CK:$CK)</f>
        <v>0</v>
      </c>
      <c r="FI97" s="36">
        <f t="shared" si="103"/>
        <v>1938075.9802588259</v>
      </c>
      <c r="FJ97" s="101">
        <f t="shared" si="104"/>
        <v>458615.40824575588</v>
      </c>
      <c r="FK97" s="6">
        <f>SUMIF('Eredeti fejléccel'!$B:$B,'Felosztás eredménykim'!$B97,'Eredeti fejléccel'!$CM:$CM)</f>
        <v>7178700</v>
      </c>
      <c r="FL97" s="6">
        <f>SUMIF('Eredeti fejléccel'!$B:$B,'Felosztás eredménykim'!$B97,'Eredeti fejléccel'!$CN:$CN)</f>
        <v>0</v>
      </c>
      <c r="FM97" s="8">
        <f t="shared" si="80"/>
        <v>7637315.4082457563</v>
      </c>
      <c r="FN97" s="36">
        <f t="shared" si="105"/>
        <v>1647682.5322506679</v>
      </c>
      <c r="FO97" s="101">
        <f t="shared" si="106"/>
        <v>389898.33468067908</v>
      </c>
      <c r="FP97" s="6">
        <f>SUMIF('Eredeti fejléccel'!$B:$B,'Felosztás eredménykim'!$B97,'Eredeti fejléccel'!$CO:$CO)</f>
        <v>3568200</v>
      </c>
      <c r="FQ97" s="6">
        <f>'Eredeti fejléccel'!CP97</f>
        <v>2929600</v>
      </c>
      <c r="FR97" s="6">
        <f>'Eredeti fejléccel'!CQ97</f>
        <v>0</v>
      </c>
      <c r="FS97" s="103">
        <f t="shared" si="122"/>
        <v>6887698.3346806793</v>
      </c>
      <c r="FT97" s="36">
        <f t="shared" si="107"/>
        <v>4548084.2453248501</v>
      </c>
      <c r="FU97" s="101">
        <f t="shared" si="108"/>
        <v>1076233.0962004852</v>
      </c>
      <c r="FV97" s="101"/>
      <c r="FW97" s="6">
        <f>SUMIF('Eredeti fejléccel'!$B:$B,'Felosztás eredménykim'!$B97,'Eredeti fejléccel'!$CR:$CR)</f>
        <v>15636000</v>
      </c>
      <c r="FX97" s="6">
        <f>SUMIF('Eredeti fejléccel'!$B:$B,'Felosztás eredménykim'!$B97,'Eredeti fejléccel'!$CS:$CS)</f>
        <v>1258400</v>
      </c>
      <c r="FY97" s="6">
        <f>SUMIF('Eredeti fejléccel'!$B:$B,'Felosztás eredménykim'!$B97,'Eredeti fejléccel'!$CT:$CT)</f>
        <v>0</v>
      </c>
      <c r="FZ97" s="6">
        <f>SUMIF('Eredeti fejléccel'!$B:$B,'Felosztás eredménykim'!$B97,'Eredeti fejléccel'!$CU:$CU)</f>
        <v>0</v>
      </c>
      <c r="GA97" s="103">
        <f t="shared" si="81"/>
        <v>17970633.096200485</v>
      </c>
      <c r="GB97" s="36">
        <f t="shared" si="109"/>
        <v>606222.81846958539</v>
      </c>
      <c r="GC97" s="101">
        <f t="shared" si="110"/>
        <v>143453.16087308005</v>
      </c>
      <c r="GD97" s="6">
        <f>SUMIF('Eredeti fejléccel'!$B:$B,'Felosztás eredménykim'!$B97,'Eredeti fejléccel'!$CV:$CV)</f>
        <v>2364000</v>
      </c>
      <c r="GE97" s="6">
        <f>SUMIF('Eredeti fejléccel'!$B:$B,'Felosztás eredménykim'!$B97,'Eredeti fejléccel'!$CW:$CW)</f>
        <v>0</v>
      </c>
      <c r="GF97" s="103">
        <f t="shared" si="82"/>
        <v>2507453.1608730801</v>
      </c>
      <c r="GG97" s="36">
        <f t="shared" si="111"/>
        <v>0</v>
      </c>
      <c r="GM97" s="6">
        <f>SUMIF('Eredeti fejléccel'!$B:$B,'Felosztás eredménykim'!$B97,'Eredeti fejléccel'!$CX:$CX)</f>
        <v>0</v>
      </c>
      <c r="GN97" s="6">
        <f>SUMIF('Eredeti fejléccel'!$B:$B,'Felosztás eredménykim'!$B97,'Eredeti fejléccel'!$CY:$CY)</f>
        <v>0</v>
      </c>
      <c r="GO97" s="6">
        <f>SUMIF('Eredeti fejléccel'!$B:$B,'Felosztás eredménykim'!$B97,'Eredeti fejléccel'!$CZ:$CZ)</f>
        <v>0</v>
      </c>
      <c r="GP97" s="6">
        <f>SUMIF('Eredeti fejléccel'!$B:$B,'Felosztás eredménykim'!$B97,'Eredeti fejléccel'!$DA:$DA)</f>
        <v>0</v>
      </c>
      <c r="GQ97" s="6">
        <f>SUMIF('Eredeti fejléccel'!$B:$B,'Felosztás eredménykim'!$B97,'Eredeti fejléccel'!$DB:$DB)</f>
        <v>0</v>
      </c>
      <c r="GR97" s="103">
        <f t="shared" si="83"/>
        <v>0</v>
      </c>
      <c r="GW97" s="36">
        <f t="shared" si="112"/>
        <v>1040647.005795235</v>
      </c>
      <c r="GX97" s="6">
        <f>SUMIF('Eredeti fejléccel'!$B:$B,'Felosztás eredménykim'!$B97,'Eredeti fejléccel'!$M:$M)</f>
        <v>0</v>
      </c>
      <c r="GY97" s="6">
        <f>SUMIF('Eredeti fejléccel'!$B:$B,'Felosztás eredménykim'!$B97,'Eredeti fejléccel'!$DC:$DC)</f>
        <v>1757000</v>
      </c>
      <c r="GZ97" s="6">
        <f>SUMIF('Eredeti fejléccel'!$B:$B,'Felosztás eredménykim'!$B97,'Eredeti fejléccel'!$DD:$DD)</f>
        <v>0</v>
      </c>
      <c r="HA97" s="6">
        <f>SUMIF('Eredeti fejléccel'!$B:$B,'Felosztás eredménykim'!$B97,'Eredeti fejléccel'!$DE:$DE)</f>
        <v>2353200</v>
      </c>
      <c r="HB97" s="103">
        <f t="shared" si="84"/>
        <v>4110200</v>
      </c>
      <c r="HD97" s="9">
        <f t="shared" si="137"/>
        <v>108928499.99999988</v>
      </c>
      <c r="HE97" s="9">
        <v>108928500</v>
      </c>
      <c r="HF97" s="476"/>
      <c r="HH97" s="34">
        <f t="shared" si="85"/>
        <v>-1.1920928955078125E-7</v>
      </c>
    </row>
    <row r="98" spans="1:232" x14ac:dyDescent="0.25">
      <c r="A98" s="4" t="s">
        <v>204</v>
      </c>
      <c r="B98" s="4" t="s">
        <v>204</v>
      </c>
      <c r="C98" s="1" t="s">
        <v>205</v>
      </c>
      <c r="D98" s="6">
        <f>SUMIF('Eredeti fejléccel'!$B:$B,'Felosztás eredménykim'!$B98,'Eredeti fejléccel'!$D:$D)</f>
        <v>0</v>
      </c>
      <c r="E98" s="6">
        <f>SUMIF('Eredeti fejléccel'!$B:$B,'Felosztás eredménykim'!$B98,'Eredeti fejléccel'!$E:$E)</f>
        <v>15820644</v>
      </c>
      <c r="F98" s="6">
        <f>SUMIF('Eredeti fejléccel'!$B:$B,'Felosztás eredménykim'!$B98,'Eredeti fejléccel'!$F:$F)</f>
        <v>0</v>
      </c>
      <c r="G98" s="6">
        <f>SUMIF('Eredeti fejléccel'!$B:$B,'Felosztás eredménykim'!$B98,'Eredeti fejléccel'!$G:$G)</f>
        <v>0</v>
      </c>
      <c r="H98" s="6"/>
      <c r="I98" s="6">
        <f>SUMIF('Eredeti fejléccel'!$B:$B,'Felosztás eredménykim'!$B98,'Eredeti fejléccel'!$O:$O)</f>
        <v>0</v>
      </c>
      <c r="J98" s="6">
        <f>SUMIF('Eredeti fejléccel'!$B:$B,'Felosztás eredménykim'!$B98,'Eredeti fejléccel'!$P:$P)</f>
        <v>0</v>
      </c>
      <c r="K98" s="6">
        <f>SUMIF('Eredeti fejléccel'!$B:$B,'Felosztás eredménykim'!$B98,'Eredeti fejléccel'!$Q:$Q)</f>
        <v>0</v>
      </c>
      <c r="L98" s="6">
        <f>SUMIF('Eredeti fejléccel'!$B:$B,'Felosztás eredménykim'!$B98,'Eredeti fejléccel'!$R:$R)</f>
        <v>0</v>
      </c>
      <c r="M98" s="6">
        <f>SUMIF('Eredeti fejléccel'!$B:$B,'Felosztás eredménykim'!$B98,'Eredeti fejléccel'!$T:$T)</f>
        <v>0</v>
      </c>
      <c r="N98" s="6">
        <f>SUMIF('Eredeti fejléccel'!$B:$B,'Felosztás eredménykim'!$B98,'Eredeti fejléccel'!$U:$U)</f>
        <v>0</v>
      </c>
      <c r="O98" s="6">
        <f>SUMIF('Eredeti fejléccel'!$B:$B,'Felosztás eredménykim'!$B98,'Eredeti fejléccel'!$V:$V)</f>
        <v>0</v>
      </c>
      <c r="P98" s="6">
        <f>SUMIF('Eredeti fejléccel'!$B:$B,'Felosztás eredménykim'!$B98,'Eredeti fejléccel'!$W:$W)</f>
        <v>2512872</v>
      </c>
      <c r="Q98" s="6">
        <f>SUMIF('Eredeti fejléccel'!$B:$B,'Felosztás eredménykim'!$B98,'Eredeti fejléccel'!$X:$X)</f>
        <v>0</v>
      </c>
      <c r="R98" s="6">
        <f>SUMIF('Eredeti fejléccel'!$B:$B,'Felosztás eredménykim'!$B98,'Eredeti fejléccel'!$Y:$Y)</f>
        <v>0</v>
      </c>
      <c r="S98" s="6">
        <f>SUMIF('Eredeti fejléccel'!$B:$B,'Felosztás eredménykim'!$B98,'Eredeti fejléccel'!$Z:$Z)</f>
        <v>0</v>
      </c>
      <c r="T98" s="6">
        <f>SUMIF('Eredeti fejléccel'!$B:$B,'Felosztás eredménykim'!$B98,'Eredeti fejléccel'!$AA:$AA)</f>
        <v>0</v>
      </c>
      <c r="U98" s="6">
        <f>SUMIF('Eredeti fejléccel'!$B:$B,'Felosztás eredménykim'!$B98,'Eredeti fejléccel'!$D:$D)</f>
        <v>0</v>
      </c>
      <c r="V98" s="6">
        <f>SUMIF('Eredeti fejléccel'!$B:$B,'Felosztás eredménykim'!$B98,'Eredeti fejléccel'!$AT:$AT)</f>
        <v>0</v>
      </c>
      <c r="X98" s="36">
        <f t="shared" si="86"/>
        <v>18333516</v>
      </c>
      <c r="Z98" s="6">
        <f>SUMIF('Eredeti fejléccel'!$B:$B,'Felosztás eredménykim'!$B98,'Eredeti fejléccel'!$K:$K)</f>
        <v>0</v>
      </c>
      <c r="AB98" s="6">
        <f>SUMIF('Eredeti fejléccel'!$B:$B,'Felosztás eredménykim'!$B98,'Eredeti fejléccel'!$AB:$AB)</f>
        <v>0</v>
      </c>
      <c r="AC98" s="6">
        <f>SUMIF('Eredeti fejléccel'!$B:$B,'Felosztás eredménykim'!$B98,'Eredeti fejléccel'!$AQ:$AQ)</f>
        <v>0</v>
      </c>
      <c r="AE98" s="73">
        <f t="shared" si="131"/>
        <v>0</v>
      </c>
      <c r="AF98" s="36">
        <f t="shared" si="87"/>
        <v>2187090.2192799244</v>
      </c>
      <c r="AG98" s="8">
        <f t="shared" si="88"/>
        <v>0</v>
      </c>
      <c r="AI98" s="6">
        <f>SUMIF('Eredeti fejléccel'!$B:$B,'Felosztás eredménykim'!$B98,'Eredeti fejléccel'!$BB:$BB)</f>
        <v>0</v>
      </c>
      <c r="AJ98" s="6">
        <f>SUMIF('Eredeti fejléccel'!$B:$B,'Felosztás eredménykim'!$B98,'Eredeti fejléccel'!$AF:$AF)</f>
        <v>0</v>
      </c>
      <c r="AK98" s="8">
        <f t="shared" si="73"/>
        <v>0</v>
      </c>
      <c r="AL98" s="36">
        <f t="shared" si="89"/>
        <v>868701.1922862198</v>
      </c>
      <c r="AM98" s="8">
        <f t="shared" si="90"/>
        <v>0</v>
      </c>
      <c r="AN98" s="6">
        <f t="shared" si="123"/>
        <v>0</v>
      </c>
      <c r="AO98" s="6">
        <f>SUMIF('Eredeti fejléccel'!$B:$B,'Felosztás eredménykim'!$B98,'Eredeti fejléccel'!$AC:$AC)</f>
        <v>0</v>
      </c>
      <c r="AP98" s="6">
        <f>SUMIF('Eredeti fejléccel'!$B:$B,'Felosztás eredménykim'!$B98,'Eredeti fejléccel'!$AD:$AD)</f>
        <v>0</v>
      </c>
      <c r="AQ98" s="6">
        <f>SUMIF('Eredeti fejléccel'!$B:$B,'Felosztás eredménykim'!$B98,'Eredeti fejléccel'!$AE:$AE)</f>
        <v>0</v>
      </c>
      <c r="AR98" s="6">
        <f>SUMIF('Eredeti fejléccel'!$B:$B,'Felosztás eredménykim'!$B98,'Eredeti fejléccel'!$AG:$AG)</f>
        <v>0</v>
      </c>
      <c r="AS98" s="6">
        <f t="shared" si="124"/>
        <v>0</v>
      </c>
      <c r="AT98" s="36">
        <f t="shared" si="91"/>
        <v>1411025.9479225322</v>
      </c>
      <c r="AU98" s="8">
        <f t="shared" si="92"/>
        <v>0</v>
      </c>
      <c r="AV98" s="6">
        <f>SUMIF('Eredeti fejléccel'!$B:$B,'Felosztás eredménykim'!$B98,'Eredeti fejléccel'!$AI:$AI)</f>
        <v>0</v>
      </c>
      <c r="AW98" s="6">
        <f>SUMIF('Eredeti fejléccel'!$B:$B,'Felosztás eredménykim'!$B98,'Eredeti fejléccel'!$AJ:$AJ)</f>
        <v>0</v>
      </c>
      <c r="AX98" s="6">
        <f>SUMIF('Eredeti fejléccel'!$B:$B,'Felosztás eredménykim'!$B98,'Eredeti fejléccel'!$AK:$AK)</f>
        <v>0</v>
      </c>
      <c r="AY98" s="6">
        <f>SUMIF('Eredeti fejléccel'!$B:$B,'Felosztás eredménykim'!$B98,'Eredeti fejléccel'!$AL:$AL)</f>
        <v>0</v>
      </c>
      <c r="AZ98" s="6">
        <f>SUMIF('Eredeti fejléccel'!$B:$B,'Felosztás eredménykim'!$B98,'Eredeti fejléccel'!$AM:$AM)</f>
        <v>0</v>
      </c>
      <c r="BA98" s="6">
        <f>SUMIF('Eredeti fejléccel'!$B:$B,'Felosztás eredménykim'!$B98,'Eredeti fejléccel'!$AN:$AN)</f>
        <v>0</v>
      </c>
      <c r="BB98" s="6">
        <f>SUMIF('Eredeti fejléccel'!$B:$B,'Felosztás eredménykim'!$B98,'Eredeti fejléccel'!$AP:$AP)</f>
        <v>0</v>
      </c>
      <c r="BD98" s="6">
        <f>SUMIF('Eredeti fejléccel'!$B:$B,'Felosztás eredménykim'!$B98,'Eredeti fejléccel'!$AS:$AS)</f>
        <v>0</v>
      </c>
      <c r="BE98" s="8">
        <f t="shared" si="74"/>
        <v>0</v>
      </c>
      <c r="BF98" s="36">
        <f t="shared" si="93"/>
        <v>368093.72554500832</v>
      </c>
      <c r="BG98" s="8">
        <f t="shared" si="94"/>
        <v>0</v>
      </c>
      <c r="BH98" s="6">
        <f t="shared" si="125"/>
        <v>0</v>
      </c>
      <c r="BI98" s="6">
        <f>SUMIF('Eredeti fejléccel'!$B:$B,'Felosztás eredménykim'!$B98,'Eredeti fejléccel'!$AH:$AH)</f>
        <v>0</v>
      </c>
      <c r="BJ98" s="6">
        <f>SUMIF('Eredeti fejléccel'!$B:$B,'Felosztás eredménykim'!$B98,'Eredeti fejléccel'!$AO:$AO)</f>
        <v>0</v>
      </c>
      <c r="BK98" s="6">
        <f>SUMIF('Eredeti fejléccel'!$B:$B,'Felosztás eredménykim'!$B98,'Eredeti fejléccel'!$BF:$BF)</f>
        <v>0</v>
      </c>
      <c r="BL98" s="8">
        <f t="shared" si="126"/>
        <v>0</v>
      </c>
      <c r="BM98" s="36">
        <f t="shared" si="95"/>
        <v>1379124.4917086314</v>
      </c>
      <c r="BN98" s="8">
        <f t="shared" si="96"/>
        <v>0</v>
      </c>
      <c r="BP98" s="8">
        <f t="shared" si="127"/>
        <v>0</v>
      </c>
      <c r="BQ98" s="6">
        <f>SUMIF('Eredeti fejléccel'!$B:$B,'Felosztás eredménykim'!$B98,'Eredeti fejléccel'!$N:$N)</f>
        <v>0</v>
      </c>
      <c r="BR98" s="6">
        <f>SUMIF('Eredeti fejléccel'!$B:$B,'Felosztás eredménykim'!$B98,'Eredeti fejléccel'!$S:$S)</f>
        <v>0</v>
      </c>
      <c r="BT98" s="6">
        <f>SUMIF('Eredeti fejléccel'!$B:$B,'Felosztás eredménykim'!$B98,'Eredeti fejléccel'!$AR:$AR)</f>
        <v>0</v>
      </c>
      <c r="BU98" s="6">
        <f>SUMIF('Eredeti fejléccel'!$B:$B,'Felosztás eredménykim'!$B98,'Eredeti fejléccel'!$AU:$AU)</f>
        <v>0</v>
      </c>
      <c r="BV98" s="6">
        <f>SUMIF('Eredeti fejléccel'!$B:$B,'Felosztás eredménykim'!$B98,'Eredeti fejléccel'!$AV:$AV)</f>
        <v>0</v>
      </c>
      <c r="BW98" s="6">
        <f>SUMIF('Eredeti fejléccel'!$B:$B,'Felosztás eredménykim'!$B98,'Eredeti fejléccel'!$AW:$AW)</f>
        <v>0</v>
      </c>
      <c r="BX98" s="6">
        <f>SUMIF('Eredeti fejléccel'!$B:$B,'Felosztás eredménykim'!$B98,'Eredeti fejléccel'!$AX:$AX)</f>
        <v>0</v>
      </c>
      <c r="BY98" s="6">
        <f>SUMIF('Eredeti fejléccel'!$B:$B,'Felosztás eredménykim'!$B98,'Eredeti fejléccel'!$AY:$AY)</f>
        <v>0</v>
      </c>
      <c r="BZ98" s="6">
        <f>SUMIF('Eredeti fejléccel'!$B:$B,'Felosztás eredménykim'!$B98,'Eredeti fejléccel'!$AZ:$AZ)</f>
        <v>0</v>
      </c>
      <c r="CA98" s="6">
        <f>SUMIF('Eredeti fejléccel'!$B:$B,'Felosztás eredménykim'!$B98,'Eredeti fejléccel'!$BA:$BA)</f>
        <v>0</v>
      </c>
      <c r="CB98" s="6">
        <f t="shared" si="114"/>
        <v>0</v>
      </c>
      <c r="CC98" s="36">
        <f t="shared" si="97"/>
        <v>375455.60005590849</v>
      </c>
      <c r="CD98" s="8">
        <f t="shared" si="98"/>
        <v>0</v>
      </c>
      <c r="CE98" s="6">
        <f>SUMIF('Eredeti fejléccel'!$B:$B,'Felosztás eredménykim'!$B98,'Eredeti fejléccel'!$BC:$BC)</f>
        <v>0</v>
      </c>
      <c r="CF98" s="8">
        <f t="shared" si="135"/>
        <v>0</v>
      </c>
      <c r="CG98" s="6">
        <f>SUMIF('Eredeti fejléccel'!$B:$B,'Felosztás eredménykim'!$B98,'Eredeti fejléccel'!$H:$H)</f>
        <v>0</v>
      </c>
      <c r="CH98" s="6">
        <f>SUMIF('Eredeti fejléccel'!$B:$B,'Felosztás eredménykim'!$B98,'Eredeti fejléccel'!$BE:$BE)</f>
        <v>0</v>
      </c>
      <c r="CI98" s="6">
        <f t="shared" si="75"/>
        <v>0</v>
      </c>
      <c r="CJ98" s="36">
        <f t="shared" si="99"/>
        <v>269935.39873300615</v>
      </c>
      <c r="CK98" s="8">
        <f t="shared" si="100"/>
        <v>0</v>
      </c>
      <c r="CL98" s="8">
        <f t="shared" si="136"/>
        <v>0</v>
      </c>
      <c r="CM98" s="6">
        <f>SUMIF('Eredeti fejléccel'!$B:$B,'Felosztás eredménykim'!$B98,'Eredeti fejléccel'!$BD:$BD)</f>
        <v>0</v>
      </c>
      <c r="CN98" s="8">
        <f t="shared" si="76"/>
        <v>0</v>
      </c>
      <c r="CO98" s="8">
        <f t="shared" si="115"/>
        <v>6859426.5755312312</v>
      </c>
      <c r="CR98" s="36">
        <f t="shared" si="101"/>
        <v>1621447.7930457182</v>
      </c>
      <c r="CS98" s="6">
        <f>SUMIF('Eredeti fejléccel'!$B:$B,'Felosztás eredménykim'!$B98,'Eredeti fejléccel'!$I:$I)</f>
        <v>0</v>
      </c>
      <c r="CT98" s="6">
        <f>SUMIF('Eredeti fejléccel'!$B:$B,'Felosztás eredménykim'!$B98,'Eredeti fejléccel'!$BG:$BG)</f>
        <v>0</v>
      </c>
      <c r="CU98" s="6">
        <f>SUMIF('Eredeti fejléccel'!$B:$B,'Felosztás eredménykim'!$B98,'Eredeti fejléccel'!$BH:$BH)</f>
        <v>0</v>
      </c>
      <c r="CV98" s="6">
        <f>SUMIF('Eredeti fejléccel'!$B:$B,'Felosztás eredménykim'!$B98,'Eredeti fejléccel'!$BI:$BI)</f>
        <v>0</v>
      </c>
      <c r="CW98" s="6">
        <f>SUMIF('Eredeti fejléccel'!$B:$B,'Felosztás eredménykim'!$B98,'Eredeti fejléccel'!$BL:$BL)</f>
        <v>0</v>
      </c>
      <c r="CX98" s="6">
        <f t="shared" si="77"/>
        <v>0</v>
      </c>
      <c r="CY98" s="6">
        <f>SUMIF('Eredeti fejléccel'!$B:$B,'Felosztás eredménykim'!$B98,'Eredeti fejléccel'!$BJ:$BJ)</f>
        <v>0</v>
      </c>
      <c r="CZ98" s="6">
        <f>SUMIF('Eredeti fejléccel'!$B:$B,'Felosztás eredménykim'!$B98,'Eredeti fejléccel'!$BK:$BK)</f>
        <v>0</v>
      </c>
      <c r="DA98" s="99">
        <f t="shared" si="116"/>
        <v>0</v>
      </c>
      <c r="DC98" s="36">
        <f t="shared" si="102"/>
        <v>1420168.6895041857</v>
      </c>
      <c r="DD98" s="6">
        <f>SUMIF('Eredeti fejléccel'!$B:$B,'Felosztás eredménykim'!$B98,'Eredeti fejléccel'!$J:$J)</f>
        <v>0</v>
      </c>
      <c r="DE98" s="6">
        <f>SUMIF('Eredeti fejléccel'!$B:$B,'Felosztás eredménykim'!$B98,'Eredeti fejléccel'!$BM:$BM)</f>
        <v>0</v>
      </c>
      <c r="DF98" s="6">
        <f t="shared" si="128"/>
        <v>0</v>
      </c>
      <c r="DG98" s="8">
        <f t="shared" si="117"/>
        <v>0</v>
      </c>
      <c r="DH98" s="8">
        <f t="shared" si="129"/>
        <v>0</v>
      </c>
      <c r="DJ98" s="6">
        <f>SUMIF('Eredeti fejléccel'!$B:$B,'Felosztás eredménykim'!$B98,'Eredeti fejléccel'!$BN:$BN)</f>
        <v>0</v>
      </c>
      <c r="DK98" s="6">
        <f>SUMIF('Eredeti fejléccel'!$B:$B,'Felosztás eredménykim'!$B98,'Eredeti fejléccel'!$BZ:$BZ)</f>
        <v>0</v>
      </c>
      <c r="DL98" s="8">
        <f t="shared" si="130"/>
        <v>0</v>
      </c>
      <c r="DM98" s="6">
        <f>SUMIF('Eredeti fejléccel'!$B:$B,'Felosztás eredménykim'!$B98,'Eredeti fejléccel'!$BR:$BR)</f>
        <v>0</v>
      </c>
      <c r="DN98" s="6">
        <f>SUMIF('Eredeti fejléccel'!$B:$B,'Felosztás eredménykim'!$B98,'Eredeti fejléccel'!$BS:$BS)</f>
        <v>0</v>
      </c>
      <c r="DO98" s="6">
        <f>SUMIF('Eredeti fejléccel'!$B:$B,'Felosztás eredménykim'!$B98,'Eredeti fejléccel'!$BO:$BO)</f>
        <v>0</v>
      </c>
      <c r="DP98" s="6">
        <f>SUMIF('Eredeti fejléccel'!$B:$B,'Felosztás eredménykim'!$B98,'Eredeti fejléccel'!$BP:$BP)</f>
        <v>0</v>
      </c>
      <c r="DQ98" s="6">
        <f>SUMIF('Eredeti fejléccel'!$B:$B,'Felosztás eredménykim'!$B98,'Eredeti fejléccel'!$BQ:$BQ)</f>
        <v>0</v>
      </c>
      <c r="DS98" s="8"/>
      <c r="DU98" s="6">
        <f>SUMIF('Eredeti fejléccel'!$B:$B,'Felosztás eredménykim'!$B98,'Eredeti fejléccel'!$BT:$BT)</f>
        <v>0</v>
      </c>
      <c r="DV98" s="6">
        <f>SUMIF('Eredeti fejléccel'!$B:$B,'Felosztás eredménykim'!$B98,'Eredeti fejléccel'!$BU:$BU)</f>
        <v>0</v>
      </c>
      <c r="DW98" s="6">
        <f>SUMIF('Eredeti fejléccel'!$B:$B,'Felosztás eredménykim'!$B98,'Eredeti fejléccel'!$BV:$BV)</f>
        <v>0</v>
      </c>
      <c r="DX98" s="6">
        <f>SUMIF('Eredeti fejléccel'!$B:$B,'Felosztás eredménykim'!$B98,'Eredeti fejléccel'!$BW:$BW)</f>
        <v>0</v>
      </c>
      <c r="DY98" s="6">
        <f>SUMIF('Eredeti fejléccel'!$B:$B,'Felosztás eredménykim'!$B98,'Eredeti fejléccel'!$BX:$BX)</f>
        <v>0</v>
      </c>
      <c r="EA98" s="6"/>
      <c r="EC98" s="6"/>
      <c r="EE98" s="6">
        <f>SUMIF('Eredeti fejléccel'!$B:$B,'Felosztás eredménykim'!$B98,'Eredeti fejléccel'!$CA:$CA)</f>
        <v>0</v>
      </c>
      <c r="EF98" s="6">
        <f>SUMIF('Eredeti fejléccel'!$B:$B,'Felosztás eredménykim'!$B98,'Eredeti fejléccel'!$CB:$CB)</f>
        <v>0</v>
      </c>
      <c r="EG98" s="6">
        <f>SUMIF('Eredeti fejléccel'!$B:$B,'Felosztás eredménykim'!$B98,'Eredeti fejléccel'!$CC:$CC)</f>
        <v>0</v>
      </c>
      <c r="EH98" s="6">
        <f>SUMIF('Eredeti fejléccel'!$B:$B,'Felosztás eredménykim'!$B98,'Eredeti fejléccel'!$CD:$CD)</f>
        <v>0</v>
      </c>
      <c r="EK98" s="6">
        <f>SUMIF('Eredeti fejléccel'!$B:$B,'Felosztás eredménykim'!$B98,'Eredeti fejléccel'!$CE:$CE)</f>
        <v>0</v>
      </c>
      <c r="EN98" s="6">
        <f>SUMIF('Eredeti fejléccel'!$B:$B,'Felosztás eredménykim'!$B98,'Eredeti fejléccel'!$CF:$CF)</f>
        <v>0</v>
      </c>
      <c r="EP98" s="6">
        <f>SUMIF('Eredeti fejléccel'!$B:$B,'Felosztás eredménykim'!$B98,'Eredeti fejléccel'!$CG:$CG)</f>
        <v>0</v>
      </c>
      <c r="ES98" s="6">
        <f>SUMIF('Eredeti fejléccel'!$B:$B,'Felosztás eredménykim'!$B98,'Eredeti fejléccel'!$CH:$CH)</f>
        <v>0</v>
      </c>
      <c r="ET98" s="6">
        <f>SUMIF('Eredeti fejléccel'!$B:$B,'Felosztás eredménykim'!$B98,'Eredeti fejléccel'!$CI:$CI)</f>
        <v>0</v>
      </c>
      <c r="EW98" s="8">
        <f t="shared" si="118"/>
        <v>0</v>
      </c>
      <c r="EX98" s="8">
        <f t="shared" si="78"/>
        <v>0</v>
      </c>
      <c r="EY98" s="8">
        <f t="shared" si="119"/>
        <v>0</v>
      </c>
      <c r="EZ98" s="8">
        <f t="shared" si="120"/>
        <v>0</v>
      </c>
      <c r="FA98" s="8">
        <f t="shared" si="121"/>
        <v>0</v>
      </c>
      <c r="FC98" s="6">
        <f>SUMIF('Eredeti fejléccel'!$B:$B,'Felosztás eredménykim'!$B98,'Eredeti fejléccel'!$L:$L)</f>
        <v>0</v>
      </c>
      <c r="FD98" s="6">
        <f>SUMIF('Eredeti fejléccel'!$B:$B,'Felosztás eredménykim'!$B98,'Eredeti fejléccel'!$CJ:$CJ)</f>
        <v>2512872</v>
      </c>
      <c r="FE98" s="6">
        <f>SUMIF('Eredeti fejléccel'!$B:$B,'Felosztás eredménykim'!$B98,'Eredeti fejléccel'!$CL:$CL)</f>
        <v>0</v>
      </c>
      <c r="FG98" s="99">
        <f t="shared" si="79"/>
        <v>2512872</v>
      </c>
      <c r="FH98" s="6">
        <f>SUMIF('Eredeti fejléccel'!$B:$B,'Felosztás eredménykim'!$B98,'Eredeti fejléccel'!$CK:$CK)</f>
        <v>0</v>
      </c>
      <c r="FI98" s="36">
        <f t="shared" si="103"/>
        <v>1670918.4658821558</v>
      </c>
      <c r="FJ98" s="101">
        <f t="shared" si="104"/>
        <v>557219.71673403389</v>
      </c>
      <c r="FK98" s="6">
        <f>SUMIF('Eredeti fejléccel'!$B:$B,'Felosztás eredménykim'!$B98,'Eredeti fejléccel'!$CM:$CM)</f>
        <v>0</v>
      </c>
      <c r="FL98" s="6">
        <f>SUMIF('Eredeti fejléccel'!$B:$B,'Felosztás eredménykim'!$B98,'Eredeti fejléccel'!$CN:$CN)</f>
        <v>0</v>
      </c>
      <c r="FM98" s="8">
        <f t="shared" si="80"/>
        <v>557219.71673403389</v>
      </c>
      <c r="FN98" s="36">
        <f t="shared" si="105"/>
        <v>1420554.8167835174</v>
      </c>
      <c r="FO98" s="101">
        <f t="shared" si="106"/>
        <v>473728.1733225545</v>
      </c>
      <c r="FP98" s="6">
        <f>SUMIF('Eredeti fejléccel'!$B:$B,'Felosztás eredménykim'!$B98,'Eredeti fejléccel'!$CO:$CO)</f>
        <v>0</v>
      </c>
      <c r="FQ98" s="6">
        <f>'Eredeti fejléccel'!CP98</f>
        <v>0</v>
      </c>
      <c r="FR98" s="6">
        <f>'Eredeti fejléccel'!CQ98</f>
        <v>0</v>
      </c>
      <c r="FS98" s="103">
        <f t="shared" si="122"/>
        <v>473728.1733225545</v>
      </c>
      <c r="FT98" s="36">
        <f t="shared" si="107"/>
        <v>3921145.5212845206</v>
      </c>
      <c r="FU98" s="101">
        <f t="shared" si="108"/>
        <v>1307627.8952303962</v>
      </c>
      <c r="FV98" s="101"/>
      <c r="FW98" s="6">
        <f>SUMIF('Eredeti fejléccel'!$B:$B,'Felosztás eredménykim'!$B98,'Eredeti fejléccel'!$CR:$CR)</f>
        <v>0</v>
      </c>
      <c r="FX98" s="6">
        <f>SUMIF('Eredeti fejléccel'!$B:$B,'Felosztás eredménykim'!$B98,'Eredeti fejléccel'!$CS:$CS)</f>
        <v>0</v>
      </c>
      <c r="FY98" s="6">
        <f>SUMIF('Eredeti fejléccel'!$B:$B,'Felosztás eredménykim'!$B98,'Eredeti fejléccel'!$CT:$CT)</f>
        <v>0</v>
      </c>
      <c r="FZ98" s="6">
        <f>SUMIF('Eredeti fejléccel'!$B:$B,'Felosztás eredménykim'!$B98,'Eredeti fejléccel'!$CU:$CU)</f>
        <v>0</v>
      </c>
      <c r="GA98" s="103">
        <f t="shared" si="81"/>
        <v>1307627.8952303962</v>
      </c>
      <c r="GB98" s="36">
        <f t="shared" si="109"/>
        <v>522656.96089204878</v>
      </c>
      <c r="GC98" s="101">
        <f t="shared" si="110"/>
        <v>174296.21471301533</v>
      </c>
      <c r="GD98" s="6">
        <f>SUMIF('Eredeti fejléccel'!$B:$B,'Felosztás eredménykim'!$B98,'Eredeti fejléccel'!$CV:$CV)</f>
        <v>0</v>
      </c>
      <c r="GE98" s="6">
        <f>SUMIF('Eredeti fejléccel'!$B:$B,'Felosztás eredménykim'!$B98,'Eredeti fejléccel'!$CW:$CW)</f>
        <v>0</v>
      </c>
      <c r="GF98" s="103">
        <f t="shared" si="82"/>
        <v>174296.21471301533</v>
      </c>
      <c r="GG98" s="36">
        <f t="shared" si="111"/>
        <v>0</v>
      </c>
      <c r="GM98" s="6">
        <f>SUMIF('Eredeti fejléccel'!$B:$B,'Felosztás eredménykim'!$B98,'Eredeti fejléccel'!$CX:$CX)</f>
        <v>0</v>
      </c>
      <c r="GN98" s="6">
        <f>SUMIF('Eredeti fejléccel'!$B:$B,'Felosztás eredménykim'!$B98,'Eredeti fejléccel'!$CY:$CY)</f>
        <v>0</v>
      </c>
      <c r="GO98" s="6">
        <f>SUMIF('Eredeti fejléccel'!$B:$B,'Felosztás eredménykim'!$B98,'Eredeti fejléccel'!$CZ:$CZ)</f>
        <v>0</v>
      </c>
      <c r="GP98" s="6">
        <f>SUMIF('Eredeti fejléccel'!$B:$B,'Felosztás eredménykim'!$B98,'Eredeti fejléccel'!$DA:$DA)</f>
        <v>0</v>
      </c>
      <c r="GQ98" s="6">
        <f>SUMIF('Eredeti fejléccel'!$B:$B,'Felosztás eredménykim'!$B98,'Eredeti fejléccel'!$DB:$DB)</f>
        <v>0</v>
      </c>
      <c r="GR98" s="103">
        <f t="shared" si="83"/>
        <v>0</v>
      </c>
      <c r="GW98" s="36">
        <f t="shared" si="112"/>
        <v>897197.17707662599</v>
      </c>
      <c r="GX98" s="6">
        <f>SUMIF('Eredeti fejléccel'!$B:$B,'Felosztás eredménykim'!$B98,'Eredeti fejléccel'!$M:$M)</f>
        <v>0</v>
      </c>
      <c r="GY98" s="6">
        <f>SUMIF('Eredeti fejléccel'!$B:$B,'Felosztás eredménykim'!$B98,'Eredeti fejléccel'!$DC:$DC)</f>
        <v>0</v>
      </c>
      <c r="GZ98" s="6">
        <f>SUMIF('Eredeti fejléccel'!$B:$B,'Felosztás eredménykim'!$B98,'Eredeti fejléccel'!$DD:$DD)</f>
        <v>0</v>
      </c>
      <c r="HA98" s="6">
        <f>SUMIF('Eredeti fejléccel'!$B:$B,'Felosztás eredménykim'!$B98,'Eredeti fejléccel'!$DE:$DE)</f>
        <v>0</v>
      </c>
      <c r="HB98" s="103">
        <f t="shared" si="84"/>
        <v>0</v>
      </c>
      <c r="HD98" s="9">
        <f t="shared" si="137"/>
        <v>20846388.000000019</v>
      </c>
      <c r="HE98" s="9">
        <v>20846388</v>
      </c>
      <c r="HF98" s="476"/>
      <c r="HH98" s="34">
        <f t="shared" si="85"/>
        <v>0</v>
      </c>
    </row>
    <row r="99" spans="1:232" x14ac:dyDescent="0.25">
      <c r="A99" s="4" t="s">
        <v>206</v>
      </c>
      <c r="B99" s="4" t="s">
        <v>206</v>
      </c>
      <c r="C99" s="1" t="s">
        <v>207</v>
      </c>
      <c r="D99" s="6">
        <f>SUMIF('Eredeti fejléccel'!$B:$B,'Felosztás eredménykim'!$B99,'Eredeti fejléccel'!$D:$D)</f>
        <v>0</v>
      </c>
      <c r="E99" s="6">
        <f>SUMIF('Eredeti fejléccel'!$B:$B,'Felosztás eredménykim'!$B99,'Eredeti fejléccel'!$E:$E)</f>
        <v>90000</v>
      </c>
      <c r="F99" s="6">
        <f>SUMIF('Eredeti fejléccel'!$B:$B,'Felosztás eredménykim'!$B99,'Eredeti fejléccel'!$F:$F)</f>
        <v>0</v>
      </c>
      <c r="G99" s="6">
        <f>SUMIF('Eredeti fejléccel'!$B:$B,'Felosztás eredménykim'!$B99,'Eredeti fejléccel'!$G:$G)</f>
        <v>0</v>
      </c>
      <c r="H99" s="6"/>
      <c r="I99" s="6">
        <f>SUMIF('Eredeti fejléccel'!$B:$B,'Felosztás eredménykim'!$B99,'Eredeti fejléccel'!$O:$O)</f>
        <v>0</v>
      </c>
      <c r="J99" s="6">
        <f>SUMIF('Eredeti fejléccel'!$B:$B,'Felosztás eredménykim'!$B99,'Eredeti fejléccel'!$P:$P)</f>
        <v>0</v>
      </c>
      <c r="K99" s="6">
        <f>SUMIF('Eredeti fejléccel'!$B:$B,'Felosztás eredménykim'!$B99,'Eredeti fejléccel'!$Q:$Q)</f>
        <v>0</v>
      </c>
      <c r="L99" s="6">
        <f>SUMIF('Eredeti fejléccel'!$B:$B,'Felosztás eredménykim'!$B99,'Eredeti fejléccel'!$R:$R)</f>
        <v>0</v>
      </c>
      <c r="M99" s="6">
        <f>SUMIF('Eredeti fejléccel'!$B:$B,'Felosztás eredménykim'!$B99,'Eredeti fejléccel'!$T:$T)</f>
        <v>0</v>
      </c>
      <c r="N99" s="6">
        <f>SUMIF('Eredeti fejléccel'!$B:$B,'Felosztás eredménykim'!$B99,'Eredeti fejléccel'!$U:$U)</f>
        <v>0</v>
      </c>
      <c r="O99" s="6">
        <f>SUMIF('Eredeti fejléccel'!$B:$B,'Felosztás eredménykim'!$B99,'Eredeti fejléccel'!$V:$V)</f>
        <v>3480000</v>
      </c>
      <c r="P99" s="6">
        <f>SUMIF('Eredeti fejléccel'!$B:$B,'Felosztás eredménykim'!$B99,'Eredeti fejléccel'!$W:$W)</f>
        <v>0</v>
      </c>
      <c r="Q99" s="6">
        <f>SUMIF('Eredeti fejléccel'!$B:$B,'Felosztás eredménykim'!$B99,'Eredeti fejléccel'!$X:$X)</f>
        <v>0</v>
      </c>
      <c r="R99" s="6">
        <f>SUMIF('Eredeti fejléccel'!$B:$B,'Felosztás eredménykim'!$B99,'Eredeti fejléccel'!$Y:$Y)</f>
        <v>0</v>
      </c>
      <c r="S99" s="6">
        <f>SUMIF('Eredeti fejléccel'!$B:$B,'Felosztás eredménykim'!$B99,'Eredeti fejléccel'!$Z:$Z)</f>
        <v>0</v>
      </c>
      <c r="T99" s="6">
        <f>SUMIF('Eredeti fejléccel'!$B:$B,'Felosztás eredménykim'!$B99,'Eredeti fejléccel'!$AA:$AA)</f>
        <v>0</v>
      </c>
      <c r="U99" s="6">
        <f>SUMIF('Eredeti fejléccel'!$B:$B,'Felosztás eredménykim'!$B99,'Eredeti fejléccel'!$D:$D)</f>
        <v>0</v>
      </c>
      <c r="V99" s="6">
        <f>SUMIF('Eredeti fejléccel'!$B:$B,'Felosztás eredménykim'!$B99,'Eredeti fejléccel'!$AT:$AT)</f>
        <v>0</v>
      </c>
      <c r="X99" s="36">
        <f t="shared" si="86"/>
        <v>3570000</v>
      </c>
      <c r="Z99" s="6">
        <f>SUMIF('Eredeti fejléccel'!$B:$B,'Felosztás eredménykim'!$B99,'Eredeti fejléccel'!$K:$K)</f>
        <v>237300</v>
      </c>
      <c r="AB99" s="6">
        <f>SUMIF('Eredeti fejléccel'!$B:$B,'Felosztás eredménykim'!$B99,'Eredeti fejléccel'!$AB:$AB)</f>
        <v>0</v>
      </c>
      <c r="AC99" s="6">
        <f>SUMIF('Eredeti fejléccel'!$B:$B,'Felosztás eredménykim'!$B99,'Eredeti fejléccel'!$AQ:$AQ)</f>
        <v>0</v>
      </c>
      <c r="AE99" s="73">
        <f t="shared" si="131"/>
        <v>237300</v>
      </c>
      <c r="AF99" s="36">
        <f t="shared" si="87"/>
        <v>425881.87027678324</v>
      </c>
      <c r="AG99" s="8">
        <f t="shared" si="88"/>
        <v>75661.792326267765</v>
      </c>
      <c r="AI99" s="6">
        <f>SUMIF('Eredeti fejléccel'!$B:$B,'Felosztás eredménykim'!$B99,'Eredeti fejléccel'!$BB:$BB)</f>
        <v>0</v>
      </c>
      <c r="AJ99" s="6">
        <f>SUMIF('Eredeti fejléccel'!$B:$B,'Felosztás eredménykim'!$B99,'Eredeti fejléccel'!$AF:$AF)</f>
        <v>0</v>
      </c>
      <c r="AK99" s="8">
        <f t="shared" si="73"/>
        <v>75661.792326267765</v>
      </c>
      <c r="AL99" s="36">
        <f t="shared" si="89"/>
        <v>169158.12855874479</v>
      </c>
      <c r="AM99" s="8">
        <f t="shared" si="90"/>
        <v>30052.481888918697</v>
      </c>
      <c r="AN99" s="6">
        <f t="shared" si="123"/>
        <v>0</v>
      </c>
      <c r="AO99" s="6">
        <f>SUMIF('Eredeti fejléccel'!$B:$B,'Felosztás eredménykim'!$B99,'Eredeti fejléccel'!$AC:$AC)</f>
        <v>0</v>
      </c>
      <c r="AP99" s="6">
        <f>SUMIF('Eredeti fejléccel'!$B:$B,'Felosztás eredménykim'!$B99,'Eredeti fejléccel'!$AD:$AD)</f>
        <v>0</v>
      </c>
      <c r="AQ99" s="6">
        <f>SUMIF('Eredeti fejléccel'!$B:$B,'Felosztás eredménykim'!$B99,'Eredeti fejléccel'!$AE:$AE)</f>
        <v>0</v>
      </c>
      <c r="AR99" s="6">
        <f>SUMIF('Eredeti fejléccel'!$B:$B,'Felosztás eredménykim'!$B99,'Eredeti fejléccel'!$AG:$AG)</f>
        <v>0</v>
      </c>
      <c r="AS99" s="6">
        <f t="shared" si="124"/>
        <v>30052.481888918697</v>
      </c>
      <c r="AT99" s="36">
        <f t="shared" si="91"/>
        <v>274762.49695276341</v>
      </c>
      <c r="AU99" s="8">
        <f t="shared" si="92"/>
        <v>48814.059565334042</v>
      </c>
      <c r="AV99" s="6">
        <f>SUMIF('Eredeti fejléccel'!$B:$B,'Felosztás eredménykim'!$B99,'Eredeti fejléccel'!$AI:$AI)</f>
        <v>0</v>
      </c>
      <c r="AW99" s="6">
        <f>SUMIF('Eredeti fejléccel'!$B:$B,'Felosztás eredménykim'!$B99,'Eredeti fejléccel'!$AJ:$AJ)</f>
        <v>0</v>
      </c>
      <c r="AX99" s="6">
        <f>SUMIF('Eredeti fejléccel'!$B:$B,'Felosztás eredménykim'!$B99,'Eredeti fejléccel'!$AK:$AK)</f>
        <v>0</v>
      </c>
      <c r="AY99" s="6">
        <f>SUMIF('Eredeti fejléccel'!$B:$B,'Felosztás eredménykim'!$B99,'Eredeti fejléccel'!$AL:$AL)</f>
        <v>0</v>
      </c>
      <c r="AZ99" s="6">
        <f>SUMIF('Eredeti fejléccel'!$B:$B,'Felosztás eredménykim'!$B99,'Eredeti fejléccel'!$AM:$AM)</f>
        <v>0</v>
      </c>
      <c r="BA99" s="6">
        <f>SUMIF('Eredeti fejléccel'!$B:$B,'Felosztás eredménykim'!$B99,'Eredeti fejléccel'!$AN:$AN)</f>
        <v>0</v>
      </c>
      <c r="BB99" s="6">
        <f>SUMIF('Eredeti fejléccel'!$B:$B,'Felosztás eredménykim'!$B99,'Eredeti fejléccel'!$AP:$AP)</f>
        <v>0</v>
      </c>
      <c r="BD99" s="6">
        <f>SUMIF('Eredeti fejléccel'!$B:$B,'Felosztás eredménykim'!$B99,'Eredeti fejléccel'!$AS:$AS)</f>
        <v>0</v>
      </c>
      <c r="BE99" s="8">
        <f t="shared" si="74"/>
        <v>48814.059565334042</v>
      </c>
      <c r="BF99" s="36">
        <f t="shared" si="93"/>
        <v>71677.173118112187</v>
      </c>
      <c r="BG99" s="8">
        <f t="shared" si="94"/>
        <v>12734.102495304533</v>
      </c>
      <c r="BH99" s="6">
        <f t="shared" si="125"/>
        <v>0</v>
      </c>
      <c r="BI99" s="6">
        <f>SUMIF('Eredeti fejléccel'!$B:$B,'Felosztás eredménykim'!$B99,'Eredeti fejléccel'!$AH:$AH)</f>
        <v>3240000</v>
      </c>
      <c r="BJ99" s="6">
        <f>SUMIF('Eredeti fejléccel'!$B:$B,'Felosztás eredménykim'!$B99,'Eredeti fejléccel'!$AO:$AO)</f>
        <v>0</v>
      </c>
      <c r="BK99" s="6">
        <f>SUMIF('Eredeti fejléccel'!$B:$B,'Felosztás eredménykim'!$B99,'Eredeti fejléccel'!$BF:$BF)</f>
        <v>0</v>
      </c>
      <c r="BL99" s="8">
        <f t="shared" si="126"/>
        <v>3252734.1024953043</v>
      </c>
      <c r="BM99" s="36">
        <f t="shared" si="95"/>
        <v>268550.47528252704</v>
      </c>
      <c r="BN99" s="8">
        <f t="shared" si="96"/>
        <v>47710.437349074316</v>
      </c>
      <c r="BP99" s="8">
        <f t="shared" si="127"/>
        <v>0</v>
      </c>
      <c r="BQ99" s="6">
        <f>SUMIF('Eredeti fejléccel'!$B:$B,'Felosztás eredménykim'!$B99,'Eredeti fejléccel'!$N:$N)</f>
        <v>0</v>
      </c>
      <c r="BR99" s="6">
        <f>SUMIF('Eredeti fejléccel'!$B:$B,'Felosztás eredménykim'!$B99,'Eredeti fejléccel'!$S:$S)</f>
        <v>0</v>
      </c>
      <c r="BT99" s="6">
        <f>SUMIF('Eredeti fejléccel'!$B:$B,'Felosztás eredménykim'!$B99,'Eredeti fejléccel'!$AR:$AR)</f>
        <v>0</v>
      </c>
      <c r="BU99" s="6">
        <f>SUMIF('Eredeti fejléccel'!$B:$B,'Felosztás eredménykim'!$B99,'Eredeti fejléccel'!$AU:$AU)</f>
        <v>0</v>
      </c>
      <c r="BV99" s="6">
        <f>SUMIF('Eredeti fejléccel'!$B:$B,'Felosztás eredménykim'!$B99,'Eredeti fejléccel'!$AV:$AV)</f>
        <v>0</v>
      </c>
      <c r="BW99" s="6">
        <f>SUMIF('Eredeti fejléccel'!$B:$B,'Felosztás eredménykim'!$B99,'Eredeti fejléccel'!$AW:$AW)</f>
        <v>0</v>
      </c>
      <c r="BX99" s="6">
        <f>SUMIF('Eredeti fejléccel'!$B:$B,'Felosztás eredménykim'!$B99,'Eredeti fejléccel'!$AX:$AX)</f>
        <v>0</v>
      </c>
      <c r="BY99" s="6">
        <f>SUMIF('Eredeti fejléccel'!$B:$B,'Felosztás eredménykim'!$B99,'Eredeti fejléccel'!$AY:$AY)</f>
        <v>0</v>
      </c>
      <c r="BZ99" s="6">
        <f>SUMIF('Eredeti fejléccel'!$B:$B,'Felosztás eredménykim'!$B99,'Eredeti fejléccel'!$AZ:$AZ)</f>
        <v>0</v>
      </c>
      <c r="CA99" s="6">
        <f>SUMIF('Eredeti fejléccel'!$B:$B,'Felosztás eredménykim'!$B99,'Eredeti fejléccel'!$BA:$BA)</f>
        <v>11445000</v>
      </c>
      <c r="CB99" s="6">
        <f t="shared" si="114"/>
        <v>11492710.437349074</v>
      </c>
      <c r="CC99" s="36">
        <f t="shared" si="97"/>
        <v>73110.716580474444</v>
      </c>
      <c r="CD99" s="8">
        <f t="shared" si="98"/>
        <v>12988.784545210623</v>
      </c>
      <c r="CE99" s="6">
        <f>SUMIF('Eredeti fejléccel'!$B:$B,'Felosztás eredménykim'!$B99,'Eredeti fejléccel'!$BC:$BC)</f>
        <v>0</v>
      </c>
      <c r="CF99" s="8">
        <f t="shared" si="135"/>
        <v>0</v>
      </c>
      <c r="CG99" s="6">
        <f>SUMIF('Eredeti fejléccel'!$B:$B,'Felosztás eredménykim'!$B99,'Eredeti fejléccel'!$H:$H)</f>
        <v>0</v>
      </c>
      <c r="CH99" s="6">
        <f>SUMIF('Eredeti fejléccel'!$B:$B,'Felosztás eredménykim'!$B99,'Eredeti fejléccel'!$BE:$BE)</f>
        <v>0</v>
      </c>
      <c r="CI99" s="6">
        <f t="shared" si="75"/>
        <v>12988.784545210623</v>
      </c>
      <c r="CJ99" s="36">
        <f t="shared" si="99"/>
        <v>52563.260286615616</v>
      </c>
      <c r="CK99" s="8">
        <f t="shared" si="100"/>
        <v>9338.3418298899905</v>
      </c>
      <c r="CL99" s="8">
        <f t="shared" si="136"/>
        <v>0</v>
      </c>
      <c r="CM99" s="6">
        <f>SUMIF('Eredeti fejléccel'!$B:$B,'Felosztás eredménykim'!$B99,'Eredeti fejléccel'!$BD:$BD)</f>
        <v>428571</v>
      </c>
      <c r="CN99" s="8">
        <f t="shared" si="76"/>
        <v>437909.34182988998</v>
      </c>
      <c r="CO99" s="8">
        <f t="shared" si="115"/>
        <v>16686575.121056022</v>
      </c>
      <c r="CR99" s="36">
        <f t="shared" si="101"/>
        <v>315736.96072118485</v>
      </c>
      <c r="CS99" s="6">
        <f>SUMIF('Eredeti fejléccel'!$B:$B,'Felosztás eredménykim'!$B99,'Eredeti fejléccel'!$I:$I)</f>
        <v>0</v>
      </c>
      <c r="CT99" s="6">
        <f>SUMIF('Eredeti fejléccel'!$B:$B,'Felosztás eredménykim'!$B99,'Eredeti fejléccel'!$BG:$BG)</f>
        <v>0</v>
      </c>
      <c r="CU99" s="6">
        <f>SUMIF('Eredeti fejléccel'!$B:$B,'Felosztás eredménykim'!$B99,'Eredeti fejléccel'!$BH:$BH)</f>
        <v>100000</v>
      </c>
      <c r="CV99" s="6">
        <f>SUMIF('Eredeti fejléccel'!$B:$B,'Felosztás eredménykim'!$B99,'Eredeti fejléccel'!$BI:$BI)</f>
        <v>0</v>
      </c>
      <c r="CW99" s="6">
        <f>SUMIF('Eredeti fejléccel'!$B:$B,'Felosztás eredménykim'!$B99,'Eredeti fejléccel'!$BL:$BL)</f>
        <v>0</v>
      </c>
      <c r="CX99" s="6">
        <f t="shared" si="77"/>
        <v>100000</v>
      </c>
      <c r="CY99" s="6">
        <f>SUMIF('Eredeti fejléccel'!$B:$B,'Felosztás eredménykim'!$B99,'Eredeti fejléccel'!$BJ:$BJ)</f>
        <v>0</v>
      </c>
      <c r="CZ99" s="6">
        <f>SUMIF('Eredeti fejléccel'!$B:$B,'Felosztás eredménykim'!$B99,'Eredeti fejléccel'!$BK:$BK)</f>
        <v>0</v>
      </c>
      <c r="DA99" s="99">
        <f t="shared" si="116"/>
        <v>100000</v>
      </c>
      <c r="DC99" s="36">
        <f t="shared" si="102"/>
        <v>276542.82034771418</v>
      </c>
      <c r="DD99" s="6">
        <f>SUMIF('Eredeti fejléccel'!$B:$B,'Felosztás eredménykim'!$B99,'Eredeti fejléccel'!$J:$J)</f>
        <v>0</v>
      </c>
      <c r="DE99" s="6">
        <f>SUMIF('Eredeti fejléccel'!$B:$B,'Felosztás eredménykim'!$B99,'Eredeti fejléccel'!$BM:$BM)</f>
        <v>0</v>
      </c>
      <c r="DF99" s="6">
        <f t="shared" si="128"/>
        <v>0</v>
      </c>
      <c r="DG99" s="8">
        <f t="shared" si="117"/>
        <v>0</v>
      </c>
      <c r="DH99" s="8">
        <f t="shared" si="129"/>
        <v>0</v>
      </c>
      <c r="DJ99" s="6">
        <f>SUMIF('Eredeti fejléccel'!$B:$B,'Felosztás eredménykim'!$B99,'Eredeti fejléccel'!$BN:$BN)</f>
        <v>5006120</v>
      </c>
      <c r="DK99" s="6">
        <f>SUMIF('Eredeti fejléccel'!$B:$B,'Felosztás eredménykim'!$B99,'Eredeti fejléccel'!$BZ:$BZ)</f>
        <v>0</v>
      </c>
      <c r="DL99" s="8">
        <f t="shared" si="130"/>
        <v>5006120</v>
      </c>
      <c r="DM99" s="6">
        <f>SUMIF('Eredeti fejléccel'!$B:$B,'Felosztás eredménykim'!$B99,'Eredeti fejléccel'!$BR:$BR)</f>
        <v>0</v>
      </c>
      <c r="DN99" s="6">
        <f>SUMIF('Eredeti fejléccel'!$B:$B,'Felosztás eredménykim'!$B99,'Eredeti fejléccel'!$BS:$BS)</f>
        <v>0</v>
      </c>
      <c r="DO99" s="6">
        <f>SUMIF('Eredeti fejléccel'!$B:$B,'Felosztás eredménykim'!$B99,'Eredeti fejléccel'!$BO:$BO)</f>
        <v>0</v>
      </c>
      <c r="DP99" s="6">
        <f>SUMIF('Eredeti fejléccel'!$B:$B,'Felosztás eredménykim'!$B99,'Eredeti fejléccel'!$BP:$BP)</f>
        <v>0</v>
      </c>
      <c r="DQ99" s="6">
        <f>SUMIF('Eredeti fejléccel'!$B:$B,'Felosztás eredménykim'!$B99,'Eredeti fejléccel'!$BQ:$BQ)</f>
        <v>0</v>
      </c>
      <c r="DS99" s="8"/>
      <c r="DU99" s="6">
        <f>SUMIF('Eredeti fejléccel'!$B:$B,'Felosztás eredménykim'!$B99,'Eredeti fejléccel'!$BT:$BT)</f>
        <v>0</v>
      </c>
      <c r="DV99" s="6">
        <f>SUMIF('Eredeti fejléccel'!$B:$B,'Felosztás eredménykim'!$B99,'Eredeti fejléccel'!$BU:$BU)</f>
        <v>0</v>
      </c>
      <c r="DW99" s="6">
        <f>SUMIF('Eredeti fejléccel'!$B:$B,'Felosztás eredménykim'!$B99,'Eredeti fejléccel'!$BV:$BV)</f>
        <v>0</v>
      </c>
      <c r="DX99" s="6">
        <f>SUMIF('Eredeti fejléccel'!$B:$B,'Felosztás eredménykim'!$B99,'Eredeti fejléccel'!$BW:$BW)</f>
        <v>0</v>
      </c>
      <c r="DY99" s="6">
        <f>SUMIF('Eredeti fejléccel'!$B:$B,'Felosztás eredménykim'!$B99,'Eredeti fejléccel'!$BX:$BX)</f>
        <v>0</v>
      </c>
      <c r="EA99" s="6"/>
      <c r="EC99" s="6"/>
      <c r="EE99" s="6">
        <f>SUMIF('Eredeti fejléccel'!$B:$B,'Felosztás eredménykim'!$B99,'Eredeti fejléccel'!$CA:$CA)</f>
        <v>0</v>
      </c>
      <c r="EF99" s="6">
        <f>SUMIF('Eredeti fejléccel'!$B:$B,'Felosztás eredménykim'!$B99,'Eredeti fejléccel'!$CB:$CB)</f>
        <v>0</v>
      </c>
      <c r="EG99" s="6">
        <f>SUMIF('Eredeti fejléccel'!$B:$B,'Felosztás eredménykim'!$B99,'Eredeti fejléccel'!$CC:$CC)</f>
        <v>0</v>
      </c>
      <c r="EH99" s="6">
        <f>SUMIF('Eredeti fejléccel'!$B:$B,'Felosztás eredménykim'!$B99,'Eredeti fejléccel'!$CD:$CD)</f>
        <v>0</v>
      </c>
      <c r="EK99" s="6">
        <f>SUMIF('Eredeti fejléccel'!$B:$B,'Felosztás eredménykim'!$B99,'Eredeti fejléccel'!$CE:$CE)</f>
        <v>0</v>
      </c>
      <c r="EN99" s="6">
        <f>SUMIF('Eredeti fejléccel'!$B:$B,'Felosztás eredménykim'!$B99,'Eredeti fejléccel'!$CF:$CF)</f>
        <v>0</v>
      </c>
      <c r="EP99" s="6">
        <f>SUMIF('Eredeti fejléccel'!$B:$B,'Felosztás eredménykim'!$B99,'Eredeti fejléccel'!$CG:$CG)</f>
        <v>0</v>
      </c>
      <c r="ES99" s="6">
        <f>SUMIF('Eredeti fejléccel'!$B:$B,'Felosztás eredménykim'!$B99,'Eredeti fejléccel'!$CH:$CH)</f>
        <v>0</v>
      </c>
      <c r="ET99" s="6">
        <f>SUMIF('Eredeti fejléccel'!$B:$B,'Felosztás eredménykim'!$B99,'Eredeti fejléccel'!$CI:$CI)</f>
        <v>0</v>
      </c>
      <c r="EW99" s="8">
        <f t="shared" si="118"/>
        <v>0</v>
      </c>
      <c r="EX99" s="8">
        <f t="shared" si="78"/>
        <v>0</v>
      </c>
      <c r="EY99" s="8">
        <f t="shared" si="119"/>
        <v>0</v>
      </c>
      <c r="EZ99" s="8">
        <f t="shared" si="120"/>
        <v>5006120</v>
      </c>
      <c r="FA99" s="8">
        <f t="shared" si="121"/>
        <v>0</v>
      </c>
      <c r="FC99" s="6">
        <f>SUMIF('Eredeti fejléccel'!$B:$B,'Felosztás eredménykim'!$B99,'Eredeti fejléccel'!$L:$L)</f>
        <v>0</v>
      </c>
      <c r="FD99" s="6">
        <f>SUMIF('Eredeti fejléccel'!$B:$B,'Felosztás eredménykim'!$B99,'Eredeti fejléccel'!$CJ:$CJ)</f>
        <v>0</v>
      </c>
      <c r="FE99" s="6">
        <f>SUMIF('Eredeti fejléccel'!$B:$B,'Felosztás eredménykim'!$B99,'Eredeti fejléccel'!$CL:$CL)</f>
        <v>0</v>
      </c>
      <c r="FG99" s="99">
        <f t="shared" si="79"/>
        <v>0</v>
      </c>
      <c r="FH99" s="6">
        <f>SUMIF('Eredeti fejléccel'!$B:$B,'Felosztás eredménykim'!$B99,'Eredeti fejléccel'!$CK:$CK)</f>
        <v>0</v>
      </c>
      <c r="FI99" s="36">
        <f t="shared" si="103"/>
        <v>325370.15394097328</v>
      </c>
      <c r="FJ99" s="101">
        <f t="shared" si="104"/>
        <v>0</v>
      </c>
      <c r="FK99" s="6">
        <f>SUMIF('Eredeti fejléccel'!$B:$B,'Felosztás eredménykim'!$B99,'Eredeti fejléccel'!$CM:$CM)</f>
        <v>23520600</v>
      </c>
      <c r="FL99" s="6">
        <f>SUMIF('Eredeti fejléccel'!$B:$B,'Felosztás eredménykim'!$B99,'Eredeti fejléccel'!$CN:$CN)</f>
        <v>0</v>
      </c>
      <c r="FM99" s="8">
        <f t="shared" si="80"/>
        <v>23520600</v>
      </c>
      <c r="FN99" s="36">
        <f t="shared" si="105"/>
        <v>276618.0091105905</v>
      </c>
      <c r="FO99" s="101">
        <f t="shared" si="106"/>
        <v>0</v>
      </c>
      <c r="FP99" s="6">
        <f>SUMIF('Eredeti fejléccel'!$B:$B,'Felosztás eredménykim'!$B99,'Eredeti fejléccel'!$CO:$CO)</f>
        <v>4187500</v>
      </c>
      <c r="FQ99" s="6">
        <f>'Eredeti fejléccel'!CP99</f>
        <v>1140000</v>
      </c>
      <c r="FR99" s="6">
        <f>'Eredeti fejléccel'!CQ99</f>
        <v>0</v>
      </c>
      <c r="FS99" s="103">
        <f t="shared" si="122"/>
        <v>5327500</v>
      </c>
      <c r="FT99" s="36">
        <f t="shared" si="107"/>
        <v>763546.36562816089</v>
      </c>
      <c r="FU99" s="101">
        <f t="shared" si="108"/>
        <v>0</v>
      </c>
      <c r="FV99" s="101"/>
      <c r="FW99" s="6">
        <f>SUMIF('Eredeti fejléccel'!$B:$B,'Felosztás eredménykim'!$B99,'Eredeti fejléccel'!$CR:$CR)</f>
        <v>20773000</v>
      </c>
      <c r="FX99" s="6">
        <f>SUMIF('Eredeti fejléccel'!$B:$B,'Felosztás eredménykim'!$B99,'Eredeti fejléccel'!$CS:$CS)</f>
        <v>3143000</v>
      </c>
      <c r="FY99" s="6">
        <f>SUMIF('Eredeti fejléccel'!$B:$B,'Felosztás eredménykim'!$B99,'Eredeti fejléccel'!$CT:$CT)</f>
        <v>1090000</v>
      </c>
      <c r="FZ99" s="6">
        <f>SUMIF('Eredeti fejléccel'!$B:$B,'Felosztás eredménykim'!$B99,'Eredeti fejléccel'!$CU:$CU)</f>
        <v>0</v>
      </c>
      <c r="GA99" s="103">
        <f t="shared" si="81"/>
        <v>25006000</v>
      </c>
      <c r="GB99" s="36">
        <f t="shared" si="109"/>
        <v>101774.55052182103</v>
      </c>
      <c r="GC99" s="101">
        <f t="shared" si="110"/>
        <v>0</v>
      </c>
      <c r="GD99" s="6">
        <f>SUMIF('Eredeti fejléccel'!$B:$B,'Felosztás eredménykim'!$B99,'Eredeti fejléccel'!$CV:$CV)</f>
        <v>720000</v>
      </c>
      <c r="GE99" s="6">
        <f>SUMIF('Eredeti fejléccel'!$B:$B,'Felosztás eredménykim'!$B99,'Eredeti fejléccel'!$CW:$CW)</f>
        <v>0</v>
      </c>
      <c r="GF99" s="103">
        <f t="shared" si="82"/>
        <v>720000</v>
      </c>
      <c r="GG99" s="36">
        <f t="shared" si="111"/>
        <v>0</v>
      </c>
      <c r="GM99" s="6">
        <f>SUMIF('Eredeti fejléccel'!$B:$B,'Felosztás eredménykim'!$B99,'Eredeti fejléccel'!$CX:$CX)</f>
        <v>0</v>
      </c>
      <c r="GN99" s="6">
        <f>SUMIF('Eredeti fejléccel'!$B:$B,'Felosztás eredménykim'!$B99,'Eredeti fejléccel'!$CY:$CY)</f>
        <v>0</v>
      </c>
      <c r="GO99" s="6">
        <f>SUMIF('Eredeti fejléccel'!$B:$B,'Felosztás eredménykim'!$B99,'Eredeti fejléccel'!$CZ:$CZ)</f>
        <v>0</v>
      </c>
      <c r="GP99" s="6">
        <f>SUMIF('Eredeti fejléccel'!$B:$B,'Felosztás eredménykim'!$B99,'Eredeti fejléccel'!$DA:$DA)</f>
        <v>0</v>
      </c>
      <c r="GQ99" s="6">
        <f>SUMIF('Eredeti fejléccel'!$B:$B,'Felosztás eredménykim'!$B99,'Eredeti fejléccel'!$DB:$DB)</f>
        <v>0</v>
      </c>
      <c r="GR99" s="103">
        <f t="shared" si="83"/>
        <v>0</v>
      </c>
      <c r="GW99" s="36">
        <f t="shared" si="112"/>
        <v>174707.01867353512</v>
      </c>
      <c r="GX99" s="6">
        <f>SUMIF('Eredeti fejléccel'!$B:$B,'Felosztás eredménykim'!$B99,'Eredeti fejléccel'!$M:$M)</f>
        <v>0</v>
      </c>
      <c r="GY99" s="6">
        <f>SUMIF('Eredeti fejléccel'!$B:$B,'Felosztás eredménykim'!$B99,'Eredeti fejléccel'!$DC:$DC)</f>
        <v>0</v>
      </c>
      <c r="GZ99" s="6">
        <f>SUMIF('Eredeti fejléccel'!$B:$B,'Felosztás eredménykim'!$B99,'Eredeti fejléccel'!$DD:$DD)</f>
        <v>0</v>
      </c>
      <c r="HA99" s="6">
        <f>SUMIF('Eredeti fejléccel'!$B:$B,'Felosztás eredménykim'!$B99,'Eredeti fejléccel'!$DE:$DE)</f>
        <v>3040700</v>
      </c>
      <c r="HB99" s="103">
        <f t="shared" si="84"/>
        <v>3040700</v>
      </c>
      <c r="HD99" s="9">
        <f t="shared" si="137"/>
        <v>81641790.999999881</v>
      </c>
      <c r="HE99" s="9">
        <v>81641791</v>
      </c>
      <c r="HF99" s="476"/>
      <c r="HH99" s="34">
        <f t="shared" si="85"/>
        <v>-1.1920928955078125E-7</v>
      </c>
    </row>
    <row r="100" spans="1:232" x14ac:dyDescent="0.25">
      <c r="A100" s="4" t="s">
        <v>764</v>
      </c>
      <c r="B100" s="4" t="s">
        <v>764</v>
      </c>
      <c r="C100" s="1" t="s">
        <v>765</v>
      </c>
      <c r="D100" s="6">
        <f>SUMIF('Eredeti fejléccel'!$B:$B,'Felosztás eredménykim'!$B100,'Eredeti fejléccel'!$D:$D)</f>
        <v>0</v>
      </c>
      <c r="E100" s="6">
        <f>SUMIF('Eredeti fejléccel'!$B:$B,'Felosztás eredménykim'!$B100,'Eredeti fejléccel'!$E:$E)</f>
        <v>0</v>
      </c>
      <c r="F100" s="6">
        <f>SUMIF('Eredeti fejléccel'!$B:$B,'Felosztás eredménykim'!$B100,'Eredeti fejléccel'!$F:$F)</f>
        <v>0</v>
      </c>
      <c r="G100" s="6">
        <f>SUMIF('Eredeti fejléccel'!$B:$B,'Felosztás eredménykim'!$B100,'Eredeti fejléccel'!$G:$G)</f>
        <v>0</v>
      </c>
      <c r="H100" s="6"/>
      <c r="I100" s="6">
        <f>SUMIF('Eredeti fejléccel'!$B:$B,'Felosztás eredménykim'!$B100,'Eredeti fejléccel'!$O:$O)</f>
        <v>130000</v>
      </c>
      <c r="J100" s="6">
        <f>SUMIF('Eredeti fejléccel'!$B:$B,'Felosztás eredménykim'!$B100,'Eredeti fejléccel'!$P:$P)</f>
        <v>0</v>
      </c>
      <c r="K100" s="6">
        <f>SUMIF('Eredeti fejléccel'!$B:$B,'Felosztás eredménykim'!$B100,'Eredeti fejléccel'!$Q:$Q)</f>
        <v>0</v>
      </c>
      <c r="L100" s="6">
        <f>SUMIF('Eredeti fejléccel'!$B:$B,'Felosztás eredménykim'!$B100,'Eredeti fejléccel'!$R:$R)</f>
        <v>0</v>
      </c>
      <c r="M100" s="6">
        <f>SUMIF('Eredeti fejléccel'!$B:$B,'Felosztás eredménykim'!$B100,'Eredeti fejléccel'!$T:$T)</f>
        <v>0</v>
      </c>
      <c r="N100" s="6">
        <f>SUMIF('Eredeti fejléccel'!$B:$B,'Felosztás eredménykim'!$B100,'Eredeti fejléccel'!$U:$U)</f>
        <v>0</v>
      </c>
      <c r="O100" s="6">
        <f>SUMIF('Eredeti fejléccel'!$B:$B,'Felosztás eredménykim'!$B100,'Eredeti fejléccel'!$V:$V)</f>
        <v>0</v>
      </c>
      <c r="P100" s="6">
        <f>SUMIF('Eredeti fejléccel'!$B:$B,'Felosztás eredménykim'!$B100,'Eredeti fejléccel'!$W:$W)</f>
        <v>0</v>
      </c>
      <c r="Q100" s="6">
        <f>SUMIF('Eredeti fejléccel'!$B:$B,'Felosztás eredménykim'!$B100,'Eredeti fejléccel'!$X:$X)</f>
        <v>0</v>
      </c>
      <c r="R100" s="6">
        <f>SUMIF('Eredeti fejléccel'!$B:$B,'Felosztás eredménykim'!$B100,'Eredeti fejléccel'!$Y:$Y)</f>
        <v>0</v>
      </c>
      <c r="S100" s="6">
        <f>SUMIF('Eredeti fejléccel'!$B:$B,'Felosztás eredménykim'!$B100,'Eredeti fejléccel'!$Z:$Z)</f>
        <v>0</v>
      </c>
      <c r="T100" s="6">
        <f>SUMIF('Eredeti fejléccel'!$B:$B,'Felosztás eredménykim'!$B100,'Eredeti fejléccel'!$AA:$AA)</f>
        <v>0</v>
      </c>
      <c r="U100" s="6">
        <f>SUMIF('Eredeti fejléccel'!$B:$B,'Felosztás eredménykim'!$B100,'Eredeti fejléccel'!$D:$D)</f>
        <v>0</v>
      </c>
      <c r="V100" s="6">
        <f>SUMIF('Eredeti fejléccel'!$B:$B,'Felosztás eredménykim'!$B100,'Eredeti fejléccel'!$AT:$AT)</f>
        <v>0</v>
      </c>
      <c r="X100" s="36">
        <f t="shared" si="86"/>
        <v>130000</v>
      </c>
      <c r="Z100" s="6">
        <f>SUMIF('Eredeti fejléccel'!$B:$B,'Felosztás eredménykim'!$B100,'Eredeti fejléccel'!$K:$K)</f>
        <v>0</v>
      </c>
      <c r="AB100" s="6">
        <f>SUMIF('Eredeti fejléccel'!$B:$B,'Felosztás eredménykim'!$B100,'Eredeti fejléccel'!$AB:$AB)</f>
        <v>0</v>
      </c>
      <c r="AC100" s="6">
        <f>SUMIF('Eredeti fejléccel'!$B:$B,'Felosztás eredménykim'!$B100,'Eredeti fejléccel'!$AQ:$AQ)</f>
        <v>0</v>
      </c>
      <c r="AE100" s="73">
        <f t="shared" si="131"/>
        <v>0</v>
      </c>
      <c r="AF100" s="36">
        <f t="shared" si="87"/>
        <v>15508.303399434684</v>
      </c>
      <c r="AG100" s="8">
        <f t="shared" si="88"/>
        <v>0</v>
      </c>
      <c r="AI100" s="6">
        <f>SUMIF('Eredeti fejléccel'!$B:$B,'Felosztás eredménykim'!$B100,'Eredeti fejléccel'!$BB:$BB)</f>
        <v>0</v>
      </c>
      <c r="AJ100" s="6">
        <f>SUMIF('Eredeti fejléccel'!$B:$B,'Felosztás eredménykim'!$B100,'Eredeti fejléccel'!$AF:$AF)</f>
        <v>0</v>
      </c>
      <c r="AK100" s="8">
        <f t="shared" si="73"/>
        <v>0</v>
      </c>
      <c r="AL100" s="36">
        <f t="shared" si="89"/>
        <v>6159.8198074612947</v>
      </c>
      <c r="AM100" s="8">
        <f t="shared" si="90"/>
        <v>0</v>
      </c>
      <c r="AN100" s="6">
        <f t="shared" si="123"/>
        <v>0</v>
      </c>
      <c r="AO100" s="6">
        <f>SUMIF('Eredeti fejléccel'!$B:$B,'Felosztás eredménykim'!$B100,'Eredeti fejléccel'!$AC:$AC)</f>
        <v>0</v>
      </c>
      <c r="AP100" s="6">
        <f>SUMIF('Eredeti fejléccel'!$B:$B,'Felosztás eredménykim'!$B100,'Eredeti fejléccel'!$AD:$AD)</f>
        <v>0</v>
      </c>
      <c r="AQ100" s="6">
        <f>SUMIF('Eredeti fejléccel'!$B:$B,'Felosztás eredménykim'!$B100,'Eredeti fejléccel'!$AE:$AE)</f>
        <v>0</v>
      </c>
      <c r="AR100" s="6">
        <f>SUMIF('Eredeti fejléccel'!$B:$B,'Felosztás eredménykim'!$B100,'Eredeti fejléccel'!$AG:$AG)</f>
        <v>0</v>
      </c>
      <c r="AS100" s="6">
        <f t="shared" si="124"/>
        <v>0</v>
      </c>
      <c r="AT100" s="36">
        <f t="shared" si="91"/>
        <v>10005.357031893345</v>
      </c>
      <c r="AU100" s="8">
        <f t="shared" si="92"/>
        <v>0</v>
      </c>
      <c r="AV100" s="6">
        <f>SUMIF('Eredeti fejléccel'!$B:$B,'Felosztás eredménykim'!$B100,'Eredeti fejléccel'!$AI:$AI)</f>
        <v>0</v>
      </c>
      <c r="AW100" s="6">
        <f>SUMIF('Eredeti fejléccel'!$B:$B,'Felosztás eredménykim'!$B100,'Eredeti fejléccel'!$AJ:$AJ)</f>
        <v>0</v>
      </c>
      <c r="AX100" s="6">
        <f>SUMIF('Eredeti fejléccel'!$B:$B,'Felosztás eredménykim'!$B100,'Eredeti fejléccel'!$AK:$AK)</f>
        <v>0</v>
      </c>
      <c r="AY100" s="6">
        <f>SUMIF('Eredeti fejléccel'!$B:$B,'Felosztás eredménykim'!$B100,'Eredeti fejléccel'!$AL:$AL)</f>
        <v>0</v>
      </c>
      <c r="AZ100" s="6">
        <f>SUMIF('Eredeti fejléccel'!$B:$B,'Felosztás eredménykim'!$B100,'Eredeti fejléccel'!$AM:$AM)</f>
        <v>0</v>
      </c>
      <c r="BA100" s="6">
        <f>SUMIF('Eredeti fejléccel'!$B:$B,'Felosztás eredménykim'!$B100,'Eredeti fejléccel'!$AN:$AN)</f>
        <v>0</v>
      </c>
      <c r="BB100" s="6">
        <f>SUMIF('Eredeti fejléccel'!$B:$B,'Felosztás eredménykim'!$B100,'Eredeti fejléccel'!$AP:$AP)</f>
        <v>0</v>
      </c>
      <c r="BD100" s="6">
        <f>SUMIF('Eredeti fejléccel'!$B:$B,'Felosztás eredménykim'!$B100,'Eredeti fejléccel'!$AS:$AS)</f>
        <v>0</v>
      </c>
      <c r="BE100" s="8">
        <f t="shared" si="74"/>
        <v>0</v>
      </c>
      <c r="BF100" s="36">
        <f t="shared" si="93"/>
        <v>2610.0931387547857</v>
      </c>
      <c r="BG100" s="8">
        <f t="shared" si="94"/>
        <v>0</v>
      </c>
      <c r="BH100" s="6">
        <f t="shared" si="125"/>
        <v>0</v>
      </c>
      <c r="BI100" s="6">
        <f>SUMIF('Eredeti fejléccel'!$B:$B,'Felosztás eredménykim'!$B100,'Eredeti fejléccel'!$AH:$AH)</f>
        <v>0</v>
      </c>
      <c r="BJ100" s="6">
        <f>SUMIF('Eredeti fejléccel'!$B:$B,'Felosztás eredménykim'!$B100,'Eredeti fejléccel'!$AO:$AO)</f>
        <v>0</v>
      </c>
      <c r="BK100" s="6">
        <f>SUMIF('Eredeti fejléccel'!$B:$B,'Felosztás eredménykim'!$B100,'Eredeti fejléccel'!$BF:$BF)</f>
        <v>0</v>
      </c>
      <c r="BL100" s="8">
        <f t="shared" si="126"/>
        <v>0</v>
      </c>
      <c r="BM100" s="36">
        <f t="shared" si="95"/>
        <v>9779.1489598679309</v>
      </c>
      <c r="BN100" s="8">
        <f t="shared" si="96"/>
        <v>0</v>
      </c>
      <c r="BP100" s="8">
        <f t="shared" si="127"/>
        <v>0</v>
      </c>
      <c r="BQ100" s="6">
        <f>SUMIF('Eredeti fejléccel'!$B:$B,'Felosztás eredménykim'!$B100,'Eredeti fejléccel'!$N:$N)</f>
        <v>0</v>
      </c>
      <c r="BR100" s="6">
        <f>SUMIF('Eredeti fejléccel'!$B:$B,'Felosztás eredménykim'!$B100,'Eredeti fejléccel'!$S:$S)</f>
        <v>0</v>
      </c>
      <c r="BT100" s="6">
        <f>SUMIF('Eredeti fejléccel'!$B:$B,'Felosztás eredménykim'!$B100,'Eredeti fejléccel'!$AR:$AR)</f>
        <v>0</v>
      </c>
      <c r="BU100" s="6">
        <f>SUMIF('Eredeti fejléccel'!$B:$B,'Felosztás eredménykim'!$B100,'Eredeti fejléccel'!$AU:$AU)</f>
        <v>0</v>
      </c>
      <c r="BV100" s="6">
        <f>SUMIF('Eredeti fejléccel'!$B:$B,'Felosztás eredménykim'!$B100,'Eredeti fejléccel'!$AV:$AV)</f>
        <v>0</v>
      </c>
      <c r="BW100" s="6">
        <f>SUMIF('Eredeti fejléccel'!$B:$B,'Felosztás eredménykim'!$B100,'Eredeti fejléccel'!$AW:$AW)</f>
        <v>0</v>
      </c>
      <c r="BX100" s="6">
        <f>SUMIF('Eredeti fejléccel'!$B:$B,'Felosztás eredménykim'!$B100,'Eredeti fejléccel'!$AX:$AX)</f>
        <v>0</v>
      </c>
      <c r="BY100" s="6">
        <f>SUMIF('Eredeti fejléccel'!$B:$B,'Felosztás eredménykim'!$B100,'Eredeti fejléccel'!$AY:$AY)</f>
        <v>0</v>
      </c>
      <c r="BZ100" s="6">
        <f>SUMIF('Eredeti fejléccel'!$B:$B,'Felosztás eredménykim'!$B100,'Eredeti fejléccel'!$AZ:$AZ)</f>
        <v>0</v>
      </c>
      <c r="CA100" s="6">
        <f>SUMIF('Eredeti fejléccel'!$B:$B,'Felosztás eredménykim'!$B100,'Eredeti fejléccel'!$BA:$BA)</f>
        <v>0</v>
      </c>
      <c r="CB100" s="6">
        <f t="shared" si="114"/>
        <v>0</v>
      </c>
      <c r="CC100" s="36">
        <f t="shared" si="97"/>
        <v>2662.2950015298816</v>
      </c>
      <c r="CD100" s="8">
        <f t="shared" si="98"/>
        <v>0</v>
      </c>
      <c r="CE100" s="6">
        <f>SUMIF('Eredeti fejléccel'!$B:$B,'Felosztás eredménykim'!$B100,'Eredeti fejléccel'!$BC:$BC)</f>
        <v>0</v>
      </c>
      <c r="CF100" s="8">
        <f t="shared" si="135"/>
        <v>0</v>
      </c>
      <c r="CG100" s="6">
        <f>SUMIF('Eredeti fejléccel'!$B:$B,'Felosztás eredménykim'!$B100,'Eredeti fejléccel'!$H:$H)</f>
        <v>0</v>
      </c>
      <c r="CH100" s="6">
        <f>SUMIF('Eredeti fejléccel'!$B:$B,'Felosztás eredménykim'!$B100,'Eredeti fejléccel'!$BE:$BE)</f>
        <v>0</v>
      </c>
      <c r="CI100" s="6">
        <f t="shared" si="75"/>
        <v>0</v>
      </c>
      <c r="CJ100" s="36">
        <f t="shared" si="99"/>
        <v>1914.0683017535098</v>
      </c>
      <c r="CK100" s="8">
        <f t="shared" si="100"/>
        <v>0</v>
      </c>
      <c r="CL100" s="8">
        <f t="shared" si="136"/>
        <v>0</v>
      </c>
      <c r="CM100" s="6">
        <f>SUMIF('Eredeti fejléccel'!$B:$B,'Felosztás eredménykim'!$B100,'Eredeti fejléccel'!$BD:$BD)</f>
        <v>0</v>
      </c>
      <c r="CN100" s="8">
        <f t="shared" si="76"/>
        <v>0</v>
      </c>
      <c r="CO100" s="8">
        <f t="shared" si="115"/>
        <v>48639.085640695441</v>
      </c>
      <c r="CR100" s="36">
        <f t="shared" si="101"/>
        <v>11497.424339987123</v>
      </c>
      <c r="CS100" s="6">
        <f>SUMIF('Eredeti fejléccel'!$B:$B,'Felosztás eredménykim'!$B100,'Eredeti fejléccel'!$I:$I)</f>
        <v>0</v>
      </c>
      <c r="CT100" s="6">
        <f>SUMIF('Eredeti fejléccel'!$B:$B,'Felosztás eredménykim'!$B100,'Eredeti fejléccel'!$BG:$BG)</f>
        <v>0</v>
      </c>
      <c r="CU100" s="6">
        <f>SUMIF('Eredeti fejléccel'!$B:$B,'Felosztás eredménykim'!$B100,'Eredeti fejléccel'!$BH:$BH)</f>
        <v>0</v>
      </c>
      <c r="CV100" s="6">
        <f>SUMIF('Eredeti fejléccel'!$B:$B,'Felosztás eredménykim'!$B100,'Eredeti fejléccel'!$BI:$BI)</f>
        <v>0</v>
      </c>
      <c r="CW100" s="6">
        <f>SUMIF('Eredeti fejléccel'!$B:$B,'Felosztás eredménykim'!$B100,'Eredeti fejléccel'!$BL:$BL)</f>
        <v>0</v>
      </c>
      <c r="CX100" s="6">
        <f t="shared" si="77"/>
        <v>0</v>
      </c>
      <c r="CY100" s="6">
        <f>SUMIF('Eredeti fejléccel'!$B:$B,'Felosztás eredménykim'!$B100,'Eredeti fejléccel'!$BJ:$BJ)</f>
        <v>0</v>
      </c>
      <c r="CZ100" s="6">
        <f>SUMIF('Eredeti fejléccel'!$B:$B,'Felosztás eredménykim'!$B100,'Eredeti fejléccel'!$BK:$BK)</f>
        <v>0</v>
      </c>
      <c r="DA100" s="99">
        <f t="shared" si="116"/>
        <v>0</v>
      </c>
      <c r="DC100" s="36">
        <f t="shared" si="102"/>
        <v>10070.186735350935</v>
      </c>
      <c r="DD100" s="6">
        <f>SUMIF('Eredeti fejléccel'!$B:$B,'Felosztás eredménykim'!$B100,'Eredeti fejléccel'!$J:$J)</f>
        <v>0</v>
      </c>
      <c r="DE100" s="6">
        <f>SUMIF('Eredeti fejléccel'!$B:$B,'Felosztás eredménykim'!$B100,'Eredeti fejléccel'!$BM:$BM)</f>
        <v>0</v>
      </c>
      <c r="DF100" s="6">
        <f t="shared" si="128"/>
        <v>0</v>
      </c>
      <c r="DG100" s="8">
        <f t="shared" si="117"/>
        <v>0</v>
      </c>
      <c r="DH100" s="8">
        <f t="shared" si="129"/>
        <v>0</v>
      </c>
      <c r="DJ100" s="6">
        <f>SUMIF('Eredeti fejléccel'!$B:$B,'Felosztás eredménykim'!$B100,'Eredeti fejléccel'!$BN:$BN)</f>
        <v>0</v>
      </c>
      <c r="DK100" s="6">
        <f>SUMIF('Eredeti fejléccel'!$B:$B,'Felosztás eredménykim'!$B100,'Eredeti fejléccel'!$BZ:$BZ)</f>
        <v>0</v>
      </c>
      <c r="DL100" s="8">
        <f t="shared" si="130"/>
        <v>0</v>
      </c>
      <c r="DM100" s="6">
        <f>SUMIF('Eredeti fejléccel'!$B:$B,'Felosztás eredménykim'!$B100,'Eredeti fejléccel'!$BR:$BR)</f>
        <v>0</v>
      </c>
      <c r="DN100" s="6">
        <f>SUMIF('Eredeti fejléccel'!$B:$B,'Felosztás eredménykim'!$B100,'Eredeti fejléccel'!$BS:$BS)</f>
        <v>0</v>
      </c>
      <c r="DO100" s="6">
        <f>SUMIF('Eredeti fejléccel'!$B:$B,'Felosztás eredménykim'!$B100,'Eredeti fejléccel'!$BO:$BO)</f>
        <v>0</v>
      </c>
      <c r="DP100" s="6">
        <f>SUMIF('Eredeti fejléccel'!$B:$B,'Felosztás eredménykim'!$B100,'Eredeti fejléccel'!$BP:$BP)</f>
        <v>0</v>
      </c>
      <c r="DQ100" s="6">
        <f>SUMIF('Eredeti fejléccel'!$B:$B,'Felosztás eredménykim'!$B100,'Eredeti fejléccel'!$BQ:$BQ)</f>
        <v>0</v>
      </c>
      <c r="DS100" s="8"/>
      <c r="DU100" s="6">
        <f>SUMIF('Eredeti fejléccel'!$B:$B,'Felosztás eredménykim'!$B100,'Eredeti fejléccel'!$BT:$BT)</f>
        <v>0</v>
      </c>
      <c r="DV100" s="6">
        <f>SUMIF('Eredeti fejléccel'!$B:$B,'Felosztás eredménykim'!$B100,'Eredeti fejléccel'!$BU:$BU)</f>
        <v>0</v>
      </c>
      <c r="DW100" s="6">
        <f>SUMIF('Eredeti fejléccel'!$B:$B,'Felosztás eredménykim'!$B100,'Eredeti fejléccel'!$BV:$BV)</f>
        <v>0</v>
      </c>
      <c r="DX100" s="6">
        <f>SUMIF('Eredeti fejléccel'!$B:$B,'Felosztás eredménykim'!$B100,'Eredeti fejléccel'!$BW:$BW)</f>
        <v>0</v>
      </c>
      <c r="DY100" s="6">
        <f>SUMIF('Eredeti fejléccel'!$B:$B,'Felosztás eredménykim'!$B100,'Eredeti fejléccel'!$BX:$BX)</f>
        <v>0</v>
      </c>
      <c r="EA100" s="6"/>
      <c r="EC100" s="6"/>
      <c r="EE100" s="6">
        <f>SUMIF('Eredeti fejléccel'!$B:$B,'Felosztás eredménykim'!$B100,'Eredeti fejléccel'!$CA:$CA)</f>
        <v>0</v>
      </c>
      <c r="EF100" s="6">
        <f>SUMIF('Eredeti fejléccel'!$B:$B,'Felosztás eredménykim'!$B100,'Eredeti fejléccel'!$CB:$CB)</f>
        <v>0</v>
      </c>
      <c r="EG100" s="6">
        <f>SUMIF('Eredeti fejléccel'!$B:$B,'Felosztás eredménykim'!$B100,'Eredeti fejléccel'!$CC:$CC)</f>
        <v>0</v>
      </c>
      <c r="EH100" s="6">
        <f>SUMIF('Eredeti fejléccel'!$B:$B,'Felosztás eredménykim'!$B100,'Eredeti fejléccel'!$CD:$CD)</f>
        <v>0</v>
      </c>
      <c r="EK100" s="6">
        <f>SUMIF('Eredeti fejléccel'!$B:$B,'Felosztás eredménykim'!$B100,'Eredeti fejléccel'!$CE:$CE)</f>
        <v>0</v>
      </c>
      <c r="EN100" s="6">
        <f>SUMIF('Eredeti fejléccel'!$B:$B,'Felosztás eredménykim'!$B100,'Eredeti fejléccel'!$CF:$CF)</f>
        <v>0</v>
      </c>
      <c r="EP100" s="6">
        <f>SUMIF('Eredeti fejléccel'!$B:$B,'Felosztás eredménykim'!$B100,'Eredeti fejléccel'!$CG:$CG)</f>
        <v>0</v>
      </c>
      <c r="ES100" s="6">
        <f>SUMIF('Eredeti fejléccel'!$B:$B,'Felosztás eredménykim'!$B100,'Eredeti fejléccel'!$CH:$CH)</f>
        <v>0</v>
      </c>
      <c r="ET100" s="6">
        <f>SUMIF('Eredeti fejléccel'!$B:$B,'Felosztás eredménykim'!$B100,'Eredeti fejléccel'!$CI:$CI)</f>
        <v>0</v>
      </c>
      <c r="EW100" s="8">
        <f t="shared" si="118"/>
        <v>0</v>
      </c>
      <c r="EX100" s="8">
        <f t="shared" si="78"/>
        <v>0</v>
      </c>
      <c r="EY100" s="8">
        <f t="shared" si="119"/>
        <v>0</v>
      </c>
      <c r="EZ100" s="8">
        <f t="shared" si="120"/>
        <v>0</v>
      </c>
      <c r="FA100" s="8">
        <f t="shared" si="121"/>
        <v>0</v>
      </c>
      <c r="FC100" s="6">
        <f>SUMIF('Eredeti fejléccel'!$B:$B,'Felosztás eredménykim'!$B100,'Eredeti fejléccel'!$L:$L)</f>
        <v>0</v>
      </c>
      <c r="FD100" s="6">
        <f>SUMIF('Eredeti fejléccel'!$B:$B,'Felosztás eredménykim'!$B100,'Eredeti fejléccel'!$CJ:$CJ)</f>
        <v>0</v>
      </c>
      <c r="FE100" s="6">
        <f>SUMIF('Eredeti fejléccel'!$B:$B,'Felosztás eredménykim'!$B100,'Eredeti fejléccel'!$CL:$CL)</f>
        <v>0</v>
      </c>
      <c r="FG100" s="99">
        <f t="shared" si="79"/>
        <v>0</v>
      </c>
      <c r="FH100" s="6">
        <f>SUMIF('Eredeti fejléccel'!$B:$B,'Felosztás eredménykim'!$B100,'Eredeti fejléccel'!$CK:$CK)</f>
        <v>0</v>
      </c>
      <c r="FI100" s="36">
        <f t="shared" si="103"/>
        <v>11848.212888606869</v>
      </c>
      <c r="FJ100" s="101">
        <f t="shared" si="104"/>
        <v>0</v>
      </c>
      <c r="FK100" s="6">
        <f>SUMIF('Eredeti fejléccel'!$B:$B,'Felosztás eredménykim'!$B100,'Eredeti fejléccel'!$CM:$CM)</f>
        <v>0</v>
      </c>
      <c r="FL100" s="6">
        <f>SUMIF('Eredeti fejléccel'!$B:$B,'Felosztás eredménykim'!$B100,'Eredeti fejléccel'!$CN:$CN)</f>
        <v>0</v>
      </c>
      <c r="FM100" s="8">
        <f t="shared" si="80"/>
        <v>0</v>
      </c>
      <c r="FN100" s="36">
        <f t="shared" si="105"/>
        <v>10072.924701506096</v>
      </c>
      <c r="FO100" s="101">
        <f t="shared" si="106"/>
        <v>0</v>
      </c>
      <c r="FP100" s="6">
        <f>SUMIF('Eredeti fejléccel'!$B:$B,'Felosztás eredménykim'!$B100,'Eredeti fejléccel'!$CO:$CO)</f>
        <v>80881</v>
      </c>
      <c r="FQ100" s="6">
        <f>'Eredeti fejléccel'!CP100</f>
        <v>0</v>
      </c>
      <c r="FR100" s="6">
        <f>'Eredeti fejléccel'!CQ100</f>
        <v>0</v>
      </c>
      <c r="FS100" s="103">
        <f t="shared" si="122"/>
        <v>80881</v>
      </c>
      <c r="FT100" s="36">
        <f t="shared" si="107"/>
        <v>27804.209392622102</v>
      </c>
      <c r="FU100" s="101">
        <f t="shared" si="108"/>
        <v>0</v>
      </c>
      <c r="FV100" s="101"/>
      <c r="FW100" s="6">
        <f>SUMIF('Eredeti fejléccel'!$B:$B,'Felosztás eredménykim'!$B100,'Eredeti fejléccel'!$CR:$CR)</f>
        <v>0</v>
      </c>
      <c r="FX100" s="6">
        <f>SUMIF('Eredeti fejléccel'!$B:$B,'Felosztás eredménykim'!$B100,'Eredeti fejléccel'!$CS:$CS)</f>
        <v>0</v>
      </c>
      <c r="FY100" s="6">
        <f>SUMIF('Eredeti fejléccel'!$B:$B,'Felosztás eredménykim'!$B100,'Eredeti fejléccel'!$CT:$CT)</f>
        <v>0</v>
      </c>
      <c r="FZ100" s="6">
        <f>SUMIF('Eredeti fejléccel'!$B:$B,'Felosztás eredménykim'!$B100,'Eredeti fejléccel'!$CU:$CU)</f>
        <v>0</v>
      </c>
      <c r="GA100" s="103">
        <f t="shared" si="81"/>
        <v>0</v>
      </c>
      <c r="GB100" s="36">
        <f t="shared" si="109"/>
        <v>3706.0760694220539</v>
      </c>
      <c r="GC100" s="101">
        <f t="shared" si="110"/>
        <v>0</v>
      </c>
      <c r="GD100" s="6">
        <f>SUMIF('Eredeti fejléccel'!$B:$B,'Felosztás eredménykim'!$B100,'Eredeti fejléccel'!$CV:$CV)</f>
        <v>52381</v>
      </c>
      <c r="GE100" s="6">
        <f>SUMIF('Eredeti fejléccel'!$B:$B,'Felosztás eredménykim'!$B100,'Eredeti fejléccel'!$CW:$CW)</f>
        <v>0</v>
      </c>
      <c r="GF100" s="103">
        <f t="shared" si="82"/>
        <v>52381</v>
      </c>
      <c r="GG100" s="36">
        <f t="shared" si="111"/>
        <v>0</v>
      </c>
      <c r="GM100" s="6">
        <f>SUMIF('Eredeti fejléccel'!$B:$B,'Felosztás eredménykim'!$B100,'Eredeti fejléccel'!$CX:$CX)</f>
        <v>0</v>
      </c>
      <c r="GN100" s="6">
        <f>SUMIF('Eredeti fejléccel'!$B:$B,'Felosztás eredménykim'!$B100,'Eredeti fejléccel'!$CY:$CY)</f>
        <v>0</v>
      </c>
      <c r="GO100" s="6">
        <f>SUMIF('Eredeti fejléccel'!$B:$B,'Felosztás eredménykim'!$B100,'Eredeti fejléccel'!$CZ:$CZ)</f>
        <v>0</v>
      </c>
      <c r="GP100" s="6">
        <f>SUMIF('Eredeti fejléccel'!$B:$B,'Felosztás eredménykim'!$B100,'Eredeti fejléccel'!$DA:$DA)</f>
        <v>0</v>
      </c>
      <c r="GQ100" s="6">
        <f>SUMIF('Eredeti fejléccel'!$B:$B,'Felosztás eredménykim'!$B100,'Eredeti fejléccel'!$DB:$DB)</f>
        <v>0</v>
      </c>
      <c r="GR100" s="103">
        <f t="shared" si="83"/>
        <v>0</v>
      </c>
      <c r="GW100" s="36">
        <f t="shared" si="112"/>
        <v>6361.8802318094013</v>
      </c>
      <c r="GX100" s="6">
        <f>SUMIF('Eredeti fejléccel'!$B:$B,'Felosztás eredménykim'!$B100,'Eredeti fejléccel'!$M:$M)</f>
        <v>0</v>
      </c>
      <c r="GY100" s="6">
        <f>SUMIF('Eredeti fejléccel'!$B:$B,'Felosztás eredménykim'!$B100,'Eredeti fejléccel'!$DC:$DC)</f>
        <v>0</v>
      </c>
      <c r="GZ100" s="6">
        <f>SUMIF('Eredeti fejléccel'!$B:$B,'Felosztás eredménykim'!$B100,'Eredeti fejléccel'!$DD:$DD)</f>
        <v>0</v>
      </c>
      <c r="HA100" s="6">
        <f>SUMIF('Eredeti fejléccel'!$B:$B,'Felosztás eredménykim'!$B100,'Eredeti fejléccel'!$DE:$DE)</f>
        <v>0</v>
      </c>
      <c r="HB100" s="103">
        <f t="shared" si="84"/>
        <v>0</v>
      </c>
      <c r="HD100" s="9">
        <f t="shared" si="137"/>
        <v>263262.00000000012</v>
      </c>
      <c r="HE100" s="9">
        <v>263262</v>
      </c>
      <c r="HF100" s="476"/>
      <c r="HH100" s="34">
        <f t="shared" si="85"/>
        <v>0</v>
      </c>
    </row>
    <row r="101" spans="1:232" x14ac:dyDescent="0.25">
      <c r="A101" s="4" t="s">
        <v>208</v>
      </c>
      <c r="B101" s="4" t="s">
        <v>208</v>
      </c>
      <c r="C101" s="1" t="s">
        <v>209</v>
      </c>
      <c r="D101" s="6">
        <f>SUMIF('Eredeti fejléccel'!$B:$B,'Felosztás eredménykim'!$B101,'Eredeti fejléccel'!$D:$D)</f>
        <v>0</v>
      </c>
      <c r="E101" s="6">
        <f>SUMIF('Eredeti fejléccel'!$B:$B,'Felosztás eredménykim'!$B101,'Eredeti fejléccel'!$E:$E)</f>
        <v>0</v>
      </c>
      <c r="F101" s="6">
        <f>SUMIF('Eredeti fejléccel'!$B:$B,'Felosztás eredménykim'!$B101,'Eredeti fejléccel'!$F:$F)</f>
        <v>0</v>
      </c>
      <c r="G101" s="6">
        <f>SUMIF('Eredeti fejléccel'!$B:$B,'Felosztás eredménykim'!$B101,'Eredeti fejléccel'!$G:$G)</f>
        <v>0</v>
      </c>
      <c r="H101" s="6"/>
      <c r="I101" s="6">
        <f>SUMIF('Eredeti fejléccel'!$B:$B,'Felosztás eredménykim'!$B101,'Eredeti fejléccel'!$O:$O)</f>
        <v>0</v>
      </c>
      <c r="J101" s="6">
        <f>SUMIF('Eredeti fejléccel'!$B:$B,'Felosztás eredménykim'!$B101,'Eredeti fejléccel'!$P:$P)</f>
        <v>0</v>
      </c>
      <c r="K101" s="6">
        <f>SUMIF('Eredeti fejléccel'!$B:$B,'Felosztás eredménykim'!$B101,'Eredeti fejléccel'!$Q:$Q)</f>
        <v>0</v>
      </c>
      <c r="L101" s="6">
        <f>SUMIF('Eredeti fejléccel'!$B:$B,'Felosztás eredménykim'!$B101,'Eredeti fejléccel'!$R:$R)</f>
        <v>0</v>
      </c>
      <c r="M101" s="6">
        <f>SUMIF('Eredeti fejléccel'!$B:$B,'Felosztás eredménykim'!$B101,'Eredeti fejléccel'!$T:$T)</f>
        <v>0</v>
      </c>
      <c r="N101" s="6">
        <f>SUMIF('Eredeti fejléccel'!$B:$B,'Felosztás eredménykim'!$B101,'Eredeti fejléccel'!$U:$U)</f>
        <v>0</v>
      </c>
      <c r="O101" s="6">
        <f>SUMIF('Eredeti fejléccel'!$B:$B,'Felosztás eredménykim'!$B101,'Eredeti fejléccel'!$V:$V)</f>
        <v>0</v>
      </c>
      <c r="P101" s="6">
        <f>SUMIF('Eredeti fejléccel'!$B:$B,'Felosztás eredménykim'!$B101,'Eredeti fejléccel'!$W:$W)</f>
        <v>0</v>
      </c>
      <c r="Q101" s="6">
        <f>SUMIF('Eredeti fejléccel'!$B:$B,'Felosztás eredménykim'!$B101,'Eredeti fejléccel'!$X:$X)</f>
        <v>0</v>
      </c>
      <c r="R101" s="6">
        <f>SUMIF('Eredeti fejléccel'!$B:$B,'Felosztás eredménykim'!$B101,'Eredeti fejléccel'!$Y:$Y)</f>
        <v>0</v>
      </c>
      <c r="S101" s="6">
        <f>SUMIF('Eredeti fejléccel'!$B:$B,'Felosztás eredménykim'!$B101,'Eredeti fejléccel'!$Z:$Z)</f>
        <v>0</v>
      </c>
      <c r="T101" s="6">
        <f>SUMIF('Eredeti fejléccel'!$B:$B,'Felosztás eredménykim'!$B101,'Eredeti fejléccel'!$AA:$AA)</f>
        <v>0</v>
      </c>
      <c r="U101" s="6">
        <f>SUMIF('Eredeti fejléccel'!$B:$B,'Felosztás eredménykim'!$B101,'Eredeti fejléccel'!$D:$D)</f>
        <v>0</v>
      </c>
      <c r="V101" s="6">
        <f>SUMIF('Eredeti fejléccel'!$B:$B,'Felosztás eredménykim'!$B101,'Eredeti fejléccel'!$AT:$AT)</f>
        <v>0</v>
      </c>
      <c r="X101" s="36">
        <f t="shared" si="86"/>
        <v>0</v>
      </c>
      <c r="Z101" s="6">
        <f>SUMIF('Eredeti fejléccel'!$B:$B,'Felosztás eredménykim'!$B101,'Eredeti fejléccel'!$K:$K)</f>
        <v>0</v>
      </c>
      <c r="AB101" s="6">
        <f>SUMIF('Eredeti fejléccel'!$B:$B,'Felosztás eredménykim'!$B101,'Eredeti fejléccel'!$AB:$AB)</f>
        <v>0</v>
      </c>
      <c r="AC101" s="6">
        <f>SUMIF('Eredeti fejléccel'!$B:$B,'Felosztás eredménykim'!$B101,'Eredeti fejléccel'!$AQ:$AQ)</f>
        <v>0</v>
      </c>
      <c r="AE101" s="73">
        <f t="shared" si="131"/>
        <v>0</v>
      </c>
      <c r="AF101" s="36">
        <f t="shared" si="87"/>
        <v>0</v>
      </c>
      <c r="AG101" s="8">
        <f t="shared" si="88"/>
        <v>0</v>
      </c>
      <c r="AI101" s="6">
        <f>SUMIF('Eredeti fejléccel'!$B:$B,'Felosztás eredménykim'!$B101,'Eredeti fejléccel'!$BB:$BB)</f>
        <v>-29350</v>
      </c>
      <c r="AJ101" s="6">
        <f>SUMIF('Eredeti fejléccel'!$B:$B,'Felosztás eredménykim'!$B101,'Eredeti fejléccel'!$AF:$AF)</f>
        <v>0</v>
      </c>
      <c r="AK101" s="8">
        <f t="shared" si="73"/>
        <v>-29350</v>
      </c>
      <c r="AL101" s="36">
        <f t="shared" si="89"/>
        <v>0</v>
      </c>
      <c r="AM101" s="8">
        <f t="shared" si="90"/>
        <v>0</v>
      </c>
      <c r="AN101" s="6">
        <f t="shared" si="123"/>
        <v>0</v>
      </c>
      <c r="AO101" s="6">
        <f>SUMIF('Eredeti fejléccel'!$B:$B,'Felosztás eredménykim'!$B101,'Eredeti fejléccel'!$AC:$AC)</f>
        <v>0</v>
      </c>
      <c r="AP101" s="6">
        <f>SUMIF('Eredeti fejléccel'!$B:$B,'Felosztás eredménykim'!$B101,'Eredeti fejléccel'!$AD:$AD)</f>
        <v>0</v>
      </c>
      <c r="AQ101" s="6">
        <f>SUMIF('Eredeti fejléccel'!$B:$B,'Felosztás eredménykim'!$B101,'Eredeti fejléccel'!$AE:$AE)</f>
        <v>0</v>
      </c>
      <c r="AR101" s="6">
        <f>SUMIF('Eredeti fejléccel'!$B:$B,'Felosztás eredménykim'!$B101,'Eredeti fejléccel'!$AG:$AG)</f>
        <v>-15714</v>
      </c>
      <c r="AS101" s="6">
        <f t="shared" si="124"/>
        <v>-15714</v>
      </c>
      <c r="AT101" s="36">
        <f t="shared" si="91"/>
        <v>0</v>
      </c>
      <c r="AU101" s="8">
        <f t="shared" si="92"/>
        <v>0</v>
      </c>
      <c r="AV101" s="6">
        <f>SUMIF('Eredeti fejléccel'!$B:$B,'Felosztás eredménykim'!$B101,'Eredeti fejléccel'!$AI:$AI)</f>
        <v>0</v>
      </c>
      <c r="AW101" s="6">
        <f>SUMIF('Eredeti fejléccel'!$B:$B,'Felosztás eredménykim'!$B101,'Eredeti fejléccel'!$AJ:$AJ)</f>
        <v>0</v>
      </c>
      <c r="AX101" s="6">
        <f>SUMIF('Eredeti fejléccel'!$B:$B,'Felosztás eredménykim'!$B101,'Eredeti fejléccel'!$AK:$AK)</f>
        <v>-16667</v>
      </c>
      <c r="AY101" s="6">
        <f>SUMIF('Eredeti fejléccel'!$B:$B,'Felosztás eredménykim'!$B101,'Eredeti fejléccel'!$AL:$AL)</f>
        <v>-123230</v>
      </c>
      <c r="AZ101" s="6">
        <f>SUMIF('Eredeti fejléccel'!$B:$B,'Felosztás eredménykim'!$B101,'Eredeti fejléccel'!$AM:$AM)</f>
        <v>71739</v>
      </c>
      <c r="BA101" s="6">
        <f>SUMIF('Eredeti fejléccel'!$B:$B,'Felosztás eredménykim'!$B101,'Eredeti fejléccel'!$AN:$AN)</f>
        <v>0</v>
      </c>
      <c r="BB101" s="6">
        <f>SUMIF('Eredeti fejléccel'!$B:$B,'Felosztás eredménykim'!$B101,'Eredeti fejléccel'!$AP:$AP)</f>
        <v>0</v>
      </c>
      <c r="BD101" s="6">
        <f>SUMIF('Eredeti fejléccel'!$B:$B,'Felosztás eredménykim'!$B101,'Eredeti fejléccel'!$AS:$AS)</f>
        <v>0</v>
      </c>
      <c r="BE101" s="8">
        <f t="shared" si="74"/>
        <v>-68158</v>
      </c>
      <c r="BF101" s="36">
        <f t="shared" si="93"/>
        <v>0</v>
      </c>
      <c r="BG101" s="8">
        <f t="shared" si="94"/>
        <v>0</v>
      </c>
      <c r="BH101" s="6">
        <f t="shared" si="125"/>
        <v>0</v>
      </c>
      <c r="BI101" s="6">
        <f>SUMIF('Eredeti fejléccel'!$B:$B,'Felosztás eredménykim'!$B101,'Eredeti fejléccel'!$AH:$AH)</f>
        <v>0</v>
      </c>
      <c r="BJ101" s="6">
        <f>SUMIF('Eredeti fejléccel'!$B:$B,'Felosztás eredménykim'!$B101,'Eredeti fejléccel'!$AO:$AO)</f>
        <v>0</v>
      </c>
      <c r="BK101" s="6">
        <f>SUMIF('Eredeti fejléccel'!$B:$B,'Felosztás eredménykim'!$B101,'Eredeti fejléccel'!$BF:$BF)</f>
        <v>0</v>
      </c>
      <c r="BL101" s="8">
        <f t="shared" si="126"/>
        <v>0</v>
      </c>
      <c r="BM101" s="36">
        <f t="shared" si="95"/>
        <v>0</v>
      </c>
      <c r="BN101" s="8">
        <f t="shared" si="96"/>
        <v>0</v>
      </c>
      <c r="BP101" s="8">
        <f t="shared" si="127"/>
        <v>0</v>
      </c>
      <c r="BQ101" s="6">
        <f>SUMIF('Eredeti fejléccel'!$B:$B,'Felosztás eredménykim'!$B101,'Eredeti fejléccel'!$N:$N)</f>
        <v>0</v>
      </c>
      <c r="BR101" s="6">
        <f>SUMIF('Eredeti fejléccel'!$B:$B,'Felosztás eredménykim'!$B101,'Eredeti fejléccel'!$S:$S)</f>
        <v>0</v>
      </c>
      <c r="BT101" s="6">
        <f>SUMIF('Eredeti fejléccel'!$B:$B,'Felosztás eredménykim'!$B101,'Eredeti fejléccel'!$AR:$AR)</f>
        <v>0</v>
      </c>
      <c r="BU101" s="6">
        <f>SUMIF('Eredeti fejléccel'!$B:$B,'Felosztás eredménykim'!$B101,'Eredeti fejléccel'!$AU:$AU)</f>
        <v>0</v>
      </c>
      <c r="BV101" s="6">
        <f>SUMIF('Eredeti fejléccel'!$B:$B,'Felosztás eredménykim'!$B101,'Eredeti fejléccel'!$AV:$AV)</f>
        <v>0</v>
      </c>
      <c r="BW101" s="6">
        <f>SUMIF('Eredeti fejléccel'!$B:$B,'Felosztás eredménykim'!$B101,'Eredeti fejléccel'!$AW:$AW)</f>
        <v>0</v>
      </c>
      <c r="BX101" s="6">
        <f>SUMIF('Eredeti fejléccel'!$B:$B,'Felosztás eredménykim'!$B101,'Eredeti fejléccel'!$AX:$AX)</f>
        <v>0</v>
      </c>
      <c r="BY101" s="6">
        <f>SUMIF('Eredeti fejléccel'!$B:$B,'Felosztás eredménykim'!$B101,'Eredeti fejléccel'!$AY:$AY)</f>
        <v>0</v>
      </c>
      <c r="BZ101" s="6">
        <f>SUMIF('Eredeti fejléccel'!$B:$B,'Felosztás eredménykim'!$B101,'Eredeti fejléccel'!$AZ:$AZ)</f>
        <v>0</v>
      </c>
      <c r="CA101" s="6">
        <f>SUMIF('Eredeti fejléccel'!$B:$B,'Felosztás eredménykim'!$B101,'Eredeti fejléccel'!$BA:$BA)</f>
        <v>-63354</v>
      </c>
      <c r="CB101" s="6">
        <f t="shared" si="114"/>
        <v>-63354</v>
      </c>
      <c r="CC101" s="36">
        <f t="shared" si="97"/>
        <v>0</v>
      </c>
      <c r="CD101" s="8">
        <f t="shared" si="98"/>
        <v>0</v>
      </c>
      <c r="CE101" s="6">
        <f>SUMIF('Eredeti fejléccel'!$B:$B,'Felosztás eredménykim'!$B101,'Eredeti fejléccel'!$BC:$BC)</f>
        <v>34952</v>
      </c>
      <c r="CF101" s="8">
        <f t="shared" si="135"/>
        <v>-17476</v>
      </c>
      <c r="CG101" s="6">
        <f>SUMIF('Eredeti fejléccel'!$B:$B,'Felosztás eredménykim'!$B101,'Eredeti fejléccel'!$H:$H)</f>
        <v>0</v>
      </c>
      <c r="CH101" s="6">
        <f>SUMIF('Eredeti fejléccel'!$B:$B,'Felosztás eredménykim'!$B101,'Eredeti fejléccel'!$BE:$BE)</f>
        <v>-49478</v>
      </c>
      <c r="CI101" s="6">
        <f t="shared" si="75"/>
        <v>-32002</v>
      </c>
      <c r="CJ101" s="36">
        <f t="shared" si="99"/>
        <v>0</v>
      </c>
      <c r="CK101" s="8">
        <f t="shared" si="100"/>
        <v>0</v>
      </c>
      <c r="CL101" s="8">
        <f t="shared" si="136"/>
        <v>17476</v>
      </c>
      <c r="CM101" s="6">
        <f>SUMIF('Eredeti fejléccel'!$B:$B,'Felosztás eredménykim'!$B101,'Eredeti fejléccel'!$BD:$BD)</f>
        <v>0</v>
      </c>
      <c r="CN101" s="8">
        <f t="shared" si="76"/>
        <v>17476</v>
      </c>
      <c r="CO101" s="8">
        <f t="shared" si="115"/>
        <v>-191102</v>
      </c>
      <c r="CR101" s="36">
        <f t="shared" si="101"/>
        <v>0</v>
      </c>
      <c r="CS101" s="6">
        <f>SUMIF('Eredeti fejléccel'!$B:$B,'Felosztás eredménykim'!$B101,'Eredeti fejléccel'!$I:$I)</f>
        <v>-15000</v>
      </c>
      <c r="CT101" s="6">
        <f>SUMIF('Eredeti fejléccel'!$B:$B,'Felosztás eredménykim'!$B101,'Eredeti fejléccel'!$BG:$BG)</f>
        <v>0</v>
      </c>
      <c r="CU101" s="6">
        <f>SUMIF('Eredeti fejléccel'!$B:$B,'Felosztás eredménykim'!$B101,'Eredeti fejléccel'!$BH:$BH)</f>
        <v>-46727</v>
      </c>
      <c r="CV101" s="6">
        <f>SUMIF('Eredeti fejléccel'!$B:$B,'Felosztás eredménykim'!$B101,'Eredeti fejléccel'!$BI:$BI)</f>
        <v>-26727</v>
      </c>
      <c r="CW101" s="6">
        <f>SUMIF('Eredeti fejléccel'!$B:$B,'Felosztás eredménykim'!$B101,'Eredeti fejléccel'!$BL:$BL)</f>
        <v>0</v>
      </c>
      <c r="CX101" s="6">
        <f t="shared" si="77"/>
        <v>-88454</v>
      </c>
      <c r="CY101" s="6">
        <f>SUMIF('Eredeti fejléccel'!$B:$B,'Felosztás eredménykim'!$B101,'Eredeti fejléccel'!$BJ:$BJ)</f>
        <v>0</v>
      </c>
      <c r="CZ101" s="6">
        <f>SUMIF('Eredeti fejléccel'!$B:$B,'Felosztás eredménykim'!$B101,'Eredeti fejléccel'!$BK:$BK)</f>
        <v>0</v>
      </c>
      <c r="DA101" s="99">
        <f t="shared" si="116"/>
        <v>-88454</v>
      </c>
      <c r="DC101" s="36">
        <f t="shared" si="102"/>
        <v>0</v>
      </c>
      <c r="DD101" s="6">
        <f>SUMIF('Eredeti fejléccel'!$B:$B,'Felosztás eredménykim'!$B101,'Eredeti fejléccel'!$J:$J)</f>
        <v>0</v>
      </c>
      <c r="DE101" s="6">
        <f>SUMIF('Eredeti fejléccel'!$B:$B,'Felosztás eredménykim'!$B101,'Eredeti fejléccel'!$BM:$BM)</f>
        <v>-29207</v>
      </c>
      <c r="DF101" s="6">
        <f t="shared" si="128"/>
        <v>0</v>
      </c>
      <c r="DG101" s="8">
        <f t="shared" si="117"/>
        <v>0</v>
      </c>
      <c r="DH101" s="8">
        <f t="shared" si="129"/>
        <v>-29207</v>
      </c>
      <c r="DJ101" s="6">
        <f>SUMIF('Eredeti fejléccel'!$B:$B,'Felosztás eredménykim'!$B101,'Eredeti fejléccel'!$BN:$BN)</f>
        <v>21273</v>
      </c>
      <c r="DK101" s="6">
        <f>SUMIF('Eredeti fejléccel'!$B:$B,'Felosztás eredménykim'!$B101,'Eredeti fejléccel'!$BZ:$BZ)</f>
        <v>0</v>
      </c>
      <c r="DL101" s="8">
        <f t="shared" si="130"/>
        <v>21273</v>
      </c>
      <c r="DM101" s="6">
        <f>SUMIF('Eredeti fejléccel'!$B:$B,'Felosztás eredménykim'!$B101,'Eredeti fejléccel'!$BR:$BR)</f>
        <v>0</v>
      </c>
      <c r="DN101" s="6">
        <f>SUMIF('Eredeti fejléccel'!$B:$B,'Felosztás eredménykim'!$B101,'Eredeti fejléccel'!$BS:$BS)</f>
        <v>0</v>
      </c>
      <c r="DO101" s="6">
        <f>SUMIF('Eredeti fejléccel'!$B:$B,'Felosztás eredménykim'!$B101,'Eredeti fejléccel'!$BO:$BO)</f>
        <v>0</v>
      </c>
      <c r="DP101" s="6">
        <f>SUMIF('Eredeti fejléccel'!$B:$B,'Felosztás eredménykim'!$B101,'Eredeti fejléccel'!$BP:$BP)</f>
        <v>0</v>
      </c>
      <c r="DQ101" s="6">
        <f>SUMIF('Eredeti fejléccel'!$B:$B,'Felosztás eredménykim'!$B101,'Eredeti fejléccel'!$BQ:$BQ)</f>
        <v>0</v>
      </c>
      <c r="DS101" s="8"/>
      <c r="DU101" s="6">
        <f>SUMIF('Eredeti fejléccel'!$B:$B,'Felosztás eredménykim'!$B101,'Eredeti fejléccel'!$BT:$BT)</f>
        <v>0</v>
      </c>
      <c r="DV101" s="6">
        <f>SUMIF('Eredeti fejléccel'!$B:$B,'Felosztás eredménykim'!$B101,'Eredeti fejléccel'!$BU:$BU)</f>
        <v>0</v>
      </c>
      <c r="DW101" s="6">
        <f>SUMIF('Eredeti fejléccel'!$B:$B,'Felosztás eredménykim'!$B101,'Eredeti fejléccel'!$BV:$BV)</f>
        <v>0</v>
      </c>
      <c r="DX101" s="6">
        <f>SUMIF('Eredeti fejléccel'!$B:$B,'Felosztás eredménykim'!$B101,'Eredeti fejléccel'!$BW:$BW)</f>
        <v>0</v>
      </c>
      <c r="DY101" s="6">
        <f>SUMIF('Eredeti fejléccel'!$B:$B,'Felosztás eredménykim'!$B101,'Eredeti fejléccel'!$BX:$BX)</f>
        <v>0</v>
      </c>
      <c r="EA101" s="6"/>
      <c r="EC101" s="6"/>
      <c r="EE101" s="6">
        <f>SUMIF('Eredeti fejléccel'!$B:$B,'Felosztás eredménykim'!$B101,'Eredeti fejléccel'!$CA:$CA)</f>
        <v>0</v>
      </c>
      <c r="EF101" s="6">
        <f>SUMIF('Eredeti fejléccel'!$B:$B,'Felosztás eredménykim'!$B101,'Eredeti fejléccel'!$CB:$CB)</f>
        <v>0</v>
      </c>
      <c r="EG101" s="6">
        <f>SUMIF('Eredeti fejléccel'!$B:$B,'Felosztás eredménykim'!$B101,'Eredeti fejléccel'!$CC:$CC)</f>
        <v>0</v>
      </c>
      <c r="EH101" s="6">
        <f>SUMIF('Eredeti fejléccel'!$B:$B,'Felosztás eredménykim'!$B101,'Eredeti fejléccel'!$CD:$CD)</f>
        <v>0</v>
      </c>
      <c r="EK101" s="6">
        <f>SUMIF('Eredeti fejléccel'!$B:$B,'Felosztás eredménykim'!$B101,'Eredeti fejléccel'!$CE:$CE)</f>
        <v>0</v>
      </c>
      <c r="EN101" s="6">
        <f>SUMIF('Eredeti fejléccel'!$B:$B,'Felosztás eredménykim'!$B101,'Eredeti fejléccel'!$CF:$CF)</f>
        <v>0</v>
      </c>
      <c r="EP101" s="6">
        <f>SUMIF('Eredeti fejléccel'!$B:$B,'Felosztás eredménykim'!$B101,'Eredeti fejléccel'!$CG:$CG)</f>
        <v>0</v>
      </c>
      <c r="ES101" s="6">
        <f>SUMIF('Eredeti fejléccel'!$B:$B,'Felosztás eredménykim'!$B101,'Eredeti fejléccel'!$CH:$CH)</f>
        <v>0</v>
      </c>
      <c r="ET101" s="6">
        <f>SUMIF('Eredeti fejléccel'!$B:$B,'Felosztás eredménykim'!$B101,'Eredeti fejléccel'!$CI:$CI)</f>
        <v>0</v>
      </c>
      <c r="EW101" s="8">
        <f t="shared" si="118"/>
        <v>0</v>
      </c>
      <c r="EX101" s="8">
        <f t="shared" si="78"/>
        <v>0</v>
      </c>
      <c r="EY101" s="8">
        <f t="shared" si="119"/>
        <v>-29207</v>
      </c>
      <c r="EZ101" s="8">
        <f t="shared" si="120"/>
        <v>-7934</v>
      </c>
      <c r="FA101" s="8">
        <f t="shared" si="121"/>
        <v>-29207</v>
      </c>
      <c r="FC101" s="6">
        <f>SUMIF('Eredeti fejléccel'!$B:$B,'Felosztás eredménykim'!$B101,'Eredeti fejléccel'!$L:$L)</f>
        <v>0</v>
      </c>
      <c r="FD101" s="6">
        <f>SUMIF('Eredeti fejléccel'!$B:$B,'Felosztás eredménykim'!$B101,'Eredeti fejléccel'!$CJ:$CJ)</f>
        <v>0</v>
      </c>
      <c r="FE101" s="6">
        <f>SUMIF('Eredeti fejléccel'!$B:$B,'Felosztás eredménykim'!$B101,'Eredeti fejléccel'!$CL:$CL)</f>
        <v>0</v>
      </c>
      <c r="FG101" s="99">
        <f t="shared" si="79"/>
        <v>0</v>
      </c>
      <c r="FH101" s="6">
        <f>SUMIF('Eredeti fejléccel'!$B:$B,'Felosztás eredménykim'!$B101,'Eredeti fejléccel'!$CK:$CK)</f>
        <v>0</v>
      </c>
      <c r="FI101" s="36">
        <f t="shared" si="103"/>
        <v>0</v>
      </c>
      <c r="FJ101" s="101">
        <f t="shared" si="104"/>
        <v>0</v>
      </c>
      <c r="FK101" s="6">
        <f>SUMIF('Eredeti fejléccel'!$B:$B,'Felosztás eredménykim'!$B101,'Eredeti fejléccel'!$CM:$CM)</f>
        <v>0</v>
      </c>
      <c r="FL101" s="6">
        <f>SUMIF('Eredeti fejléccel'!$B:$B,'Felosztás eredménykim'!$B101,'Eredeti fejléccel'!$CN:$CN)</f>
        <v>0</v>
      </c>
      <c r="FM101" s="8">
        <f t="shared" si="80"/>
        <v>0</v>
      </c>
      <c r="FN101" s="36">
        <f t="shared" si="105"/>
        <v>0</v>
      </c>
      <c r="FO101" s="101">
        <f t="shared" si="106"/>
        <v>0</v>
      </c>
      <c r="FP101" s="6">
        <f>SUMIF('Eredeti fejléccel'!$B:$B,'Felosztás eredménykim'!$B101,'Eredeti fejléccel'!$CO:$CO)</f>
        <v>-27749</v>
      </c>
      <c r="FQ101" s="6">
        <f>'Eredeti fejléccel'!CP101</f>
        <v>-12273</v>
      </c>
      <c r="FR101" s="6">
        <f>'Eredeti fejléccel'!CQ101</f>
        <v>0</v>
      </c>
      <c r="FS101" s="103">
        <f t="shared" si="122"/>
        <v>-40022</v>
      </c>
      <c r="FT101" s="36">
        <f t="shared" si="107"/>
        <v>0</v>
      </c>
      <c r="FU101" s="101">
        <f t="shared" si="108"/>
        <v>0</v>
      </c>
      <c r="FV101" s="101"/>
      <c r="FW101" s="6">
        <f>SUMIF('Eredeti fejléccel'!$B:$B,'Felosztás eredménykim'!$B101,'Eredeti fejléccel'!$CR:$CR)</f>
        <v>-154114</v>
      </c>
      <c r="FX101" s="6">
        <f>SUMIF('Eredeti fejléccel'!$B:$B,'Felosztás eredménykim'!$B101,'Eredeti fejléccel'!$CS:$CS)</f>
        <v>-64565</v>
      </c>
      <c r="FY101" s="6">
        <f>SUMIF('Eredeti fejléccel'!$B:$B,'Felosztás eredménykim'!$B101,'Eredeti fejléccel'!$CT:$CT)</f>
        <v>-55217</v>
      </c>
      <c r="FZ101" s="6">
        <f>SUMIF('Eredeti fejléccel'!$B:$B,'Felosztás eredménykim'!$B101,'Eredeti fejléccel'!$CU:$CU)</f>
        <v>0</v>
      </c>
      <c r="GA101" s="103">
        <f t="shared" si="81"/>
        <v>-273896</v>
      </c>
      <c r="GB101" s="36">
        <f t="shared" si="109"/>
        <v>0</v>
      </c>
      <c r="GC101" s="101">
        <f t="shared" si="110"/>
        <v>0</v>
      </c>
      <c r="GD101" s="6">
        <f>SUMIF('Eredeti fejléccel'!$B:$B,'Felosztás eredménykim'!$B101,'Eredeti fejléccel'!$CV:$CV)</f>
        <v>0</v>
      </c>
      <c r="GE101" s="6">
        <f>SUMIF('Eredeti fejléccel'!$B:$B,'Felosztás eredménykim'!$B101,'Eredeti fejléccel'!$CW:$CW)</f>
        <v>0</v>
      </c>
      <c r="GF101" s="103">
        <f t="shared" si="82"/>
        <v>0</v>
      </c>
      <c r="GG101" s="36">
        <f t="shared" si="111"/>
        <v>0</v>
      </c>
      <c r="GM101" s="6">
        <f>SUMIF('Eredeti fejléccel'!$B:$B,'Felosztás eredménykim'!$B101,'Eredeti fejléccel'!$CX:$CX)</f>
        <v>0</v>
      </c>
      <c r="GN101" s="6">
        <f>SUMIF('Eredeti fejléccel'!$B:$B,'Felosztás eredménykim'!$B101,'Eredeti fejléccel'!$CY:$CY)</f>
        <v>0</v>
      </c>
      <c r="GO101" s="6">
        <f>SUMIF('Eredeti fejléccel'!$B:$B,'Felosztás eredménykim'!$B101,'Eredeti fejléccel'!$CZ:$CZ)</f>
        <v>0</v>
      </c>
      <c r="GP101" s="6">
        <f>SUMIF('Eredeti fejléccel'!$B:$B,'Felosztás eredménykim'!$B101,'Eredeti fejléccel'!$DA:$DA)</f>
        <v>0</v>
      </c>
      <c r="GQ101" s="6">
        <f>SUMIF('Eredeti fejléccel'!$B:$B,'Felosztás eredménykim'!$B101,'Eredeti fejléccel'!$DB:$DB)</f>
        <v>0</v>
      </c>
      <c r="GR101" s="103">
        <f t="shared" si="83"/>
        <v>0</v>
      </c>
      <c r="GW101" s="36">
        <f t="shared" si="112"/>
        <v>0</v>
      </c>
      <c r="GX101" s="6">
        <f>SUMIF('Eredeti fejléccel'!$B:$B,'Felosztás eredménykim'!$B101,'Eredeti fejléccel'!$M:$M)</f>
        <v>0</v>
      </c>
      <c r="GY101" s="6">
        <f>SUMIF('Eredeti fejléccel'!$B:$B,'Felosztás eredménykim'!$B101,'Eredeti fejléccel'!$DC:$DC)</f>
        <v>0</v>
      </c>
      <c r="GZ101" s="6">
        <f>SUMIF('Eredeti fejléccel'!$B:$B,'Felosztás eredménykim'!$B101,'Eredeti fejléccel'!$DD:$DD)</f>
        <v>0</v>
      </c>
      <c r="HA101" s="6">
        <f>SUMIF('Eredeti fejléccel'!$B:$B,'Felosztás eredménykim'!$B101,'Eredeti fejléccel'!$DE:$DE)</f>
        <v>-46957</v>
      </c>
      <c r="HB101" s="103">
        <f t="shared" si="84"/>
        <v>-46957</v>
      </c>
      <c r="HD101" s="9">
        <f t="shared" si="137"/>
        <v>-648365</v>
      </c>
      <c r="HE101" s="9">
        <v>-648365</v>
      </c>
      <c r="HF101" s="476"/>
      <c r="HH101" s="34">
        <f t="shared" si="85"/>
        <v>0</v>
      </c>
    </row>
    <row r="102" spans="1:232" x14ac:dyDescent="0.25">
      <c r="A102" s="4" t="s">
        <v>766</v>
      </c>
      <c r="B102" s="4" t="s">
        <v>766</v>
      </c>
      <c r="C102" s="1" t="s">
        <v>767</v>
      </c>
      <c r="D102" s="6">
        <f>SUMIF('Eredeti fejléccel'!$B:$B,'Felosztás eredménykim'!$B102,'Eredeti fejléccel'!$D:$D)</f>
        <v>0</v>
      </c>
      <c r="E102" s="6">
        <f>SUMIF('Eredeti fejléccel'!$B:$B,'Felosztás eredménykim'!$B102,'Eredeti fejléccel'!$E:$E)</f>
        <v>0</v>
      </c>
      <c r="F102" s="6">
        <f>SUMIF('Eredeti fejléccel'!$B:$B,'Felosztás eredménykim'!$B102,'Eredeti fejléccel'!$F:$F)</f>
        <v>0</v>
      </c>
      <c r="G102" s="6">
        <f>SUMIF('Eredeti fejléccel'!$B:$B,'Felosztás eredménykim'!$B102,'Eredeti fejléccel'!$G:$G)</f>
        <v>0</v>
      </c>
      <c r="H102" s="6"/>
      <c r="I102" s="6">
        <f>SUMIF('Eredeti fejléccel'!$B:$B,'Felosztás eredménykim'!$B102,'Eredeti fejléccel'!$O:$O)</f>
        <v>0</v>
      </c>
      <c r="J102" s="6">
        <f>SUMIF('Eredeti fejléccel'!$B:$B,'Felosztás eredménykim'!$B102,'Eredeti fejléccel'!$P:$P)</f>
        <v>0</v>
      </c>
      <c r="K102" s="6">
        <f>SUMIF('Eredeti fejléccel'!$B:$B,'Felosztás eredménykim'!$B102,'Eredeti fejléccel'!$Q:$Q)</f>
        <v>0</v>
      </c>
      <c r="L102" s="6">
        <f>SUMIF('Eredeti fejléccel'!$B:$B,'Felosztás eredménykim'!$B102,'Eredeti fejléccel'!$R:$R)</f>
        <v>0</v>
      </c>
      <c r="M102" s="6">
        <f>SUMIF('Eredeti fejléccel'!$B:$B,'Felosztás eredménykim'!$B102,'Eredeti fejléccel'!$T:$T)</f>
        <v>0</v>
      </c>
      <c r="N102" s="6">
        <f>SUMIF('Eredeti fejléccel'!$B:$B,'Felosztás eredménykim'!$B102,'Eredeti fejléccel'!$U:$U)</f>
        <v>0</v>
      </c>
      <c r="O102" s="6">
        <f>SUMIF('Eredeti fejléccel'!$B:$B,'Felosztás eredménykim'!$B102,'Eredeti fejléccel'!$V:$V)</f>
        <v>0</v>
      </c>
      <c r="P102" s="6">
        <f>SUMIF('Eredeti fejléccel'!$B:$B,'Felosztás eredménykim'!$B102,'Eredeti fejléccel'!$W:$W)</f>
        <v>0</v>
      </c>
      <c r="Q102" s="6">
        <f>SUMIF('Eredeti fejléccel'!$B:$B,'Felosztás eredménykim'!$B102,'Eredeti fejléccel'!$X:$X)</f>
        <v>0</v>
      </c>
      <c r="R102" s="6">
        <f>SUMIF('Eredeti fejléccel'!$B:$B,'Felosztás eredménykim'!$B102,'Eredeti fejléccel'!$Y:$Y)</f>
        <v>0</v>
      </c>
      <c r="S102" s="6">
        <f>SUMIF('Eredeti fejléccel'!$B:$B,'Felosztás eredménykim'!$B102,'Eredeti fejléccel'!$Z:$Z)</f>
        <v>0</v>
      </c>
      <c r="T102" s="6">
        <f>SUMIF('Eredeti fejléccel'!$B:$B,'Felosztás eredménykim'!$B102,'Eredeti fejléccel'!$AA:$AA)</f>
        <v>0</v>
      </c>
      <c r="U102" s="6">
        <f>SUMIF('Eredeti fejléccel'!$B:$B,'Felosztás eredménykim'!$B102,'Eredeti fejléccel'!$D:$D)</f>
        <v>0</v>
      </c>
      <c r="V102" s="6">
        <f>SUMIF('Eredeti fejléccel'!$B:$B,'Felosztás eredménykim'!$B102,'Eredeti fejléccel'!$AT:$AT)</f>
        <v>0</v>
      </c>
      <c r="X102" s="36">
        <f t="shared" si="86"/>
        <v>0</v>
      </c>
      <c r="Z102" s="6">
        <f>SUMIF('Eredeti fejléccel'!$B:$B,'Felosztás eredménykim'!$B102,'Eredeti fejléccel'!$K:$K)</f>
        <v>0</v>
      </c>
      <c r="AB102" s="6">
        <f>SUMIF('Eredeti fejléccel'!$B:$B,'Felosztás eredménykim'!$B102,'Eredeti fejléccel'!$AB:$AB)</f>
        <v>0</v>
      </c>
      <c r="AC102" s="6">
        <f>SUMIF('Eredeti fejléccel'!$B:$B,'Felosztás eredménykim'!$B102,'Eredeti fejléccel'!$AQ:$AQ)</f>
        <v>0</v>
      </c>
      <c r="AE102" s="73">
        <f t="shared" si="131"/>
        <v>0</v>
      </c>
      <c r="AF102" s="36">
        <f t="shared" ref="AF102:AF133" si="138">$X102/$HD$290*(AG$290+AG$291)</f>
        <v>0</v>
      </c>
      <c r="AG102" s="8">
        <f t="shared" si="88"/>
        <v>0</v>
      </c>
      <c r="AI102" s="6">
        <f>SUMIF('Eredeti fejléccel'!$B:$B,'Felosztás eredménykim'!$B102,'Eredeti fejléccel'!$BB:$BB)</f>
        <v>0</v>
      </c>
      <c r="AJ102" s="6">
        <f>SUMIF('Eredeti fejléccel'!$B:$B,'Felosztás eredménykim'!$B102,'Eredeti fejléccel'!$AF:$AF)</f>
        <v>0</v>
      </c>
      <c r="AK102" s="8">
        <f t="shared" si="73"/>
        <v>0</v>
      </c>
      <c r="AL102" s="36">
        <f t="shared" ref="AL102:AL133" si="139">$X102/$HD$290*(AM$290+AM$291)</f>
        <v>0</v>
      </c>
      <c r="AM102" s="8">
        <f t="shared" si="90"/>
        <v>0</v>
      </c>
      <c r="AN102" s="6">
        <f t="shared" si="123"/>
        <v>0</v>
      </c>
      <c r="AO102" s="6">
        <f>SUMIF('Eredeti fejléccel'!$B:$B,'Felosztás eredménykim'!$B102,'Eredeti fejléccel'!$AC:$AC)</f>
        <v>0</v>
      </c>
      <c r="AP102" s="6">
        <f>SUMIF('Eredeti fejléccel'!$B:$B,'Felosztás eredménykim'!$B102,'Eredeti fejléccel'!$AD:$AD)</f>
        <v>0</v>
      </c>
      <c r="AQ102" s="6">
        <f>SUMIF('Eredeti fejléccel'!$B:$B,'Felosztás eredménykim'!$B102,'Eredeti fejléccel'!$AE:$AE)</f>
        <v>0</v>
      </c>
      <c r="AR102" s="6">
        <f>SUMIF('Eredeti fejléccel'!$B:$B,'Felosztás eredménykim'!$B102,'Eredeti fejléccel'!$AG:$AG)</f>
        <v>0</v>
      </c>
      <c r="AS102" s="6">
        <f t="shared" si="124"/>
        <v>0</v>
      </c>
      <c r="AT102" s="36">
        <f t="shared" ref="AT102:AT133" si="140">$X102/$HD$290*(AU$290+AU$291)</f>
        <v>0</v>
      </c>
      <c r="AU102" s="8">
        <f t="shared" si="92"/>
        <v>0</v>
      </c>
      <c r="AV102" s="6">
        <f>SUMIF('Eredeti fejléccel'!$B:$B,'Felosztás eredménykim'!$B102,'Eredeti fejléccel'!$AI:$AI)</f>
        <v>0</v>
      </c>
      <c r="AW102" s="6">
        <f>SUMIF('Eredeti fejléccel'!$B:$B,'Felosztás eredménykim'!$B102,'Eredeti fejléccel'!$AJ:$AJ)</f>
        <v>0</v>
      </c>
      <c r="AX102" s="6">
        <f>SUMIF('Eredeti fejléccel'!$B:$B,'Felosztás eredménykim'!$B102,'Eredeti fejléccel'!$AK:$AK)</f>
        <v>0</v>
      </c>
      <c r="AY102" s="6">
        <f>SUMIF('Eredeti fejléccel'!$B:$B,'Felosztás eredménykim'!$B102,'Eredeti fejléccel'!$AL:$AL)</f>
        <v>0</v>
      </c>
      <c r="AZ102" s="6">
        <f>SUMIF('Eredeti fejléccel'!$B:$B,'Felosztás eredménykim'!$B102,'Eredeti fejléccel'!$AM:$AM)</f>
        <v>0</v>
      </c>
      <c r="BA102" s="6">
        <f>SUMIF('Eredeti fejléccel'!$B:$B,'Felosztás eredménykim'!$B102,'Eredeti fejléccel'!$AN:$AN)</f>
        <v>0</v>
      </c>
      <c r="BB102" s="6">
        <f>SUMIF('Eredeti fejléccel'!$B:$B,'Felosztás eredménykim'!$B102,'Eredeti fejléccel'!$AP:$AP)</f>
        <v>0</v>
      </c>
      <c r="BD102" s="6">
        <f>SUMIF('Eredeti fejléccel'!$B:$B,'Felosztás eredménykim'!$B102,'Eredeti fejléccel'!$AS:$AS)</f>
        <v>0</v>
      </c>
      <c r="BE102" s="8">
        <f t="shared" si="74"/>
        <v>0</v>
      </c>
      <c r="BF102" s="36">
        <f t="shared" ref="BF102:BF133" si="141">$X102/$HD$290*(BG$290+BG$291)</f>
        <v>0</v>
      </c>
      <c r="BG102" s="8">
        <f t="shared" si="94"/>
        <v>0</v>
      </c>
      <c r="BH102" s="6">
        <f t="shared" si="125"/>
        <v>0</v>
      </c>
      <c r="BI102" s="6">
        <f>SUMIF('Eredeti fejléccel'!$B:$B,'Felosztás eredménykim'!$B102,'Eredeti fejléccel'!$AH:$AH)</f>
        <v>0</v>
      </c>
      <c r="BJ102" s="6">
        <f>SUMIF('Eredeti fejléccel'!$B:$B,'Felosztás eredménykim'!$B102,'Eredeti fejléccel'!$AO:$AO)</f>
        <v>0</v>
      </c>
      <c r="BK102" s="6">
        <f>SUMIF('Eredeti fejléccel'!$B:$B,'Felosztás eredménykim'!$B102,'Eredeti fejléccel'!$BF:$BF)</f>
        <v>0</v>
      </c>
      <c r="BL102" s="8">
        <f t="shared" si="126"/>
        <v>0</v>
      </c>
      <c r="BM102" s="36">
        <f t="shared" ref="BM102:BM133" si="142">$X102/$HD$290*(BN$290+BN$291)</f>
        <v>0</v>
      </c>
      <c r="BN102" s="8">
        <f t="shared" si="96"/>
        <v>0</v>
      </c>
      <c r="BP102" s="8">
        <f t="shared" si="127"/>
        <v>0</v>
      </c>
      <c r="BQ102" s="6">
        <f>SUMIF('Eredeti fejléccel'!$B:$B,'Felosztás eredménykim'!$B102,'Eredeti fejléccel'!$N:$N)</f>
        <v>0</v>
      </c>
      <c r="BR102" s="6">
        <f>SUMIF('Eredeti fejléccel'!$B:$B,'Felosztás eredménykim'!$B102,'Eredeti fejléccel'!$S:$S)</f>
        <v>0</v>
      </c>
      <c r="BT102" s="6">
        <f>SUMIF('Eredeti fejléccel'!$B:$B,'Felosztás eredménykim'!$B102,'Eredeti fejléccel'!$AR:$AR)</f>
        <v>0</v>
      </c>
      <c r="BU102" s="6">
        <f>SUMIF('Eredeti fejléccel'!$B:$B,'Felosztás eredménykim'!$B102,'Eredeti fejléccel'!$AU:$AU)</f>
        <v>0</v>
      </c>
      <c r="BV102" s="6">
        <f>SUMIF('Eredeti fejléccel'!$B:$B,'Felosztás eredménykim'!$B102,'Eredeti fejléccel'!$AV:$AV)</f>
        <v>0</v>
      </c>
      <c r="BW102" s="6">
        <f>SUMIF('Eredeti fejléccel'!$B:$B,'Felosztás eredménykim'!$B102,'Eredeti fejléccel'!$AW:$AW)</f>
        <v>0</v>
      </c>
      <c r="BX102" s="6">
        <f>SUMIF('Eredeti fejléccel'!$B:$B,'Felosztás eredménykim'!$B102,'Eredeti fejléccel'!$AX:$AX)</f>
        <v>0</v>
      </c>
      <c r="BY102" s="6">
        <f>SUMIF('Eredeti fejléccel'!$B:$B,'Felosztás eredménykim'!$B102,'Eredeti fejléccel'!$AY:$AY)</f>
        <v>0</v>
      </c>
      <c r="BZ102" s="6">
        <f>SUMIF('Eredeti fejléccel'!$B:$B,'Felosztás eredménykim'!$B102,'Eredeti fejléccel'!$AZ:$AZ)</f>
        <v>0</v>
      </c>
      <c r="CA102" s="6">
        <f>SUMIF('Eredeti fejléccel'!$B:$B,'Felosztás eredménykim'!$B102,'Eredeti fejléccel'!$BA:$BA)</f>
        <v>0</v>
      </c>
      <c r="CB102" s="6">
        <f t="shared" si="114"/>
        <v>0</v>
      </c>
      <c r="CC102" s="36">
        <f t="shared" ref="CC102:CC133" si="143">$X102/$HD$290*(CD$290+CD$291)</f>
        <v>0</v>
      </c>
      <c r="CD102" s="8">
        <f t="shared" si="98"/>
        <v>0</v>
      </c>
      <c r="CE102" s="6">
        <f>SUMIF('Eredeti fejléccel'!$B:$B,'Felosztás eredménykim'!$B102,'Eredeti fejléccel'!$BC:$BC)</f>
        <v>0</v>
      </c>
      <c r="CF102" s="8">
        <f t="shared" si="135"/>
        <v>0</v>
      </c>
      <c r="CG102" s="6">
        <f>SUMIF('Eredeti fejléccel'!$B:$B,'Felosztás eredménykim'!$B102,'Eredeti fejléccel'!$H:$H)</f>
        <v>0</v>
      </c>
      <c r="CH102" s="6">
        <f>SUMIF('Eredeti fejléccel'!$B:$B,'Felosztás eredménykim'!$B102,'Eredeti fejléccel'!$BE:$BE)</f>
        <v>0</v>
      </c>
      <c r="CI102" s="6">
        <f t="shared" si="75"/>
        <v>0</v>
      </c>
      <c r="CJ102" s="36">
        <f t="shared" ref="CJ102:CJ133" si="144">$X102/$HD$290*(CK$290+CK$291)</f>
        <v>0</v>
      </c>
      <c r="CK102" s="8">
        <f t="shared" si="100"/>
        <v>0</v>
      </c>
      <c r="CL102" s="8">
        <f t="shared" si="136"/>
        <v>0</v>
      </c>
      <c r="CM102" s="6">
        <f>SUMIF('Eredeti fejléccel'!$B:$B,'Felosztás eredménykim'!$B102,'Eredeti fejléccel'!$BD:$BD)</f>
        <v>0</v>
      </c>
      <c r="CN102" s="8">
        <f t="shared" si="76"/>
        <v>0</v>
      </c>
      <c r="CO102" s="8">
        <f t="shared" si="115"/>
        <v>0</v>
      </c>
      <c r="CR102" s="36">
        <f t="shared" si="101"/>
        <v>0</v>
      </c>
      <c r="CS102" s="6">
        <f>SUMIF('Eredeti fejléccel'!$B:$B,'Felosztás eredménykim'!$B102,'Eredeti fejléccel'!$I:$I)</f>
        <v>0</v>
      </c>
      <c r="CT102" s="6">
        <f>SUMIF('Eredeti fejléccel'!$B:$B,'Felosztás eredménykim'!$B102,'Eredeti fejléccel'!$BG:$BG)</f>
        <v>0</v>
      </c>
      <c r="CU102" s="6">
        <f>SUMIF('Eredeti fejléccel'!$B:$B,'Felosztás eredménykim'!$B102,'Eredeti fejléccel'!$BH:$BH)</f>
        <v>1085600</v>
      </c>
      <c r="CV102" s="6">
        <f>SUMIF('Eredeti fejléccel'!$B:$B,'Felosztás eredménykim'!$B102,'Eredeti fejléccel'!$BI:$BI)</f>
        <v>0</v>
      </c>
      <c r="CW102" s="6">
        <f>SUMIF('Eredeti fejléccel'!$B:$B,'Felosztás eredménykim'!$B102,'Eredeti fejléccel'!$BL:$BL)</f>
        <v>0</v>
      </c>
      <c r="CX102" s="6">
        <f t="shared" si="77"/>
        <v>1085600</v>
      </c>
      <c r="CY102" s="6">
        <f>SUMIF('Eredeti fejléccel'!$B:$B,'Felosztás eredménykim'!$B102,'Eredeti fejléccel'!$BJ:$BJ)</f>
        <v>0</v>
      </c>
      <c r="CZ102" s="6">
        <f>SUMIF('Eredeti fejléccel'!$B:$B,'Felosztás eredménykim'!$B102,'Eredeti fejléccel'!$BK:$BK)</f>
        <v>0</v>
      </c>
      <c r="DA102" s="99">
        <f t="shared" si="116"/>
        <v>1085600</v>
      </c>
      <c r="DC102" s="36">
        <f t="shared" si="102"/>
        <v>0</v>
      </c>
      <c r="DD102" s="6">
        <f>SUMIF('Eredeti fejléccel'!$B:$B,'Felosztás eredménykim'!$B102,'Eredeti fejléccel'!$J:$J)</f>
        <v>0</v>
      </c>
      <c r="DE102" s="6">
        <f>SUMIF('Eredeti fejléccel'!$B:$B,'Felosztás eredménykim'!$B102,'Eredeti fejléccel'!$BM:$BM)</f>
        <v>0</v>
      </c>
      <c r="DF102" s="6">
        <f t="shared" si="128"/>
        <v>0</v>
      </c>
      <c r="DG102" s="8">
        <f t="shared" si="117"/>
        <v>0</v>
      </c>
      <c r="DH102" s="8">
        <f t="shared" si="129"/>
        <v>0</v>
      </c>
      <c r="DJ102" s="6">
        <f>SUMIF('Eredeti fejléccel'!$B:$B,'Felosztás eredménykim'!$B102,'Eredeti fejléccel'!$BN:$BN)</f>
        <v>0</v>
      </c>
      <c r="DK102" s="6">
        <f>SUMIF('Eredeti fejléccel'!$B:$B,'Felosztás eredménykim'!$B102,'Eredeti fejléccel'!$BZ:$BZ)</f>
        <v>0</v>
      </c>
      <c r="DL102" s="8">
        <f t="shared" si="130"/>
        <v>0</v>
      </c>
      <c r="DM102" s="6">
        <f>SUMIF('Eredeti fejléccel'!$B:$B,'Felosztás eredménykim'!$B102,'Eredeti fejléccel'!$BR:$BR)</f>
        <v>0</v>
      </c>
      <c r="DN102" s="6">
        <f>SUMIF('Eredeti fejléccel'!$B:$B,'Felosztás eredménykim'!$B102,'Eredeti fejléccel'!$BS:$BS)</f>
        <v>0</v>
      </c>
      <c r="DO102" s="6">
        <f>SUMIF('Eredeti fejléccel'!$B:$B,'Felosztás eredménykim'!$B102,'Eredeti fejléccel'!$BO:$BO)</f>
        <v>0</v>
      </c>
      <c r="DP102" s="6">
        <f>SUMIF('Eredeti fejléccel'!$B:$B,'Felosztás eredménykim'!$B102,'Eredeti fejléccel'!$BP:$BP)</f>
        <v>0</v>
      </c>
      <c r="DQ102" s="6">
        <f>SUMIF('Eredeti fejléccel'!$B:$B,'Felosztás eredménykim'!$B102,'Eredeti fejléccel'!$BQ:$BQ)</f>
        <v>0</v>
      </c>
      <c r="DS102" s="8"/>
      <c r="DU102" s="6">
        <f>SUMIF('Eredeti fejléccel'!$B:$B,'Felosztás eredménykim'!$B102,'Eredeti fejléccel'!$BT:$BT)</f>
        <v>0</v>
      </c>
      <c r="DV102" s="6">
        <f>SUMIF('Eredeti fejléccel'!$B:$B,'Felosztás eredménykim'!$B102,'Eredeti fejléccel'!$BU:$BU)</f>
        <v>0</v>
      </c>
      <c r="DW102" s="6">
        <f>SUMIF('Eredeti fejléccel'!$B:$B,'Felosztás eredménykim'!$B102,'Eredeti fejléccel'!$BV:$BV)</f>
        <v>0</v>
      </c>
      <c r="DX102" s="6">
        <f>SUMIF('Eredeti fejléccel'!$B:$B,'Felosztás eredménykim'!$B102,'Eredeti fejléccel'!$BW:$BW)</f>
        <v>0</v>
      </c>
      <c r="DY102" s="6">
        <f>SUMIF('Eredeti fejléccel'!$B:$B,'Felosztás eredménykim'!$B102,'Eredeti fejléccel'!$BX:$BX)</f>
        <v>0</v>
      </c>
      <c r="EA102" s="6"/>
      <c r="EC102" s="6"/>
      <c r="EE102" s="6">
        <f>SUMIF('Eredeti fejléccel'!$B:$B,'Felosztás eredménykim'!$B102,'Eredeti fejléccel'!$CA:$CA)</f>
        <v>0</v>
      </c>
      <c r="EF102" s="6">
        <f>SUMIF('Eredeti fejléccel'!$B:$B,'Felosztás eredménykim'!$B102,'Eredeti fejléccel'!$CB:$CB)</f>
        <v>0</v>
      </c>
      <c r="EG102" s="6">
        <f>SUMIF('Eredeti fejléccel'!$B:$B,'Felosztás eredménykim'!$B102,'Eredeti fejléccel'!$CC:$CC)</f>
        <v>0</v>
      </c>
      <c r="EH102" s="6">
        <f>SUMIF('Eredeti fejléccel'!$B:$B,'Felosztás eredménykim'!$B102,'Eredeti fejléccel'!$CD:$CD)</f>
        <v>0</v>
      </c>
      <c r="EK102" s="6">
        <f>SUMIF('Eredeti fejléccel'!$B:$B,'Felosztás eredménykim'!$B102,'Eredeti fejléccel'!$CE:$CE)</f>
        <v>0</v>
      </c>
      <c r="EN102" s="6">
        <f>SUMIF('Eredeti fejléccel'!$B:$B,'Felosztás eredménykim'!$B102,'Eredeti fejléccel'!$CF:$CF)</f>
        <v>0</v>
      </c>
      <c r="EP102" s="6">
        <f>SUMIF('Eredeti fejléccel'!$B:$B,'Felosztás eredménykim'!$B102,'Eredeti fejléccel'!$CG:$CG)</f>
        <v>0</v>
      </c>
      <c r="ES102" s="6">
        <f>SUMIF('Eredeti fejléccel'!$B:$B,'Felosztás eredménykim'!$B102,'Eredeti fejléccel'!$CH:$CH)</f>
        <v>0</v>
      </c>
      <c r="ET102" s="6">
        <f>SUMIF('Eredeti fejléccel'!$B:$B,'Felosztás eredménykim'!$B102,'Eredeti fejléccel'!$CI:$CI)</f>
        <v>0</v>
      </c>
      <c r="EW102" s="8">
        <f t="shared" si="118"/>
        <v>0</v>
      </c>
      <c r="EX102" s="8">
        <f t="shared" si="78"/>
        <v>0</v>
      </c>
      <c r="EY102" s="8">
        <f t="shared" si="119"/>
        <v>0</v>
      </c>
      <c r="EZ102" s="8">
        <f t="shared" si="120"/>
        <v>0</v>
      </c>
      <c r="FA102" s="8">
        <f t="shared" si="121"/>
        <v>0</v>
      </c>
      <c r="FC102" s="6">
        <f>SUMIF('Eredeti fejléccel'!$B:$B,'Felosztás eredménykim'!$B102,'Eredeti fejléccel'!$L:$L)</f>
        <v>0</v>
      </c>
      <c r="FD102" s="6">
        <f>SUMIF('Eredeti fejléccel'!$B:$B,'Felosztás eredménykim'!$B102,'Eredeti fejléccel'!$CJ:$CJ)</f>
        <v>0</v>
      </c>
      <c r="FE102" s="6">
        <f>SUMIF('Eredeti fejléccel'!$B:$B,'Felosztás eredménykim'!$B102,'Eredeti fejléccel'!$CL:$CL)</f>
        <v>0</v>
      </c>
      <c r="FG102" s="99">
        <f t="shared" si="79"/>
        <v>0</v>
      </c>
      <c r="FH102" s="6">
        <f>SUMIF('Eredeti fejléccel'!$B:$B,'Felosztás eredménykim'!$B102,'Eredeti fejléccel'!$CK:$CK)</f>
        <v>0</v>
      </c>
      <c r="FI102" s="36">
        <f t="shared" ref="FI102:FI133" si="145">$X102/$HD$290*(FJ$290+FJ$293)</f>
        <v>0</v>
      </c>
      <c r="FJ102" s="101">
        <f t="shared" si="104"/>
        <v>0</v>
      </c>
      <c r="FK102" s="6">
        <f>SUMIF('Eredeti fejléccel'!$B:$B,'Felosztás eredménykim'!$B102,'Eredeti fejléccel'!$CM:$CM)</f>
        <v>0</v>
      </c>
      <c r="FL102" s="6">
        <f>SUMIF('Eredeti fejléccel'!$B:$B,'Felosztás eredménykim'!$B102,'Eredeti fejléccel'!$CN:$CN)</f>
        <v>0</v>
      </c>
      <c r="FM102" s="8">
        <f t="shared" si="80"/>
        <v>0</v>
      </c>
      <c r="FN102" s="36">
        <f t="shared" ref="FN102:FN133" si="146">$X102/$HD$290*(FO$290+FO$293)</f>
        <v>0</v>
      </c>
      <c r="FO102" s="101">
        <f t="shared" si="106"/>
        <v>0</v>
      </c>
      <c r="FP102" s="6">
        <f>SUMIF('Eredeti fejléccel'!$B:$B,'Felosztás eredménykim'!$B102,'Eredeti fejléccel'!$CO:$CO)</f>
        <v>0</v>
      </c>
      <c r="FQ102" s="6">
        <f>'Eredeti fejléccel'!CP102</f>
        <v>101200</v>
      </c>
      <c r="FR102" s="6">
        <f>'Eredeti fejléccel'!CQ102</f>
        <v>0</v>
      </c>
      <c r="FS102" s="103">
        <f t="shared" si="122"/>
        <v>101200</v>
      </c>
      <c r="FT102" s="36">
        <f t="shared" ref="FT102:FT133" si="147">$X102/$HD$290*(FU$290+FU$293)</f>
        <v>0</v>
      </c>
      <c r="FU102" s="101">
        <f t="shared" si="108"/>
        <v>0</v>
      </c>
      <c r="FV102" s="101"/>
      <c r="FW102" s="6">
        <f>SUMIF('Eredeti fejléccel'!$B:$B,'Felosztás eredménykim'!$B102,'Eredeti fejléccel'!$CR:$CR)</f>
        <v>24260400</v>
      </c>
      <c r="FX102" s="6">
        <f>SUMIF('Eredeti fejléccel'!$B:$B,'Felosztás eredménykim'!$B102,'Eredeti fejléccel'!$CS:$CS)</f>
        <v>0</v>
      </c>
      <c r="FY102" s="6">
        <f>SUMIF('Eredeti fejléccel'!$B:$B,'Felosztás eredménykim'!$B102,'Eredeti fejléccel'!$CT:$CT)</f>
        <v>0</v>
      </c>
      <c r="FZ102" s="6">
        <f>SUMIF('Eredeti fejléccel'!$B:$B,'Felosztás eredménykim'!$B102,'Eredeti fejléccel'!$CU:$CU)</f>
        <v>0</v>
      </c>
      <c r="GA102" s="103">
        <f t="shared" si="81"/>
        <v>24260400</v>
      </c>
      <c r="GB102" s="36">
        <f t="shared" ref="GB102:GB133" si="148">$X102/$HD$290*(GC$290+GC$293)</f>
        <v>0</v>
      </c>
      <c r="GC102" s="101">
        <f t="shared" si="110"/>
        <v>0</v>
      </c>
      <c r="GD102" s="6">
        <f>SUMIF('Eredeti fejléccel'!$B:$B,'Felosztás eredménykim'!$B102,'Eredeti fejléccel'!$CV:$CV)</f>
        <v>0</v>
      </c>
      <c r="GE102" s="6">
        <f>SUMIF('Eredeti fejléccel'!$B:$B,'Felosztás eredménykim'!$B102,'Eredeti fejléccel'!$CW:$CW)</f>
        <v>0</v>
      </c>
      <c r="GF102" s="103">
        <f t="shared" si="82"/>
        <v>0</v>
      </c>
      <c r="GG102" s="36">
        <f t="shared" si="111"/>
        <v>0</v>
      </c>
      <c r="GM102" s="6">
        <f>SUMIF('Eredeti fejléccel'!$B:$B,'Felosztás eredménykim'!$B102,'Eredeti fejléccel'!$CX:$CX)</f>
        <v>0</v>
      </c>
      <c r="GN102" s="6">
        <f>SUMIF('Eredeti fejléccel'!$B:$B,'Felosztás eredménykim'!$B102,'Eredeti fejléccel'!$CY:$CY)</f>
        <v>0</v>
      </c>
      <c r="GO102" s="6">
        <f>SUMIF('Eredeti fejléccel'!$B:$B,'Felosztás eredménykim'!$B102,'Eredeti fejléccel'!$CZ:$CZ)</f>
        <v>0</v>
      </c>
      <c r="GP102" s="6">
        <f>SUMIF('Eredeti fejléccel'!$B:$B,'Felosztás eredménykim'!$B102,'Eredeti fejléccel'!$DA:$DA)</f>
        <v>0</v>
      </c>
      <c r="GQ102" s="6">
        <f>SUMIF('Eredeti fejléccel'!$B:$B,'Felosztás eredménykim'!$B102,'Eredeti fejléccel'!$DB:$DB)</f>
        <v>0</v>
      </c>
      <c r="GR102" s="103">
        <f t="shared" si="83"/>
        <v>0</v>
      </c>
      <c r="GW102" s="36">
        <f t="shared" si="112"/>
        <v>0</v>
      </c>
      <c r="GX102" s="6">
        <f>SUMIF('Eredeti fejléccel'!$B:$B,'Felosztás eredménykim'!$B102,'Eredeti fejléccel'!$M:$M)</f>
        <v>0</v>
      </c>
      <c r="GY102" s="6">
        <f>SUMIF('Eredeti fejléccel'!$B:$B,'Felosztás eredménykim'!$B102,'Eredeti fejléccel'!$DC:$DC)</f>
        <v>0</v>
      </c>
      <c r="GZ102" s="6">
        <f>SUMIF('Eredeti fejléccel'!$B:$B,'Felosztás eredménykim'!$B102,'Eredeti fejléccel'!$DD:$DD)</f>
        <v>0</v>
      </c>
      <c r="HA102" s="6">
        <f>SUMIF('Eredeti fejléccel'!$B:$B,'Felosztás eredménykim'!$B102,'Eredeti fejléccel'!$DE:$DE)</f>
        <v>607200</v>
      </c>
      <c r="HB102" s="103">
        <f t="shared" si="84"/>
        <v>607200</v>
      </c>
      <c r="HD102" s="9">
        <f t="shared" si="137"/>
        <v>26054400</v>
      </c>
      <c r="HE102" s="9">
        <v>26054400</v>
      </c>
      <c r="HF102" s="476"/>
      <c r="HH102" s="34">
        <f t="shared" si="85"/>
        <v>0</v>
      </c>
    </row>
    <row r="103" spans="1:232" x14ac:dyDescent="0.25">
      <c r="A103" s="4" t="s">
        <v>1589</v>
      </c>
      <c r="B103" s="4" t="s">
        <v>1589</v>
      </c>
      <c r="C103" s="1" t="s">
        <v>1590</v>
      </c>
      <c r="D103" s="6">
        <f>SUMIF('Eredeti fejléccel'!$B:$B,'Felosztás eredménykim'!$B103,'Eredeti fejléccel'!$D:$D)</f>
        <v>0</v>
      </c>
      <c r="E103" s="6">
        <f>SUMIF('Eredeti fejléccel'!$B:$B,'Felosztás eredménykim'!$B103,'Eredeti fejléccel'!$E:$E)</f>
        <v>0</v>
      </c>
      <c r="F103" s="6">
        <f>SUMIF('Eredeti fejléccel'!$B:$B,'Felosztás eredménykim'!$B103,'Eredeti fejléccel'!$F:$F)</f>
        <v>0</v>
      </c>
      <c r="G103" s="6">
        <f>SUMIF('Eredeti fejléccel'!$B:$B,'Felosztás eredménykim'!$B103,'Eredeti fejléccel'!$G:$G)</f>
        <v>0</v>
      </c>
      <c r="H103" s="6"/>
      <c r="I103" s="6">
        <f>SUMIF('Eredeti fejléccel'!$B:$B,'Felosztás eredménykim'!$B103,'Eredeti fejléccel'!$O:$O)</f>
        <v>0</v>
      </c>
      <c r="J103" s="6">
        <f>SUMIF('Eredeti fejléccel'!$B:$B,'Felosztás eredménykim'!$B103,'Eredeti fejléccel'!$P:$P)</f>
        <v>0</v>
      </c>
      <c r="K103" s="6">
        <f>SUMIF('Eredeti fejléccel'!$B:$B,'Felosztás eredménykim'!$B103,'Eredeti fejléccel'!$Q:$Q)</f>
        <v>0</v>
      </c>
      <c r="L103" s="6">
        <f>SUMIF('Eredeti fejléccel'!$B:$B,'Felosztás eredménykim'!$B103,'Eredeti fejléccel'!$R:$R)</f>
        <v>0</v>
      </c>
      <c r="M103" s="6">
        <f>SUMIF('Eredeti fejléccel'!$B:$B,'Felosztás eredménykim'!$B103,'Eredeti fejléccel'!$T:$T)</f>
        <v>0</v>
      </c>
      <c r="N103" s="6">
        <f>SUMIF('Eredeti fejléccel'!$B:$B,'Felosztás eredménykim'!$B103,'Eredeti fejléccel'!$U:$U)</f>
        <v>0</v>
      </c>
      <c r="O103" s="6">
        <f>SUMIF('Eredeti fejléccel'!$B:$B,'Felosztás eredménykim'!$B103,'Eredeti fejléccel'!$V:$V)</f>
        <v>0</v>
      </c>
      <c r="P103" s="6">
        <f>SUMIF('Eredeti fejléccel'!$B:$B,'Felosztás eredménykim'!$B103,'Eredeti fejléccel'!$W:$W)</f>
        <v>0</v>
      </c>
      <c r="Q103" s="6">
        <f>SUMIF('Eredeti fejléccel'!$B:$B,'Felosztás eredménykim'!$B103,'Eredeti fejléccel'!$X:$X)</f>
        <v>0</v>
      </c>
      <c r="R103" s="6">
        <f>SUMIF('Eredeti fejléccel'!$B:$B,'Felosztás eredménykim'!$B103,'Eredeti fejléccel'!$Y:$Y)</f>
        <v>0</v>
      </c>
      <c r="S103" s="6">
        <f>SUMIF('Eredeti fejléccel'!$B:$B,'Felosztás eredménykim'!$B103,'Eredeti fejléccel'!$Z:$Z)</f>
        <v>0</v>
      </c>
      <c r="T103" s="6">
        <f>SUMIF('Eredeti fejléccel'!$B:$B,'Felosztás eredménykim'!$B103,'Eredeti fejléccel'!$AA:$AA)</f>
        <v>0</v>
      </c>
      <c r="U103" s="6">
        <f>SUMIF('Eredeti fejléccel'!$B:$B,'Felosztás eredménykim'!$B103,'Eredeti fejléccel'!$D:$D)</f>
        <v>0</v>
      </c>
      <c r="V103" s="6">
        <f>SUMIF('Eredeti fejléccel'!$B:$B,'Felosztás eredménykim'!$B103,'Eredeti fejléccel'!$AT:$AT)</f>
        <v>0</v>
      </c>
      <c r="X103" s="36">
        <f t="shared" si="86"/>
        <v>0</v>
      </c>
      <c r="Z103" s="6">
        <f>SUMIF('Eredeti fejléccel'!$B:$B,'Felosztás eredménykim'!$B103,'Eredeti fejléccel'!$K:$K)</f>
        <v>0</v>
      </c>
      <c r="AB103" s="6">
        <f>SUMIF('Eredeti fejléccel'!$B:$B,'Felosztás eredménykim'!$B103,'Eredeti fejléccel'!$AB:$AB)</f>
        <v>0</v>
      </c>
      <c r="AC103" s="6">
        <f>SUMIF('Eredeti fejléccel'!$B:$B,'Felosztás eredménykim'!$B103,'Eredeti fejléccel'!$AQ:$AQ)</f>
        <v>0</v>
      </c>
      <c r="AE103" s="73">
        <f t="shared" ref="AE103" si="149">SUM(Z103:AD103)</f>
        <v>0</v>
      </c>
      <c r="AF103" s="36">
        <f t="shared" si="138"/>
        <v>0</v>
      </c>
      <c r="AG103" s="8">
        <f t="shared" si="88"/>
        <v>0</v>
      </c>
      <c r="AI103" s="6">
        <f>SUMIF('Eredeti fejléccel'!$B:$B,'Felosztás eredménykim'!$B103,'Eredeti fejléccel'!$BB:$BB)</f>
        <v>0</v>
      </c>
      <c r="AJ103" s="6">
        <f>SUMIF('Eredeti fejléccel'!$B:$B,'Felosztás eredménykim'!$B103,'Eredeti fejléccel'!$AF:$AF)</f>
        <v>0</v>
      </c>
      <c r="AK103" s="8">
        <f t="shared" ref="AK103" si="150">SUM(AG103:AJ103)</f>
        <v>0</v>
      </c>
      <c r="AL103" s="36">
        <f t="shared" si="139"/>
        <v>0</v>
      </c>
      <c r="AM103" s="8">
        <f t="shared" si="90"/>
        <v>0</v>
      </c>
      <c r="AN103" s="6">
        <f t="shared" ref="AN103" si="151">-AO103/2</f>
        <v>0</v>
      </c>
      <c r="AO103" s="6">
        <f>SUMIF('Eredeti fejléccel'!$B:$B,'Felosztás eredménykim'!$B103,'Eredeti fejléccel'!$AC:$AC)</f>
        <v>0</v>
      </c>
      <c r="AP103" s="6">
        <f>SUMIF('Eredeti fejléccel'!$B:$B,'Felosztás eredménykim'!$B103,'Eredeti fejléccel'!$AD:$AD)</f>
        <v>0</v>
      </c>
      <c r="AQ103" s="6">
        <f>SUMIF('Eredeti fejléccel'!$B:$B,'Felosztás eredménykim'!$B103,'Eredeti fejléccel'!$AE:$AE)</f>
        <v>0</v>
      </c>
      <c r="AR103" s="6">
        <f>SUMIF('Eredeti fejléccel'!$B:$B,'Felosztás eredménykim'!$B103,'Eredeti fejléccel'!$AG:$AG)</f>
        <v>0</v>
      </c>
      <c r="AS103" s="6">
        <f t="shared" ref="AS103" si="152">SUM(AM103:AR103)</f>
        <v>0</v>
      </c>
      <c r="AT103" s="36">
        <f t="shared" si="140"/>
        <v>0</v>
      </c>
      <c r="AU103" s="8">
        <f t="shared" si="92"/>
        <v>0</v>
      </c>
      <c r="AV103" s="6">
        <f>SUMIF('Eredeti fejléccel'!$B:$B,'Felosztás eredménykim'!$B103,'Eredeti fejléccel'!$AI:$AI)</f>
        <v>0</v>
      </c>
      <c r="AW103" s="6">
        <f>SUMIF('Eredeti fejléccel'!$B:$B,'Felosztás eredménykim'!$B103,'Eredeti fejléccel'!$AJ:$AJ)</f>
        <v>0</v>
      </c>
      <c r="AX103" s="6">
        <f>SUMIF('Eredeti fejléccel'!$B:$B,'Felosztás eredménykim'!$B103,'Eredeti fejléccel'!$AK:$AK)</f>
        <v>0</v>
      </c>
      <c r="AY103" s="6">
        <f>SUMIF('Eredeti fejléccel'!$B:$B,'Felosztás eredménykim'!$B103,'Eredeti fejléccel'!$AL:$AL)</f>
        <v>0</v>
      </c>
      <c r="AZ103" s="6">
        <f>SUMIF('Eredeti fejléccel'!$B:$B,'Felosztás eredménykim'!$B103,'Eredeti fejléccel'!$AM:$AM)</f>
        <v>0</v>
      </c>
      <c r="BA103" s="6">
        <f>SUMIF('Eredeti fejléccel'!$B:$B,'Felosztás eredménykim'!$B103,'Eredeti fejléccel'!$AN:$AN)</f>
        <v>0</v>
      </c>
      <c r="BB103" s="6">
        <f>SUMIF('Eredeti fejléccel'!$B:$B,'Felosztás eredménykim'!$B103,'Eredeti fejléccel'!$AP:$AP)</f>
        <v>0</v>
      </c>
      <c r="BD103" s="6">
        <f>SUMIF('Eredeti fejléccel'!$B:$B,'Felosztás eredménykim'!$B103,'Eredeti fejléccel'!$AS:$AS)</f>
        <v>0</v>
      </c>
      <c r="BE103" s="8">
        <f t="shared" ref="BE103" si="153">SUM(AU103:BD103)</f>
        <v>0</v>
      </c>
      <c r="BF103" s="36">
        <f t="shared" si="141"/>
        <v>0</v>
      </c>
      <c r="BG103" s="8">
        <f t="shared" si="94"/>
        <v>0</v>
      </c>
      <c r="BH103" s="6">
        <f t="shared" ref="BH103" si="154">AO103/2</f>
        <v>0</v>
      </c>
      <c r="BI103" s="6">
        <f>SUMIF('Eredeti fejléccel'!$B:$B,'Felosztás eredménykim'!$B103,'Eredeti fejléccel'!$AH:$AH)</f>
        <v>0</v>
      </c>
      <c r="BJ103" s="6">
        <f>SUMIF('Eredeti fejléccel'!$B:$B,'Felosztás eredménykim'!$B103,'Eredeti fejléccel'!$AO:$AO)</f>
        <v>0</v>
      </c>
      <c r="BK103" s="6">
        <f>SUMIF('Eredeti fejléccel'!$B:$B,'Felosztás eredménykim'!$B103,'Eredeti fejléccel'!$BF:$BF)</f>
        <v>0</v>
      </c>
      <c r="BL103" s="8">
        <f t="shared" ref="BL103" si="155">SUM(BG103:BK103)</f>
        <v>0</v>
      </c>
      <c r="BM103" s="36">
        <f t="shared" si="142"/>
        <v>0</v>
      </c>
      <c r="BN103" s="8">
        <f t="shared" si="96"/>
        <v>0</v>
      </c>
      <c r="BP103" s="8">
        <f t="shared" ref="BP103" si="156">-FV103</f>
        <v>0</v>
      </c>
      <c r="BQ103" s="6">
        <f>SUMIF('Eredeti fejléccel'!$B:$B,'Felosztás eredménykim'!$B103,'Eredeti fejléccel'!$N:$N)</f>
        <v>0</v>
      </c>
      <c r="BR103" s="6">
        <f>SUMIF('Eredeti fejléccel'!$B:$B,'Felosztás eredménykim'!$B103,'Eredeti fejléccel'!$S:$S)</f>
        <v>0</v>
      </c>
      <c r="BT103" s="6">
        <f>SUMIF('Eredeti fejléccel'!$B:$B,'Felosztás eredménykim'!$B103,'Eredeti fejléccel'!$AR:$AR)</f>
        <v>0</v>
      </c>
      <c r="BU103" s="6">
        <f>SUMIF('Eredeti fejléccel'!$B:$B,'Felosztás eredménykim'!$B103,'Eredeti fejléccel'!$AU:$AU)</f>
        <v>0</v>
      </c>
      <c r="BV103" s="6">
        <f>SUMIF('Eredeti fejléccel'!$B:$B,'Felosztás eredménykim'!$B103,'Eredeti fejléccel'!$AV:$AV)</f>
        <v>0</v>
      </c>
      <c r="BW103" s="6">
        <f>SUMIF('Eredeti fejléccel'!$B:$B,'Felosztás eredménykim'!$B103,'Eredeti fejléccel'!$AW:$AW)</f>
        <v>0</v>
      </c>
      <c r="BX103" s="6">
        <f>SUMIF('Eredeti fejléccel'!$B:$B,'Felosztás eredménykim'!$B103,'Eredeti fejléccel'!$AX:$AX)</f>
        <v>0</v>
      </c>
      <c r="BY103" s="6">
        <f>SUMIF('Eredeti fejléccel'!$B:$B,'Felosztás eredménykim'!$B103,'Eredeti fejléccel'!$AY:$AY)</f>
        <v>0</v>
      </c>
      <c r="BZ103" s="6">
        <f>SUMIF('Eredeti fejléccel'!$B:$B,'Felosztás eredménykim'!$B103,'Eredeti fejléccel'!$AZ:$AZ)</f>
        <v>0</v>
      </c>
      <c r="CA103" s="6">
        <f>SUMIF('Eredeti fejléccel'!$B:$B,'Felosztás eredménykim'!$B103,'Eredeti fejléccel'!$BA:$BA)</f>
        <v>0</v>
      </c>
      <c r="CB103" s="6">
        <f t="shared" si="114"/>
        <v>0</v>
      </c>
      <c r="CC103" s="36">
        <f t="shared" si="143"/>
        <v>0</v>
      </c>
      <c r="CD103" s="8">
        <f t="shared" si="98"/>
        <v>0</v>
      </c>
      <c r="CE103" s="6">
        <f>SUMIF('Eredeti fejléccel'!$B:$B,'Felosztás eredménykim'!$B103,'Eredeti fejléccel'!$BC:$BC)</f>
        <v>0</v>
      </c>
      <c r="CF103" s="8">
        <f t="shared" ref="CF103" si="157">-CE103/2</f>
        <v>0</v>
      </c>
      <c r="CG103" s="6">
        <f>SUMIF('Eredeti fejléccel'!$B:$B,'Felosztás eredménykim'!$B103,'Eredeti fejléccel'!$H:$H)</f>
        <v>0</v>
      </c>
      <c r="CH103" s="6">
        <f>SUMIF('Eredeti fejléccel'!$B:$B,'Felosztás eredménykim'!$B103,'Eredeti fejléccel'!$BE:$BE)</f>
        <v>0</v>
      </c>
      <c r="CI103" s="6">
        <f t="shared" ref="CI103" si="158">SUM(CD103:CH103)</f>
        <v>0</v>
      </c>
      <c r="CJ103" s="36">
        <f t="shared" si="144"/>
        <v>0</v>
      </c>
      <c r="CK103" s="8">
        <f t="shared" si="100"/>
        <v>0</v>
      </c>
      <c r="CL103" s="8">
        <f t="shared" ref="CL103" si="159">CE103/2</f>
        <v>0</v>
      </c>
      <c r="CM103" s="6">
        <f>SUMIF('Eredeti fejléccel'!$B:$B,'Felosztás eredménykim'!$B103,'Eredeti fejléccel'!$BD:$BD)</f>
        <v>0</v>
      </c>
      <c r="CN103" s="8">
        <f t="shared" ref="CN103" si="160">SUM(CK103:CM103)</f>
        <v>0</v>
      </c>
      <c r="CO103" s="8">
        <f t="shared" si="115"/>
        <v>0</v>
      </c>
      <c r="CR103" s="36">
        <f t="shared" si="101"/>
        <v>0</v>
      </c>
      <c r="CS103" s="6">
        <f>SUMIF('Eredeti fejléccel'!$B:$B,'Felosztás eredménykim'!$B103,'Eredeti fejléccel'!$I:$I)</f>
        <v>0</v>
      </c>
      <c r="CT103" s="6">
        <f>SUMIF('Eredeti fejléccel'!$B:$B,'Felosztás eredménykim'!$B103,'Eredeti fejléccel'!$BG:$BG)</f>
        <v>0</v>
      </c>
      <c r="CU103" s="6">
        <f>SUMIF('Eredeti fejléccel'!$B:$B,'Felosztás eredménykim'!$B103,'Eredeti fejléccel'!$BH:$BH)</f>
        <v>0</v>
      </c>
      <c r="CV103" s="6">
        <f>SUMIF('Eredeti fejléccel'!$B:$B,'Felosztás eredménykim'!$B103,'Eredeti fejléccel'!$BI:$BI)</f>
        <v>0</v>
      </c>
      <c r="CW103" s="6">
        <f>SUMIF('Eredeti fejléccel'!$B:$B,'Felosztás eredménykim'!$B103,'Eredeti fejléccel'!$BL:$BL)</f>
        <v>0</v>
      </c>
      <c r="CX103" s="6">
        <f t="shared" ref="CX103" si="161">SUM(CS103:CW103)</f>
        <v>0</v>
      </c>
      <c r="CY103" s="6">
        <f>SUMIF('Eredeti fejléccel'!$B:$B,'Felosztás eredménykim'!$B103,'Eredeti fejléccel'!$BJ:$BJ)</f>
        <v>0</v>
      </c>
      <c r="CZ103" s="6">
        <f>SUMIF('Eredeti fejléccel'!$B:$B,'Felosztás eredménykim'!$B103,'Eredeti fejléccel'!$BK:$BK)</f>
        <v>0</v>
      </c>
      <c r="DA103" s="99">
        <f t="shared" si="116"/>
        <v>0</v>
      </c>
      <c r="DC103" s="36">
        <f t="shared" si="102"/>
        <v>0</v>
      </c>
      <c r="DD103" s="6">
        <f>SUMIF('Eredeti fejléccel'!$B:$B,'Felosztás eredménykim'!$B103,'Eredeti fejléccel'!$J:$J)</f>
        <v>0</v>
      </c>
      <c r="DE103" s="6">
        <f>SUMIF('Eredeti fejléccel'!$B:$B,'Felosztás eredménykim'!$B103,'Eredeti fejléccel'!$BM:$BM)</f>
        <v>0</v>
      </c>
      <c r="DF103" s="6">
        <f t="shared" ref="DF103" si="162">-DI103</f>
        <v>0</v>
      </c>
      <c r="DG103" s="8">
        <f t="shared" si="117"/>
        <v>0</v>
      </c>
      <c r="DH103" s="8">
        <f t="shared" ref="DH103" si="163">SUM(DD103:DG103)</f>
        <v>0</v>
      </c>
      <c r="DJ103" s="6">
        <f>SUMIF('Eredeti fejléccel'!$B:$B,'Felosztás eredménykim'!$B103,'Eredeti fejléccel'!$BN:$BN)</f>
        <v>0</v>
      </c>
      <c r="DK103" s="6">
        <f>SUMIF('Eredeti fejléccel'!$B:$B,'Felosztás eredménykim'!$B103,'Eredeti fejléccel'!$BZ:$BZ)</f>
        <v>0</v>
      </c>
      <c r="DL103" s="8">
        <f t="shared" ref="DL103" si="164">SUM(DI103:DK103)</f>
        <v>0</v>
      </c>
      <c r="DM103" s="6">
        <f>SUMIF('Eredeti fejléccel'!$B:$B,'Felosztás eredménykim'!$B103,'Eredeti fejléccel'!$BR:$BR)</f>
        <v>0</v>
      </c>
      <c r="DN103" s="6">
        <f>SUMIF('Eredeti fejléccel'!$B:$B,'Felosztás eredménykim'!$B103,'Eredeti fejléccel'!$BS:$BS)</f>
        <v>0</v>
      </c>
      <c r="DO103" s="6">
        <f>SUMIF('Eredeti fejléccel'!$B:$B,'Felosztás eredménykim'!$B103,'Eredeti fejléccel'!$BO:$BO)</f>
        <v>0</v>
      </c>
      <c r="DP103" s="6">
        <f>SUMIF('Eredeti fejléccel'!$B:$B,'Felosztás eredménykim'!$B103,'Eredeti fejléccel'!$BP:$BP)</f>
        <v>0</v>
      </c>
      <c r="DQ103" s="6">
        <f>SUMIF('Eredeti fejléccel'!$B:$B,'Felosztás eredménykim'!$B103,'Eredeti fejléccel'!$BQ:$BQ)</f>
        <v>0</v>
      </c>
      <c r="DS103" s="8"/>
      <c r="DU103" s="6">
        <f>SUMIF('Eredeti fejléccel'!$B:$B,'Felosztás eredménykim'!$B103,'Eredeti fejléccel'!$BT:$BT)</f>
        <v>0</v>
      </c>
      <c r="DV103" s="6">
        <f>SUMIF('Eredeti fejléccel'!$B:$B,'Felosztás eredménykim'!$B103,'Eredeti fejléccel'!$BU:$BU)</f>
        <v>0</v>
      </c>
      <c r="DW103" s="6">
        <f>SUMIF('Eredeti fejléccel'!$B:$B,'Felosztás eredménykim'!$B103,'Eredeti fejléccel'!$BV:$BV)</f>
        <v>0</v>
      </c>
      <c r="DX103" s="6">
        <f>SUMIF('Eredeti fejléccel'!$B:$B,'Felosztás eredménykim'!$B103,'Eredeti fejléccel'!$BW:$BW)</f>
        <v>0</v>
      </c>
      <c r="DY103" s="6">
        <f>SUMIF('Eredeti fejléccel'!$B:$B,'Felosztás eredménykim'!$B103,'Eredeti fejléccel'!$BX:$BX)</f>
        <v>0</v>
      </c>
      <c r="EA103" s="6"/>
      <c r="EC103" s="6"/>
      <c r="EE103" s="6">
        <f>SUMIF('Eredeti fejléccel'!$B:$B,'Felosztás eredménykim'!$B103,'Eredeti fejléccel'!$CA:$CA)</f>
        <v>0</v>
      </c>
      <c r="EF103" s="6">
        <f>SUMIF('Eredeti fejléccel'!$B:$B,'Felosztás eredménykim'!$B103,'Eredeti fejléccel'!$CB:$CB)</f>
        <v>0</v>
      </c>
      <c r="EG103" s="6">
        <f>SUMIF('Eredeti fejléccel'!$B:$B,'Felosztás eredménykim'!$B103,'Eredeti fejléccel'!$CC:$CC)</f>
        <v>0</v>
      </c>
      <c r="EH103" s="6">
        <f>SUMIF('Eredeti fejléccel'!$B:$B,'Felosztás eredménykim'!$B103,'Eredeti fejléccel'!$CD:$CD)</f>
        <v>0</v>
      </c>
      <c r="EK103" s="6">
        <f>SUMIF('Eredeti fejléccel'!$B:$B,'Felosztás eredménykim'!$B103,'Eredeti fejléccel'!$CE:$CE)</f>
        <v>0</v>
      </c>
      <c r="EN103" s="6">
        <f>SUMIF('Eredeti fejléccel'!$B:$B,'Felosztás eredménykim'!$B103,'Eredeti fejléccel'!$CF:$CF)</f>
        <v>0</v>
      </c>
      <c r="EP103" s="6">
        <f>SUMIF('Eredeti fejléccel'!$B:$B,'Felosztás eredménykim'!$B103,'Eredeti fejléccel'!$CG:$CG)</f>
        <v>0</v>
      </c>
      <c r="ES103" s="6">
        <f>SUMIF('Eredeti fejléccel'!$B:$B,'Felosztás eredménykim'!$B103,'Eredeti fejléccel'!$CH:$CH)</f>
        <v>0</v>
      </c>
      <c r="ET103" s="6">
        <f>SUMIF('Eredeti fejléccel'!$B:$B,'Felosztás eredménykim'!$B103,'Eredeti fejléccel'!$CI:$CI)</f>
        <v>0</v>
      </c>
      <c r="EW103" s="8">
        <f t="shared" ref="EW103" si="165">SUM(DR103:ED103)</f>
        <v>0</v>
      </c>
      <c r="EX103" s="8">
        <f t="shared" ref="EX103" si="166">SUM(EE103:EV103)</f>
        <v>0</v>
      </c>
      <c r="EY103" s="8">
        <f t="shared" si="119"/>
        <v>0</v>
      </c>
      <c r="EZ103" s="8">
        <f t="shared" ref="EZ103" si="167">EY103+DL103+DM103+DN103+DO103+DP103+DQ103</f>
        <v>0</v>
      </c>
      <c r="FA103" s="8">
        <f t="shared" ref="FA103" si="168">EZ103-DL103-DM103</f>
        <v>0</v>
      </c>
      <c r="FC103" s="6">
        <f>SUMIF('Eredeti fejléccel'!$B:$B,'Felosztás eredménykim'!$B103,'Eredeti fejléccel'!$L:$L)</f>
        <v>0</v>
      </c>
      <c r="FD103" s="6">
        <f>SUMIF('Eredeti fejléccel'!$B:$B,'Felosztás eredménykim'!$B103,'Eredeti fejléccel'!$CJ:$CJ)</f>
        <v>0</v>
      </c>
      <c r="FE103" s="6">
        <f>SUMIF('Eredeti fejléccel'!$B:$B,'Felosztás eredménykim'!$B103,'Eredeti fejléccel'!$CL:$CL)</f>
        <v>0</v>
      </c>
      <c r="FG103" s="99">
        <f t="shared" ref="FG103" si="169">SUM(FC103:FF103)</f>
        <v>0</v>
      </c>
      <c r="FH103" s="6">
        <f>SUMIF('Eredeti fejléccel'!$B:$B,'Felosztás eredménykim'!$B103,'Eredeti fejléccel'!$CK:$CK)</f>
        <v>0</v>
      </c>
      <c r="FI103" s="36">
        <f t="shared" si="145"/>
        <v>0</v>
      </c>
      <c r="FJ103" s="101">
        <f t="shared" si="104"/>
        <v>0</v>
      </c>
      <c r="FK103" s="6">
        <f>SUMIF('Eredeti fejléccel'!$B:$B,'Felosztás eredménykim'!$B103,'Eredeti fejléccel'!$CM:$CM)</f>
        <v>0</v>
      </c>
      <c r="FL103" s="6">
        <f>SUMIF('Eredeti fejléccel'!$B:$B,'Felosztás eredménykim'!$B103,'Eredeti fejléccel'!$CN:$CN)</f>
        <v>0</v>
      </c>
      <c r="FM103" s="8">
        <f t="shared" ref="FM103" si="170">SUM(FJ103:FL103)</f>
        <v>0</v>
      </c>
      <c r="FN103" s="36">
        <f t="shared" si="146"/>
        <v>0</v>
      </c>
      <c r="FO103" s="101">
        <f t="shared" si="106"/>
        <v>0</v>
      </c>
      <c r="FP103" s="6">
        <f>SUMIF('Eredeti fejléccel'!$B:$B,'Felosztás eredménykim'!$B103,'Eredeti fejléccel'!$CO:$CO)</f>
        <v>0</v>
      </c>
      <c r="FQ103" s="6">
        <f>'Eredeti fejléccel'!CP103</f>
        <v>0</v>
      </c>
      <c r="FR103" s="6">
        <f>'Eredeti fejléccel'!CQ103</f>
        <v>0</v>
      </c>
      <c r="FS103" s="103">
        <f t="shared" si="122"/>
        <v>0</v>
      </c>
      <c r="FT103" s="36">
        <f t="shared" si="147"/>
        <v>0</v>
      </c>
      <c r="FU103" s="101">
        <f t="shared" si="108"/>
        <v>0</v>
      </c>
      <c r="FV103" s="101"/>
      <c r="FW103" s="6">
        <f>SUMIF('Eredeti fejléccel'!$B:$B,'Felosztás eredménykim'!$B103,'Eredeti fejléccel'!$CR:$CR)</f>
        <v>0</v>
      </c>
      <c r="FX103" s="6">
        <f>SUMIF('Eredeti fejléccel'!$B:$B,'Felosztás eredménykim'!$B103,'Eredeti fejléccel'!$CS:$CS)</f>
        <v>0</v>
      </c>
      <c r="FY103" s="6">
        <f>SUMIF('Eredeti fejléccel'!$B:$B,'Felosztás eredménykim'!$B103,'Eredeti fejléccel'!$CT:$CT)</f>
        <v>0</v>
      </c>
      <c r="FZ103" s="6">
        <f>SUMIF('Eredeti fejléccel'!$B:$B,'Felosztás eredménykim'!$B103,'Eredeti fejléccel'!$CU:$CU)</f>
        <v>0</v>
      </c>
      <c r="GA103" s="103">
        <f t="shared" ref="GA103" si="171">SUM(FU103:FZ103)</f>
        <v>0</v>
      </c>
      <c r="GB103" s="36">
        <f t="shared" si="148"/>
        <v>0</v>
      </c>
      <c r="GC103" s="101">
        <f t="shared" si="110"/>
        <v>0</v>
      </c>
      <c r="GD103" s="6">
        <f>SUMIF('Eredeti fejléccel'!$B:$B,'Felosztás eredménykim'!$B103,'Eredeti fejléccel'!$CV:$CV)</f>
        <v>0</v>
      </c>
      <c r="GE103" s="6">
        <f>SUMIF('Eredeti fejléccel'!$B:$B,'Felosztás eredménykim'!$B103,'Eredeti fejléccel'!$CW:$CW)</f>
        <v>0</v>
      </c>
      <c r="GF103" s="103">
        <f t="shared" ref="GF103" si="172">SUM(GC103:GE103)</f>
        <v>0</v>
      </c>
      <c r="GG103" s="36">
        <f t="shared" si="111"/>
        <v>0</v>
      </c>
      <c r="GM103" s="6">
        <f>SUMIF('Eredeti fejléccel'!$B:$B,'Felosztás eredménykim'!$B103,'Eredeti fejléccel'!$CX:$CX)</f>
        <v>0</v>
      </c>
      <c r="GN103" s="6">
        <f>SUMIF('Eredeti fejléccel'!$B:$B,'Felosztás eredménykim'!$B103,'Eredeti fejléccel'!$CY:$CY)</f>
        <v>0</v>
      </c>
      <c r="GO103" s="6">
        <f>SUMIF('Eredeti fejléccel'!$B:$B,'Felosztás eredménykim'!$B103,'Eredeti fejléccel'!$CZ:$CZ)</f>
        <v>0</v>
      </c>
      <c r="GP103" s="6">
        <f>SUMIF('Eredeti fejléccel'!$B:$B,'Felosztás eredménykim'!$B103,'Eredeti fejléccel'!$DA:$DA)</f>
        <v>0</v>
      </c>
      <c r="GQ103" s="6">
        <f>SUMIF('Eredeti fejléccel'!$B:$B,'Felosztás eredménykim'!$B103,'Eredeti fejléccel'!$DB:$DB)</f>
        <v>0</v>
      </c>
      <c r="GR103" s="103">
        <f t="shared" ref="GR103" si="173">SUM(GH103:GQ103)</f>
        <v>0</v>
      </c>
      <c r="GW103" s="36">
        <f t="shared" si="112"/>
        <v>0</v>
      </c>
      <c r="GX103" s="6">
        <f>SUMIF('Eredeti fejléccel'!$B:$B,'Felosztás eredménykim'!$B103,'Eredeti fejléccel'!$M:$M)</f>
        <v>0</v>
      </c>
      <c r="GY103" s="6">
        <f>SUMIF('Eredeti fejléccel'!$B:$B,'Felosztás eredménykim'!$B103,'Eredeti fejléccel'!$DC:$DC)</f>
        <v>0</v>
      </c>
      <c r="GZ103" s="6">
        <f>SUMIF('Eredeti fejléccel'!$B:$B,'Felosztás eredménykim'!$B103,'Eredeti fejléccel'!$DD:$DD)</f>
        <v>0</v>
      </c>
      <c r="HA103" s="6">
        <f>SUMIF('Eredeti fejléccel'!$B:$B,'Felosztás eredménykim'!$B103,'Eredeti fejléccel'!$DE:$DE)</f>
        <v>0</v>
      </c>
      <c r="HB103" s="103">
        <f t="shared" ref="HB103" si="174">SUM(GX103:HA103)</f>
        <v>0</v>
      </c>
      <c r="HD103" s="9">
        <f t="shared" si="137"/>
        <v>0</v>
      </c>
      <c r="HE103" s="9"/>
      <c r="HF103" s="476"/>
      <c r="HH103" s="34">
        <f t="shared" ref="HH103" si="175">+HD103-HE103</f>
        <v>0</v>
      </c>
      <c r="HI103" s="31">
        <f>SUM(HD88:HD103)</f>
        <v>1736993072.0000014</v>
      </c>
      <c r="HJ103" s="31">
        <f>SUM(HE88:HE103)</f>
        <v>1736993072</v>
      </c>
    </row>
    <row r="104" spans="1:232" x14ac:dyDescent="0.25">
      <c r="A104" s="4" t="s">
        <v>210</v>
      </c>
      <c r="B104" s="4" t="s">
        <v>210</v>
      </c>
      <c r="C104" s="1" t="s">
        <v>211</v>
      </c>
      <c r="D104" s="6">
        <f>SUMIF('Eredeti fejléccel'!$B:$B,'Felosztás eredménykim'!$B104,'Eredeti fejléccel'!$D:$D)</f>
        <v>0</v>
      </c>
      <c r="E104" s="6">
        <f>SUMIF('Eredeti fejléccel'!$B:$B,'Felosztás eredménykim'!$B104,'Eredeti fejléccel'!$E:$E)</f>
        <v>0</v>
      </c>
      <c r="F104" s="6">
        <f>SUMIF('Eredeti fejléccel'!$B:$B,'Felosztás eredménykim'!$B104,'Eredeti fejléccel'!$F:$F)</f>
        <v>0</v>
      </c>
      <c r="G104" s="6">
        <f>SUMIF('Eredeti fejléccel'!$B:$B,'Felosztás eredménykim'!$B104,'Eredeti fejléccel'!$G:$G)</f>
        <v>0</v>
      </c>
      <c r="H104" s="6"/>
      <c r="I104" s="6">
        <f>SUMIF('Eredeti fejléccel'!$B:$B,'Felosztás eredménykim'!$B104,'Eredeti fejléccel'!$O:$O)</f>
        <v>0</v>
      </c>
      <c r="J104" s="6">
        <f>SUMIF('Eredeti fejléccel'!$B:$B,'Felosztás eredménykim'!$B104,'Eredeti fejléccel'!$P:$P)</f>
        <v>0</v>
      </c>
      <c r="K104" s="6">
        <f>SUMIF('Eredeti fejléccel'!$B:$B,'Felosztás eredménykim'!$B104,'Eredeti fejléccel'!$Q:$Q)</f>
        <v>0</v>
      </c>
      <c r="L104" s="6">
        <f>SUMIF('Eredeti fejléccel'!$B:$B,'Felosztás eredménykim'!$B104,'Eredeti fejléccel'!$R:$R)</f>
        <v>269023</v>
      </c>
      <c r="M104" s="6">
        <f>SUMIF('Eredeti fejléccel'!$B:$B,'Felosztás eredménykim'!$B104,'Eredeti fejléccel'!$T:$T)</f>
        <v>0</v>
      </c>
      <c r="N104" s="6">
        <f>SUMIF('Eredeti fejléccel'!$B:$B,'Felosztás eredménykim'!$B104,'Eredeti fejléccel'!$U:$U)</f>
        <v>0</v>
      </c>
      <c r="O104" s="6">
        <f>SUMIF('Eredeti fejléccel'!$B:$B,'Felosztás eredménykim'!$B104,'Eredeti fejléccel'!$V:$V)</f>
        <v>45719</v>
      </c>
      <c r="P104" s="6">
        <f>SUMIF('Eredeti fejléccel'!$B:$B,'Felosztás eredménykim'!$B104,'Eredeti fejléccel'!$W:$W)</f>
        <v>0</v>
      </c>
      <c r="Q104" s="6">
        <f>SUMIF('Eredeti fejléccel'!$B:$B,'Felosztás eredménykim'!$B104,'Eredeti fejléccel'!$X:$X)</f>
        <v>156358</v>
      </c>
      <c r="R104" s="6">
        <f>SUMIF('Eredeti fejléccel'!$B:$B,'Felosztás eredménykim'!$B104,'Eredeti fejléccel'!$Y:$Y)</f>
        <v>112574</v>
      </c>
      <c r="S104" s="6">
        <f>SUMIF('Eredeti fejléccel'!$B:$B,'Felosztás eredménykim'!$B104,'Eredeti fejléccel'!$Z:$Z)</f>
        <v>0</v>
      </c>
      <c r="T104" s="6">
        <f>SUMIF('Eredeti fejléccel'!$B:$B,'Felosztás eredménykim'!$B104,'Eredeti fejléccel'!$AA:$AA)</f>
        <v>0</v>
      </c>
      <c r="U104" s="6">
        <f>SUMIF('Eredeti fejléccel'!$B:$B,'Felosztás eredménykim'!$B104,'Eredeti fejléccel'!$D:$D)</f>
        <v>0</v>
      </c>
      <c r="V104" s="6">
        <f>SUMIF('Eredeti fejléccel'!$B:$B,'Felosztás eredménykim'!$B104,'Eredeti fejléccel'!$AT:$AT)</f>
        <v>132282</v>
      </c>
      <c r="X104" s="36">
        <f t="shared" si="86"/>
        <v>715956</v>
      </c>
      <c r="Z104" s="6">
        <f>SUMIF('Eredeti fejléccel'!$B:$B,'Felosztás eredménykim'!$B104,'Eredeti fejléccel'!$K:$K)</f>
        <v>0</v>
      </c>
      <c r="AB104" s="6">
        <f>SUMIF('Eredeti fejléccel'!$B:$B,'Felosztás eredménykim'!$B104,'Eredeti fejléccel'!$AB:$AB)</f>
        <v>0</v>
      </c>
      <c r="AC104" s="6">
        <f>SUMIF('Eredeti fejléccel'!$B:$B,'Felosztás eredménykim'!$B104,'Eredeti fejléccel'!$AQ:$AQ)</f>
        <v>0</v>
      </c>
      <c r="AE104" s="73">
        <f t="shared" si="131"/>
        <v>0</v>
      </c>
      <c r="AF104" s="36">
        <f t="shared" si="138"/>
        <v>85409.714374197385</v>
      </c>
      <c r="AG104" s="8">
        <f t="shared" si="88"/>
        <v>0</v>
      </c>
      <c r="AI104" s="6">
        <f>SUMIF('Eredeti fejléccel'!$B:$B,'Felosztás eredménykim'!$B104,'Eredeti fejléccel'!$BB:$BB)</f>
        <v>0</v>
      </c>
      <c r="AJ104" s="6">
        <f>SUMIF('Eredeti fejléccel'!$B:$B,'Felosztás eredménykim'!$B104,'Eredeti fejléccel'!$AF:$AF)</f>
        <v>0</v>
      </c>
      <c r="AK104" s="8">
        <f t="shared" si="73"/>
        <v>0</v>
      </c>
      <c r="AL104" s="36">
        <f t="shared" si="139"/>
        <v>33924.30730823661</v>
      </c>
      <c r="AM104" s="8">
        <f t="shared" si="90"/>
        <v>0</v>
      </c>
      <c r="AN104" s="6">
        <f t="shared" si="123"/>
        <v>0</v>
      </c>
      <c r="AO104" s="6">
        <f>SUMIF('Eredeti fejléccel'!$B:$B,'Felosztás eredménykim'!$B104,'Eredeti fejléccel'!$AC:$AC)</f>
        <v>0</v>
      </c>
      <c r="AP104" s="6">
        <f>SUMIF('Eredeti fejléccel'!$B:$B,'Felosztás eredménykim'!$B104,'Eredeti fejléccel'!$AD:$AD)</f>
        <v>0</v>
      </c>
      <c r="AQ104" s="6">
        <f>SUMIF('Eredeti fejléccel'!$B:$B,'Felosztás eredménykim'!$B104,'Eredeti fejléccel'!$AE:$AE)</f>
        <v>0</v>
      </c>
      <c r="AR104" s="6">
        <f>SUMIF('Eredeti fejléccel'!$B:$B,'Felosztás eredménykim'!$B104,'Eredeti fejléccel'!$AG:$AG)</f>
        <v>57673</v>
      </c>
      <c r="AS104" s="6">
        <f t="shared" si="124"/>
        <v>57673</v>
      </c>
      <c r="AT104" s="36">
        <f t="shared" si="140"/>
        <v>55103.041531740251</v>
      </c>
      <c r="AU104" s="8">
        <f t="shared" si="92"/>
        <v>0</v>
      </c>
      <c r="AV104" s="6">
        <f>SUMIF('Eredeti fejléccel'!$B:$B,'Felosztás eredménykim'!$B104,'Eredeti fejléccel'!$AI:$AI)</f>
        <v>0</v>
      </c>
      <c r="AW104" s="6">
        <f>SUMIF('Eredeti fejléccel'!$B:$B,'Felosztás eredménykim'!$B104,'Eredeti fejléccel'!$AJ:$AJ)</f>
        <v>0</v>
      </c>
      <c r="AX104" s="6">
        <f>SUMIF('Eredeti fejléccel'!$B:$B,'Felosztás eredménykim'!$B104,'Eredeti fejléccel'!$AK:$AK)</f>
        <v>60286</v>
      </c>
      <c r="AY104" s="6">
        <f>SUMIF('Eredeti fejléccel'!$B:$B,'Felosztás eredménykim'!$B104,'Eredeti fejléccel'!$AL:$AL)</f>
        <v>0</v>
      </c>
      <c r="AZ104" s="6">
        <f>SUMIF('Eredeti fejléccel'!$B:$B,'Felosztás eredménykim'!$B104,'Eredeti fejléccel'!$AM:$AM)</f>
        <v>80210</v>
      </c>
      <c r="BA104" s="6">
        <f>SUMIF('Eredeti fejléccel'!$B:$B,'Felosztás eredménykim'!$B104,'Eredeti fejléccel'!$AN:$AN)</f>
        <v>0</v>
      </c>
      <c r="BB104" s="6">
        <f>SUMIF('Eredeti fejléccel'!$B:$B,'Felosztás eredménykim'!$B104,'Eredeti fejléccel'!$AP:$AP)</f>
        <v>367392</v>
      </c>
      <c r="BD104" s="6">
        <f>SUMIF('Eredeti fejléccel'!$B:$B,'Felosztás eredménykim'!$B104,'Eredeti fejléccel'!$AS:$AS)</f>
        <v>0</v>
      </c>
      <c r="BE104" s="8">
        <f t="shared" si="74"/>
        <v>507888</v>
      </c>
      <c r="BF104" s="36">
        <f t="shared" si="141"/>
        <v>14374.706486540934</v>
      </c>
      <c r="BG104" s="8">
        <f t="shared" si="94"/>
        <v>0</v>
      </c>
      <c r="BH104" s="6">
        <f t="shared" si="125"/>
        <v>0</v>
      </c>
      <c r="BI104" s="6">
        <f>SUMIF('Eredeti fejléccel'!$B:$B,'Felosztás eredménykim'!$B104,'Eredeti fejléccel'!$AH:$AH)</f>
        <v>241606</v>
      </c>
      <c r="BJ104" s="6">
        <f>SUMIF('Eredeti fejléccel'!$B:$B,'Felosztás eredménykim'!$B104,'Eredeti fejléccel'!$AO:$AO)</f>
        <v>0</v>
      </c>
      <c r="BK104" s="6">
        <f>SUMIF('Eredeti fejléccel'!$B:$B,'Felosztás eredménykim'!$B104,'Eredeti fejléccel'!$BF:$BF)</f>
        <v>0</v>
      </c>
      <c r="BL104" s="8">
        <f t="shared" si="126"/>
        <v>241606</v>
      </c>
      <c r="BM104" s="36">
        <f t="shared" si="142"/>
        <v>53857.233636240038</v>
      </c>
      <c r="BN104" s="8">
        <f t="shared" si="96"/>
        <v>0</v>
      </c>
      <c r="BP104" s="8">
        <f t="shared" si="127"/>
        <v>0</v>
      </c>
      <c r="BQ104" s="6">
        <f>SUMIF('Eredeti fejléccel'!$B:$B,'Felosztás eredménykim'!$B104,'Eredeti fejléccel'!$N:$N)</f>
        <v>0</v>
      </c>
      <c r="BR104" s="6">
        <f>SUMIF('Eredeti fejléccel'!$B:$B,'Felosztás eredménykim'!$B104,'Eredeti fejléccel'!$S:$S)</f>
        <v>0</v>
      </c>
      <c r="BT104" s="6">
        <f>SUMIF('Eredeti fejléccel'!$B:$B,'Felosztás eredménykim'!$B104,'Eredeti fejléccel'!$AR:$AR)</f>
        <v>0</v>
      </c>
      <c r="BU104" s="6">
        <f>SUMIF('Eredeti fejléccel'!$B:$B,'Felosztás eredménykim'!$B104,'Eredeti fejléccel'!$AU:$AU)</f>
        <v>0</v>
      </c>
      <c r="BV104" s="6">
        <f>SUMIF('Eredeti fejléccel'!$B:$B,'Felosztás eredménykim'!$B104,'Eredeti fejléccel'!$AV:$AV)</f>
        <v>0</v>
      </c>
      <c r="BW104" s="6">
        <f>SUMIF('Eredeti fejléccel'!$B:$B,'Felosztás eredménykim'!$B104,'Eredeti fejléccel'!$AW:$AW)</f>
        <v>0</v>
      </c>
      <c r="BX104" s="6">
        <f>SUMIF('Eredeti fejléccel'!$B:$B,'Felosztás eredménykim'!$B104,'Eredeti fejléccel'!$AX:$AX)</f>
        <v>0</v>
      </c>
      <c r="BY104" s="6">
        <f>SUMIF('Eredeti fejléccel'!$B:$B,'Felosztás eredménykim'!$B104,'Eredeti fejléccel'!$AY:$AY)</f>
        <v>0</v>
      </c>
      <c r="BZ104" s="6">
        <f>SUMIF('Eredeti fejléccel'!$B:$B,'Felosztás eredménykim'!$B104,'Eredeti fejléccel'!$AZ:$AZ)</f>
        <v>0</v>
      </c>
      <c r="CA104" s="6">
        <f>SUMIF('Eredeti fejléccel'!$B:$B,'Felosztás eredménykim'!$B104,'Eredeti fejléccel'!$BA:$BA)</f>
        <v>97520</v>
      </c>
      <c r="CB104" s="6">
        <f t="shared" si="114"/>
        <v>97520</v>
      </c>
      <c r="CC104" s="36">
        <f t="shared" si="143"/>
        <v>14662.200616271753</v>
      </c>
      <c r="CD104" s="8">
        <f t="shared" si="98"/>
        <v>0</v>
      </c>
      <c r="CE104" s="6">
        <f>SUMIF('Eredeti fejléccel'!$B:$B,'Felosztás eredménykim'!$B104,'Eredeti fejléccel'!$BC:$BC)</f>
        <v>0</v>
      </c>
      <c r="CF104" s="8">
        <f t="shared" si="135"/>
        <v>0</v>
      </c>
      <c r="CG104" s="6">
        <f>SUMIF('Eredeti fejléccel'!$B:$B,'Felosztás eredménykim'!$B104,'Eredeti fejléccel'!$H:$H)</f>
        <v>0</v>
      </c>
      <c r="CH104" s="6">
        <f>SUMIF('Eredeti fejléccel'!$B:$B,'Felosztás eredménykim'!$B104,'Eredeti fejléccel'!$BE:$BE)</f>
        <v>0</v>
      </c>
      <c r="CI104" s="6">
        <f t="shared" si="75"/>
        <v>0</v>
      </c>
      <c r="CJ104" s="36">
        <f t="shared" si="144"/>
        <v>10541.451423463353</v>
      </c>
      <c r="CK104" s="8">
        <f t="shared" si="100"/>
        <v>0</v>
      </c>
      <c r="CL104" s="8">
        <f t="shared" si="136"/>
        <v>0</v>
      </c>
      <c r="CM104" s="6">
        <f>SUMIF('Eredeti fejléccel'!$B:$B,'Felosztás eredménykim'!$B104,'Eredeti fejléccel'!$BD:$BD)</f>
        <v>35108</v>
      </c>
      <c r="CN104" s="8">
        <f t="shared" si="76"/>
        <v>35108</v>
      </c>
      <c r="CO104" s="8">
        <f t="shared" si="115"/>
        <v>1207667.6553766904</v>
      </c>
      <c r="CR104" s="36">
        <f t="shared" si="101"/>
        <v>63320.384159690933</v>
      </c>
      <c r="CS104" s="6">
        <f>SUMIF('Eredeti fejléccel'!$B:$B,'Felosztás eredménykim'!$B104,'Eredeti fejléccel'!$I:$I)</f>
        <v>0</v>
      </c>
      <c r="CT104" s="6">
        <f>SUMIF('Eredeti fejléccel'!$B:$B,'Felosztás eredménykim'!$B104,'Eredeti fejléccel'!$BG:$BG)</f>
        <v>0</v>
      </c>
      <c r="CU104" s="6">
        <f>SUMIF('Eredeti fejléccel'!$B:$B,'Felosztás eredménykim'!$B104,'Eredeti fejléccel'!$BH:$BH)</f>
        <v>888678</v>
      </c>
      <c r="CV104" s="6">
        <f>SUMIF('Eredeti fejléccel'!$B:$B,'Felosztás eredménykim'!$B104,'Eredeti fejléccel'!$BI:$BI)</f>
        <v>0</v>
      </c>
      <c r="CW104" s="6">
        <f>SUMIF('Eredeti fejléccel'!$B:$B,'Felosztás eredménykim'!$B104,'Eredeti fejléccel'!$BL:$BL)</f>
        <v>0</v>
      </c>
      <c r="CX104" s="6">
        <f t="shared" si="77"/>
        <v>888678</v>
      </c>
      <c r="CY104" s="6">
        <f>SUMIF('Eredeti fejléccel'!$B:$B,'Felosztás eredménykim'!$B104,'Eredeti fejléccel'!$BJ:$BJ)</f>
        <v>0</v>
      </c>
      <c r="CZ104" s="6">
        <f>SUMIF('Eredeti fejléccel'!$B:$B,'Felosztás eredménykim'!$B104,'Eredeti fejléccel'!$BK:$BK)</f>
        <v>0</v>
      </c>
      <c r="DA104" s="99">
        <f t="shared" si="116"/>
        <v>888678</v>
      </c>
      <c r="DC104" s="36">
        <f t="shared" si="102"/>
        <v>55460.081648422427</v>
      </c>
      <c r="DD104" s="6">
        <f>SUMIF('Eredeti fejléccel'!$B:$B,'Felosztás eredménykim'!$B104,'Eredeti fejléccel'!$J:$J)</f>
        <v>0</v>
      </c>
      <c r="DE104" s="6">
        <f>SUMIF('Eredeti fejléccel'!$B:$B,'Felosztás eredménykim'!$B104,'Eredeti fejléccel'!$BM:$BM)</f>
        <v>148060</v>
      </c>
      <c r="DF104" s="6">
        <f t="shared" si="128"/>
        <v>0</v>
      </c>
      <c r="DG104" s="8">
        <f t="shared" si="117"/>
        <v>0</v>
      </c>
      <c r="DH104" s="8">
        <f t="shared" si="129"/>
        <v>148060</v>
      </c>
      <c r="DJ104" s="6">
        <f>SUMIF('Eredeti fejléccel'!$B:$B,'Felosztás eredménykim'!$B104,'Eredeti fejléccel'!$BN:$BN)</f>
        <v>0</v>
      </c>
      <c r="DK104" s="6">
        <f>SUMIF('Eredeti fejléccel'!$B:$B,'Felosztás eredménykim'!$B104,'Eredeti fejléccel'!$BZ:$BZ)</f>
        <v>0</v>
      </c>
      <c r="DL104" s="8">
        <f t="shared" si="130"/>
        <v>0</v>
      </c>
      <c r="DM104" s="6">
        <f>SUMIF('Eredeti fejléccel'!$B:$B,'Felosztás eredménykim'!$B104,'Eredeti fejléccel'!$BR:$BR)</f>
        <v>0</v>
      </c>
      <c r="DN104" s="6">
        <f>SUMIF('Eredeti fejléccel'!$B:$B,'Felosztás eredménykim'!$B104,'Eredeti fejléccel'!$BS:$BS)</f>
        <v>0</v>
      </c>
      <c r="DO104" s="6">
        <f>SUMIF('Eredeti fejléccel'!$B:$B,'Felosztás eredménykim'!$B104,'Eredeti fejléccel'!$BO:$BO)</f>
        <v>0</v>
      </c>
      <c r="DP104" s="6">
        <f>SUMIF('Eredeti fejléccel'!$B:$B,'Felosztás eredménykim'!$B104,'Eredeti fejléccel'!$BP:$BP)</f>
        <v>0</v>
      </c>
      <c r="DQ104" s="6">
        <f>SUMIF('Eredeti fejléccel'!$B:$B,'Felosztás eredménykim'!$B104,'Eredeti fejléccel'!$BQ:$BQ)</f>
        <v>0</v>
      </c>
      <c r="DS104" s="8"/>
      <c r="DU104" s="6">
        <f>SUMIF('Eredeti fejléccel'!$B:$B,'Felosztás eredménykim'!$B104,'Eredeti fejléccel'!$BT:$BT)</f>
        <v>0</v>
      </c>
      <c r="DV104" s="6">
        <f>SUMIF('Eredeti fejléccel'!$B:$B,'Felosztás eredménykim'!$B104,'Eredeti fejléccel'!$BU:$BU)</f>
        <v>0</v>
      </c>
      <c r="DW104" s="6">
        <f>SUMIF('Eredeti fejléccel'!$B:$B,'Felosztás eredménykim'!$B104,'Eredeti fejléccel'!$BV:$BV)</f>
        <v>0</v>
      </c>
      <c r="DX104" s="6">
        <f>SUMIF('Eredeti fejléccel'!$B:$B,'Felosztás eredménykim'!$B104,'Eredeti fejléccel'!$BW:$BW)</f>
        <v>0</v>
      </c>
      <c r="DY104" s="6">
        <f>SUMIF('Eredeti fejléccel'!$B:$B,'Felosztás eredménykim'!$B104,'Eredeti fejléccel'!$BX:$BX)</f>
        <v>0</v>
      </c>
      <c r="EA104" s="6"/>
      <c r="EC104" s="6"/>
      <c r="EE104" s="6">
        <f>SUMIF('Eredeti fejléccel'!$B:$B,'Felosztás eredménykim'!$B104,'Eredeti fejléccel'!$CA:$CA)</f>
        <v>0</v>
      </c>
      <c r="EF104" s="6">
        <f>SUMIF('Eredeti fejléccel'!$B:$B,'Felosztás eredménykim'!$B104,'Eredeti fejléccel'!$CB:$CB)</f>
        <v>0</v>
      </c>
      <c r="EG104" s="6">
        <f>SUMIF('Eredeti fejléccel'!$B:$B,'Felosztás eredménykim'!$B104,'Eredeti fejléccel'!$CC:$CC)</f>
        <v>0</v>
      </c>
      <c r="EH104" s="6">
        <f>SUMIF('Eredeti fejléccel'!$B:$B,'Felosztás eredménykim'!$B104,'Eredeti fejléccel'!$CD:$CD)</f>
        <v>0</v>
      </c>
      <c r="EK104" s="6">
        <f>SUMIF('Eredeti fejléccel'!$B:$B,'Felosztás eredménykim'!$B104,'Eredeti fejléccel'!$CE:$CE)</f>
        <v>0</v>
      </c>
      <c r="EN104" s="6">
        <f>SUMIF('Eredeti fejléccel'!$B:$B,'Felosztás eredménykim'!$B104,'Eredeti fejléccel'!$CF:$CF)</f>
        <v>0</v>
      </c>
      <c r="EP104" s="6">
        <f>SUMIF('Eredeti fejléccel'!$B:$B,'Felosztás eredménykim'!$B104,'Eredeti fejléccel'!$CG:$CG)</f>
        <v>0</v>
      </c>
      <c r="ES104" s="6">
        <f>SUMIF('Eredeti fejléccel'!$B:$B,'Felosztás eredménykim'!$B104,'Eredeti fejléccel'!$CH:$CH)</f>
        <v>0</v>
      </c>
      <c r="ET104" s="6">
        <f>SUMIF('Eredeti fejléccel'!$B:$B,'Felosztás eredménykim'!$B104,'Eredeti fejléccel'!$CI:$CI)</f>
        <v>0</v>
      </c>
      <c r="EW104" s="8">
        <f t="shared" si="118"/>
        <v>0</v>
      </c>
      <c r="EX104" s="8">
        <f t="shared" si="78"/>
        <v>0</v>
      </c>
      <c r="EY104" s="8">
        <f t="shared" si="119"/>
        <v>148060</v>
      </c>
      <c r="EZ104" s="8">
        <f t="shared" si="120"/>
        <v>148060</v>
      </c>
      <c r="FA104" s="8">
        <f t="shared" si="121"/>
        <v>148060</v>
      </c>
      <c r="FC104" s="6">
        <f>SUMIF('Eredeti fejléccel'!$B:$B,'Felosztás eredménykim'!$B104,'Eredeti fejléccel'!$L:$L)</f>
        <v>0</v>
      </c>
      <c r="FD104" s="6">
        <f>SUMIF('Eredeti fejléccel'!$B:$B,'Felosztás eredménykim'!$B104,'Eredeti fejléccel'!$CJ:$CJ)</f>
        <v>0</v>
      </c>
      <c r="FE104" s="6">
        <f>SUMIF('Eredeti fejléccel'!$B:$B,'Felosztás eredménykim'!$B104,'Eredeti fejléccel'!$CL:$CL)</f>
        <v>0</v>
      </c>
      <c r="FG104" s="99">
        <f t="shared" si="79"/>
        <v>0</v>
      </c>
      <c r="FH104" s="6">
        <f>SUMIF('Eredeti fejléccel'!$B:$B,'Felosztás eredménykim'!$B104,'Eredeti fejléccel'!$CK:$CK)</f>
        <v>0</v>
      </c>
      <c r="FI104" s="36">
        <f t="shared" si="145"/>
        <v>65252.300822118617</v>
      </c>
      <c r="FJ104" s="101">
        <f t="shared" si="104"/>
        <v>0</v>
      </c>
      <c r="FK104" s="6">
        <f>SUMIF('Eredeti fejléccel'!$B:$B,'Felosztás eredménykim'!$B104,'Eredeti fejléccel'!$CM:$CM)</f>
        <v>0</v>
      </c>
      <c r="FL104" s="6">
        <f>SUMIF('Eredeti fejléccel'!$B:$B,'Felosztás eredménykim'!$B104,'Eredeti fejléccel'!$CN:$CN)</f>
        <v>0</v>
      </c>
      <c r="FM104" s="8">
        <f t="shared" si="80"/>
        <v>0</v>
      </c>
      <c r="FN104" s="36">
        <f t="shared" si="146"/>
        <v>55475.160596857691</v>
      </c>
      <c r="FO104" s="101">
        <f t="shared" si="106"/>
        <v>0</v>
      </c>
      <c r="FP104" s="6">
        <f>SUMIF('Eredeti fejléccel'!$B:$B,'Felosztás eredménykim'!$B104,'Eredeti fejléccel'!$CO:$CO)</f>
        <v>0</v>
      </c>
      <c r="FQ104" s="6">
        <f>'Eredeti fejléccel'!CP104</f>
        <v>0</v>
      </c>
      <c r="FR104" s="6">
        <f>'Eredeti fejléccel'!CQ104</f>
        <v>0</v>
      </c>
      <c r="FS104" s="103">
        <f t="shared" si="122"/>
        <v>0</v>
      </c>
      <c r="FT104" s="36">
        <f t="shared" si="147"/>
        <v>153127.61953772424</v>
      </c>
      <c r="FU104" s="101">
        <f t="shared" si="108"/>
        <v>0</v>
      </c>
      <c r="FV104" s="101"/>
      <c r="FW104" s="6">
        <f>SUMIF('Eredeti fejléccel'!$B:$B,'Felosztás eredménykim'!$B104,'Eredeti fejléccel'!$CR:$CR)</f>
        <v>0</v>
      </c>
      <c r="FX104" s="6">
        <f>SUMIF('Eredeti fejléccel'!$B:$B,'Felosztás eredménykim'!$B104,'Eredeti fejléccel'!$CS:$CS)</f>
        <v>0</v>
      </c>
      <c r="FY104" s="6">
        <f>SUMIF('Eredeti fejléccel'!$B:$B,'Felosztás eredménykim'!$B104,'Eredeti fejléccel'!$CT:$CT)</f>
        <v>0</v>
      </c>
      <c r="FZ104" s="6">
        <f>SUMIF('Eredeti fejléccel'!$B:$B,'Felosztás eredménykim'!$B104,'Eredeti fejléccel'!$CU:$CU)</f>
        <v>0</v>
      </c>
      <c r="GA104" s="103">
        <f t="shared" si="81"/>
        <v>0</v>
      </c>
      <c r="GB104" s="36">
        <f t="shared" si="148"/>
        <v>20410.672295070279</v>
      </c>
      <c r="GC104" s="101">
        <f t="shared" si="110"/>
        <v>0</v>
      </c>
      <c r="GD104" s="6">
        <f>SUMIF('Eredeti fejléccel'!$B:$B,'Felosztás eredménykim'!$B104,'Eredeti fejléccel'!$CV:$CV)</f>
        <v>0</v>
      </c>
      <c r="GE104" s="6">
        <f>SUMIF('Eredeti fejléccel'!$B:$B,'Felosztás eredménykim'!$B104,'Eredeti fejléccel'!$CW:$CW)</f>
        <v>0</v>
      </c>
      <c r="GF104" s="103">
        <f t="shared" si="82"/>
        <v>0</v>
      </c>
      <c r="GG104" s="36">
        <f t="shared" si="111"/>
        <v>0</v>
      </c>
      <c r="GM104" s="6">
        <f>SUMIF('Eredeti fejléccel'!$B:$B,'Felosztás eredménykim'!$B104,'Eredeti fejléccel'!$CX:$CX)</f>
        <v>0</v>
      </c>
      <c r="GN104" s="6">
        <f>SUMIF('Eredeti fejléccel'!$B:$B,'Felosztás eredménykim'!$B104,'Eredeti fejléccel'!$CY:$CY)</f>
        <v>0</v>
      </c>
      <c r="GO104" s="6">
        <f>SUMIF('Eredeti fejléccel'!$B:$B,'Felosztás eredménykim'!$B104,'Eredeti fejléccel'!$CZ:$CZ)</f>
        <v>0</v>
      </c>
      <c r="GP104" s="6">
        <f>SUMIF('Eredeti fejléccel'!$B:$B,'Felosztás eredménykim'!$B104,'Eredeti fejléccel'!$DA:$DA)</f>
        <v>0</v>
      </c>
      <c r="GQ104" s="6">
        <f>SUMIF('Eredeti fejléccel'!$B:$B,'Felosztás eredménykim'!$B104,'Eredeti fejléccel'!$DB:$DB)</f>
        <v>0</v>
      </c>
      <c r="GR104" s="103">
        <f t="shared" si="83"/>
        <v>0</v>
      </c>
      <c r="GW104" s="36">
        <f t="shared" si="112"/>
        <v>35037.12556342563</v>
      </c>
      <c r="GX104" s="6">
        <f>SUMIF('Eredeti fejléccel'!$B:$B,'Felosztás eredménykim'!$B104,'Eredeti fejléccel'!$M:$M)</f>
        <v>0</v>
      </c>
      <c r="GY104" s="6">
        <f>SUMIF('Eredeti fejléccel'!$B:$B,'Felosztás eredménykim'!$B104,'Eredeti fejléccel'!$DC:$DC)</f>
        <v>0</v>
      </c>
      <c r="GZ104" s="6">
        <f>SUMIF('Eredeti fejléccel'!$B:$B,'Felosztás eredménykim'!$B104,'Eredeti fejléccel'!$DD:$DD)</f>
        <v>0</v>
      </c>
      <c r="HA104" s="6">
        <f>SUMIF('Eredeti fejléccel'!$B:$B,'Felosztás eredménykim'!$B104,'Eredeti fejléccel'!$DE:$DE)</f>
        <v>0</v>
      </c>
      <c r="HB104" s="103">
        <f t="shared" si="84"/>
        <v>0</v>
      </c>
      <c r="HD104" s="9">
        <f t="shared" si="137"/>
        <v>2692488.9999999991</v>
      </c>
      <c r="HE104" s="9">
        <v>2692489</v>
      </c>
      <c r="HF104" s="476"/>
      <c r="HH104" s="34">
        <f t="shared" si="85"/>
        <v>0</v>
      </c>
    </row>
    <row r="105" spans="1:232" s="209" customFormat="1" x14ac:dyDescent="0.25">
      <c r="A105" s="4" t="s">
        <v>212</v>
      </c>
      <c r="B105" s="208" t="s">
        <v>212</v>
      </c>
      <c r="C105" s="209" t="s">
        <v>213</v>
      </c>
      <c r="D105" s="6">
        <f>SUMIF('Eredeti fejléccel'!$B:$B,'Felosztás eredménykim'!$B105,'Eredeti fejléccel'!$D:$D)</f>
        <v>0</v>
      </c>
      <c r="E105" s="6">
        <f>SUMIF('Eredeti fejléccel'!$B:$B,'Felosztás eredménykim'!$B105,'Eredeti fejléccel'!$E:$E)</f>
        <v>147000</v>
      </c>
      <c r="F105" s="6">
        <f>SUMIF('Eredeti fejléccel'!$B:$B,'Felosztás eredménykim'!$B105,'Eredeti fejléccel'!$F:$F)</f>
        <v>0</v>
      </c>
      <c r="G105" s="6">
        <f>SUMIF('Eredeti fejléccel'!$B:$B,'Felosztás eredménykim'!$B105,'Eredeti fejléccel'!$G:$G)</f>
        <v>0</v>
      </c>
      <c r="H105" s="6"/>
      <c r="I105" s="6">
        <f>SUMIF('Eredeti fejléccel'!$B:$B,'Felosztás eredménykim'!$B105,'Eredeti fejléccel'!$O:$O)</f>
        <v>357000</v>
      </c>
      <c r="J105" s="6">
        <f>SUMIF('Eredeti fejléccel'!$B:$B,'Felosztás eredménykim'!$B105,'Eredeti fejléccel'!$P:$P)</f>
        <v>0</v>
      </c>
      <c r="K105" s="6">
        <f>SUMIF('Eredeti fejléccel'!$B:$B,'Felosztás eredménykim'!$B105,'Eredeti fejléccel'!$Q:$Q)</f>
        <v>0</v>
      </c>
      <c r="L105" s="6">
        <f>SUMIF('Eredeti fejléccel'!$B:$B,'Felosztás eredménykim'!$B105,'Eredeti fejléccel'!$R:$R)</f>
        <v>441000</v>
      </c>
      <c r="M105" s="6">
        <f>SUMIF('Eredeti fejléccel'!$B:$B,'Felosztás eredménykim'!$B105,'Eredeti fejléccel'!$T:$T)</f>
        <v>0</v>
      </c>
      <c r="N105" s="6">
        <f>SUMIF('Eredeti fejléccel'!$B:$B,'Felosztás eredménykim'!$B105,'Eredeti fejléccel'!$U:$U)</f>
        <v>0</v>
      </c>
      <c r="O105" s="6">
        <f>SUMIF('Eredeti fejléccel'!$B:$B,'Felosztás eredménykim'!$B105,'Eredeti fejléccel'!$V:$V)</f>
        <v>735000</v>
      </c>
      <c r="P105" s="6">
        <f>SUMIF('Eredeti fejléccel'!$B:$B,'Felosztás eredménykim'!$B105,'Eredeti fejléccel'!$W:$W)</f>
        <v>126000</v>
      </c>
      <c r="Q105" s="6">
        <f>SUMIF('Eredeti fejléccel'!$B:$B,'Felosztás eredménykim'!$B105,'Eredeti fejléccel'!$X:$X)</f>
        <v>588000</v>
      </c>
      <c r="R105" s="6">
        <f>SUMIF('Eredeti fejléccel'!$B:$B,'Felosztás eredménykim'!$B105,'Eredeti fejléccel'!$Y:$Y)</f>
        <v>0</v>
      </c>
      <c r="S105" s="6">
        <f>SUMIF('Eredeti fejléccel'!$B:$B,'Felosztás eredménykim'!$B105,'Eredeti fejléccel'!$Z:$Z)</f>
        <v>199500</v>
      </c>
      <c r="T105" s="6">
        <f>SUMIF('Eredeti fejléccel'!$B:$B,'Felosztás eredménykim'!$B105,'Eredeti fejléccel'!$AA:$AA)</f>
        <v>0</v>
      </c>
      <c r="U105" s="6">
        <f>SUMIF('Eredeti fejléccel'!$B:$B,'Felosztás eredménykim'!$B105,'Eredeti fejléccel'!$D:$D)</f>
        <v>0</v>
      </c>
      <c r="V105" s="6">
        <f>SUMIF('Eredeti fejléccel'!$B:$B,'Felosztás eredménykim'!$B105,'Eredeti fejléccel'!$AT:$AT)</f>
        <v>371000</v>
      </c>
      <c r="W105" s="212"/>
      <c r="X105" s="212">
        <f t="shared" si="86"/>
        <v>2964500</v>
      </c>
      <c r="Y105" s="212"/>
      <c r="Z105" s="6">
        <f>SUMIF('Eredeti fejléccel'!$B:$B,'Felosztás eredménykim'!$B105,'Eredeti fejléccel'!$K:$K)</f>
        <v>31500</v>
      </c>
      <c r="AA105" s="210"/>
      <c r="AB105" s="6">
        <f>SUMIF('Eredeti fejléccel'!$B:$B,'Felosztás eredménykim'!$B105,'Eredeti fejléccel'!$AB:$AB)</f>
        <v>0</v>
      </c>
      <c r="AC105" s="6">
        <f>SUMIF('Eredeti fejléccel'!$B:$B,'Felosztás eredménykim'!$B105,'Eredeti fejléccel'!$AQ:$AQ)</f>
        <v>0</v>
      </c>
      <c r="AD105" s="213"/>
      <c r="AE105" s="73">
        <f t="shared" si="131"/>
        <v>31500</v>
      </c>
      <c r="AF105" s="36">
        <f t="shared" si="138"/>
        <v>353648.96482787788</v>
      </c>
      <c r="AG105" s="8">
        <f t="shared" si="88"/>
        <v>10043.600751274482</v>
      </c>
      <c r="AH105" s="6"/>
      <c r="AI105" s="6">
        <f>SUMIF('Eredeti fejléccel'!$B:$B,'Felosztás eredménykim'!$B105,'Eredeti fejléccel'!$BB:$BB)</f>
        <v>133000</v>
      </c>
      <c r="AJ105" s="6">
        <f>SUMIF('Eredeti fejléccel'!$B:$B,'Felosztás eredménykim'!$B105,'Eredeti fejléccel'!$AF:$AF)</f>
        <v>0</v>
      </c>
      <c r="AK105" s="211">
        <f t="shared" si="73"/>
        <v>143043.60075127447</v>
      </c>
      <c r="AL105" s="36">
        <f t="shared" si="139"/>
        <v>140467.58322476162</v>
      </c>
      <c r="AM105" s="8">
        <f t="shared" si="90"/>
        <v>3989.2675073785881</v>
      </c>
      <c r="AN105" s="6">
        <f t="shared" si="123"/>
        <v>0</v>
      </c>
      <c r="AO105" s="6">
        <f>SUMIF('Eredeti fejléccel'!$B:$B,'Felosztás eredménykim'!$B105,'Eredeti fejléccel'!$AC:$AC)</f>
        <v>0</v>
      </c>
      <c r="AP105" s="6">
        <f>SUMIF('Eredeti fejléccel'!$B:$B,'Felosztás eredménykim'!$B105,'Eredeti fejléccel'!$AD:$AD)</f>
        <v>0</v>
      </c>
      <c r="AQ105" s="6">
        <f>SUMIF('Eredeti fejléccel'!$B:$B,'Felosztás eredménykim'!$B105,'Eredeti fejléccel'!$AE:$AE)</f>
        <v>0</v>
      </c>
      <c r="AR105" s="6">
        <f>SUMIF('Eredeti fejléccel'!$B:$B,'Felosztás eredménykim'!$B105,'Eredeti fejléccel'!$AG:$AG)</f>
        <v>1375500</v>
      </c>
      <c r="AS105" s="6">
        <f t="shared" si="124"/>
        <v>1379489.2675073785</v>
      </c>
      <c r="AT105" s="36">
        <f t="shared" si="140"/>
        <v>228160.62246959866</v>
      </c>
      <c r="AU105" s="8">
        <f t="shared" si="92"/>
        <v>6479.7424201770855</v>
      </c>
      <c r="AV105" s="6">
        <f>SUMIF('Eredeti fejléccel'!$B:$B,'Felosztás eredménykim'!$B105,'Eredeti fejléccel'!$AI:$AI)</f>
        <v>0</v>
      </c>
      <c r="AW105" s="6">
        <f>SUMIF('Eredeti fejléccel'!$B:$B,'Felosztás eredménykim'!$B105,'Eredeti fejléccel'!$AJ:$AJ)</f>
        <v>0</v>
      </c>
      <c r="AX105" s="6">
        <f>SUMIF('Eredeti fejléccel'!$B:$B,'Felosztás eredménykim'!$B105,'Eredeti fejléccel'!$AK:$AK)</f>
        <v>0</v>
      </c>
      <c r="AY105" s="6">
        <f>SUMIF('Eredeti fejléccel'!$B:$B,'Felosztás eredménykim'!$B105,'Eredeti fejléccel'!$AL:$AL)</f>
        <v>0</v>
      </c>
      <c r="AZ105" s="6">
        <f>SUMIF('Eredeti fejléccel'!$B:$B,'Felosztás eredménykim'!$B105,'Eredeti fejléccel'!$AM:$AM)</f>
        <v>10500</v>
      </c>
      <c r="BA105" s="6">
        <f>SUMIF('Eredeti fejléccel'!$B:$B,'Felosztás eredménykim'!$B105,'Eredeti fejléccel'!$AN:$AN)</f>
        <v>0</v>
      </c>
      <c r="BB105" s="6">
        <f>SUMIF('Eredeti fejléccel'!$B:$B,'Felosztás eredménykim'!$B105,'Eredeti fejléccel'!$AP:$AP)</f>
        <v>0</v>
      </c>
      <c r="BC105" s="210"/>
      <c r="BD105" s="6">
        <f>SUMIF('Eredeti fejléccel'!$B:$B,'Felosztás eredménykim'!$B105,'Eredeti fejléccel'!$AS:$AS)</f>
        <v>0</v>
      </c>
      <c r="BE105" s="211">
        <f t="shared" si="74"/>
        <v>16979.742420177085</v>
      </c>
      <c r="BF105" s="36">
        <f t="shared" si="141"/>
        <v>59520.162383373558</v>
      </c>
      <c r="BG105" s="8">
        <f t="shared" si="94"/>
        <v>1690.3675878722831</v>
      </c>
      <c r="BH105" s="6">
        <f t="shared" si="125"/>
        <v>0</v>
      </c>
      <c r="BI105" s="6">
        <f>SUMIF('Eredeti fejléccel'!$B:$B,'Felosztás eredménykim'!$B105,'Eredeti fejléccel'!$AH:$AH)</f>
        <v>717500</v>
      </c>
      <c r="BJ105" s="6">
        <f>SUMIF('Eredeti fejléccel'!$B:$B,'Felosztás eredménykim'!$B105,'Eredeti fejléccel'!$AO:$AO)</f>
        <v>0</v>
      </c>
      <c r="BK105" s="6">
        <f>SUMIF('Eredeti fejléccel'!$B:$B,'Felosztás eredménykim'!$B105,'Eredeti fejléccel'!$BF:$BF)</f>
        <v>0</v>
      </c>
      <c r="BL105" s="8">
        <f t="shared" si="126"/>
        <v>719190.36758787232</v>
      </c>
      <c r="BM105" s="36">
        <f t="shared" si="142"/>
        <v>223002.20839637294</v>
      </c>
      <c r="BN105" s="8">
        <f t="shared" si="96"/>
        <v>6333.2438958948205</v>
      </c>
      <c r="BO105" s="211"/>
      <c r="BP105" s="8">
        <f t="shared" si="127"/>
        <v>0</v>
      </c>
      <c r="BQ105" s="6">
        <f>SUMIF('Eredeti fejléccel'!$B:$B,'Felosztás eredménykim'!$B105,'Eredeti fejléccel'!$N:$N)</f>
        <v>0</v>
      </c>
      <c r="BR105" s="6">
        <f>SUMIF('Eredeti fejléccel'!$B:$B,'Felosztás eredménykim'!$B105,'Eredeti fejléccel'!$S:$S)</f>
        <v>0</v>
      </c>
      <c r="BS105" s="210"/>
      <c r="BT105" s="6">
        <f>SUMIF('Eredeti fejléccel'!$B:$B,'Felosztás eredménykim'!$B105,'Eredeti fejléccel'!$AR:$AR)</f>
        <v>0</v>
      </c>
      <c r="BU105" s="6">
        <f>SUMIF('Eredeti fejléccel'!$B:$B,'Felosztás eredménykim'!$B105,'Eredeti fejléccel'!$AU:$AU)</f>
        <v>0</v>
      </c>
      <c r="BV105" s="6">
        <f>SUMIF('Eredeti fejléccel'!$B:$B,'Felosztás eredménykim'!$B105,'Eredeti fejléccel'!$AV:$AV)</f>
        <v>84000</v>
      </c>
      <c r="BW105" s="6">
        <f>SUMIF('Eredeti fejléccel'!$B:$B,'Felosztás eredménykim'!$B105,'Eredeti fejléccel'!$AW:$AW)</f>
        <v>0</v>
      </c>
      <c r="BX105" s="6">
        <f>SUMIF('Eredeti fejléccel'!$B:$B,'Felosztás eredménykim'!$B105,'Eredeti fejléccel'!$AX:$AX)</f>
        <v>0</v>
      </c>
      <c r="BY105" s="6">
        <f>SUMIF('Eredeti fejléccel'!$B:$B,'Felosztás eredménykim'!$B105,'Eredeti fejléccel'!$AY:$AY)</f>
        <v>0</v>
      </c>
      <c r="BZ105" s="6">
        <f>SUMIF('Eredeti fejléccel'!$B:$B,'Felosztás eredménykim'!$B105,'Eredeti fejléccel'!$AZ:$AZ)</f>
        <v>0</v>
      </c>
      <c r="CA105" s="6">
        <f>SUMIF('Eredeti fejléccel'!$B:$B,'Felosztás eredménykim'!$B105,'Eredeti fejléccel'!$BA:$BA)</f>
        <v>2318050</v>
      </c>
      <c r="CB105" s="210">
        <f t="shared" si="114"/>
        <v>2408383.2438958948</v>
      </c>
      <c r="CC105" s="36">
        <f t="shared" si="143"/>
        <v>60710.565631041027</v>
      </c>
      <c r="CD105" s="8">
        <f t="shared" si="98"/>
        <v>1724.1749396297289</v>
      </c>
      <c r="CE105" s="6">
        <f>SUMIF('Eredeti fejléccel'!$B:$B,'Felosztás eredménykim'!$B105,'Eredeti fejléccel'!$BC:$BC)</f>
        <v>0</v>
      </c>
      <c r="CF105" s="211">
        <f t="shared" si="135"/>
        <v>0</v>
      </c>
      <c r="CG105" s="6">
        <f>SUMIF('Eredeti fejléccel'!$B:$B,'Felosztás eredménykim'!$B105,'Eredeti fejléccel'!$H:$H)</f>
        <v>0</v>
      </c>
      <c r="CH105" s="6">
        <f>SUMIF('Eredeti fejléccel'!$B:$B,'Felosztás eredménykim'!$B105,'Eredeti fejléccel'!$BE:$BE)</f>
        <v>588000</v>
      </c>
      <c r="CI105" s="210">
        <f t="shared" si="75"/>
        <v>589724.17493962974</v>
      </c>
      <c r="CJ105" s="36">
        <f t="shared" si="144"/>
        <v>43648.11908114062</v>
      </c>
      <c r="CK105" s="211">
        <f t="shared" si="100"/>
        <v>1239.6028977730077</v>
      </c>
      <c r="CL105" s="211">
        <f t="shared" si="136"/>
        <v>0</v>
      </c>
      <c r="CM105" s="6">
        <f>SUMIF('Eredeti fejléccel'!$B:$B,'Felosztás eredménykim'!$B105,'Eredeti fejléccel'!$BD:$BD)</f>
        <v>259000</v>
      </c>
      <c r="CN105" s="211">
        <f t="shared" si="76"/>
        <v>260239.602897773</v>
      </c>
      <c r="CO105" s="211">
        <f t="shared" si="115"/>
        <v>6626208.2260141652</v>
      </c>
      <c r="CP105" s="211"/>
      <c r="CQ105" s="211"/>
      <c r="CR105" s="212">
        <f t="shared" si="101"/>
        <v>262185.49581455247</v>
      </c>
      <c r="CS105" s="6">
        <f>SUMIF('Eredeti fejléccel'!$B:$B,'Felosztás eredménykim'!$B105,'Eredeti fejléccel'!$I:$I)</f>
        <v>0</v>
      </c>
      <c r="CT105" s="6">
        <f>SUMIF('Eredeti fejléccel'!$B:$B,'Felosztás eredménykim'!$B105,'Eredeti fejléccel'!$BG:$BG)</f>
        <v>0</v>
      </c>
      <c r="CU105" s="6">
        <f>SUMIF('Eredeti fejléccel'!$B:$B,'Felosztás eredménykim'!$B105,'Eredeti fejléccel'!$BH:$BH)</f>
        <v>0</v>
      </c>
      <c r="CV105" s="6">
        <f>SUMIF('Eredeti fejléccel'!$B:$B,'Felosztás eredménykim'!$B105,'Eredeti fejléccel'!$BI:$BI)</f>
        <v>0</v>
      </c>
      <c r="CW105" s="6">
        <f>SUMIF('Eredeti fejléccel'!$B:$B,'Felosztás eredménykim'!$B105,'Eredeti fejléccel'!$BL:$BL)</f>
        <v>0</v>
      </c>
      <c r="CX105" s="210">
        <f t="shared" si="77"/>
        <v>0</v>
      </c>
      <c r="CY105" s="6">
        <f>SUMIF('Eredeti fejléccel'!$B:$B,'Felosztás eredménykim'!$B105,'Eredeti fejléccel'!$BJ:$BJ)</f>
        <v>0</v>
      </c>
      <c r="CZ105" s="6">
        <f>SUMIF('Eredeti fejléccel'!$B:$B,'Felosztás eredménykim'!$B105,'Eredeti fejléccel'!$BK:$BK)</f>
        <v>0</v>
      </c>
      <c r="DA105" s="99">
        <f t="shared" si="116"/>
        <v>0</v>
      </c>
      <c r="DB105" s="215"/>
      <c r="DC105" s="212">
        <f t="shared" si="102"/>
        <v>229638.989053445</v>
      </c>
      <c r="DD105" s="6">
        <f>SUMIF('Eredeti fejléccel'!$B:$B,'Felosztás eredménykim'!$B105,'Eredeti fejléccel'!$J:$J)</f>
        <v>0</v>
      </c>
      <c r="DE105" s="6">
        <f>SUMIF('Eredeti fejléccel'!$B:$B,'Felosztás eredménykim'!$B105,'Eredeti fejléccel'!$BM:$BM)</f>
        <v>0</v>
      </c>
      <c r="DF105" s="6">
        <f t="shared" si="128"/>
        <v>0</v>
      </c>
      <c r="DG105" s="211">
        <f t="shared" si="117"/>
        <v>0</v>
      </c>
      <c r="DH105" s="8">
        <f t="shared" si="129"/>
        <v>0</v>
      </c>
      <c r="DI105" s="211"/>
      <c r="DJ105" s="6">
        <f>SUMIF('Eredeti fejléccel'!$B:$B,'Felosztás eredménykim'!$B105,'Eredeti fejléccel'!$BN:$BN)</f>
        <v>0</v>
      </c>
      <c r="DK105" s="6">
        <f>SUMIF('Eredeti fejléccel'!$B:$B,'Felosztás eredménykim'!$B105,'Eredeti fejléccel'!$BZ:$BZ)</f>
        <v>0</v>
      </c>
      <c r="DL105" s="8">
        <f t="shared" si="130"/>
        <v>0</v>
      </c>
      <c r="DM105" s="6">
        <f>SUMIF('Eredeti fejléccel'!$B:$B,'Felosztás eredménykim'!$B105,'Eredeti fejléccel'!$BR:$BR)</f>
        <v>0</v>
      </c>
      <c r="DN105" s="6">
        <f>SUMIF('Eredeti fejléccel'!$B:$B,'Felosztás eredménykim'!$B105,'Eredeti fejléccel'!$BS:$BS)</f>
        <v>0</v>
      </c>
      <c r="DO105" s="6">
        <f>SUMIF('Eredeti fejléccel'!$B:$B,'Felosztás eredménykim'!$B105,'Eredeti fejléccel'!$BO:$BO)</f>
        <v>0</v>
      </c>
      <c r="DP105" s="6">
        <f>SUMIF('Eredeti fejléccel'!$B:$B,'Felosztás eredménykim'!$B105,'Eredeti fejléccel'!$BP:$BP)</f>
        <v>0</v>
      </c>
      <c r="DQ105" s="6">
        <f>SUMIF('Eredeti fejléccel'!$B:$B,'Felosztás eredménykim'!$B105,'Eredeti fejléccel'!$BQ:$BQ)</f>
        <v>0</v>
      </c>
      <c r="DR105" s="210"/>
      <c r="DS105" s="211"/>
      <c r="DT105" s="210"/>
      <c r="DU105" s="6">
        <f>SUMIF('Eredeti fejléccel'!$B:$B,'Felosztás eredménykim'!$B105,'Eredeti fejléccel'!$BT:$BT)</f>
        <v>0</v>
      </c>
      <c r="DV105" s="6">
        <f>SUMIF('Eredeti fejléccel'!$B:$B,'Felosztás eredménykim'!$B105,'Eredeti fejléccel'!$BU:$BU)</f>
        <v>0</v>
      </c>
      <c r="DW105" s="6">
        <f>SUMIF('Eredeti fejléccel'!$B:$B,'Felosztás eredménykim'!$B105,'Eredeti fejléccel'!$BV:$BV)</f>
        <v>0</v>
      </c>
      <c r="DX105" s="6">
        <f>SUMIF('Eredeti fejléccel'!$B:$B,'Felosztás eredménykim'!$B105,'Eredeti fejléccel'!$BW:$BW)</f>
        <v>0</v>
      </c>
      <c r="DY105" s="6">
        <f>SUMIF('Eredeti fejléccel'!$B:$B,'Felosztás eredménykim'!$B105,'Eredeti fejléccel'!$BX:$BX)</f>
        <v>0</v>
      </c>
      <c r="DZ105" s="6"/>
      <c r="EA105" s="6"/>
      <c r="EB105" s="6"/>
      <c r="EC105" s="6"/>
      <c r="ED105" s="6"/>
      <c r="EE105" s="6">
        <f>SUMIF('Eredeti fejléccel'!$B:$B,'Felosztás eredménykim'!$B105,'Eredeti fejléccel'!$CA:$CA)</f>
        <v>0</v>
      </c>
      <c r="EF105" s="6">
        <f>SUMIF('Eredeti fejléccel'!$B:$B,'Felosztás eredménykim'!$B105,'Eredeti fejléccel'!$CB:$CB)</f>
        <v>0</v>
      </c>
      <c r="EG105" s="6">
        <f>SUMIF('Eredeti fejléccel'!$B:$B,'Felosztás eredménykim'!$B105,'Eredeti fejléccel'!$CC:$CC)</f>
        <v>0</v>
      </c>
      <c r="EH105" s="6">
        <f>SUMIF('Eredeti fejléccel'!$B:$B,'Felosztás eredménykim'!$B105,'Eredeti fejléccel'!$CD:$CD)</f>
        <v>0</v>
      </c>
      <c r="EI105" s="210"/>
      <c r="EJ105" s="211"/>
      <c r="EK105" s="6">
        <f>SUMIF('Eredeti fejléccel'!$B:$B,'Felosztás eredménykim'!$B105,'Eredeti fejléccel'!$CE:$CE)</f>
        <v>0</v>
      </c>
      <c r="EL105" s="211"/>
      <c r="EM105" s="210"/>
      <c r="EN105" s="6">
        <f>SUMIF('Eredeti fejléccel'!$B:$B,'Felosztás eredménykim'!$B105,'Eredeti fejléccel'!$CF:$CF)</f>
        <v>0</v>
      </c>
      <c r="EO105" s="210"/>
      <c r="EP105" s="6">
        <f>SUMIF('Eredeti fejléccel'!$B:$B,'Felosztás eredménykim'!$B105,'Eredeti fejléccel'!$CG:$CG)</f>
        <v>0</v>
      </c>
      <c r="EQ105" s="210"/>
      <c r="ER105" s="211"/>
      <c r="ES105" s="6">
        <f>SUMIF('Eredeti fejléccel'!$B:$B,'Felosztás eredménykim'!$B105,'Eredeti fejléccel'!$CH:$CH)</f>
        <v>0</v>
      </c>
      <c r="ET105" s="6">
        <f>SUMIF('Eredeti fejléccel'!$B:$B,'Felosztás eredménykim'!$B105,'Eredeti fejléccel'!$CI:$CI)</f>
        <v>0</v>
      </c>
      <c r="EU105" s="210"/>
      <c r="EV105" s="211"/>
      <c r="EW105" s="211">
        <f t="shared" si="118"/>
        <v>0</v>
      </c>
      <c r="EX105" s="211">
        <f t="shared" si="78"/>
        <v>0</v>
      </c>
      <c r="EY105" s="211">
        <f t="shared" si="119"/>
        <v>0</v>
      </c>
      <c r="EZ105" s="211">
        <f t="shared" si="120"/>
        <v>0</v>
      </c>
      <c r="FA105" s="211">
        <f t="shared" si="121"/>
        <v>0</v>
      </c>
      <c r="FB105" s="211"/>
      <c r="FC105" s="6">
        <f>SUMIF('Eredeti fejléccel'!$B:$B,'Felosztás eredménykim'!$B105,'Eredeti fejléccel'!$L:$L)</f>
        <v>0</v>
      </c>
      <c r="FD105" s="6">
        <f>SUMIF('Eredeti fejléccel'!$B:$B,'Felosztás eredménykim'!$B105,'Eredeti fejléccel'!$CJ:$CJ)</f>
        <v>0</v>
      </c>
      <c r="FE105" s="6">
        <f>SUMIF('Eredeti fejléccel'!$B:$B,'Felosztás eredménykim'!$B105,'Eredeti fejléccel'!$CL:$CL)</f>
        <v>0</v>
      </c>
      <c r="FF105" s="213"/>
      <c r="FG105" s="214">
        <f t="shared" si="79"/>
        <v>0</v>
      </c>
      <c r="FH105" s="6">
        <f>SUMIF('Eredeti fejléccel'!$B:$B,'Felosztás eredménykim'!$B105,'Eredeti fejléccel'!$CK:$CK)</f>
        <v>0</v>
      </c>
      <c r="FI105" s="36">
        <f t="shared" si="145"/>
        <v>270184.82390980818</v>
      </c>
      <c r="FJ105" s="216">
        <f t="shared" si="104"/>
        <v>0</v>
      </c>
      <c r="FK105" s="6">
        <f>SUMIF('Eredeti fejléccel'!$B:$B,'Felosztás eredménykim'!$B105,'Eredeti fejléccel'!$CM:$CM)</f>
        <v>0</v>
      </c>
      <c r="FL105" s="6">
        <f>SUMIF('Eredeti fejléccel'!$B:$B,'Felosztás eredménykim'!$B105,'Eredeti fejléccel'!$CN:$CN)</f>
        <v>0</v>
      </c>
      <c r="FM105" s="211">
        <f t="shared" si="80"/>
        <v>0</v>
      </c>
      <c r="FN105" s="36">
        <f t="shared" si="146"/>
        <v>229701.42521242172</v>
      </c>
      <c r="FO105" s="216">
        <f t="shared" si="106"/>
        <v>0</v>
      </c>
      <c r="FP105" s="6">
        <f>SUMIF('Eredeti fejléccel'!$B:$B,'Felosztás eredménykim'!$B105,'Eredeti fejléccel'!$CO:$CO)</f>
        <v>0</v>
      </c>
      <c r="FQ105" s="6">
        <f>'Eredeti fejléccel'!CP105</f>
        <v>0</v>
      </c>
      <c r="FR105" s="6">
        <f>'Eredeti fejléccel'!CQ105</f>
        <v>0</v>
      </c>
      <c r="FS105" s="103">
        <f t="shared" si="122"/>
        <v>0</v>
      </c>
      <c r="FT105" s="36">
        <f t="shared" si="147"/>
        <v>634042.91341867868</v>
      </c>
      <c r="FU105" s="216">
        <f t="shared" si="108"/>
        <v>0</v>
      </c>
      <c r="FV105" s="216"/>
      <c r="FW105" s="6">
        <f>SUMIF('Eredeti fejléccel'!$B:$B,'Felosztás eredménykim'!$B105,'Eredeti fejléccel'!$CR:$CR)</f>
        <v>115500</v>
      </c>
      <c r="FX105" s="6">
        <f>SUMIF('Eredeti fejléccel'!$B:$B,'Felosztás eredménykim'!$B105,'Eredeti fejléccel'!$CS:$CS)</f>
        <v>0</v>
      </c>
      <c r="FY105" s="6">
        <f>SUMIF('Eredeti fejléccel'!$B:$B,'Felosztás eredménykim'!$B105,'Eredeti fejléccel'!$CT:$CT)</f>
        <v>0</v>
      </c>
      <c r="FZ105" s="6">
        <f>SUMIF('Eredeti fejléccel'!$B:$B,'Felosztás eredménykim'!$B105,'Eredeti fejléccel'!$CU:$CU)</f>
        <v>0</v>
      </c>
      <c r="GA105" s="217">
        <f t="shared" si="81"/>
        <v>115500</v>
      </c>
      <c r="GB105" s="36">
        <f t="shared" si="148"/>
        <v>84512.788521551382</v>
      </c>
      <c r="GC105" s="216">
        <f t="shared" si="110"/>
        <v>0</v>
      </c>
      <c r="GD105" s="210">
        <f>SUMIF('Eredeti fejléccel'!$B:$B,'Felosztás eredménykim'!$B105,'Eredeti fejléccel'!$CV:$CV)</f>
        <v>0</v>
      </c>
      <c r="GE105" s="6">
        <f>SUMIF('Eredeti fejléccel'!$B:$B,'Felosztás eredménykim'!$B105,'Eredeti fejléccel'!$CW:$CW)</f>
        <v>0</v>
      </c>
      <c r="GF105" s="217">
        <f t="shared" si="82"/>
        <v>0</v>
      </c>
      <c r="GG105" s="212">
        <f t="shared" si="111"/>
        <v>0</v>
      </c>
      <c r="GH105" s="210"/>
      <c r="GI105" s="211"/>
      <c r="GJ105" s="210"/>
      <c r="GK105" s="211"/>
      <c r="GL105" s="210"/>
      <c r="GM105" s="6">
        <f>SUMIF('Eredeti fejléccel'!$B:$B,'Felosztás eredménykim'!$B105,'Eredeti fejléccel'!$CX:$CX)</f>
        <v>0</v>
      </c>
      <c r="GN105" s="6">
        <f>SUMIF('Eredeti fejléccel'!$B:$B,'Felosztás eredménykim'!$B105,'Eredeti fejléccel'!$CY:$CY)</f>
        <v>0</v>
      </c>
      <c r="GO105" s="6">
        <f>SUMIF('Eredeti fejléccel'!$B:$B,'Felosztás eredménykim'!$B105,'Eredeti fejléccel'!$CZ:$CZ)</f>
        <v>0</v>
      </c>
      <c r="GP105" s="6">
        <f>SUMIF('Eredeti fejléccel'!$B:$B,'Felosztás eredménykim'!$B105,'Eredeti fejléccel'!$DA:$DA)</f>
        <v>0</v>
      </c>
      <c r="GQ105" s="6">
        <f>SUMIF('Eredeti fejléccel'!$B:$B,'Felosztás eredménykim'!$B105,'Eredeti fejléccel'!$DB:$DB)</f>
        <v>0</v>
      </c>
      <c r="GR105" s="217">
        <f t="shared" si="83"/>
        <v>0</v>
      </c>
      <c r="GS105" s="211"/>
      <c r="GT105" s="211"/>
      <c r="GU105" s="211"/>
      <c r="GV105" s="211"/>
      <c r="GW105" s="212">
        <f t="shared" si="112"/>
        <v>145075.33805537669</v>
      </c>
      <c r="GX105" s="6">
        <f>SUMIF('Eredeti fejléccel'!$B:$B,'Felosztás eredménykim'!$B105,'Eredeti fejléccel'!$M:$M)</f>
        <v>0</v>
      </c>
      <c r="GY105" s="6">
        <f>SUMIF('Eredeti fejléccel'!$B:$B,'Felosztás eredménykim'!$B105,'Eredeti fejléccel'!$DC:$DC)</f>
        <v>0</v>
      </c>
      <c r="GZ105" s="6">
        <f>SUMIF('Eredeti fejléccel'!$B:$B,'Felosztás eredménykim'!$B105,'Eredeti fejléccel'!$DD:$DD)</f>
        <v>0</v>
      </c>
      <c r="HA105" s="6">
        <f>SUMIF('Eredeti fejléccel'!$B:$B,'Felosztás eredménykim'!$B105,'Eredeti fejléccel'!$DE:$DE)</f>
        <v>0</v>
      </c>
      <c r="HB105" s="217">
        <f t="shared" si="84"/>
        <v>0</v>
      </c>
      <c r="HC105" s="211"/>
      <c r="HD105" s="218">
        <f t="shared" si="137"/>
        <v>8597050.0000000056</v>
      </c>
      <c r="HE105" s="9">
        <v>8597050</v>
      </c>
      <c r="HF105" s="476"/>
      <c r="HG105" s="219"/>
      <c r="HH105" s="220">
        <f t="shared" si="85"/>
        <v>0</v>
      </c>
      <c r="HI105" s="219"/>
      <c r="HJ105" s="219"/>
      <c r="HK105" s="219"/>
      <c r="HL105" s="219"/>
      <c r="HM105" s="219"/>
      <c r="HN105" s="219"/>
      <c r="HO105" s="219"/>
      <c r="HP105" s="219"/>
      <c r="HQ105" s="219"/>
      <c r="HR105" s="219"/>
      <c r="HS105" s="219"/>
      <c r="HT105" s="219"/>
      <c r="HU105" s="219"/>
      <c r="HV105" s="219"/>
      <c r="HW105" s="219"/>
      <c r="HX105" s="219"/>
    </row>
    <row r="106" spans="1:232" s="209" customFormat="1" x14ac:dyDescent="0.25">
      <c r="A106" s="4" t="s">
        <v>214</v>
      </c>
      <c r="B106" s="208" t="s">
        <v>214</v>
      </c>
      <c r="C106" s="209" t="s">
        <v>215</v>
      </c>
      <c r="D106" s="6">
        <f>SUMIF('Eredeti fejléccel'!$B:$B,'Felosztás eredménykim'!$B106,'Eredeti fejléccel'!$D:$D)</f>
        <v>0</v>
      </c>
      <c r="E106" s="6">
        <f>SUMIF('Eredeti fejléccel'!$B:$B,'Felosztás eredménykim'!$B106,'Eredeti fejléccel'!$E:$E)</f>
        <v>225564</v>
      </c>
      <c r="F106" s="6">
        <f>SUMIF('Eredeti fejléccel'!$B:$B,'Felosztás eredménykim'!$B106,'Eredeti fejléccel'!$F:$F)</f>
        <v>0</v>
      </c>
      <c r="G106" s="6">
        <f>SUMIF('Eredeti fejléccel'!$B:$B,'Felosztás eredménykim'!$B106,'Eredeti fejléccel'!$G:$G)</f>
        <v>0</v>
      </c>
      <c r="H106" s="6"/>
      <c r="I106" s="6">
        <f>SUMIF('Eredeti fejléccel'!$B:$B,'Felosztás eredménykim'!$B106,'Eredeti fejléccel'!$O:$O)</f>
        <v>0</v>
      </c>
      <c r="J106" s="6">
        <f>SUMIF('Eredeti fejléccel'!$B:$B,'Felosztás eredménykim'!$B106,'Eredeti fejléccel'!$P:$P)</f>
        <v>0</v>
      </c>
      <c r="K106" s="6">
        <f>SUMIF('Eredeti fejléccel'!$B:$B,'Felosztás eredménykim'!$B106,'Eredeti fejléccel'!$Q:$Q)</f>
        <v>0</v>
      </c>
      <c r="L106" s="6">
        <f>SUMIF('Eredeti fejléccel'!$B:$B,'Felosztás eredménykim'!$B106,'Eredeti fejléccel'!$R:$R)</f>
        <v>360904</v>
      </c>
      <c r="M106" s="6">
        <f>SUMIF('Eredeti fejléccel'!$B:$B,'Felosztás eredménykim'!$B106,'Eredeti fejléccel'!$T:$T)</f>
        <v>0</v>
      </c>
      <c r="N106" s="6">
        <f>SUMIF('Eredeti fejléccel'!$B:$B,'Felosztás eredménykim'!$B106,'Eredeti fejléccel'!$U:$U)</f>
        <v>0</v>
      </c>
      <c r="O106" s="6">
        <f>SUMIF('Eredeti fejléccel'!$B:$B,'Felosztás eredménykim'!$B106,'Eredeti fejléccel'!$V:$V)</f>
        <v>0</v>
      </c>
      <c r="P106" s="6">
        <f>SUMIF('Eredeti fejléccel'!$B:$B,'Felosztás eredménykim'!$B106,'Eredeti fejléccel'!$W:$W)</f>
        <v>0</v>
      </c>
      <c r="Q106" s="6">
        <f>SUMIF('Eredeti fejléccel'!$B:$B,'Felosztás eredménykim'!$B106,'Eredeti fejléccel'!$X:$X)</f>
        <v>0</v>
      </c>
      <c r="R106" s="6">
        <f>SUMIF('Eredeti fejléccel'!$B:$B,'Felosztás eredménykim'!$B106,'Eredeti fejléccel'!$Y:$Y)</f>
        <v>0</v>
      </c>
      <c r="S106" s="6">
        <f>SUMIF('Eredeti fejléccel'!$B:$B,'Felosztás eredménykim'!$B106,'Eredeti fejléccel'!$Z:$Z)</f>
        <v>0</v>
      </c>
      <c r="T106" s="6">
        <f>SUMIF('Eredeti fejléccel'!$B:$B,'Felosztás eredménykim'!$B106,'Eredeti fejléccel'!$AA:$AA)</f>
        <v>0</v>
      </c>
      <c r="U106" s="6">
        <f>SUMIF('Eredeti fejléccel'!$B:$B,'Felosztás eredménykim'!$B106,'Eredeti fejléccel'!$D:$D)</f>
        <v>0</v>
      </c>
      <c r="V106" s="6">
        <f>SUMIF('Eredeti fejléccel'!$B:$B,'Felosztás eredménykim'!$B106,'Eredeti fejléccel'!$AT:$AT)</f>
        <v>0</v>
      </c>
      <c r="W106" s="212"/>
      <c r="X106" s="212">
        <f t="shared" si="86"/>
        <v>586468</v>
      </c>
      <c r="Y106" s="212"/>
      <c r="Z106" s="6">
        <f>SUMIF('Eredeti fejléccel'!$B:$B,'Felosztás eredménykim'!$B106,'Eredeti fejléccel'!$K:$K)</f>
        <v>0</v>
      </c>
      <c r="AA106" s="210"/>
      <c r="AB106" s="6">
        <f>SUMIF('Eredeti fejléccel'!$B:$B,'Felosztás eredménykim'!$B106,'Eredeti fejléccel'!$AB:$AB)</f>
        <v>0</v>
      </c>
      <c r="AC106" s="6">
        <f>SUMIF('Eredeti fejléccel'!$B:$B,'Felosztás eredménykim'!$B106,'Eredeti fejléccel'!$AQ:$AQ)</f>
        <v>0</v>
      </c>
      <c r="AD106" s="213"/>
      <c r="AE106" s="73">
        <f t="shared" si="131"/>
        <v>0</v>
      </c>
      <c r="AF106" s="36">
        <f t="shared" si="138"/>
        <v>69962.489831228158</v>
      </c>
      <c r="AG106" s="8">
        <f t="shared" si="88"/>
        <v>0</v>
      </c>
      <c r="AH106" s="6"/>
      <c r="AI106" s="6">
        <f>SUMIF('Eredeti fejléccel'!$B:$B,'Felosztás eredménykim'!$B106,'Eredeti fejléccel'!$BB:$BB)</f>
        <v>0</v>
      </c>
      <c r="AJ106" s="6">
        <f>SUMIF('Eredeti fejléccel'!$B:$B,'Felosztás eredménykim'!$B106,'Eredeti fejléccel'!$AF:$AF)</f>
        <v>0</v>
      </c>
      <c r="AK106" s="211">
        <f t="shared" si="73"/>
        <v>0</v>
      </c>
      <c r="AL106" s="36">
        <f t="shared" si="139"/>
        <v>27788.747714170851</v>
      </c>
      <c r="AM106" s="8">
        <f t="shared" si="90"/>
        <v>0</v>
      </c>
      <c r="AN106" s="6">
        <f t="shared" si="123"/>
        <v>0</v>
      </c>
      <c r="AO106" s="6">
        <f>SUMIF('Eredeti fejléccel'!$B:$B,'Felosztás eredménykim'!$B106,'Eredeti fejléccel'!$AC:$AC)</f>
        <v>0</v>
      </c>
      <c r="AP106" s="6">
        <f>SUMIF('Eredeti fejléccel'!$B:$B,'Felosztás eredménykim'!$B106,'Eredeti fejléccel'!$AD:$AD)</f>
        <v>0</v>
      </c>
      <c r="AQ106" s="6">
        <f>SUMIF('Eredeti fejléccel'!$B:$B,'Felosztás eredménykim'!$B106,'Eredeti fejléccel'!$AE:$AE)</f>
        <v>0</v>
      </c>
      <c r="AR106" s="6">
        <f>SUMIF('Eredeti fejléccel'!$B:$B,'Felosztás eredménykim'!$B106,'Eredeti fejléccel'!$AG:$AG)</f>
        <v>0</v>
      </c>
      <c r="AS106" s="6">
        <f t="shared" si="124"/>
        <v>0</v>
      </c>
      <c r="AT106" s="36">
        <f t="shared" si="140"/>
        <v>45137.090213695592</v>
      </c>
      <c r="AU106" s="8">
        <f t="shared" si="92"/>
        <v>0</v>
      </c>
      <c r="AV106" s="6">
        <f>SUMIF('Eredeti fejléccel'!$B:$B,'Felosztás eredménykim'!$B106,'Eredeti fejléccel'!$AI:$AI)</f>
        <v>0</v>
      </c>
      <c r="AW106" s="6">
        <f>SUMIF('Eredeti fejléccel'!$B:$B,'Felosztás eredménykim'!$B106,'Eredeti fejléccel'!$AJ:$AJ)</f>
        <v>0</v>
      </c>
      <c r="AX106" s="6">
        <f>SUMIF('Eredeti fejléccel'!$B:$B,'Felosztás eredménykim'!$B106,'Eredeti fejléccel'!$AK:$AK)</f>
        <v>365418</v>
      </c>
      <c r="AY106" s="6">
        <f>SUMIF('Eredeti fejléccel'!$B:$B,'Felosztás eredménykim'!$B106,'Eredeti fejléccel'!$AL:$AL)</f>
        <v>0</v>
      </c>
      <c r="AZ106" s="6">
        <f>SUMIF('Eredeti fejléccel'!$B:$B,'Felosztás eredménykim'!$B106,'Eredeti fejléccel'!$AM:$AM)</f>
        <v>0</v>
      </c>
      <c r="BA106" s="6">
        <f>SUMIF('Eredeti fejléccel'!$B:$B,'Felosztás eredménykim'!$B106,'Eredeti fejléccel'!$AN:$AN)</f>
        <v>0</v>
      </c>
      <c r="BB106" s="6">
        <f>SUMIF('Eredeti fejléccel'!$B:$B,'Felosztás eredménykim'!$B106,'Eredeti fejléccel'!$AP:$AP)</f>
        <v>0</v>
      </c>
      <c r="BC106" s="210"/>
      <c r="BD106" s="6">
        <f>SUMIF('Eredeti fejléccel'!$B:$B,'Felosztás eredménykim'!$B106,'Eredeti fejléccel'!$AS:$AS)</f>
        <v>0</v>
      </c>
      <c r="BE106" s="211">
        <f t="shared" si="74"/>
        <v>365418</v>
      </c>
      <c r="BF106" s="36">
        <f t="shared" si="141"/>
        <v>11774.893099224937</v>
      </c>
      <c r="BG106" s="8">
        <f t="shared" si="94"/>
        <v>0</v>
      </c>
      <c r="BH106" s="6">
        <f t="shared" si="125"/>
        <v>0</v>
      </c>
      <c r="BI106" s="6">
        <f>SUMIF('Eredeti fejléccel'!$B:$B,'Felosztás eredménykim'!$B106,'Eredeti fejléccel'!$AH:$AH)</f>
        <v>406017</v>
      </c>
      <c r="BJ106" s="6">
        <f>SUMIF('Eredeti fejléccel'!$B:$B,'Felosztás eredménykim'!$B106,'Eredeti fejléccel'!$AO:$AO)</f>
        <v>0</v>
      </c>
      <c r="BK106" s="6">
        <f>SUMIF('Eredeti fejléccel'!$B:$B,'Felosztás eredménykim'!$B106,'Eredeti fejléccel'!$BF:$BF)</f>
        <v>0</v>
      </c>
      <c r="BL106" s="8">
        <f t="shared" si="126"/>
        <v>406017</v>
      </c>
      <c r="BM106" s="36">
        <f t="shared" si="142"/>
        <v>44116.599478429431</v>
      </c>
      <c r="BN106" s="8">
        <f t="shared" si="96"/>
        <v>0</v>
      </c>
      <c r="BO106" s="211">
        <f>612000/2</f>
        <v>306000</v>
      </c>
      <c r="BP106" s="8">
        <f t="shared" si="127"/>
        <v>0</v>
      </c>
      <c r="BQ106" s="6">
        <f>SUMIF('Eredeti fejléccel'!$B:$B,'Felosztás eredménykim'!$B106,'Eredeti fejléccel'!$N:$N)</f>
        <v>0</v>
      </c>
      <c r="BR106" s="6">
        <f>SUMIF('Eredeti fejléccel'!$B:$B,'Felosztás eredménykim'!$B106,'Eredeti fejléccel'!$S:$S)</f>
        <v>0</v>
      </c>
      <c r="BS106" s="210"/>
      <c r="BT106" s="6">
        <f>SUMIF('Eredeti fejléccel'!$B:$B,'Felosztás eredménykim'!$B106,'Eredeti fejléccel'!$AR:$AR)</f>
        <v>0</v>
      </c>
      <c r="BU106" s="6">
        <f>SUMIF('Eredeti fejléccel'!$B:$B,'Felosztás eredménykim'!$B106,'Eredeti fejléccel'!$AU:$AU)</f>
        <v>0</v>
      </c>
      <c r="BV106" s="6">
        <f>SUMIF('Eredeti fejléccel'!$B:$B,'Felosztás eredménykim'!$B106,'Eredeti fejléccel'!$AV:$AV)</f>
        <v>0</v>
      </c>
      <c r="BW106" s="6">
        <f>SUMIF('Eredeti fejléccel'!$B:$B,'Felosztás eredménykim'!$B106,'Eredeti fejléccel'!$AW:$AW)</f>
        <v>0</v>
      </c>
      <c r="BX106" s="6">
        <f>SUMIF('Eredeti fejléccel'!$B:$B,'Felosztás eredménykim'!$B106,'Eredeti fejléccel'!$AX:$AX)</f>
        <v>0</v>
      </c>
      <c r="BY106" s="6">
        <f>SUMIF('Eredeti fejléccel'!$B:$B,'Felosztás eredménykim'!$B106,'Eredeti fejléccel'!$AY:$AY)</f>
        <v>0</v>
      </c>
      <c r="BZ106" s="6">
        <f>SUMIF('Eredeti fejléccel'!$B:$B,'Felosztás eredménykim'!$B106,'Eredeti fejléccel'!$AZ:$AZ)</f>
        <v>0</v>
      </c>
      <c r="CA106" s="6">
        <f>SUMIF('Eredeti fejléccel'!$B:$B,'Felosztás eredménykim'!$B106,'Eredeti fejléccel'!$BA:$BA)</f>
        <v>172029</v>
      </c>
      <c r="CB106" s="210">
        <f t="shared" si="114"/>
        <v>478029</v>
      </c>
      <c r="CC106" s="36">
        <f t="shared" si="143"/>
        <v>12010.390961209436</v>
      </c>
      <c r="CD106" s="8">
        <f t="shared" si="98"/>
        <v>0</v>
      </c>
      <c r="CE106" s="6">
        <f>SUMIF('Eredeti fejléccel'!$B:$B,'Felosztás eredménykim'!$B106,'Eredeti fejléccel'!$BC:$BC)</f>
        <v>0</v>
      </c>
      <c r="CF106" s="211">
        <f t="shared" si="135"/>
        <v>0</v>
      </c>
      <c r="CG106" s="6">
        <f>SUMIF('Eredeti fejléccel'!$B:$B,'Felosztás eredménykim'!$B106,'Eredeti fejléccel'!$H:$H)</f>
        <v>0</v>
      </c>
      <c r="CH106" s="6">
        <f>SUMIF('Eredeti fejléccel'!$B:$B,'Felosztás eredménykim'!$B106,'Eredeti fejléccel'!$BE:$BE)</f>
        <v>0</v>
      </c>
      <c r="CI106" s="210">
        <f t="shared" si="75"/>
        <v>0</v>
      </c>
      <c r="CJ106" s="36">
        <f t="shared" si="144"/>
        <v>8634.921606098289</v>
      </c>
      <c r="CK106" s="211">
        <f t="shared" si="100"/>
        <v>0</v>
      </c>
      <c r="CL106" s="211">
        <f t="shared" si="136"/>
        <v>0</v>
      </c>
      <c r="CM106" s="6">
        <f>SUMIF('Eredeti fejléccel'!$B:$B,'Felosztás eredménykim'!$B106,'Eredeti fejléccel'!$BD:$BD)</f>
        <v>0</v>
      </c>
      <c r="CN106" s="211">
        <f t="shared" si="76"/>
        <v>0</v>
      </c>
      <c r="CO106" s="211">
        <f t="shared" si="115"/>
        <v>1468889.1329040567</v>
      </c>
      <c r="CP106" s="211"/>
      <c r="CQ106" s="211"/>
      <c r="CR106" s="212">
        <f t="shared" si="101"/>
        <v>51868.241983258216</v>
      </c>
      <c r="CS106" s="6">
        <f>SUMIF('Eredeti fejléccel'!$B:$B,'Felosztás eredménykim'!$B106,'Eredeti fejléccel'!$I:$I)</f>
        <v>0</v>
      </c>
      <c r="CT106" s="6">
        <f>SUMIF('Eredeti fejléccel'!$B:$B,'Felosztás eredménykim'!$B106,'Eredeti fejléccel'!$BG:$BG)</f>
        <v>0</v>
      </c>
      <c r="CU106" s="6">
        <f>SUMIF('Eredeti fejléccel'!$B:$B,'Felosztás eredménykim'!$B106,'Eredeti fejléccel'!$BH:$BH)</f>
        <v>0</v>
      </c>
      <c r="CV106" s="6">
        <f>SUMIF('Eredeti fejléccel'!$B:$B,'Felosztás eredménykim'!$B106,'Eredeti fejléccel'!$BI:$BI)</f>
        <v>0</v>
      </c>
      <c r="CW106" s="6">
        <f>SUMIF('Eredeti fejléccel'!$B:$B,'Felosztás eredménykim'!$B106,'Eredeti fejléccel'!$BL:$BL)</f>
        <v>0</v>
      </c>
      <c r="CX106" s="210">
        <f t="shared" si="77"/>
        <v>0</v>
      </c>
      <c r="CY106" s="6">
        <f>SUMIF('Eredeti fejléccel'!$B:$B,'Felosztás eredménykim'!$B106,'Eredeti fejléccel'!$BJ:$BJ)</f>
        <v>0</v>
      </c>
      <c r="CZ106" s="6">
        <f>SUMIF('Eredeti fejléccel'!$B:$B,'Felosztás eredménykim'!$B106,'Eredeti fejléccel'!$BK:$BK)</f>
        <v>0</v>
      </c>
      <c r="DA106" s="99">
        <f t="shared" si="116"/>
        <v>0</v>
      </c>
      <c r="DB106" s="215"/>
      <c r="DC106" s="212">
        <f t="shared" si="102"/>
        <v>45429.555956213793</v>
      </c>
      <c r="DD106" s="6">
        <f>SUMIF('Eredeti fejléccel'!$B:$B,'Felosztás eredménykim'!$B106,'Eredeti fejléccel'!$J:$J)</f>
        <v>0</v>
      </c>
      <c r="DE106" s="6">
        <f>SUMIF('Eredeti fejléccel'!$B:$B,'Felosztás eredménykim'!$B106,'Eredeti fejléccel'!$BM:$BM)</f>
        <v>612000</v>
      </c>
      <c r="DF106" s="6">
        <f t="shared" si="128"/>
        <v>0</v>
      </c>
      <c r="DG106" s="211">
        <f t="shared" si="117"/>
        <v>-306000</v>
      </c>
      <c r="DH106" s="8">
        <f t="shared" si="129"/>
        <v>306000</v>
      </c>
      <c r="DI106" s="211"/>
      <c r="DJ106" s="6">
        <f>SUMIF('Eredeti fejléccel'!$B:$B,'Felosztás eredménykim'!$B106,'Eredeti fejléccel'!$BN:$BN)</f>
        <v>0</v>
      </c>
      <c r="DK106" s="6">
        <f>SUMIF('Eredeti fejléccel'!$B:$B,'Felosztás eredménykim'!$B106,'Eredeti fejléccel'!$BZ:$BZ)</f>
        <v>0</v>
      </c>
      <c r="DL106" s="8">
        <f t="shared" si="130"/>
        <v>0</v>
      </c>
      <c r="DM106" s="6">
        <f>SUMIF('Eredeti fejléccel'!$B:$B,'Felosztás eredménykim'!$B106,'Eredeti fejléccel'!$BR:$BR)</f>
        <v>0</v>
      </c>
      <c r="DN106" s="6">
        <f>SUMIF('Eredeti fejléccel'!$B:$B,'Felosztás eredménykim'!$B106,'Eredeti fejléccel'!$BS:$BS)</f>
        <v>0</v>
      </c>
      <c r="DO106" s="6">
        <f>SUMIF('Eredeti fejléccel'!$B:$B,'Felosztás eredménykim'!$B106,'Eredeti fejléccel'!$BO:$BO)</f>
        <v>0</v>
      </c>
      <c r="DP106" s="6">
        <f>SUMIF('Eredeti fejléccel'!$B:$B,'Felosztás eredménykim'!$B106,'Eredeti fejléccel'!$BP:$BP)</f>
        <v>0</v>
      </c>
      <c r="DQ106" s="6">
        <f>SUMIF('Eredeti fejléccel'!$B:$B,'Felosztás eredménykim'!$B106,'Eredeti fejléccel'!$BQ:$BQ)</f>
        <v>0</v>
      </c>
      <c r="DR106" s="210"/>
      <c r="DS106" s="211"/>
      <c r="DT106" s="210"/>
      <c r="DU106" s="6">
        <f>SUMIF('Eredeti fejléccel'!$B:$B,'Felosztás eredménykim'!$B106,'Eredeti fejléccel'!$BT:$BT)</f>
        <v>0</v>
      </c>
      <c r="DV106" s="6">
        <f>SUMIF('Eredeti fejléccel'!$B:$B,'Felosztás eredménykim'!$B106,'Eredeti fejléccel'!$BU:$BU)</f>
        <v>0</v>
      </c>
      <c r="DW106" s="6">
        <f>SUMIF('Eredeti fejléccel'!$B:$B,'Felosztás eredménykim'!$B106,'Eredeti fejléccel'!$BV:$BV)</f>
        <v>0</v>
      </c>
      <c r="DX106" s="6">
        <f>SUMIF('Eredeti fejléccel'!$B:$B,'Felosztás eredménykim'!$B106,'Eredeti fejléccel'!$BW:$BW)</f>
        <v>0</v>
      </c>
      <c r="DY106" s="6">
        <f>SUMIF('Eredeti fejléccel'!$B:$B,'Felosztás eredménykim'!$B106,'Eredeti fejléccel'!$BX:$BX)</f>
        <v>0</v>
      </c>
      <c r="DZ106" s="6"/>
      <c r="EA106" s="6"/>
      <c r="EB106" s="6"/>
      <c r="EC106" s="6"/>
      <c r="ED106" s="6"/>
      <c r="EE106" s="6">
        <f>SUMIF('Eredeti fejléccel'!$B:$B,'Felosztás eredménykim'!$B106,'Eredeti fejléccel'!$CA:$CA)</f>
        <v>0</v>
      </c>
      <c r="EF106" s="6">
        <f>SUMIF('Eredeti fejléccel'!$B:$B,'Felosztás eredménykim'!$B106,'Eredeti fejléccel'!$CB:$CB)</f>
        <v>0</v>
      </c>
      <c r="EG106" s="6">
        <f>SUMIF('Eredeti fejléccel'!$B:$B,'Felosztás eredménykim'!$B106,'Eredeti fejléccel'!$CC:$CC)</f>
        <v>0</v>
      </c>
      <c r="EH106" s="6">
        <f>SUMIF('Eredeti fejléccel'!$B:$B,'Felosztás eredménykim'!$B106,'Eredeti fejléccel'!$CD:$CD)</f>
        <v>0</v>
      </c>
      <c r="EI106" s="210"/>
      <c r="EJ106" s="211"/>
      <c r="EK106" s="6">
        <f>SUMIF('Eredeti fejléccel'!$B:$B,'Felosztás eredménykim'!$B106,'Eredeti fejléccel'!$CE:$CE)</f>
        <v>0</v>
      </c>
      <c r="EL106" s="211"/>
      <c r="EM106" s="210"/>
      <c r="EN106" s="6">
        <f>SUMIF('Eredeti fejléccel'!$B:$B,'Felosztás eredménykim'!$B106,'Eredeti fejléccel'!$CF:$CF)</f>
        <v>0</v>
      </c>
      <c r="EO106" s="210"/>
      <c r="EP106" s="6">
        <f>SUMIF('Eredeti fejléccel'!$B:$B,'Felosztás eredménykim'!$B106,'Eredeti fejléccel'!$CG:$CG)</f>
        <v>0</v>
      </c>
      <c r="EQ106" s="210"/>
      <c r="ER106" s="211"/>
      <c r="ES106" s="6">
        <f>SUMIF('Eredeti fejléccel'!$B:$B,'Felosztás eredménykim'!$B106,'Eredeti fejléccel'!$CH:$CH)</f>
        <v>0</v>
      </c>
      <c r="ET106" s="6">
        <f>SUMIF('Eredeti fejléccel'!$B:$B,'Felosztás eredménykim'!$B106,'Eredeti fejléccel'!$CI:$CI)</f>
        <v>0</v>
      </c>
      <c r="EU106" s="210"/>
      <c r="EV106" s="211"/>
      <c r="EW106" s="211">
        <f t="shared" si="118"/>
        <v>0</v>
      </c>
      <c r="EX106" s="211">
        <f t="shared" si="78"/>
        <v>0</v>
      </c>
      <c r="EY106" s="211">
        <f t="shared" si="119"/>
        <v>306000</v>
      </c>
      <c r="EZ106" s="211">
        <f t="shared" si="120"/>
        <v>306000</v>
      </c>
      <c r="FA106" s="211">
        <f t="shared" si="121"/>
        <v>306000</v>
      </c>
      <c r="FB106" s="211"/>
      <c r="FC106" s="6">
        <f>SUMIF('Eredeti fejléccel'!$B:$B,'Felosztás eredménykim'!$B106,'Eredeti fejléccel'!$L:$L)</f>
        <v>0</v>
      </c>
      <c r="FD106" s="6">
        <f>SUMIF('Eredeti fejléccel'!$B:$B,'Felosztás eredménykim'!$B106,'Eredeti fejléccel'!$CJ:$CJ)</f>
        <v>0</v>
      </c>
      <c r="FE106" s="6">
        <f>SUMIF('Eredeti fejléccel'!$B:$B,'Felosztás eredménykim'!$B106,'Eredeti fejléccel'!$CL:$CL)</f>
        <v>0</v>
      </c>
      <c r="FF106" s="213"/>
      <c r="FG106" s="214">
        <f t="shared" si="79"/>
        <v>0</v>
      </c>
      <c r="FH106" s="6">
        <f>SUMIF('Eredeti fejléccel'!$B:$B,'Felosztás eredménykim'!$B106,'Eredeti fejléccel'!$CK:$CK)</f>
        <v>0</v>
      </c>
      <c r="FI106" s="36">
        <f t="shared" si="145"/>
        <v>53450.751664273033</v>
      </c>
      <c r="FJ106" s="216">
        <f t="shared" si="104"/>
        <v>0</v>
      </c>
      <c r="FK106" s="6">
        <f>SUMIF('Eredeti fejléccel'!$B:$B,'Felosztás eredménykim'!$B106,'Eredeti fejléccel'!$CM:$CM)</f>
        <v>0</v>
      </c>
      <c r="FL106" s="6">
        <f>SUMIF('Eredeti fejléccel'!$B:$B,'Felosztás eredménykim'!$B106,'Eredeti fejléccel'!$CN:$CN)</f>
        <v>0</v>
      </c>
      <c r="FM106" s="211">
        <f t="shared" si="80"/>
        <v>0</v>
      </c>
      <c r="FN106" s="36">
        <f t="shared" si="146"/>
        <v>45441.907721868294</v>
      </c>
      <c r="FO106" s="216">
        <f t="shared" si="106"/>
        <v>0</v>
      </c>
      <c r="FP106" s="6">
        <f>SUMIF('Eredeti fejléccel'!$B:$B,'Felosztás eredménykim'!$B106,'Eredeti fejléccel'!$CO:$CO)</f>
        <v>0</v>
      </c>
      <c r="FQ106" s="6">
        <f>'Eredeti fejléccel'!CP106</f>
        <v>0</v>
      </c>
      <c r="FR106" s="6">
        <f>'Eredeti fejléccel'!CQ106</f>
        <v>0</v>
      </c>
      <c r="FS106" s="103">
        <f t="shared" si="122"/>
        <v>0</v>
      </c>
      <c r="FT106" s="36">
        <f t="shared" si="147"/>
        <v>125432.91595440231</v>
      </c>
      <c r="FU106" s="216">
        <f t="shared" si="108"/>
        <v>0</v>
      </c>
      <c r="FV106" s="216"/>
      <c r="FW106" s="6">
        <f>SUMIF('Eredeti fejléccel'!$B:$B,'Felosztás eredménykim'!$B106,'Eredeti fejléccel'!$CR:$CR)</f>
        <v>166919</v>
      </c>
      <c r="FX106" s="6">
        <f>SUMIF('Eredeti fejléccel'!$B:$B,'Felosztás eredménykim'!$B106,'Eredeti fejléccel'!$CS:$CS)</f>
        <v>0</v>
      </c>
      <c r="FY106" s="6">
        <f>SUMIF('Eredeti fejléccel'!$B:$B,'Felosztás eredménykim'!$B106,'Eredeti fejléccel'!$CT:$CT)</f>
        <v>0</v>
      </c>
      <c r="FZ106" s="6">
        <f>SUMIF('Eredeti fejléccel'!$B:$B,'Felosztás eredménykim'!$B106,'Eredeti fejléccel'!$CU:$CU)</f>
        <v>0</v>
      </c>
      <c r="GA106" s="217">
        <f t="shared" si="81"/>
        <v>166919</v>
      </c>
      <c r="GB106" s="36">
        <f t="shared" si="148"/>
        <v>16719.192463706255</v>
      </c>
      <c r="GC106" s="216">
        <f t="shared" si="110"/>
        <v>0</v>
      </c>
      <c r="GD106" s="210">
        <f>SUMIF('Eredeti fejléccel'!$B:$B,'Felosztás eredménykim'!$B106,'Eredeti fejléccel'!$CV:$CV)</f>
        <v>0</v>
      </c>
      <c r="GE106" s="6">
        <f>SUMIF('Eredeti fejléccel'!$B:$B,'Felosztás eredménykim'!$B106,'Eredeti fejléccel'!$CW:$CW)</f>
        <v>0</v>
      </c>
      <c r="GF106" s="217">
        <f t="shared" si="82"/>
        <v>0</v>
      </c>
      <c r="GG106" s="212">
        <f t="shared" si="111"/>
        <v>0</v>
      </c>
      <c r="GH106" s="210"/>
      <c r="GI106" s="211"/>
      <c r="GJ106" s="210"/>
      <c r="GK106" s="211"/>
      <c r="GL106" s="210"/>
      <c r="GM106" s="6">
        <f>SUMIF('Eredeti fejléccel'!$B:$B,'Felosztás eredménykim'!$B106,'Eredeti fejléccel'!$CX:$CX)</f>
        <v>0</v>
      </c>
      <c r="GN106" s="6">
        <f>SUMIF('Eredeti fejléccel'!$B:$B,'Felosztás eredménykim'!$B106,'Eredeti fejléccel'!$CY:$CY)</f>
        <v>0</v>
      </c>
      <c r="GO106" s="6">
        <f>SUMIF('Eredeti fejléccel'!$B:$B,'Felosztás eredménykim'!$B106,'Eredeti fejléccel'!$CZ:$CZ)</f>
        <v>0</v>
      </c>
      <c r="GP106" s="6">
        <f>SUMIF('Eredeti fejléccel'!$B:$B,'Felosztás eredménykim'!$B106,'Eredeti fejléccel'!$DA:$DA)</f>
        <v>0</v>
      </c>
      <c r="GQ106" s="6">
        <f>SUMIF('Eredeti fejléccel'!$B:$B,'Felosztás eredménykim'!$B106,'Eredeti fejléccel'!$DB:$DB)</f>
        <v>0</v>
      </c>
      <c r="GR106" s="217">
        <f t="shared" si="83"/>
        <v>0</v>
      </c>
      <c r="GS106" s="211"/>
      <c r="GT106" s="211"/>
      <c r="GU106" s="211"/>
      <c r="GV106" s="211"/>
      <c r="GW106" s="212">
        <f t="shared" si="112"/>
        <v>28700.301352221511</v>
      </c>
      <c r="GX106" s="6">
        <f>SUMIF('Eredeti fejléccel'!$B:$B,'Felosztás eredménykim'!$B106,'Eredeti fejléccel'!$M:$M)</f>
        <v>0</v>
      </c>
      <c r="GY106" s="6">
        <f>SUMIF('Eredeti fejléccel'!$B:$B,'Felosztás eredménykim'!$B106,'Eredeti fejléccel'!$DC:$DC)</f>
        <v>0</v>
      </c>
      <c r="GZ106" s="6">
        <f>SUMIF('Eredeti fejléccel'!$B:$B,'Felosztás eredménykim'!$B106,'Eredeti fejléccel'!$DD:$DD)</f>
        <v>0</v>
      </c>
      <c r="HA106" s="6">
        <f>SUMIF('Eredeti fejléccel'!$B:$B,'Felosztás eredménykim'!$B106,'Eredeti fejléccel'!$DE:$DE)</f>
        <v>45113</v>
      </c>
      <c r="HB106" s="217">
        <f t="shared" si="84"/>
        <v>45113</v>
      </c>
      <c r="HC106" s="211"/>
      <c r="HD106" s="218">
        <f>SUM(D106:HA106)-W106-X106-AD106-AE106-AF106-AG106-AK106-AL106-AM106-AS106-AT106-AU106-BE106-BF106-BG106-BL106-BM106-BN106-BO106-CB106-CC106-CD106-CI106-CJ106-CK106-CN106-CO106-CP106-CR106-CX106-DA106-DC106-DG106-DH106-DL106-EW106-EX106-EY106-EZ106-FA106-FF106-FG106-FI106-FJ106-FM106-FN106-FO106-FS106-FT106-FU106-GA106-GB106-GC106-GF106-GG106-GR106-GS106-GT106-GU106-GW106</f>
        <v>2353964.0000000023</v>
      </c>
      <c r="HE106" s="9">
        <v>2353964</v>
      </c>
      <c r="HF106" s="476"/>
      <c r="HG106" s="219"/>
      <c r="HH106" s="220">
        <f t="shared" si="85"/>
        <v>0</v>
      </c>
      <c r="HI106" s="219"/>
      <c r="HJ106" s="219"/>
      <c r="HK106" s="219"/>
      <c r="HL106" s="219"/>
      <c r="HM106" s="219"/>
      <c r="HN106" s="219"/>
      <c r="HO106" s="219"/>
      <c r="HP106" s="219"/>
      <c r="HQ106" s="219"/>
      <c r="HR106" s="219"/>
      <c r="HS106" s="219"/>
      <c r="HT106" s="219"/>
      <c r="HU106" s="219"/>
      <c r="HV106" s="219"/>
      <c r="HW106" s="219"/>
      <c r="HX106" s="219"/>
    </row>
    <row r="107" spans="1:232" x14ac:dyDescent="0.25">
      <c r="A107" s="4" t="s">
        <v>216</v>
      </c>
      <c r="B107" s="4" t="s">
        <v>216</v>
      </c>
      <c r="C107" s="1" t="s">
        <v>217</v>
      </c>
      <c r="D107" s="6">
        <f>SUMIF('Eredeti fejléccel'!$B:$B,'Felosztás eredménykim'!$B107,'Eredeti fejléccel'!$D:$D)</f>
        <v>0</v>
      </c>
      <c r="E107" s="6">
        <f>SUMIF('Eredeti fejléccel'!$B:$B,'Felosztás eredménykim'!$B107,'Eredeti fejléccel'!$E:$E)</f>
        <v>202651</v>
      </c>
      <c r="F107" s="6">
        <f>SUMIF('Eredeti fejléccel'!$B:$B,'Felosztás eredménykim'!$B107,'Eredeti fejléccel'!$F:$F)</f>
        <v>0</v>
      </c>
      <c r="G107" s="6">
        <f>SUMIF('Eredeti fejléccel'!$B:$B,'Felosztás eredménykim'!$B107,'Eredeti fejléccel'!$G:$G)</f>
        <v>0</v>
      </c>
      <c r="H107" s="6"/>
      <c r="I107" s="6">
        <f>SUMIF('Eredeti fejléccel'!$B:$B,'Felosztás eredménykim'!$B107,'Eredeti fejléccel'!$O:$O)</f>
        <v>197937</v>
      </c>
      <c r="J107" s="6">
        <f>SUMIF('Eredeti fejléccel'!$B:$B,'Felosztás eredménykim'!$B107,'Eredeti fejléccel'!$P:$P)</f>
        <v>0</v>
      </c>
      <c r="K107" s="6">
        <f>SUMIF('Eredeti fejléccel'!$B:$B,'Felosztás eredménykim'!$B107,'Eredeti fejléccel'!$Q:$Q)</f>
        <v>0</v>
      </c>
      <c r="L107" s="6">
        <f>SUMIF('Eredeti fejléccel'!$B:$B,'Felosztás eredménykim'!$B107,'Eredeti fejléccel'!$R:$R)</f>
        <v>222514</v>
      </c>
      <c r="M107" s="6">
        <f>SUMIF('Eredeti fejléccel'!$B:$B,'Felosztás eredménykim'!$B107,'Eredeti fejléccel'!$T:$T)</f>
        <v>0</v>
      </c>
      <c r="N107" s="6">
        <f>SUMIF('Eredeti fejléccel'!$B:$B,'Felosztás eredménykim'!$B107,'Eredeti fejléccel'!$U:$U)</f>
        <v>0</v>
      </c>
      <c r="O107" s="6">
        <f>SUMIF('Eredeti fejléccel'!$B:$B,'Felosztás eredménykim'!$B107,'Eredeti fejléccel'!$V:$V)</f>
        <v>83333</v>
      </c>
      <c r="P107" s="6">
        <f>SUMIF('Eredeti fejléccel'!$B:$B,'Felosztás eredménykim'!$B107,'Eredeti fejléccel'!$W:$W)</f>
        <v>368092</v>
      </c>
      <c r="Q107" s="6">
        <f>SUMIF('Eredeti fejléccel'!$B:$B,'Felosztás eredménykim'!$B107,'Eredeti fejléccel'!$X:$X)</f>
        <v>597100</v>
      </c>
      <c r="R107" s="6">
        <f>SUMIF('Eredeti fejléccel'!$B:$B,'Felosztás eredménykim'!$B107,'Eredeti fejléccel'!$Y:$Y)</f>
        <v>282023</v>
      </c>
      <c r="S107" s="6">
        <f>SUMIF('Eredeti fejléccel'!$B:$B,'Felosztás eredménykim'!$B107,'Eredeti fejléccel'!$Z:$Z)</f>
        <v>96000</v>
      </c>
      <c r="T107" s="6">
        <f>SUMIF('Eredeti fejléccel'!$B:$B,'Felosztás eredménykim'!$B107,'Eredeti fejléccel'!$AA:$AA)</f>
        <v>0</v>
      </c>
      <c r="U107" s="6">
        <f>SUMIF('Eredeti fejléccel'!$B:$B,'Felosztás eredménykim'!$B107,'Eredeti fejléccel'!$D:$D)</f>
        <v>0</v>
      </c>
      <c r="V107" s="6">
        <f>SUMIF('Eredeti fejléccel'!$B:$B,'Felosztás eredménykim'!$B107,'Eredeti fejléccel'!$AT:$AT)</f>
        <v>751199</v>
      </c>
      <c r="X107" s="36">
        <f t="shared" si="86"/>
        <v>2800849</v>
      </c>
      <c r="Z107" s="6">
        <f>SUMIF('Eredeti fejléccel'!$B:$B,'Felosztás eredménykim'!$B107,'Eredeti fejléccel'!$K:$K)</f>
        <v>588531</v>
      </c>
      <c r="AB107" s="6">
        <f>SUMIF('Eredeti fejléccel'!$B:$B,'Felosztás eredménykim'!$B107,'Eredeti fejléccel'!$AB:$AB)</f>
        <v>0</v>
      </c>
      <c r="AC107" s="6">
        <f>SUMIF('Eredeti fejléccel'!$B:$B,'Felosztás eredménykim'!$B107,'Eredeti fejléccel'!$AQ:$AQ)</f>
        <v>0</v>
      </c>
      <c r="AE107" s="73">
        <f t="shared" si="131"/>
        <v>588531</v>
      </c>
      <c r="AF107" s="36">
        <f t="shared" si="138"/>
        <v>334126.27744617872</v>
      </c>
      <c r="AG107" s="8">
        <f t="shared" si="88"/>
        <v>187649.85376978799</v>
      </c>
      <c r="AI107" s="6">
        <f>SUMIF('Eredeti fejléccel'!$B:$B,'Felosztás eredménykim'!$B107,'Eredeti fejléccel'!$BB:$BB)</f>
        <v>650425</v>
      </c>
      <c r="AJ107" s="6">
        <f>SUMIF('Eredeti fejléccel'!$B:$B,'Felosztás eredménykim'!$B107,'Eredeti fejléccel'!$AF:$AF)</f>
        <v>0</v>
      </c>
      <c r="AK107" s="8">
        <f t="shared" si="73"/>
        <v>838074.85376978805</v>
      </c>
      <c r="AL107" s="36">
        <f t="shared" si="139"/>
        <v>132713.2703685243</v>
      </c>
      <c r="AM107" s="8">
        <f t="shared" si="90"/>
        <v>74533.574456667557</v>
      </c>
      <c r="AN107" s="6">
        <f t="shared" si="123"/>
        <v>0</v>
      </c>
      <c r="AO107" s="6">
        <f>SUMIF('Eredeti fejléccel'!$B:$B,'Felosztás eredménykim'!$B107,'Eredeti fejléccel'!$AC:$AC)</f>
        <v>0</v>
      </c>
      <c r="AP107" s="6">
        <f>SUMIF('Eredeti fejléccel'!$B:$B,'Felosztás eredménykim'!$B107,'Eredeti fejléccel'!$AD:$AD)</f>
        <v>0</v>
      </c>
      <c r="AQ107" s="6">
        <f>SUMIF('Eredeti fejléccel'!$B:$B,'Felosztás eredménykim'!$B107,'Eredeti fejléccel'!$AE:$AE)</f>
        <v>0</v>
      </c>
      <c r="AR107" s="6">
        <f>SUMIF('Eredeti fejléccel'!$B:$B,'Felosztás eredménykim'!$B107,'Eredeti fejléccel'!$AG:$AG)</f>
        <v>1031288</v>
      </c>
      <c r="AS107" s="6">
        <f t="shared" si="124"/>
        <v>1105821.5744566675</v>
      </c>
      <c r="AT107" s="36">
        <f t="shared" si="140"/>
        <v>215565.34028785728</v>
      </c>
      <c r="AU107" s="8">
        <f t="shared" si="92"/>
        <v>121064.42178696001</v>
      </c>
      <c r="AV107" s="6">
        <f>SUMIF('Eredeti fejléccel'!$B:$B,'Felosztás eredménykim'!$B107,'Eredeti fejléccel'!$AI:$AI)</f>
        <v>0</v>
      </c>
      <c r="AW107" s="6">
        <f>SUMIF('Eredeti fejléccel'!$B:$B,'Felosztás eredménykim'!$B107,'Eredeti fejléccel'!$AJ:$AJ)</f>
        <v>322500</v>
      </c>
      <c r="AX107" s="6">
        <f>SUMIF('Eredeti fejléccel'!$B:$B,'Felosztás eredménykim'!$B107,'Eredeti fejléccel'!$AK:$AK)</f>
        <v>1065233</v>
      </c>
      <c r="AY107" s="6">
        <f>SUMIF('Eredeti fejléccel'!$B:$B,'Felosztás eredménykim'!$B107,'Eredeti fejléccel'!$AL:$AL)</f>
        <v>517377</v>
      </c>
      <c r="AZ107" s="6">
        <f>SUMIF('Eredeti fejléccel'!$B:$B,'Felosztás eredménykim'!$B107,'Eredeti fejléccel'!$AM:$AM)</f>
        <v>798155</v>
      </c>
      <c r="BA107" s="6">
        <f>SUMIF('Eredeti fejléccel'!$B:$B,'Felosztás eredménykim'!$B107,'Eredeti fejléccel'!$AN:$AN)</f>
        <v>0</v>
      </c>
      <c r="BB107" s="6">
        <f>SUMIF('Eredeti fejléccel'!$B:$B,'Felosztás eredménykim'!$B107,'Eredeti fejléccel'!$AP:$AP)</f>
        <v>547460</v>
      </c>
      <c r="BD107" s="6">
        <f>SUMIF('Eredeti fejléccel'!$B:$B,'Felosztás eredménykim'!$B107,'Eredeti fejléccel'!$AS:$AS)</f>
        <v>0</v>
      </c>
      <c r="BE107" s="8">
        <f t="shared" si="74"/>
        <v>3371789.4217869602</v>
      </c>
      <c r="BF107" s="36">
        <f t="shared" si="141"/>
        <v>56234.436596832333</v>
      </c>
      <c r="BG107" s="8">
        <f t="shared" si="94"/>
        <v>31582.023074859135</v>
      </c>
      <c r="BH107" s="6">
        <f t="shared" si="125"/>
        <v>0</v>
      </c>
      <c r="BI107" s="6">
        <f>SUMIF('Eredeti fejléccel'!$B:$B,'Felosztás eredménykim'!$B107,'Eredeti fejléccel'!$AH:$AH)</f>
        <v>568196</v>
      </c>
      <c r="BJ107" s="6">
        <f>SUMIF('Eredeti fejléccel'!$B:$B,'Felosztás eredménykim'!$B107,'Eredeti fejléccel'!$AO:$AO)</f>
        <v>0</v>
      </c>
      <c r="BK107" s="6">
        <f>SUMIF('Eredeti fejléccel'!$B:$B,'Felosztás eredménykim'!$B107,'Eredeti fejléccel'!$BF:$BF)</f>
        <v>0</v>
      </c>
      <c r="BL107" s="8">
        <f t="shared" si="126"/>
        <v>599778.02307485917</v>
      </c>
      <c r="BM107" s="36">
        <f t="shared" si="142"/>
        <v>210691.68911613183</v>
      </c>
      <c r="BN107" s="8">
        <f t="shared" si="96"/>
        <v>118327.31312047222</v>
      </c>
      <c r="BP107" s="8">
        <f t="shared" si="127"/>
        <v>0</v>
      </c>
      <c r="BQ107" s="6">
        <f>SUMIF('Eredeti fejléccel'!$B:$B,'Felosztás eredménykim'!$B107,'Eredeti fejléccel'!$N:$N)</f>
        <v>0</v>
      </c>
      <c r="BR107" s="6">
        <f>SUMIF('Eredeti fejléccel'!$B:$B,'Felosztás eredménykim'!$B107,'Eredeti fejléccel'!$S:$S)</f>
        <v>0</v>
      </c>
      <c r="BT107" s="6">
        <f>SUMIF('Eredeti fejléccel'!$B:$B,'Felosztás eredménykim'!$B107,'Eredeti fejléccel'!$AR:$AR)</f>
        <v>0</v>
      </c>
      <c r="BU107" s="6">
        <f>SUMIF('Eredeti fejléccel'!$B:$B,'Felosztás eredménykim'!$B107,'Eredeti fejléccel'!$AU:$AU)</f>
        <v>0</v>
      </c>
      <c r="BV107" s="6">
        <f>SUMIF('Eredeti fejléccel'!$B:$B,'Felosztás eredménykim'!$B107,'Eredeti fejléccel'!$AV:$AV)</f>
        <v>70691</v>
      </c>
      <c r="BW107" s="6">
        <f>SUMIF('Eredeti fejléccel'!$B:$B,'Felosztás eredménykim'!$B107,'Eredeti fejléccel'!$AW:$AW)</f>
        <v>0</v>
      </c>
      <c r="BX107" s="6">
        <f>SUMIF('Eredeti fejléccel'!$B:$B,'Felosztás eredménykim'!$B107,'Eredeti fejléccel'!$AX:$AX)</f>
        <v>0</v>
      </c>
      <c r="BY107" s="6">
        <f>SUMIF('Eredeti fejléccel'!$B:$B,'Felosztás eredménykim'!$B107,'Eredeti fejléccel'!$AY:$AY)</f>
        <v>0</v>
      </c>
      <c r="BZ107" s="6">
        <f>SUMIF('Eredeti fejléccel'!$B:$B,'Felosztás eredménykim'!$B107,'Eredeti fejléccel'!$AZ:$AZ)</f>
        <v>0</v>
      </c>
      <c r="CA107" s="6">
        <f>SUMIF('Eredeti fejléccel'!$B:$B,'Felosztás eredménykim'!$B107,'Eredeti fejléccel'!$BA:$BA)</f>
        <v>1956861</v>
      </c>
      <c r="CB107" s="6">
        <f t="shared" si="114"/>
        <v>2145879.3131204722</v>
      </c>
      <c r="CC107" s="36">
        <f t="shared" si="143"/>
        <v>57359.125328768976</v>
      </c>
      <c r="CD107" s="8">
        <f t="shared" si="98"/>
        <v>32213.663536356315</v>
      </c>
      <c r="CE107" s="6">
        <f>SUMIF('Eredeti fejléccel'!$B:$B,'Felosztás eredménykim'!$B107,'Eredeti fejléccel'!$BC:$BC)</f>
        <v>111012</v>
      </c>
      <c r="CF107" s="8">
        <f t="shared" si="135"/>
        <v>-55506</v>
      </c>
      <c r="CG107" s="6">
        <f>SUMIF('Eredeti fejléccel'!$B:$B,'Felosztás eredménykim'!$B107,'Eredeti fejléccel'!$H:$H)</f>
        <v>0</v>
      </c>
      <c r="CH107" s="6">
        <f>SUMIF('Eredeti fejléccel'!$B:$B,'Felosztás eredménykim'!$B107,'Eredeti fejléccel'!$BE:$BE)</f>
        <v>104825</v>
      </c>
      <c r="CI107" s="6">
        <f t="shared" si="75"/>
        <v>192544.66353635633</v>
      </c>
      <c r="CJ107" s="36">
        <f t="shared" si="144"/>
        <v>41238.586837677052</v>
      </c>
      <c r="CK107" s="8">
        <f t="shared" si="100"/>
        <v>23160.1502548967</v>
      </c>
      <c r="CL107" s="8">
        <f t="shared" si="136"/>
        <v>55506</v>
      </c>
      <c r="CM107" s="6">
        <f>SUMIF('Eredeti fejléccel'!$B:$B,'Felosztás eredménykim'!$B107,'Eredeti fejléccel'!$BD:$BD)</f>
        <v>221333</v>
      </c>
      <c r="CN107" s="8">
        <f t="shared" si="76"/>
        <v>299999.15025489673</v>
      </c>
      <c r="CO107" s="8">
        <f t="shared" si="115"/>
        <v>9601815.7259819675</v>
      </c>
      <c r="CR107" s="36">
        <f t="shared" si="101"/>
        <v>247711.91896329686</v>
      </c>
      <c r="CS107" s="6">
        <f>SUMIF('Eredeti fejléccel'!$B:$B,'Felosztás eredménykim'!$B107,'Eredeti fejléccel'!$I:$I)</f>
        <v>131447</v>
      </c>
      <c r="CT107" s="6">
        <f>SUMIF('Eredeti fejléccel'!$B:$B,'Felosztás eredménykim'!$B107,'Eredeti fejléccel'!$BG:$BG)</f>
        <v>0</v>
      </c>
      <c r="CU107" s="6">
        <f>SUMIF('Eredeti fejléccel'!$B:$B,'Felosztás eredménykim'!$B107,'Eredeti fejléccel'!$BH:$BH)</f>
        <v>1993229</v>
      </c>
      <c r="CV107" s="6">
        <f>SUMIF('Eredeti fejléccel'!$B:$B,'Felosztás eredménykim'!$B107,'Eredeti fejléccel'!$BI:$BI)</f>
        <v>374069</v>
      </c>
      <c r="CW107" s="6">
        <f>SUMIF('Eredeti fejléccel'!$B:$B,'Felosztás eredménykim'!$B107,'Eredeti fejléccel'!$BL:$BL)</f>
        <v>0</v>
      </c>
      <c r="CX107" s="6">
        <f t="shared" si="77"/>
        <v>2498745</v>
      </c>
      <c r="CY107" s="6">
        <f>SUMIF('Eredeti fejléccel'!$B:$B,'Felosztás eredménykim'!$B107,'Eredeti fejléccel'!$BJ:$BJ)</f>
        <v>0</v>
      </c>
      <c r="CZ107" s="6">
        <f>SUMIF('Eredeti fejléccel'!$B:$B,'Felosztás eredménykim'!$B107,'Eredeti fejléccel'!$BK:$BK)</f>
        <v>0</v>
      </c>
      <c r="DA107" s="99">
        <f t="shared" si="116"/>
        <v>2498745</v>
      </c>
      <c r="DC107" s="36">
        <f t="shared" si="102"/>
        <v>216962.09575016104</v>
      </c>
      <c r="DD107" s="6">
        <f>SUMIF('Eredeti fejléccel'!$B:$B,'Felosztás eredménykim'!$B107,'Eredeti fejléccel'!$J:$J)</f>
        <v>0</v>
      </c>
      <c r="DE107" s="6">
        <f>SUMIF('Eredeti fejléccel'!$B:$B,'Felosztás eredménykim'!$B107,'Eredeti fejléccel'!$BM:$BM)</f>
        <v>1203739</v>
      </c>
      <c r="DF107" s="6">
        <f t="shared" si="128"/>
        <v>0</v>
      </c>
      <c r="DG107" s="8">
        <f t="shared" si="117"/>
        <v>0</v>
      </c>
      <c r="DH107" s="8">
        <f t="shared" si="129"/>
        <v>1203739</v>
      </c>
      <c r="DI107" s="8">
        <v>0</v>
      </c>
      <c r="DJ107" s="6">
        <f>SUMIF('Eredeti fejléccel'!$B:$B,'Felosztás eredménykim'!$B107,'Eredeti fejléccel'!$BN:$BN)</f>
        <v>664563</v>
      </c>
      <c r="DK107" s="6">
        <f>SUMIF('Eredeti fejléccel'!$B:$B,'Felosztás eredménykim'!$B107,'Eredeti fejléccel'!$BZ:$BZ)</f>
        <v>0</v>
      </c>
      <c r="DL107" s="8">
        <f t="shared" si="130"/>
        <v>664563</v>
      </c>
      <c r="DM107" s="6">
        <f>SUMIF('Eredeti fejléccel'!$B:$B,'Felosztás eredménykim'!$B107,'Eredeti fejléccel'!$BR:$BR)</f>
        <v>0</v>
      </c>
      <c r="DN107" s="6">
        <f>SUMIF('Eredeti fejléccel'!$B:$B,'Felosztás eredménykim'!$B107,'Eredeti fejléccel'!$BS:$BS)</f>
        <v>0</v>
      </c>
      <c r="DO107" s="6">
        <f>SUMIF('Eredeti fejléccel'!$B:$B,'Felosztás eredménykim'!$B107,'Eredeti fejléccel'!$BO:$BO)</f>
        <v>0</v>
      </c>
      <c r="DP107" s="6">
        <f>SUMIF('Eredeti fejléccel'!$B:$B,'Felosztás eredménykim'!$B107,'Eredeti fejléccel'!$BP:$BP)</f>
        <v>0</v>
      </c>
      <c r="DQ107" s="6">
        <f>SUMIF('Eredeti fejléccel'!$B:$B,'Felosztás eredménykim'!$B107,'Eredeti fejléccel'!$BQ:$BQ)</f>
        <v>0</v>
      </c>
      <c r="DS107" s="8"/>
      <c r="DU107" s="6">
        <f>SUMIF('Eredeti fejléccel'!$B:$B,'Felosztás eredménykim'!$B107,'Eredeti fejléccel'!$BT:$BT)</f>
        <v>0</v>
      </c>
      <c r="DV107" s="6">
        <f>SUMIF('Eredeti fejléccel'!$B:$B,'Felosztás eredménykim'!$B107,'Eredeti fejléccel'!$BU:$BU)</f>
        <v>0</v>
      </c>
      <c r="DW107" s="6">
        <f>SUMIF('Eredeti fejléccel'!$B:$B,'Felosztás eredménykim'!$B107,'Eredeti fejléccel'!$BV:$BV)</f>
        <v>0</v>
      </c>
      <c r="DX107" s="6">
        <f>SUMIF('Eredeti fejléccel'!$B:$B,'Felosztás eredménykim'!$B107,'Eredeti fejléccel'!$BW:$BW)</f>
        <v>0</v>
      </c>
      <c r="DY107" s="6">
        <f>SUMIF('Eredeti fejléccel'!$B:$B,'Felosztás eredménykim'!$B107,'Eredeti fejléccel'!$BX:$BX)</f>
        <v>0</v>
      </c>
      <c r="EA107" s="6"/>
      <c r="EC107" s="6"/>
      <c r="EE107" s="6">
        <f>SUMIF('Eredeti fejléccel'!$B:$B,'Felosztás eredménykim'!$B107,'Eredeti fejléccel'!$CA:$CA)</f>
        <v>0</v>
      </c>
      <c r="EF107" s="6">
        <f>SUMIF('Eredeti fejléccel'!$B:$B,'Felosztás eredménykim'!$B107,'Eredeti fejléccel'!$CB:$CB)</f>
        <v>0</v>
      </c>
      <c r="EG107" s="6">
        <f>SUMIF('Eredeti fejléccel'!$B:$B,'Felosztás eredménykim'!$B107,'Eredeti fejléccel'!$CC:$CC)</f>
        <v>0</v>
      </c>
      <c r="EH107" s="6">
        <f>SUMIF('Eredeti fejléccel'!$B:$B,'Felosztás eredménykim'!$B107,'Eredeti fejléccel'!$CD:$CD)</f>
        <v>0</v>
      </c>
      <c r="EK107" s="6">
        <f>SUMIF('Eredeti fejléccel'!$B:$B,'Felosztás eredménykim'!$B107,'Eredeti fejléccel'!$CE:$CE)</f>
        <v>0</v>
      </c>
      <c r="EN107" s="6">
        <f>SUMIF('Eredeti fejléccel'!$B:$B,'Felosztás eredménykim'!$B107,'Eredeti fejléccel'!$CF:$CF)</f>
        <v>0</v>
      </c>
      <c r="EP107" s="6">
        <f>SUMIF('Eredeti fejléccel'!$B:$B,'Felosztás eredménykim'!$B107,'Eredeti fejléccel'!$CG:$CG)</f>
        <v>0</v>
      </c>
      <c r="ES107" s="6">
        <f>SUMIF('Eredeti fejléccel'!$B:$B,'Felosztás eredménykim'!$B107,'Eredeti fejléccel'!$CH:$CH)</f>
        <v>0</v>
      </c>
      <c r="ET107" s="6">
        <f>SUMIF('Eredeti fejléccel'!$B:$B,'Felosztás eredménykim'!$B107,'Eredeti fejléccel'!$CI:$CI)</f>
        <v>0</v>
      </c>
      <c r="EW107" s="8">
        <f t="shared" si="118"/>
        <v>0</v>
      </c>
      <c r="EX107" s="8">
        <f t="shared" si="78"/>
        <v>0</v>
      </c>
      <c r="EY107" s="8">
        <f t="shared" si="119"/>
        <v>1203739</v>
      </c>
      <c r="EZ107" s="8">
        <f t="shared" si="120"/>
        <v>1868302</v>
      </c>
      <c r="FA107" s="8">
        <f t="shared" si="121"/>
        <v>1203739</v>
      </c>
      <c r="FC107" s="6">
        <f>SUMIF('Eredeti fejléccel'!$B:$B,'Felosztás eredménykim'!$B107,'Eredeti fejléccel'!$L:$L)</f>
        <v>0</v>
      </c>
      <c r="FD107" s="6">
        <f>SUMIF('Eredeti fejléccel'!$B:$B,'Felosztás eredménykim'!$B107,'Eredeti fejléccel'!$CJ:$CJ)</f>
        <v>167760</v>
      </c>
      <c r="FE107" s="6">
        <f>SUMIF('Eredeti fejléccel'!$B:$B,'Felosztás eredménykim'!$B107,'Eredeti fejléccel'!$CL:$CL)</f>
        <v>0</v>
      </c>
      <c r="FG107" s="99">
        <f t="shared" si="79"/>
        <v>167760</v>
      </c>
      <c r="FH107" s="6">
        <f>SUMIF('Eredeti fejléccel'!$B:$B,'Felosztás eredménykim'!$B107,'Eredeti fejléccel'!$CK:$CK)</f>
        <v>0</v>
      </c>
      <c r="FI107" s="36">
        <f t="shared" si="145"/>
        <v>255269.65554493587</v>
      </c>
      <c r="FJ107" s="101">
        <f t="shared" si="104"/>
        <v>37200.135812449473</v>
      </c>
      <c r="FK107" s="6">
        <f>SUMIF('Eredeti fejléccel'!$B:$B,'Felosztás eredménykim'!$B107,'Eredeti fejléccel'!$CM:$CM)</f>
        <v>777602</v>
      </c>
      <c r="FL107" s="6">
        <f>SUMIF('Eredeti fejléccel'!$B:$B,'Felosztás eredménykim'!$B107,'Eredeti fejléccel'!$CN:$CN)</f>
        <v>0</v>
      </c>
      <c r="FM107" s="8">
        <f t="shared" si="80"/>
        <v>814802.1358124495</v>
      </c>
      <c r="FN107" s="36">
        <f t="shared" si="146"/>
        <v>217021.08520991271</v>
      </c>
      <c r="FO107" s="101">
        <f t="shared" si="106"/>
        <v>31626.218270008085</v>
      </c>
      <c r="FP107" s="6">
        <f>SUMIF('Eredeti fejléccel'!$B:$B,'Felosztás eredménykim'!$B107,'Eredeti fejléccel'!$CO:$CO)</f>
        <v>373217</v>
      </c>
      <c r="FQ107" s="6">
        <f>'Eredeti fejléccel'!CP107</f>
        <v>104124</v>
      </c>
      <c r="FR107" s="6">
        <f>'Eredeti fejléccel'!CQ107</f>
        <v>0</v>
      </c>
      <c r="FS107" s="103">
        <f t="shared" si="122"/>
        <v>508967.2182700081</v>
      </c>
      <c r="FT107" s="36">
        <f t="shared" si="147"/>
        <v>599041.47748550947</v>
      </c>
      <c r="FU107" s="101">
        <f t="shared" si="108"/>
        <v>87297.584478577206</v>
      </c>
      <c r="FV107" s="101"/>
      <c r="FW107" s="6">
        <f>SUMIF('Eredeti fejléccel'!$B:$B,'Felosztás eredménykim'!$B107,'Eredeti fejléccel'!$CR:$CR)</f>
        <v>3899609</v>
      </c>
      <c r="FX107" s="6">
        <f>SUMIF('Eredeti fejléccel'!$B:$B,'Felosztás eredménykim'!$B107,'Eredeti fejléccel'!$CS:$CS)</f>
        <v>271666</v>
      </c>
      <c r="FY107" s="6">
        <f>SUMIF('Eredeti fejléccel'!$B:$B,'Felosztás eredménykim'!$B107,'Eredeti fejléccel'!$CT:$CT)</f>
        <v>276936</v>
      </c>
      <c r="FZ107" s="6">
        <f>SUMIF('Eredeti fejléccel'!$B:$B,'Felosztás eredménykim'!$B107,'Eredeti fejléccel'!$CU:$CU)</f>
        <v>0</v>
      </c>
      <c r="GA107" s="103">
        <f t="shared" si="81"/>
        <v>4535508.5844785776</v>
      </c>
      <c r="GB107" s="36">
        <f t="shared" si="148"/>
        <v>79847.3804074207</v>
      </c>
      <c r="GC107" s="101">
        <f t="shared" si="110"/>
        <v>11636.061438965238</v>
      </c>
      <c r="GD107" s="6">
        <f>SUMIF('Eredeti fejléccel'!$B:$B,'Felosztás eredménykim'!$B107,'Eredeti fejléccel'!$CV:$CV)</f>
        <v>371993</v>
      </c>
      <c r="GE107" s="6">
        <f>SUMIF('Eredeti fejléccel'!$B:$B,'Felosztás eredménykim'!$B107,'Eredeti fejléccel'!$CW:$CW)</f>
        <v>0</v>
      </c>
      <c r="GF107" s="103">
        <f t="shared" si="82"/>
        <v>383629.06143896526</v>
      </c>
      <c r="GG107" s="36">
        <f t="shared" si="111"/>
        <v>0</v>
      </c>
      <c r="GM107" s="6">
        <f>SUMIF('Eredeti fejléccel'!$B:$B,'Felosztás eredménykim'!$B107,'Eredeti fejléccel'!$CX:$CX)</f>
        <v>0</v>
      </c>
      <c r="GN107" s="6">
        <f>SUMIF('Eredeti fejléccel'!$B:$B,'Felosztás eredménykim'!$B107,'Eredeti fejléccel'!$CY:$CY)</f>
        <v>0</v>
      </c>
      <c r="GO107" s="6">
        <f>SUMIF('Eredeti fejléccel'!$B:$B,'Felosztás eredménykim'!$B107,'Eredeti fejléccel'!$CZ:$CZ)</f>
        <v>0</v>
      </c>
      <c r="GP107" s="6">
        <f>SUMIF('Eredeti fejléccel'!$B:$B,'Felosztás eredménykim'!$B107,'Eredeti fejléccel'!$DA:$DA)</f>
        <v>0</v>
      </c>
      <c r="GQ107" s="6">
        <f>SUMIF('Eredeti fejléccel'!$B:$B,'Felosztás eredménykim'!$B107,'Eredeti fejléccel'!$DB:$DB)</f>
        <v>0</v>
      </c>
      <c r="GR107" s="103">
        <f t="shared" si="83"/>
        <v>0</v>
      </c>
      <c r="GW107" s="36">
        <f t="shared" si="112"/>
        <v>137066.6606567933</v>
      </c>
      <c r="GX107" s="6">
        <f>SUMIF('Eredeti fejléccel'!$B:$B,'Felosztás eredménykim'!$B107,'Eredeti fejléccel'!$M:$M)</f>
        <v>0</v>
      </c>
      <c r="GY107" s="6">
        <f>SUMIF('Eredeti fejléccel'!$B:$B,'Felosztás eredménykim'!$B107,'Eredeti fejléccel'!$DC:$DC)</f>
        <v>357891</v>
      </c>
      <c r="GZ107" s="6">
        <f>SUMIF('Eredeti fejléccel'!$B:$B,'Felosztás eredménykim'!$B107,'Eredeti fejléccel'!$DD:$DD)</f>
        <v>0</v>
      </c>
      <c r="HA107" s="6">
        <f>SUMIF('Eredeti fejléccel'!$B:$B,'Felosztás eredménykim'!$B107,'Eredeti fejléccel'!$DE:$DE)</f>
        <v>418091</v>
      </c>
      <c r="HB107" s="103">
        <f t="shared" si="84"/>
        <v>775982</v>
      </c>
      <c r="HD107" s="9">
        <f>SUM(D107:HA107)-W107-X107-AD107-AE107-AF107-AG107-AK107-AL107-AM107-AS107-AT107-AU107-BE107-BF107-BG107-BL107-BM107-BN107-CB107-CC107-CD107-CI107-CJ107-CK107-CN107-CO107-CP107-CR107-CX107-DA107-DC107-DG107-DH107-DL107-EW107-EX107-EY107-EZ107-FA107-FF107-FG107-FI107-FJ107-FM107-FN107-FO107-FS107-FT107-FU107-GA107-GB107-GC107-GF107-GG107-GR107-GS107-GT107-GU107-GW107</f>
        <v>22740672.000000004</v>
      </c>
      <c r="HE107" s="9">
        <v>22740672</v>
      </c>
      <c r="HF107" s="476"/>
      <c r="HH107" s="34">
        <f t="shared" si="85"/>
        <v>0</v>
      </c>
    </row>
    <row r="108" spans="1:232" x14ac:dyDescent="0.25">
      <c r="A108" s="4" t="s">
        <v>218</v>
      </c>
      <c r="B108" s="4" t="s">
        <v>218</v>
      </c>
      <c r="C108" s="1" t="s">
        <v>219</v>
      </c>
      <c r="D108" s="6">
        <f>SUMIF('Eredeti fejléccel'!$B:$B,'Felosztás eredménykim'!$B108,'Eredeti fejléccel'!$D:$D)</f>
        <v>0</v>
      </c>
      <c r="E108" s="6">
        <f>SUMIF('Eredeti fejléccel'!$B:$B,'Felosztás eredménykim'!$B108,'Eredeti fejléccel'!$E:$E)</f>
        <v>0</v>
      </c>
      <c r="F108" s="6">
        <f>SUMIF('Eredeti fejléccel'!$B:$B,'Felosztás eredménykim'!$B108,'Eredeti fejléccel'!$F:$F)</f>
        <v>0</v>
      </c>
      <c r="G108" s="6">
        <f>SUMIF('Eredeti fejléccel'!$B:$B,'Felosztás eredménykim'!$B108,'Eredeti fejléccel'!$G:$G)</f>
        <v>0</v>
      </c>
      <c r="H108" s="6"/>
      <c r="I108" s="6">
        <f>SUMIF('Eredeti fejléccel'!$B:$B,'Felosztás eredménykim'!$B108,'Eredeti fejléccel'!$O:$O)</f>
        <v>5427</v>
      </c>
      <c r="J108" s="6">
        <f>SUMIF('Eredeti fejléccel'!$B:$B,'Felosztás eredménykim'!$B108,'Eredeti fejléccel'!$P:$P)</f>
        <v>0</v>
      </c>
      <c r="K108" s="6">
        <f>SUMIF('Eredeti fejléccel'!$B:$B,'Felosztás eredménykim'!$B108,'Eredeti fejléccel'!$Q:$Q)</f>
        <v>0</v>
      </c>
      <c r="L108" s="6">
        <f>SUMIF('Eredeti fejléccel'!$B:$B,'Felosztás eredménykim'!$B108,'Eredeti fejléccel'!$R:$R)</f>
        <v>0</v>
      </c>
      <c r="M108" s="6">
        <f>SUMIF('Eredeti fejléccel'!$B:$B,'Felosztás eredménykim'!$B108,'Eredeti fejléccel'!$T:$T)</f>
        <v>0</v>
      </c>
      <c r="N108" s="6">
        <f>SUMIF('Eredeti fejléccel'!$B:$B,'Felosztás eredménykim'!$B108,'Eredeti fejléccel'!$U:$U)</f>
        <v>0</v>
      </c>
      <c r="O108" s="6">
        <f>SUMIF('Eredeti fejléccel'!$B:$B,'Felosztás eredménykim'!$B108,'Eredeti fejléccel'!$V:$V)</f>
        <v>0</v>
      </c>
      <c r="P108" s="6">
        <f>SUMIF('Eredeti fejléccel'!$B:$B,'Felosztás eredménykim'!$B108,'Eredeti fejléccel'!$W:$W)</f>
        <v>0</v>
      </c>
      <c r="Q108" s="6">
        <f>SUMIF('Eredeti fejléccel'!$B:$B,'Felosztás eredménykim'!$B108,'Eredeti fejléccel'!$X:$X)</f>
        <v>5102</v>
      </c>
      <c r="R108" s="6">
        <f>SUMIF('Eredeti fejléccel'!$B:$B,'Felosztás eredménykim'!$B108,'Eredeti fejléccel'!$Y:$Y)</f>
        <v>0</v>
      </c>
      <c r="S108" s="6">
        <f>SUMIF('Eredeti fejléccel'!$B:$B,'Felosztás eredménykim'!$B108,'Eredeti fejléccel'!$Z:$Z)</f>
        <v>812383</v>
      </c>
      <c r="T108" s="6">
        <f>SUMIF('Eredeti fejléccel'!$B:$B,'Felosztás eredménykim'!$B108,'Eredeti fejléccel'!$AA:$AA)</f>
        <v>0</v>
      </c>
      <c r="U108" s="6">
        <f>SUMIF('Eredeti fejléccel'!$B:$B,'Felosztás eredménykim'!$B108,'Eredeti fejléccel'!$D:$D)</f>
        <v>0</v>
      </c>
      <c r="V108" s="6">
        <f>SUMIF('Eredeti fejléccel'!$B:$B,'Felosztás eredménykim'!$B108,'Eredeti fejléccel'!$AT:$AT)</f>
        <v>14978</v>
      </c>
      <c r="X108" s="36">
        <f t="shared" si="86"/>
        <v>837890</v>
      </c>
      <c r="Z108" s="6">
        <f>SUMIF('Eredeti fejléccel'!$B:$B,'Felosztás eredménykim'!$B108,'Eredeti fejléccel'!$K:$K)</f>
        <v>0</v>
      </c>
      <c r="AB108" s="6">
        <f>SUMIF('Eredeti fejléccel'!$B:$B,'Felosztás eredménykim'!$B108,'Eredeti fejléccel'!$AB:$AB)</f>
        <v>0</v>
      </c>
      <c r="AC108" s="6">
        <f>SUMIF('Eredeti fejléccel'!$B:$B,'Felosztás eredménykim'!$B108,'Eredeti fejléccel'!$AQ:$AQ)</f>
        <v>0</v>
      </c>
      <c r="AE108" s="73">
        <f t="shared" si="131"/>
        <v>0</v>
      </c>
      <c r="AF108" s="36">
        <f t="shared" si="138"/>
        <v>99955.787195017896</v>
      </c>
      <c r="AG108" s="8">
        <f t="shared" si="88"/>
        <v>0</v>
      </c>
      <c r="AI108" s="6">
        <f>SUMIF('Eredeti fejléccel'!$B:$B,'Felosztás eredménykim'!$B108,'Eredeti fejléccel'!$BB:$BB)</f>
        <v>328643</v>
      </c>
      <c r="AJ108" s="6">
        <f>SUMIF('Eredeti fejléccel'!$B:$B,'Felosztás eredménykim'!$B108,'Eredeti fejléccel'!$AF:$AF)</f>
        <v>0</v>
      </c>
      <c r="AK108" s="8">
        <f t="shared" si="73"/>
        <v>328643</v>
      </c>
      <c r="AL108" s="36">
        <f t="shared" si="139"/>
        <v>39701.933988259567</v>
      </c>
      <c r="AM108" s="8">
        <f t="shared" si="90"/>
        <v>0</v>
      </c>
      <c r="AN108" s="6">
        <f t="shared" si="123"/>
        <v>0</v>
      </c>
      <c r="AO108" s="6">
        <f>SUMIF('Eredeti fejléccel'!$B:$B,'Felosztás eredménykim'!$B108,'Eredeti fejléccel'!$AC:$AC)</f>
        <v>0</v>
      </c>
      <c r="AP108" s="6">
        <f>SUMIF('Eredeti fejléccel'!$B:$B,'Felosztás eredménykim'!$B108,'Eredeti fejléccel'!$AD:$AD)</f>
        <v>0</v>
      </c>
      <c r="AQ108" s="6">
        <f>SUMIF('Eredeti fejléccel'!$B:$B,'Felosztás eredménykim'!$B108,'Eredeti fejléccel'!$AE:$AE)</f>
        <v>0</v>
      </c>
      <c r="AR108" s="6">
        <f>SUMIF('Eredeti fejléccel'!$B:$B,'Felosztás eredménykim'!$B108,'Eredeti fejléccel'!$AG:$AG)</f>
        <v>20015</v>
      </c>
      <c r="AS108" s="6">
        <f t="shared" si="124"/>
        <v>20015</v>
      </c>
      <c r="AT108" s="36">
        <f t="shared" si="140"/>
        <v>64487.604641947037</v>
      </c>
      <c r="AU108" s="8">
        <f t="shared" si="92"/>
        <v>0</v>
      </c>
      <c r="AV108" s="6">
        <f>SUMIF('Eredeti fejléccel'!$B:$B,'Felosztás eredménykim'!$B108,'Eredeti fejléccel'!$AI:$AI)</f>
        <v>0</v>
      </c>
      <c r="AW108" s="6">
        <f>SUMIF('Eredeti fejléccel'!$B:$B,'Felosztás eredménykim'!$B108,'Eredeti fejléccel'!$AJ:$AJ)</f>
        <v>186135</v>
      </c>
      <c r="AX108" s="6">
        <f>SUMIF('Eredeti fejléccel'!$B:$B,'Felosztás eredménykim'!$B108,'Eredeti fejléccel'!$AK:$AK)</f>
        <v>70815</v>
      </c>
      <c r="AY108" s="6">
        <f>SUMIF('Eredeti fejléccel'!$B:$B,'Felosztás eredménykim'!$B108,'Eredeti fejléccel'!$AL:$AL)</f>
        <v>38792</v>
      </c>
      <c r="AZ108" s="6">
        <f>SUMIF('Eredeti fejléccel'!$B:$B,'Felosztás eredménykim'!$B108,'Eredeti fejléccel'!$AM:$AM)</f>
        <v>24101</v>
      </c>
      <c r="BA108" s="6">
        <f>SUMIF('Eredeti fejléccel'!$B:$B,'Felosztás eredménykim'!$B108,'Eredeti fejléccel'!$AN:$AN)</f>
        <v>0</v>
      </c>
      <c r="BB108" s="6">
        <f>SUMIF('Eredeti fejléccel'!$B:$B,'Felosztás eredménykim'!$B108,'Eredeti fejléccel'!$AP:$AP)</f>
        <v>0</v>
      </c>
      <c r="BD108" s="6">
        <f>SUMIF('Eredeti fejléccel'!$B:$B,'Felosztás eredménykim'!$B108,'Eredeti fejléccel'!$AS:$AS)</f>
        <v>0</v>
      </c>
      <c r="BE108" s="8">
        <f t="shared" si="74"/>
        <v>319843</v>
      </c>
      <c r="BF108" s="36">
        <f t="shared" si="141"/>
        <v>16822.853384855749</v>
      </c>
      <c r="BG108" s="8">
        <f t="shared" si="94"/>
        <v>0</v>
      </c>
      <c r="BH108" s="6">
        <f t="shared" si="125"/>
        <v>0</v>
      </c>
      <c r="BI108" s="6">
        <f>SUMIF('Eredeti fejléccel'!$B:$B,'Felosztás eredménykim'!$B108,'Eredeti fejléccel'!$AH:$AH)</f>
        <v>4445</v>
      </c>
      <c r="BJ108" s="6">
        <f>SUMIF('Eredeti fejléccel'!$B:$B,'Felosztás eredménykim'!$B108,'Eredeti fejléccel'!$AO:$AO)</f>
        <v>0</v>
      </c>
      <c r="BK108" s="6">
        <f>SUMIF('Eredeti fejléccel'!$B:$B,'Felosztás eredménykim'!$B108,'Eredeti fejléccel'!$BF:$BF)</f>
        <v>0</v>
      </c>
      <c r="BL108" s="8">
        <f t="shared" si="126"/>
        <v>4445</v>
      </c>
      <c r="BM108" s="36">
        <f t="shared" si="142"/>
        <v>63029.624015259542</v>
      </c>
      <c r="BN108" s="8">
        <f t="shared" si="96"/>
        <v>0</v>
      </c>
      <c r="BP108" s="8">
        <f t="shared" si="127"/>
        <v>0</v>
      </c>
      <c r="BQ108" s="6">
        <f>SUMIF('Eredeti fejléccel'!$B:$B,'Felosztás eredménykim'!$B108,'Eredeti fejléccel'!$N:$N)</f>
        <v>0</v>
      </c>
      <c r="BR108" s="6">
        <f>SUMIF('Eredeti fejléccel'!$B:$B,'Felosztás eredménykim'!$B108,'Eredeti fejléccel'!$S:$S)</f>
        <v>0</v>
      </c>
      <c r="BT108" s="6">
        <f>SUMIF('Eredeti fejléccel'!$B:$B,'Felosztás eredménykim'!$B108,'Eredeti fejléccel'!$AR:$AR)</f>
        <v>0</v>
      </c>
      <c r="BU108" s="6">
        <f>SUMIF('Eredeti fejléccel'!$B:$B,'Felosztás eredménykim'!$B108,'Eredeti fejléccel'!$AU:$AU)</f>
        <v>0</v>
      </c>
      <c r="BV108" s="6">
        <f>SUMIF('Eredeti fejléccel'!$B:$B,'Felosztás eredménykim'!$B108,'Eredeti fejléccel'!$AV:$AV)</f>
        <v>0</v>
      </c>
      <c r="BW108" s="6">
        <f>SUMIF('Eredeti fejléccel'!$B:$B,'Felosztás eredménykim'!$B108,'Eredeti fejléccel'!$AW:$AW)</f>
        <v>0</v>
      </c>
      <c r="BX108" s="6">
        <f>SUMIF('Eredeti fejléccel'!$B:$B,'Felosztás eredménykim'!$B108,'Eredeti fejléccel'!$AX:$AX)</f>
        <v>0</v>
      </c>
      <c r="BY108" s="6">
        <f>SUMIF('Eredeti fejléccel'!$B:$B,'Felosztás eredménykim'!$B108,'Eredeti fejléccel'!$AY:$AY)</f>
        <v>0</v>
      </c>
      <c r="BZ108" s="6">
        <f>SUMIF('Eredeti fejléccel'!$B:$B,'Felosztás eredménykim'!$B108,'Eredeti fejléccel'!$AZ:$AZ)</f>
        <v>0</v>
      </c>
      <c r="CA108" s="6">
        <f>SUMIF('Eredeti fejléccel'!$B:$B,'Felosztás eredménykim'!$B108,'Eredeti fejléccel'!$BA:$BA)</f>
        <v>88281</v>
      </c>
      <c r="CB108" s="6">
        <f t="shared" si="114"/>
        <v>88281</v>
      </c>
      <c r="CC108" s="36">
        <f t="shared" si="143"/>
        <v>17159.310452552862</v>
      </c>
      <c r="CD108" s="8">
        <f t="shared" si="98"/>
        <v>0</v>
      </c>
      <c r="CE108" s="6">
        <f>SUMIF('Eredeti fejléccel'!$B:$B,'Felosztás eredménykim'!$B108,'Eredeti fejléccel'!$BC:$BC)</f>
        <v>0</v>
      </c>
      <c r="CF108" s="8">
        <f t="shared" si="135"/>
        <v>0</v>
      </c>
      <c r="CG108" s="6">
        <f>SUMIF('Eredeti fejléccel'!$B:$B,'Felosztás eredménykim'!$B108,'Eredeti fejléccel'!$H:$H)</f>
        <v>0</v>
      </c>
      <c r="CH108" s="6">
        <f>SUMIF('Eredeti fejléccel'!$B:$B,'Felosztás eredménykim'!$B108,'Eredeti fejléccel'!$BE:$BE)</f>
        <v>82310</v>
      </c>
      <c r="CI108" s="6">
        <f t="shared" si="75"/>
        <v>82310</v>
      </c>
      <c r="CJ108" s="36">
        <f t="shared" si="144"/>
        <v>12336.759148894218</v>
      </c>
      <c r="CK108" s="8">
        <f t="shared" si="100"/>
        <v>0</v>
      </c>
      <c r="CL108" s="8">
        <f t="shared" si="136"/>
        <v>0</v>
      </c>
      <c r="CM108" s="6">
        <f>SUMIF('Eredeti fejléccel'!$B:$B,'Felosztás eredménykim'!$B108,'Eredeti fejléccel'!$BD:$BD)</f>
        <v>0</v>
      </c>
      <c r="CN108" s="8">
        <f t="shared" si="76"/>
        <v>0</v>
      </c>
      <c r="CO108" s="8">
        <f t="shared" si="115"/>
        <v>1157030.8728267869</v>
      </c>
      <c r="CR108" s="36">
        <f t="shared" si="101"/>
        <v>74104.437540244689</v>
      </c>
      <c r="CS108" s="6">
        <f>SUMIF('Eredeti fejléccel'!$B:$B,'Felosztás eredménykim'!$B108,'Eredeti fejléccel'!$I:$I)</f>
        <v>0</v>
      </c>
      <c r="CT108" s="6">
        <f>SUMIF('Eredeti fejléccel'!$B:$B,'Felosztás eredménykim'!$B108,'Eredeti fejléccel'!$BG:$BG)</f>
        <v>0</v>
      </c>
      <c r="CU108" s="6">
        <f>SUMIF('Eredeti fejléccel'!$B:$B,'Felosztás eredménykim'!$B108,'Eredeti fejléccel'!$BH:$BH)</f>
        <v>402629</v>
      </c>
      <c r="CV108" s="6">
        <f>SUMIF('Eredeti fejléccel'!$B:$B,'Felosztás eredménykim'!$B108,'Eredeti fejléccel'!$BI:$BI)</f>
        <v>47893</v>
      </c>
      <c r="CW108" s="6">
        <f>SUMIF('Eredeti fejléccel'!$B:$B,'Felosztás eredménykim'!$B108,'Eredeti fejléccel'!$BL:$BL)</f>
        <v>0</v>
      </c>
      <c r="CX108" s="6">
        <f t="shared" si="77"/>
        <v>450522</v>
      </c>
      <c r="CY108" s="6">
        <f>SUMIF('Eredeti fejléccel'!$B:$B,'Felosztás eredménykim'!$B108,'Eredeti fejléccel'!$BJ:$BJ)</f>
        <v>0</v>
      </c>
      <c r="CZ108" s="6">
        <f>SUMIF('Eredeti fejléccel'!$B:$B,'Felosztás eredménykim'!$B108,'Eredeti fejléccel'!$BK:$BK)</f>
        <v>0</v>
      </c>
      <c r="DA108" s="99">
        <f t="shared" si="116"/>
        <v>450522</v>
      </c>
      <c r="DC108" s="36">
        <f t="shared" si="102"/>
        <v>64905.452028332271</v>
      </c>
      <c r="DD108" s="6">
        <f>SUMIF('Eredeti fejléccel'!$B:$B,'Felosztás eredménykim'!$B108,'Eredeti fejléccel'!$J:$J)</f>
        <v>0</v>
      </c>
      <c r="DE108" s="6">
        <f>SUMIF('Eredeti fejléccel'!$B:$B,'Felosztás eredménykim'!$B108,'Eredeti fejléccel'!$BM:$BM)</f>
        <v>216727</v>
      </c>
      <c r="DF108" s="6">
        <f t="shared" si="128"/>
        <v>0</v>
      </c>
      <c r="DG108" s="8">
        <f t="shared" si="117"/>
        <v>0</v>
      </c>
      <c r="DH108" s="8">
        <f t="shared" si="129"/>
        <v>216727</v>
      </c>
      <c r="DJ108" s="6">
        <f>SUMIF('Eredeti fejléccel'!$B:$B,'Felosztás eredménykim'!$B108,'Eredeti fejléccel'!$BN:$BN)</f>
        <v>207413</v>
      </c>
      <c r="DK108" s="6">
        <f>SUMIF('Eredeti fejléccel'!$B:$B,'Felosztás eredménykim'!$B108,'Eredeti fejléccel'!$BZ:$BZ)</f>
        <v>0</v>
      </c>
      <c r="DL108" s="8">
        <f t="shared" si="130"/>
        <v>207413</v>
      </c>
      <c r="DM108" s="6">
        <f>SUMIF('Eredeti fejléccel'!$B:$B,'Felosztás eredménykim'!$B108,'Eredeti fejléccel'!$BR:$BR)</f>
        <v>0</v>
      </c>
      <c r="DN108" s="6">
        <f>SUMIF('Eredeti fejléccel'!$B:$B,'Felosztás eredménykim'!$B108,'Eredeti fejléccel'!$BS:$BS)</f>
        <v>0</v>
      </c>
      <c r="DO108" s="6">
        <f>SUMIF('Eredeti fejléccel'!$B:$B,'Felosztás eredménykim'!$B108,'Eredeti fejléccel'!$BO:$BO)</f>
        <v>0</v>
      </c>
      <c r="DP108" s="6">
        <f>SUMIF('Eredeti fejléccel'!$B:$B,'Felosztás eredménykim'!$B108,'Eredeti fejléccel'!$BP:$BP)</f>
        <v>0</v>
      </c>
      <c r="DQ108" s="6">
        <f>SUMIF('Eredeti fejléccel'!$B:$B,'Felosztás eredménykim'!$B108,'Eredeti fejléccel'!$BQ:$BQ)</f>
        <v>0</v>
      </c>
      <c r="DS108" s="8"/>
      <c r="DU108" s="6">
        <f>SUMIF('Eredeti fejléccel'!$B:$B,'Felosztás eredménykim'!$B108,'Eredeti fejléccel'!$BT:$BT)</f>
        <v>0</v>
      </c>
      <c r="DV108" s="6">
        <f>SUMIF('Eredeti fejléccel'!$B:$B,'Felosztás eredménykim'!$B108,'Eredeti fejléccel'!$BU:$BU)</f>
        <v>0</v>
      </c>
      <c r="DW108" s="6">
        <f>SUMIF('Eredeti fejléccel'!$B:$B,'Felosztás eredménykim'!$B108,'Eredeti fejléccel'!$BV:$BV)</f>
        <v>0</v>
      </c>
      <c r="DX108" s="6">
        <f>SUMIF('Eredeti fejléccel'!$B:$B,'Felosztás eredménykim'!$B108,'Eredeti fejléccel'!$BW:$BW)</f>
        <v>0</v>
      </c>
      <c r="DY108" s="6">
        <f>SUMIF('Eredeti fejléccel'!$B:$B,'Felosztás eredménykim'!$B108,'Eredeti fejléccel'!$BX:$BX)</f>
        <v>0</v>
      </c>
      <c r="EA108" s="6"/>
      <c r="EC108" s="6"/>
      <c r="EE108" s="6">
        <f>SUMIF('Eredeti fejléccel'!$B:$B,'Felosztás eredménykim'!$B108,'Eredeti fejléccel'!$CA:$CA)</f>
        <v>0</v>
      </c>
      <c r="EF108" s="6">
        <f>SUMIF('Eredeti fejléccel'!$B:$B,'Felosztás eredménykim'!$B108,'Eredeti fejléccel'!$CB:$CB)</f>
        <v>0</v>
      </c>
      <c r="EG108" s="6">
        <f>SUMIF('Eredeti fejléccel'!$B:$B,'Felosztás eredménykim'!$B108,'Eredeti fejléccel'!$CC:$CC)</f>
        <v>0</v>
      </c>
      <c r="EH108" s="6">
        <f>SUMIF('Eredeti fejléccel'!$B:$B,'Felosztás eredménykim'!$B108,'Eredeti fejléccel'!$CD:$CD)</f>
        <v>0</v>
      </c>
      <c r="EK108" s="6">
        <f>SUMIF('Eredeti fejléccel'!$B:$B,'Felosztás eredménykim'!$B108,'Eredeti fejléccel'!$CE:$CE)</f>
        <v>0</v>
      </c>
      <c r="EN108" s="6">
        <f>SUMIF('Eredeti fejléccel'!$B:$B,'Felosztás eredménykim'!$B108,'Eredeti fejléccel'!$CF:$CF)</f>
        <v>0</v>
      </c>
      <c r="EP108" s="6">
        <f>SUMIF('Eredeti fejléccel'!$B:$B,'Felosztás eredménykim'!$B108,'Eredeti fejléccel'!$CG:$CG)</f>
        <v>0</v>
      </c>
      <c r="ES108" s="6">
        <f>SUMIF('Eredeti fejléccel'!$B:$B,'Felosztás eredménykim'!$B108,'Eredeti fejléccel'!$CH:$CH)</f>
        <v>0</v>
      </c>
      <c r="ET108" s="6">
        <f>SUMIF('Eredeti fejléccel'!$B:$B,'Felosztás eredménykim'!$B108,'Eredeti fejléccel'!$CI:$CI)</f>
        <v>0</v>
      </c>
      <c r="EW108" s="8">
        <f t="shared" si="118"/>
        <v>0</v>
      </c>
      <c r="EX108" s="8">
        <f t="shared" si="78"/>
        <v>0</v>
      </c>
      <c r="EY108" s="8">
        <f t="shared" si="119"/>
        <v>216727</v>
      </c>
      <c r="EZ108" s="8">
        <f t="shared" si="120"/>
        <v>424140</v>
      </c>
      <c r="FA108" s="8">
        <f t="shared" si="121"/>
        <v>216727</v>
      </c>
      <c r="FC108" s="6">
        <f>SUMIF('Eredeti fejléccel'!$B:$B,'Felosztás eredménykim'!$B108,'Eredeti fejléccel'!$L:$L)</f>
        <v>0</v>
      </c>
      <c r="FD108" s="6">
        <f>SUMIF('Eredeti fejléccel'!$B:$B,'Felosztás eredménykim'!$B108,'Eredeti fejléccel'!$CJ:$CJ)</f>
        <v>0</v>
      </c>
      <c r="FE108" s="6">
        <f>SUMIF('Eredeti fejléccel'!$B:$B,'Felosztás eredménykim'!$B108,'Eredeti fejléccel'!$CL:$CL)</f>
        <v>0</v>
      </c>
      <c r="FG108" s="99">
        <f t="shared" si="79"/>
        <v>0</v>
      </c>
      <c r="FH108" s="6">
        <f>SUMIF('Eredeti fejléccel'!$B:$B,'Felosztás eredménykim'!$B108,'Eredeti fejléccel'!$CK:$CK)</f>
        <v>0</v>
      </c>
      <c r="FI108" s="36">
        <f t="shared" si="145"/>
        <v>76365.377671037</v>
      </c>
      <c r="FJ108" s="101">
        <f t="shared" si="104"/>
        <v>0</v>
      </c>
      <c r="FK108" s="6">
        <f>SUMIF('Eredeti fejléccel'!$B:$B,'Felosztás eredménykim'!$B108,'Eredeti fejléccel'!$CM:$CM)</f>
        <v>59699</v>
      </c>
      <c r="FL108" s="6">
        <f>SUMIF('Eredeti fejléccel'!$B:$B,'Felosztás eredménykim'!$B108,'Eredeti fejléccel'!$CN:$CN)</f>
        <v>0</v>
      </c>
      <c r="FM108" s="8">
        <f t="shared" si="80"/>
        <v>59699</v>
      </c>
      <c r="FN108" s="36">
        <f t="shared" si="146"/>
        <v>64923.099062653404</v>
      </c>
      <c r="FO108" s="101">
        <f t="shared" si="106"/>
        <v>0</v>
      </c>
      <c r="FP108" s="6">
        <f>SUMIF('Eredeti fejléccel'!$B:$B,'Felosztás eredménykim'!$B108,'Eredeti fejléccel'!$CO:$CO)</f>
        <v>74377</v>
      </c>
      <c r="FQ108" s="6">
        <f>'Eredeti fejléccel'!CP108</f>
        <v>5557</v>
      </c>
      <c r="FR108" s="6">
        <f>'Eredeti fejléccel'!CQ108</f>
        <v>0</v>
      </c>
      <c r="FS108" s="103">
        <f t="shared" si="122"/>
        <v>79934</v>
      </c>
      <c r="FT108" s="36">
        <f t="shared" si="147"/>
        <v>179206.68467680103</v>
      </c>
      <c r="FU108" s="101">
        <f t="shared" si="108"/>
        <v>0</v>
      </c>
      <c r="FV108" s="101"/>
      <c r="FW108" s="6">
        <f>SUMIF('Eredeti fejléccel'!$B:$B,'Felosztás eredménykim'!$B108,'Eredeti fejléccel'!$CR:$CR)</f>
        <v>1051225</v>
      </c>
      <c r="FX108" s="6">
        <f>SUMIF('Eredeti fejléccel'!$B:$B,'Felosztás eredménykim'!$B108,'Eredeti fejléccel'!$CS:$CS)</f>
        <v>1887</v>
      </c>
      <c r="FY108" s="6">
        <f>SUMIF('Eredeti fejléccel'!$B:$B,'Felosztás eredménykim'!$B108,'Eredeti fejléccel'!$CT:$CT)</f>
        <v>99795</v>
      </c>
      <c r="FZ108" s="6">
        <f>SUMIF('Eredeti fejléccel'!$B:$B,'Felosztás eredménykim'!$B108,'Eredeti fejléccel'!$CU:$CU)</f>
        <v>0</v>
      </c>
      <c r="GA108" s="103">
        <f t="shared" si="81"/>
        <v>1152907</v>
      </c>
      <c r="GB108" s="36">
        <f t="shared" si="148"/>
        <v>23886.800598523419</v>
      </c>
      <c r="GC108" s="101">
        <f t="shared" si="110"/>
        <v>0</v>
      </c>
      <c r="GD108" s="6">
        <f>SUMIF('Eredeti fejléccel'!$B:$B,'Felosztás eredménykim'!$B108,'Eredeti fejléccel'!$CV:$CV)</f>
        <v>16643</v>
      </c>
      <c r="GE108" s="6">
        <f>SUMIF('Eredeti fejléccel'!$B:$B,'Felosztás eredménykim'!$B108,'Eredeti fejléccel'!$CW:$CW)</f>
        <v>0</v>
      </c>
      <c r="GF108" s="103">
        <f t="shared" si="82"/>
        <v>16643</v>
      </c>
      <c r="GG108" s="36">
        <f t="shared" si="111"/>
        <v>0</v>
      </c>
      <c r="GM108" s="6">
        <f>SUMIF('Eredeti fejléccel'!$B:$B,'Felosztás eredménykim'!$B108,'Eredeti fejléccel'!$CX:$CX)</f>
        <v>0</v>
      </c>
      <c r="GN108" s="6">
        <f>SUMIF('Eredeti fejléccel'!$B:$B,'Felosztás eredménykim'!$B108,'Eredeti fejléccel'!$CY:$CY)</f>
        <v>0</v>
      </c>
      <c r="GO108" s="6">
        <f>SUMIF('Eredeti fejléccel'!$B:$B,'Felosztás eredménykim'!$B108,'Eredeti fejléccel'!$CZ:$CZ)</f>
        <v>0</v>
      </c>
      <c r="GP108" s="6">
        <f>SUMIF('Eredeti fejléccel'!$B:$B,'Felosztás eredménykim'!$B108,'Eredeti fejléccel'!$DA:$DA)</f>
        <v>0</v>
      </c>
      <c r="GQ108" s="6">
        <f>SUMIF('Eredeti fejléccel'!$B:$B,'Felosztás eredménykim'!$B108,'Eredeti fejléccel'!$DB:$DB)</f>
        <v>0</v>
      </c>
      <c r="GR108" s="103">
        <f t="shared" si="83"/>
        <v>0</v>
      </c>
      <c r="GW108" s="36">
        <f t="shared" si="112"/>
        <v>41004.27559562138</v>
      </c>
      <c r="GX108" s="6">
        <f>SUMIF('Eredeti fejléccel'!$B:$B,'Felosztás eredménykim'!$B108,'Eredeti fejléccel'!$M:$M)</f>
        <v>0</v>
      </c>
      <c r="GY108" s="6">
        <f>SUMIF('Eredeti fejléccel'!$B:$B,'Felosztás eredménykim'!$B108,'Eredeti fejléccel'!$DC:$DC)</f>
        <v>65876</v>
      </c>
      <c r="GZ108" s="6">
        <f>SUMIF('Eredeti fejléccel'!$B:$B,'Felosztás eredménykim'!$B108,'Eredeti fejléccel'!$DD:$DD)</f>
        <v>0</v>
      </c>
      <c r="HA108" s="6">
        <f>SUMIF('Eredeti fejléccel'!$B:$B,'Felosztás eredménykim'!$B108,'Eredeti fejléccel'!$DE:$DE)</f>
        <v>56050</v>
      </c>
      <c r="HB108" s="103">
        <f t="shared" si="84"/>
        <v>121926</v>
      </c>
      <c r="HD108" s="9">
        <f>SUM(D108:HA108)-W108-X108-AD108-AE108-AF108-AG108-AK108-AL108-AM108-AS108-AT108-AU108-BE108-BF108-BG108-BL108-BM108-BN108-CB108-CC108-CD108-CI108-CJ108-CK108-CN108-CO108-CP108-CR108-CX108-DA108-DC108-DG108-DH108-DL108-EW108-EX108-EY108-EZ108-FA108-FF108-FG108-FI108-FJ108-FM108-FN108-FO108-FS108-FT108-FU108-GA108-GB108-GC108-GF108-GG108-GR108-GS108-GT108-GU108-GW108</f>
        <v>3987198.0000000009</v>
      </c>
      <c r="HE108" s="9">
        <v>3987198</v>
      </c>
      <c r="HF108" s="476"/>
      <c r="HH108" s="34">
        <f t="shared" si="85"/>
        <v>0</v>
      </c>
    </row>
    <row r="109" spans="1:232" x14ac:dyDescent="0.25">
      <c r="A109" s="4" t="s">
        <v>220</v>
      </c>
      <c r="B109" s="4" t="s">
        <v>220</v>
      </c>
      <c r="C109" s="1" t="s">
        <v>221</v>
      </c>
      <c r="D109" s="6">
        <f>SUMIF('Eredeti fejléccel'!$B:$B,'Felosztás eredménykim'!$B109,'Eredeti fejléccel'!$D:$D)</f>
        <v>0</v>
      </c>
      <c r="E109" s="6">
        <f>SUMIF('Eredeti fejléccel'!$B:$B,'Felosztás eredménykim'!$B109,'Eredeti fejléccel'!$E:$E)</f>
        <v>0</v>
      </c>
      <c r="F109" s="6">
        <f>SUMIF('Eredeti fejléccel'!$B:$B,'Felosztás eredménykim'!$B109,'Eredeti fejléccel'!$F:$F)</f>
        <v>0</v>
      </c>
      <c r="G109" s="6">
        <f>SUMIF('Eredeti fejléccel'!$B:$B,'Felosztás eredménykim'!$B109,'Eredeti fejléccel'!$G:$G)</f>
        <v>0</v>
      </c>
      <c r="H109" s="6"/>
      <c r="I109" s="6">
        <f>SUMIF('Eredeti fejléccel'!$B:$B,'Felosztás eredménykim'!$B109,'Eredeti fejléccel'!$O:$O)</f>
        <v>0</v>
      </c>
      <c r="J109" s="6">
        <f>SUMIF('Eredeti fejléccel'!$B:$B,'Felosztás eredménykim'!$B109,'Eredeti fejléccel'!$P:$P)</f>
        <v>0</v>
      </c>
      <c r="K109" s="6">
        <f>SUMIF('Eredeti fejléccel'!$B:$B,'Felosztás eredménykim'!$B109,'Eredeti fejléccel'!$Q:$Q)</f>
        <v>0</v>
      </c>
      <c r="L109" s="6">
        <f>SUMIF('Eredeti fejléccel'!$B:$B,'Felosztás eredménykim'!$B109,'Eredeti fejléccel'!$R:$R)</f>
        <v>0</v>
      </c>
      <c r="M109" s="6">
        <f>SUMIF('Eredeti fejléccel'!$B:$B,'Felosztás eredménykim'!$B109,'Eredeti fejléccel'!$T:$T)</f>
        <v>0</v>
      </c>
      <c r="N109" s="6">
        <f>SUMIF('Eredeti fejléccel'!$B:$B,'Felosztás eredménykim'!$B109,'Eredeti fejléccel'!$U:$U)</f>
        <v>0</v>
      </c>
      <c r="O109" s="6">
        <f>SUMIF('Eredeti fejléccel'!$B:$B,'Felosztás eredménykim'!$B109,'Eredeti fejléccel'!$V:$V)</f>
        <v>0</v>
      </c>
      <c r="P109" s="6">
        <f>SUMIF('Eredeti fejléccel'!$B:$B,'Felosztás eredménykim'!$B109,'Eredeti fejléccel'!$W:$W)</f>
        <v>0</v>
      </c>
      <c r="Q109" s="6">
        <f>SUMIF('Eredeti fejléccel'!$B:$B,'Felosztás eredménykim'!$B109,'Eredeti fejléccel'!$X:$X)</f>
        <v>950000</v>
      </c>
      <c r="R109" s="6">
        <f>SUMIF('Eredeti fejléccel'!$B:$B,'Felosztás eredménykim'!$B109,'Eredeti fejléccel'!$Y:$Y)</f>
        <v>0</v>
      </c>
      <c r="S109" s="6">
        <f>SUMIF('Eredeti fejléccel'!$B:$B,'Felosztás eredménykim'!$B109,'Eredeti fejléccel'!$Z:$Z)</f>
        <v>0</v>
      </c>
      <c r="T109" s="6">
        <f>SUMIF('Eredeti fejléccel'!$B:$B,'Felosztás eredménykim'!$B109,'Eredeti fejléccel'!$AA:$AA)</f>
        <v>0</v>
      </c>
      <c r="U109" s="6">
        <f>SUMIF('Eredeti fejléccel'!$B:$B,'Felosztás eredménykim'!$B109,'Eredeti fejléccel'!$D:$D)</f>
        <v>0</v>
      </c>
      <c r="V109" s="6">
        <f>SUMIF('Eredeti fejléccel'!$B:$B,'Felosztás eredménykim'!$B109,'Eredeti fejléccel'!$AT:$AT)</f>
        <v>0</v>
      </c>
      <c r="X109" s="36">
        <f t="shared" si="86"/>
        <v>950000</v>
      </c>
      <c r="Z109" s="6">
        <f>SUMIF('Eredeti fejléccel'!$B:$B,'Felosztás eredménykim'!$B109,'Eredeti fejléccel'!$K:$K)</f>
        <v>0</v>
      </c>
      <c r="AB109" s="6">
        <f>SUMIF('Eredeti fejléccel'!$B:$B,'Felosztás eredménykim'!$B109,'Eredeti fejléccel'!$AB:$AB)</f>
        <v>0</v>
      </c>
      <c r="AC109" s="6">
        <f>SUMIF('Eredeti fejléccel'!$B:$B,'Felosztás eredménykim'!$B109,'Eredeti fejléccel'!$AQ:$AQ)</f>
        <v>0</v>
      </c>
      <c r="AE109" s="73">
        <f t="shared" si="131"/>
        <v>0</v>
      </c>
      <c r="AF109" s="36">
        <f t="shared" si="138"/>
        <v>113329.9094574073</v>
      </c>
      <c r="AG109" s="8">
        <f t="shared" si="88"/>
        <v>0</v>
      </c>
      <c r="AI109" s="6">
        <f>SUMIF('Eredeti fejléccel'!$B:$B,'Felosztás eredménykim'!$B109,'Eredeti fejléccel'!$BB:$BB)</f>
        <v>0</v>
      </c>
      <c r="AJ109" s="6">
        <f>SUMIF('Eredeti fejléccel'!$B:$B,'Felosztás eredménykim'!$B109,'Eredeti fejléccel'!$AF:$AF)</f>
        <v>0</v>
      </c>
      <c r="AK109" s="8">
        <f t="shared" si="73"/>
        <v>0</v>
      </c>
      <c r="AL109" s="36">
        <f t="shared" si="139"/>
        <v>45014.067823755613</v>
      </c>
      <c r="AM109" s="8">
        <f t="shared" si="90"/>
        <v>0</v>
      </c>
      <c r="AN109" s="6">
        <f t="shared" si="123"/>
        <v>0</v>
      </c>
      <c r="AO109" s="6">
        <f>SUMIF('Eredeti fejléccel'!$B:$B,'Felosztás eredménykim'!$B109,'Eredeti fejléccel'!$AC:$AC)</f>
        <v>0</v>
      </c>
      <c r="AP109" s="6">
        <f>SUMIF('Eredeti fejléccel'!$B:$B,'Felosztás eredménykim'!$B109,'Eredeti fejléccel'!$AD:$AD)</f>
        <v>0</v>
      </c>
      <c r="AQ109" s="6">
        <f>SUMIF('Eredeti fejléccel'!$B:$B,'Felosztás eredménykim'!$B109,'Eredeti fejléccel'!$AE:$AE)</f>
        <v>0</v>
      </c>
      <c r="AR109" s="6">
        <f>SUMIF('Eredeti fejléccel'!$B:$B,'Felosztás eredménykim'!$B109,'Eredeti fejléccel'!$AG:$AG)</f>
        <v>0</v>
      </c>
      <c r="AS109" s="6">
        <f t="shared" si="124"/>
        <v>0</v>
      </c>
      <c r="AT109" s="36">
        <f t="shared" si="140"/>
        <v>73116.07061768214</v>
      </c>
      <c r="AU109" s="8">
        <f t="shared" si="92"/>
        <v>0</v>
      </c>
      <c r="AV109" s="6">
        <f>SUMIF('Eredeti fejléccel'!$B:$B,'Felosztás eredménykim'!$B109,'Eredeti fejléccel'!$AI:$AI)</f>
        <v>0</v>
      </c>
      <c r="AW109" s="6">
        <f>SUMIF('Eredeti fejléccel'!$B:$B,'Felosztás eredménykim'!$B109,'Eredeti fejléccel'!$AJ:$AJ)</f>
        <v>0</v>
      </c>
      <c r="AX109" s="6">
        <f>SUMIF('Eredeti fejléccel'!$B:$B,'Felosztás eredménykim'!$B109,'Eredeti fejléccel'!$AK:$AK)</f>
        <v>0</v>
      </c>
      <c r="AY109" s="6">
        <f>SUMIF('Eredeti fejléccel'!$B:$B,'Felosztás eredménykim'!$B109,'Eredeti fejléccel'!$AL:$AL)</f>
        <v>0</v>
      </c>
      <c r="AZ109" s="6">
        <f>SUMIF('Eredeti fejléccel'!$B:$B,'Felosztás eredménykim'!$B109,'Eredeti fejléccel'!$AM:$AM)</f>
        <v>0</v>
      </c>
      <c r="BA109" s="6">
        <f>SUMIF('Eredeti fejléccel'!$B:$B,'Felosztás eredménykim'!$B109,'Eredeti fejléccel'!$AN:$AN)</f>
        <v>0</v>
      </c>
      <c r="BB109" s="6">
        <f>SUMIF('Eredeti fejléccel'!$B:$B,'Felosztás eredménykim'!$B109,'Eredeti fejléccel'!$AP:$AP)</f>
        <v>0</v>
      </c>
      <c r="BD109" s="6">
        <f>SUMIF('Eredeti fejléccel'!$B:$B,'Felosztás eredménykim'!$B109,'Eredeti fejléccel'!$AS:$AS)</f>
        <v>0</v>
      </c>
      <c r="BE109" s="8">
        <f t="shared" si="74"/>
        <v>0</v>
      </c>
      <c r="BF109" s="36">
        <f t="shared" si="141"/>
        <v>19073.757552438816</v>
      </c>
      <c r="BG109" s="8">
        <f t="shared" si="94"/>
        <v>0</v>
      </c>
      <c r="BH109" s="6">
        <f t="shared" si="125"/>
        <v>0</v>
      </c>
      <c r="BI109" s="6">
        <f>SUMIF('Eredeti fejléccel'!$B:$B,'Felosztás eredménykim'!$B109,'Eredeti fejléccel'!$AH:$AH)</f>
        <v>0</v>
      </c>
      <c r="BJ109" s="6">
        <f>SUMIF('Eredeti fejléccel'!$B:$B,'Felosztás eredménykim'!$B109,'Eredeti fejléccel'!$AO:$AO)</f>
        <v>0</v>
      </c>
      <c r="BK109" s="6">
        <f>SUMIF('Eredeti fejléccel'!$B:$B,'Felosztás eredménykim'!$B109,'Eredeti fejléccel'!$BF:$BF)</f>
        <v>0</v>
      </c>
      <c r="BL109" s="8">
        <f t="shared" si="126"/>
        <v>0</v>
      </c>
      <c r="BM109" s="36">
        <f t="shared" si="142"/>
        <v>71463.01162980411</v>
      </c>
      <c r="BN109" s="8">
        <f t="shared" si="96"/>
        <v>0</v>
      </c>
      <c r="BP109" s="8">
        <f t="shared" si="127"/>
        <v>0</v>
      </c>
      <c r="BQ109" s="6">
        <f>SUMIF('Eredeti fejléccel'!$B:$B,'Felosztás eredménykim'!$B109,'Eredeti fejléccel'!$N:$N)</f>
        <v>0</v>
      </c>
      <c r="BR109" s="6">
        <f>SUMIF('Eredeti fejléccel'!$B:$B,'Felosztás eredménykim'!$B109,'Eredeti fejléccel'!$S:$S)</f>
        <v>0</v>
      </c>
      <c r="BT109" s="6">
        <f>SUMIF('Eredeti fejléccel'!$B:$B,'Felosztás eredménykim'!$B109,'Eredeti fejléccel'!$AR:$AR)</f>
        <v>0</v>
      </c>
      <c r="BU109" s="6">
        <f>SUMIF('Eredeti fejléccel'!$B:$B,'Felosztás eredménykim'!$B109,'Eredeti fejléccel'!$AU:$AU)</f>
        <v>0</v>
      </c>
      <c r="BV109" s="6">
        <f>SUMIF('Eredeti fejléccel'!$B:$B,'Felosztás eredménykim'!$B109,'Eredeti fejléccel'!$AV:$AV)</f>
        <v>0</v>
      </c>
      <c r="BW109" s="6">
        <f>SUMIF('Eredeti fejléccel'!$B:$B,'Felosztás eredménykim'!$B109,'Eredeti fejléccel'!$AW:$AW)</f>
        <v>0</v>
      </c>
      <c r="BX109" s="6">
        <f>SUMIF('Eredeti fejléccel'!$B:$B,'Felosztás eredménykim'!$B109,'Eredeti fejléccel'!$AX:$AX)</f>
        <v>0</v>
      </c>
      <c r="BY109" s="6">
        <f>SUMIF('Eredeti fejléccel'!$B:$B,'Felosztás eredménykim'!$B109,'Eredeti fejléccel'!$AY:$AY)</f>
        <v>0</v>
      </c>
      <c r="BZ109" s="6">
        <f>SUMIF('Eredeti fejléccel'!$B:$B,'Felosztás eredménykim'!$B109,'Eredeti fejléccel'!$AZ:$AZ)</f>
        <v>0</v>
      </c>
      <c r="CA109" s="6">
        <f>SUMIF('Eredeti fejléccel'!$B:$B,'Felosztás eredménykim'!$B109,'Eredeti fejléccel'!$BA:$BA)</f>
        <v>616000</v>
      </c>
      <c r="CB109" s="6">
        <f t="shared" si="114"/>
        <v>616000</v>
      </c>
      <c r="CC109" s="36">
        <f t="shared" si="143"/>
        <v>19455.232703487596</v>
      </c>
      <c r="CD109" s="8">
        <f t="shared" si="98"/>
        <v>0</v>
      </c>
      <c r="CE109" s="6">
        <f>SUMIF('Eredeti fejléccel'!$B:$B,'Felosztás eredménykim'!$B109,'Eredeti fejléccel'!$BC:$BC)</f>
        <v>0</v>
      </c>
      <c r="CF109" s="8">
        <f t="shared" si="135"/>
        <v>0</v>
      </c>
      <c r="CG109" s="6">
        <f>SUMIF('Eredeti fejléccel'!$B:$B,'Felosztás eredménykim'!$B109,'Eredeti fejléccel'!$H:$H)</f>
        <v>0</v>
      </c>
      <c r="CH109" s="6">
        <f>SUMIF('Eredeti fejléccel'!$B:$B,'Felosztás eredménykim'!$B109,'Eredeti fejléccel'!$BE:$BE)</f>
        <v>0</v>
      </c>
      <c r="CI109" s="6">
        <f t="shared" si="75"/>
        <v>0</v>
      </c>
      <c r="CJ109" s="36">
        <f t="shared" si="144"/>
        <v>13987.422205121802</v>
      </c>
      <c r="CK109" s="8">
        <f t="shared" si="100"/>
        <v>0</v>
      </c>
      <c r="CL109" s="8">
        <f t="shared" si="136"/>
        <v>0</v>
      </c>
      <c r="CM109" s="6">
        <f>SUMIF('Eredeti fejléccel'!$B:$B,'Felosztás eredménykim'!$B109,'Eredeti fejléccel'!$BD:$BD)</f>
        <v>0</v>
      </c>
      <c r="CN109" s="8">
        <f t="shared" si="76"/>
        <v>0</v>
      </c>
      <c r="CO109" s="8">
        <f t="shared" si="115"/>
        <v>971439.47198969743</v>
      </c>
      <c r="CR109" s="36">
        <f t="shared" si="101"/>
        <v>84019.639407598195</v>
      </c>
      <c r="CS109" s="6">
        <f>SUMIF('Eredeti fejléccel'!$B:$B,'Felosztás eredménykim'!$B109,'Eredeti fejléccel'!$I:$I)</f>
        <v>0</v>
      </c>
      <c r="CT109" s="6">
        <f>SUMIF('Eredeti fejléccel'!$B:$B,'Felosztás eredménykim'!$B109,'Eredeti fejléccel'!$BG:$BG)</f>
        <v>0</v>
      </c>
      <c r="CU109" s="6">
        <f>SUMIF('Eredeti fejléccel'!$B:$B,'Felosztás eredménykim'!$B109,'Eredeti fejléccel'!$BH:$BH)</f>
        <v>0</v>
      </c>
      <c r="CV109" s="6">
        <f>SUMIF('Eredeti fejléccel'!$B:$B,'Felosztás eredménykim'!$B109,'Eredeti fejléccel'!$BI:$BI)</f>
        <v>0</v>
      </c>
      <c r="CW109" s="6">
        <f>SUMIF('Eredeti fejléccel'!$B:$B,'Felosztás eredménykim'!$B109,'Eredeti fejléccel'!$BL:$BL)</f>
        <v>0</v>
      </c>
      <c r="CX109" s="6">
        <f t="shared" si="77"/>
        <v>0</v>
      </c>
      <c r="CY109" s="6">
        <f>SUMIF('Eredeti fejléccel'!$B:$B,'Felosztás eredménykim'!$B109,'Eredeti fejléccel'!$BJ:$BJ)</f>
        <v>0</v>
      </c>
      <c r="CZ109" s="6">
        <f>SUMIF('Eredeti fejléccel'!$B:$B,'Felosztás eredménykim'!$B109,'Eredeti fejléccel'!$BK:$BK)</f>
        <v>0</v>
      </c>
      <c r="DA109" s="99">
        <f t="shared" si="116"/>
        <v>0</v>
      </c>
      <c r="DC109" s="36">
        <f t="shared" si="102"/>
        <v>73589.826142949139</v>
      </c>
      <c r="DD109" s="6">
        <f>SUMIF('Eredeti fejléccel'!$B:$B,'Felosztás eredménykim'!$B109,'Eredeti fejléccel'!$J:$J)</f>
        <v>0</v>
      </c>
      <c r="DE109" s="6">
        <f>SUMIF('Eredeti fejléccel'!$B:$B,'Felosztás eredménykim'!$B109,'Eredeti fejléccel'!$BM:$BM)</f>
        <v>360000</v>
      </c>
      <c r="DF109" s="6">
        <f t="shared" si="128"/>
        <v>0</v>
      </c>
      <c r="DG109" s="8">
        <f t="shared" si="117"/>
        <v>0</v>
      </c>
      <c r="DH109" s="8">
        <f t="shared" si="129"/>
        <v>360000</v>
      </c>
      <c r="DJ109" s="6">
        <f>SUMIF('Eredeti fejléccel'!$B:$B,'Felosztás eredménykim'!$B109,'Eredeti fejléccel'!$BN:$BN)</f>
        <v>0</v>
      </c>
      <c r="DK109" s="6">
        <f>SUMIF('Eredeti fejléccel'!$B:$B,'Felosztás eredménykim'!$B109,'Eredeti fejléccel'!$BZ:$BZ)</f>
        <v>0</v>
      </c>
      <c r="DL109" s="8">
        <f t="shared" si="130"/>
        <v>0</v>
      </c>
      <c r="DM109" s="6">
        <f>SUMIF('Eredeti fejléccel'!$B:$B,'Felosztás eredménykim'!$B109,'Eredeti fejléccel'!$BR:$BR)</f>
        <v>0</v>
      </c>
      <c r="DN109" s="6">
        <f>SUMIF('Eredeti fejléccel'!$B:$B,'Felosztás eredménykim'!$B109,'Eredeti fejléccel'!$BS:$BS)</f>
        <v>0</v>
      </c>
      <c r="DO109" s="6">
        <f>SUMIF('Eredeti fejléccel'!$B:$B,'Felosztás eredménykim'!$B109,'Eredeti fejléccel'!$BO:$BO)</f>
        <v>0</v>
      </c>
      <c r="DP109" s="6">
        <f>SUMIF('Eredeti fejléccel'!$B:$B,'Felosztás eredménykim'!$B109,'Eredeti fejléccel'!$BP:$BP)</f>
        <v>0</v>
      </c>
      <c r="DQ109" s="6">
        <f>SUMIF('Eredeti fejléccel'!$B:$B,'Felosztás eredménykim'!$B109,'Eredeti fejléccel'!$BQ:$BQ)</f>
        <v>0</v>
      </c>
      <c r="DS109" s="8"/>
      <c r="DU109" s="6">
        <f>SUMIF('Eredeti fejléccel'!$B:$B,'Felosztás eredménykim'!$B109,'Eredeti fejléccel'!$BT:$BT)</f>
        <v>0</v>
      </c>
      <c r="DV109" s="6">
        <f>SUMIF('Eredeti fejléccel'!$B:$B,'Felosztás eredménykim'!$B109,'Eredeti fejléccel'!$BU:$BU)</f>
        <v>0</v>
      </c>
      <c r="DW109" s="6">
        <f>SUMIF('Eredeti fejléccel'!$B:$B,'Felosztás eredménykim'!$B109,'Eredeti fejléccel'!$BV:$BV)</f>
        <v>0</v>
      </c>
      <c r="DX109" s="6">
        <f>SUMIF('Eredeti fejléccel'!$B:$B,'Felosztás eredménykim'!$B109,'Eredeti fejléccel'!$BW:$BW)</f>
        <v>0</v>
      </c>
      <c r="DY109" s="6">
        <f>SUMIF('Eredeti fejléccel'!$B:$B,'Felosztás eredménykim'!$B109,'Eredeti fejléccel'!$BX:$BX)</f>
        <v>0</v>
      </c>
      <c r="EA109" s="6"/>
      <c r="EC109" s="6"/>
      <c r="EE109" s="6">
        <f>SUMIF('Eredeti fejléccel'!$B:$B,'Felosztás eredménykim'!$B109,'Eredeti fejléccel'!$CA:$CA)</f>
        <v>0</v>
      </c>
      <c r="EF109" s="6">
        <f>SUMIF('Eredeti fejléccel'!$B:$B,'Felosztás eredménykim'!$B109,'Eredeti fejléccel'!$CB:$CB)</f>
        <v>0</v>
      </c>
      <c r="EG109" s="6">
        <f>SUMIF('Eredeti fejléccel'!$B:$B,'Felosztás eredménykim'!$B109,'Eredeti fejléccel'!$CC:$CC)</f>
        <v>0</v>
      </c>
      <c r="EH109" s="6">
        <f>SUMIF('Eredeti fejléccel'!$B:$B,'Felosztás eredménykim'!$B109,'Eredeti fejléccel'!$CD:$CD)</f>
        <v>0</v>
      </c>
      <c r="EK109" s="6">
        <f>SUMIF('Eredeti fejléccel'!$B:$B,'Felosztás eredménykim'!$B109,'Eredeti fejléccel'!$CE:$CE)</f>
        <v>0</v>
      </c>
      <c r="EN109" s="6">
        <f>SUMIF('Eredeti fejléccel'!$B:$B,'Felosztás eredménykim'!$B109,'Eredeti fejléccel'!$CF:$CF)</f>
        <v>0</v>
      </c>
      <c r="EP109" s="6">
        <f>SUMIF('Eredeti fejléccel'!$B:$B,'Felosztás eredménykim'!$B109,'Eredeti fejléccel'!$CG:$CG)</f>
        <v>0</v>
      </c>
      <c r="ES109" s="6">
        <f>SUMIF('Eredeti fejléccel'!$B:$B,'Felosztás eredménykim'!$B109,'Eredeti fejléccel'!$CH:$CH)</f>
        <v>0</v>
      </c>
      <c r="ET109" s="6">
        <f>SUMIF('Eredeti fejléccel'!$B:$B,'Felosztás eredménykim'!$B109,'Eredeti fejléccel'!$CI:$CI)</f>
        <v>0</v>
      </c>
      <c r="EW109" s="8">
        <f t="shared" si="118"/>
        <v>0</v>
      </c>
      <c r="EX109" s="8">
        <f t="shared" si="78"/>
        <v>0</v>
      </c>
      <c r="EY109" s="8">
        <f t="shared" si="119"/>
        <v>360000</v>
      </c>
      <c r="EZ109" s="8">
        <f t="shared" si="120"/>
        <v>360000</v>
      </c>
      <c r="FA109" s="8">
        <f t="shared" si="121"/>
        <v>360000</v>
      </c>
      <c r="FC109" s="6">
        <f>SUMIF('Eredeti fejléccel'!$B:$B,'Felosztás eredménykim'!$B109,'Eredeti fejléccel'!$L:$L)</f>
        <v>0</v>
      </c>
      <c r="FD109" s="6">
        <f>SUMIF('Eredeti fejléccel'!$B:$B,'Felosztás eredménykim'!$B109,'Eredeti fejléccel'!$CJ:$CJ)</f>
        <v>500000</v>
      </c>
      <c r="FE109" s="6">
        <f>SUMIF('Eredeti fejléccel'!$B:$B,'Felosztás eredménykim'!$B109,'Eredeti fejléccel'!$CL:$CL)</f>
        <v>0</v>
      </c>
      <c r="FG109" s="99">
        <f t="shared" si="79"/>
        <v>500000</v>
      </c>
      <c r="FH109" s="6">
        <f>SUMIF('Eredeti fejléccel'!$B:$B,'Felosztás eredménykim'!$B109,'Eredeti fejléccel'!$CK:$CK)</f>
        <v>0</v>
      </c>
      <c r="FI109" s="36">
        <f t="shared" si="145"/>
        <v>86583.09418597327</v>
      </c>
      <c r="FJ109" s="101">
        <f t="shared" si="104"/>
        <v>110873.08003233629</v>
      </c>
      <c r="FK109" s="6">
        <f>SUMIF('Eredeti fejléccel'!$B:$B,'Felosztás eredménykim'!$B109,'Eredeti fejléccel'!$CM:$CM)</f>
        <v>0</v>
      </c>
      <c r="FL109" s="6">
        <f>SUMIF('Eredeti fejléccel'!$B:$B,'Felosztás eredménykim'!$B109,'Eredeti fejléccel'!$CN:$CN)</f>
        <v>0</v>
      </c>
      <c r="FM109" s="8">
        <f t="shared" si="80"/>
        <v>110873.08003233629</v>
      </c>
      <c r="FN109" s="36">
        <f t="shared" si="146"/>
        <v>73609.83435715994</v>
      </c>
      <c r="FO109" s="101">
        <f t="shared" si="106"/>
        <v>94260.307194826193</v>
      </c>
      <c r="FP109" s="6">
        <f>SUMIF('Eredeti fejléccel'!$B:$B,'Felosztás eredménykim'!$B109,'Eredeti fejléccel'!$CO:$CO)</f>
        <v>0</v>
      </c>
      <c r="FQ109" s="6">
        <f>'Eredeti fejléccel'!CP109</f>
        <v>0</v>
      </c>
      <c r="FR109" s="6">
        <f>'Eredeti fejléccel'!CQ109</f>
        <v>0</v>
      </c>
      <c r="FS109" s="103">
        <f t="shared" si="122"/>
        <v>94260.307194826193</v>
      </c>
      <c r="FT109" s="36">
        <f t="shared" si="147"/>
        <v>203184.60709993076</v>
      </c>
      <c r="FU109" s="101">
        <f t="shared" si="108"/>
        <v>260185.93371059015</v>
      </c>
      <c r="FV109" s="101"/>
      <c r="FW109" s="6">
        <f>SUMIF('Eredeti fejléccel'!$B:$B,'Felosztás eredménykim'!$B109,'Eredeti fejléccel'!$CR:$CR)</f>
        <v>0</v>
      </c>
      <c r="FX109" s="6">
        <f>SUMIF('Eredeti fejléccel'!$B:$B,'Felosztás eredménykim'!$B109,'Eredeti fejléccel'!$CS:$CS)</f>
        <v>0</v>
      </c>
      <c r="FY109" s="6">
        <f>SUMIF('Eredeti fejléccel'!$B:$B,'Felosztás eredménykim'!$B109,'Eredeti fejléccel'!$CT:$CT)</f>
        <v>0</v>
      </c>
      <c r="FZ109" s="6">
        <f>SUMIF('Eredeti fejléccel'!$B:$B,'Felosztás eredménykim'!$B109,'Eredeti fejléccel'!$CU:$CU)</f>
        <v>0</v>
      </c>
      <c r="GA109" s="103">
        <f t="shared" si="81"/>
        <v>260185.93371059015</v>
      </c>
      <c r="GB109" s="36">
        <f t="shared" si="148"/>
        <v>27082.863584238086</v>
      </c>
      <c r="GC109" s="101">
        <f t="shared" si="110"/>
        <v>34680.679062247371</v>
      </c>
      <c r="GD109" s="6">
        <f>SUMIF('Eredeti fejléccel'!$B:$B,'Felosztás eredménykim'!$B109,'Eredeti fejléccel'!$CV:$CV)</f>
        <v>0</v>
      </c>
      <c r="GE109" s="6">
        <f>SUMIF('Eredeti fejléccel'!$B:$B,'Felosztás eredménykim'!$B109,'Eredeti fejléccel'!$CW:$CW)</f>
        <v>0</v>
      </c>
      <c r="GF109" s="103">
        <f t="shared" si="82"/>
        <v>34680.679062247371</v>
      </c>
      <c r="GG109" s="36">
        <f t="shared" si="111"/>
        <v>0</v>
      </c>
      <c r="GM109" s="6">
        <f>SUMIF('Eredeti fejléccel'!$B:$B,'Felosztás eredménykim'!$B109,'Eredeti fejléccel'!$CX:$CX)</f>
        <v>0</v>
      </c>
      <c r="GN109" s="6">
        <f>SUMIF('Eredeti fejléccel'!$B:$B,'Felosztás eredménykim'!$B109,'Eredeti fejléccel'!$CY:$CY)</f>
        <v>0</v>
      </c>
      <c r="GO109" s="6">
        <f>SUMIF('Eredeti fejléccel'!$B:$B,'Felosztás eredménykim'!$B109,'Eredeti fejléccel'!$CZ:$CZ)</f>
        <v>0</v>
      </c>
      <c r="GP109" s="6">
        <f>SUMIF('Eredeti fejléccel'!$B:$B,'Felosztás eredménykim'!$B109,'Eredeti fejléccel'!$DA:$DA)</f>
        <v>0</v>
      </c>
      <c r="GQ109" s="6">
        <f>SUMIF('Eredeti fejléccel'!$B:$B,'Felosztás eredménykim'!$B109,'Eredeti fejléccel'!$DB:$DB)</f>
        <v>0</v>
      </c>
      <c r="GR109" s="103">
        <f t="shared" si="83"/>
        <v>0</v>
      </c>
      <c r="GW109" s="36">
        <f t="shared" si="112"/>
        <v>46490.66323245332</v>
      </c>
      <c r="GX109" s="6">
        <f>SUMIF('Eredeti fejléccel'!$B:$B,'Felosztás eredménykim'!$B109,'Eredeti fejléccel'!$M:$M)</f>
        <v>0</v>
      </c>
      <c r="GY109" s="6">
        <f>SUMIF('Eredeti fejléccel'!$B:$B,'Felosztás eredménykim'!$B109,'Eredeti fejléccel'!$DC:$DC)</f>
        <v>0</v>
      </c>
      <c r="GZ109" s="6">
        <f>SUMIF('Eredeti fejléccel'!$B:$B,'Felosztás eredménykim'!$B109,'Eredeti fejléccel'!$DD:$DD)</f>
        <v>0</v>
      </c>
      <c r="HA109" s="6">
        <f>SUMIF('Eredeti fejléccel'!$B:$B,'Felosztás eredménykim'!$B109,'Eredeti fejléccel'!$DE:$DE)</f>
        <v>0</v>
      </c>
      <c r="HB109" s="103">
        <f t="shared" si="84"/>
        <v>0</v>
      </c>
      <c r="HD109" s="9">
        <f>SUM(D109:HA109)-W109-X109-AD109-AE109-AF109-AG109-AK109-AL109-AM109-AS109-AT109-AU109-BE109-BF109-BG109-BL109-BM109-BN109-CB109-CC109-CD109-CI109-CJ109-CK109-CN109-CO109-CP109-CR109-CX109-DA109-DC109-DG109-DH109-DL109-EW109-EX109-EY109-EZ109-FA109-FF109-FG109-FI109-FJ109-FM109-FN109-FO109-FS109-FT109-FU109-GA109-GB109-GC109-GF109-GG109-GR109-GS109-GT109-GU109-GW109</f>
        <v>2426000</v>
      </c>
      <c r="HE109" s="9">
        <v>2426000</v>
      </c>
      <c r="HF109" s="476"/>
      <c r="HH109" s="34">
        <f t="shared" si="85"/>
        <v>0</v>
      </c>
    </row>
    <row r="110" spans="1:232" s="209" customFormat="1" x14ac:dyDescent="0.25">
      <c r="A110" s="4" t="s">
        <v>222</v>
      </c>
      <c r="B110" s="208" t="s">
        <v>222</v>
      </c>
      <c r="C110" s="209" t="s">
        <v>223</v>
      </c>
      <c r="D110" s="6">
        <f>SUMIF('Eredeti fejléccel'!$B:$B,'Felosztás eredménykim'!$B110,'Eredeti fejléccel'!$D:$D)</f>
        <v>0</v>
      </c>
      <c r="E110" s="6">
        <f>SUMIF('Eredeti fejléccel'!$B:$B,'Felosztás eredménykim'!$B110,'Eredeti fejléccel'!$E:$E)</f>
        <v>0</v>
      </c>
      <c r="F110" s="6">
        <f>SUMIF('Eredeti fejléccel'!$B:$B,'Felosztás eredménykim'!$B110,'Eredeti fejléccel'!$F:$F)</f>
        <v>0</v>
      </c>
      <c r="G110" s="6">
        <f>SUMIF('Eredeti fejléccel'!$B:$B,'Felosztás eredménykim'!$B110,'Eredeti fejléccel'!$G:$G)</f>
        <v>0</v>
      </c>
      <c r="H110" s="6"/>
      <c r="I110" s="6">
        <f>SUMIF('Eredeti fejléccel'!$B:$B,'Felosztás eredménykim'!$B110,'Eredeti fejléccel'!$O:$O)</f>
        <v>0</v>
      </c>
      <c r="J110" s="6">
        <f>SUMIF('Eredeti fejléccel'!$B:$B,'Felosztás eredménykim'!$B110,'Eredeti fejléccel'!$P:$P)</f>
        <v>0</v>
      </c>
      <c r="K110" s="6">
        <f>SUMIF('Eredeti fejléccel'!$B:$B,'Felosztás eredménykim'!$B110,'Eredeti fejléccel'!$Q:$Q)</f>
        <v>0</v>
      </c>
      <c r="L110" s="6">
        <f>SUMIF('Eredeti fejléccel'!$B:$B,'Felosztás eredménykim'!$B110,'Eredeti fejléccel'!$R:$R)</f>
        <v>0</v>
      </c>
      <c r="M110" s="6">
        <f>SUMIF('Eredeti fejléccel'!$B:$B,'Felosztás eredménykim'!$B110,'Eredeti fejléccel'!$T:$T)</f>
        <v>0</v>
      </c>
      <c r="N110" s="6">
        <f>SUMIF('Eredeti fejléccel'!$B:$B,'Felosztás eredménykim'!$B110,'Eredeti fejléccel'!$U:$U)</f>
        <v>0</v>
      </c>
      <c r="O110" s="6">
        <f>SUMIF('Eredeti fejléccel'!$B:$B,'Felosztás eredménykim'!$B110,'Eredeti fejléccel'!$V:$V)</f>
        <v>0</v>
      </c>
      <c r="P110" s="6">
        <f>SUMIF('Eredeti fejléccel'!$B:$B,'Felosztás eredménykim'!$B110,'Eredeti fejléccel'!$W:$W)</f>
        <v>0</v>
      </c>
      <c r="Q110" s="6">
        <f>SUMIF('Eredeti fejléccel'!$B:$B,'Felosztás eredménykim'!$B110,'Eredeti fejléccel'!$X:$X)</f>
        <v>0</v>
      </c>
      <c r="R110" s="6">
        <f>SUMIF('Eredeti fejléccel'!$B:$B,'Felosztás eredménykim'!$B110,'Eredeti fejléccel'!$Y:$Y)</f>
        <v>0</v>
      </c>
      <c r="S110" s="6">
        <f>SUMIF('Eredeti fejléccel'!$B:$B,'Felosztás eredménykim'!$B110,'Eredeti fejléccel'!$Z:$Z)</f>
        <v>0</v>
      </c>
      <c r="T110" s="6">
        <f>SUMIF('Eredeti fejléccel'!$B:$B,'Felosztás eredménykim'!$B110,'Eredeti fejléccel'!$AA:$AA)</f>
        <v>0</v>
      </c>
      <c r="U110" s="6">
        <f>SUMIF('Eredeti fejléccel'!$B:$B,'Felosztás eredménykim'!$B110,'Eredeti fejléccel'!$D:$D)</f>
        <v>0</v>
      </c>
      <c r="V110" s="6">
        <f>SUMIF('Eredeti fejléccel'!$B:$B,'Felosztás eredménykim'!$B110,'Eredeti fejléccel'!$AT:$AT)</f>
        <v>0</v>
      </c>
      <c r="W110" s="212"/>
      <c r="X110" s="212">
        <f t="shared" si="86"/>
        <v>0</v>
      </c>
      <c r="Y110" s="212"/>
      <c r="Z110" s="6">
        <f>SUMIF('Eredeti fejléccel'!$B:$B,'Felosztás eredménykim'!$B110,'Eredeti fejléccel'!$K:$K)</f>
        <v>0</v>
      </c>
      <c r="AA110" s="210"/>
      <c r="AB110" s="6">
        <f>SUMIF('Eredeti fejléccel'!$B:$B,'Felosztás eredménykim'!$B110,'Eredeti fejléccel'!$AB:$AB)</f>
        <v>0</v>
      </c>
      <c r="AC110" s="6">
        <f>SUMIF('Eredeti fejléccel'!$B:$B,'Felosztás eredménykim'!$B110,'Eredeti fejléccel'!$AQ:$AQ)</f>
        <v>0</v>
      </c>
      <c r="AD110" s="213"/>
      <c r="AE110" s="73">
        <f t="shared" si="131"/>
        <v>0</v>
      </c>
      <c r="AF110" s="36">
        <f t="shared" si="138"/>
        <v>0</v>
      </c>
      <c r="AG110" s="8">
        <f t="shared" si="88"/>
        <v>0</v>
      </c>
      <c r="AH110" s="6"/>
      <c r="AI110" s="6">
        <f>SUMIF('Eredeti fejléccel'!$B:$B,'Felosztás eredménykim'!$B110,'Eredeti fejléccel'!$BB:$BB)</f>
        <v>0</v>
      </c>
      <c r="AJ110" s="6">
        <f>SUMIF('Eredeti fejléccel'!$B:$B,'Felosztás eredménykim'!$B110,'Eredeti fejléccel'!$AF:$AF)</f>
        <v>0</v>
      </c>
      <c r="AK110" s="211">
        <f t="shared" si="73"/>
        <v>0</v>
      </c>
      <c r="AL110" s="36">
        <f t="shared" si="139"/>
        <v>0</v>
      </c>
      <c r="AM110" s="8">
        <f t="shared" si="90"/>
        <v>0</v>
      </c>
      <c r="AN110" s="6">
        <f t="shared" si="123"/>
        <v>0</v>
      </c>
      <c r="AO110" s="6">
        <f>SUMIF('Eredeti fejléccel'!$B:$B,'Felosztás eredménykim'!$B110,'Eredeti fejléccel'!$AC:$AC)</f>
        <v>0</v>
      </c>
      <c r="AP110" s="6">
        <f>SUMIF('Eredeti fejléccel'!$B:$B,'Felosztás eredménykim'!$B110,'Eredeti fejléccel'!$AD:$AD)</f>
        <v>0</v>
      </c>
      <c r="AQ110" s="6">
        <f>SUMIF('Eredeti fejléccel'!$B:$B,'Felosztás eredménykim'!$B110,'Eredeti fejléccel'!$AE:$AE)</f>
        <v>0</v>
      </c>
      <c r="AR110" s="6">
        <f>SUMIF('Eredeti fejléccel'!$B:$B,'Felosztás eredménykim'!$B110,'Eredeti fejléccel'!$AG:$AG)</f>
        <v>0</v>
      </c>
      <c r="AS110" s="6">
        <f t="shared" si="124"/>
        <v>0</v>
      </c>
      <c r="AT110" s="36">
        <f t="shared" si="140"/>
        <v>0</v>
      </c>
      <c r="AU110" s="8">
        <f t="shared" si="92"/>
        <v>0</v>
      </c>
      <c r="AV110" s="6">
        <f>SUMIF('Eredeti fejléccel'!$B:$B,'Felosztás eredménykim'!$B110,'Eredeti fejléccel'!$AI:$AI)</f>
        <v>0</v>
      </c>
      <c r="AW110" s="6">
        <f>SUMIF('Eredeti fejléccel'!$B:$B,'Felosztás eredménykim'!$B110,'Eredeti fejléccel'!$AJ:$AJ)</f>
        <v>0</v>
      </c>
      <c r="AX110" s="6">
        <f>SUMIF('Eredeti fejléccel'!$B:$B,'Felosztás eredménykim'!$B110,'Eredeti fejléccel'!$AK:$AK)</f>
        <v>0</v>
      </c>
      <c r="AY110" s="6">
        <f>SUMIF('Eredeti fejléccel'!$B:$B,'Felosztás eredménykim'!$B110,'Eredeti fejléccel'!$AL:$AL)</f>
        <v>0</v>
      </c>
      <c r="AZ110" s="6">
        <f>SUMIF('Eredeti fejléccel'!$B:$B,'Felosztás eredménykim'!$B110,'Eredeti fejléccel'!$AM:$AM)</f>
        <v>0</v>
      </c>
      <c r="BA110" s="6">
        <f>SUMIF('Eredeti fejléccel'!$B:$B,'Felosztás eredménykim'!$B110,'Eredeti fejléccel'!$AN:$AN)</f>
        <v>0</v>
      </c>
      <c r="BB110" s="6">
        <f>SUMIF('Eredeti fejléccel'!$B:$B,'Felosztás eredménykim'!$B110,'Eredeti fejléccel'!$AP:$AP)</f>
        <v>0</v>
      </c>
      <c r="BC110" s="210"/>
      <c r="BD110" s="6">
        <f>SUMIF('Eredeti fejléccel'!$B:$B,'Felosztás eredménykim'!$B110,'Eredeti fejléccel'!$AS:$AS)</f>
        <v>0</v>
      </c>
      <c r="BE110" s="211">
        <f t="shared" si="74"/>
        <v>0</v>
      </c>
      <c r="BF110" s="36">
        <f t="shared" si="141"/>
        <v>0</v>
      </c>
      <c r="BG110" s="8">
        <f t="shared" si="94"/>
        <v>0</v>
      </c>
      <c r="BH110" s="6">
        <f t="shared" si="125"/>
        <v>0</v>
      </c>
      <c r="BI110" s="6">
        <f>SUMIF('Eredeti fejléccel'!$B:$B,'Felosztás eredménykim'!$B110,'Eredeti fejléccel'!$AH:$AH)</f>
        <v>0</v>
      </c>
      <c r="BJ110" s="6">
        <f>SUMIF('Eredeti fejléccel'!$B:$B,'Felosztás eredménykim'!$B110,'Eredeti fejléccel'!$AO:$AO)</f>
        <v>0</v>
      </c>
      <c r="BK110" s="6">
        <f>SUMIF('Eredeti fejléccel'!$B:$B,'Felosztás eredménykim'!$B110,'Eredeti fejléccel'!$BF:$BF)</f>
        <v>0</v>
      </c>
      <c r="BL110" s="8">
        <f t="shared" si="126"/>
        <v>0</v>
      </c>
      <c r="BM110" s="36">
        <f t="shared" si="142"/>
        <v>0</v>
      </c>
      <c r="BN110" s="8">
        <f t="shared" si="96"/>
        <v>0</v>
      </c>
      <c r="BO110" s="211"/>
      <c r="BP110" s="8">
        <f t="shared" si="127"/>
        <v>0</v>
      </c>
      <c r="BQ110" s="6">
        <f>SUMIF('Eredeti fejléccel'!$B:$B,'Felosztás eredménykim'!$B110,'Eredeti fejléccel'!$N:$N)</f>
        <v>0</v>
      </c>
      <c r="BR110" s="6">
        <f>SUMIF('Eredeti fejléccel'!$B:$B,'Felosztás eredménykim'!$B110,'Eredeti fejléccel'!$S:$S)</f>
        <v>0</v>
      </c>
      <c r="BS110" s="210"/>
      <c r="BT110" s="6">
        <f>SUMIF('Eredeti fejléccel'!$B:$B,'Felosztás eredménykim'!$B110,'Eredeti fejléccel'!$AR:$AR)</f>
        <v>0</v>
      </c>
      <c r="BU110" s="6">
        <f>SUMIF('Eredeti fejléccel'!$B:$B,'Felosztás eredménykim'!$B110,'Eredeti fejléccel'!$AU:$AU)</f>
        <v>0</v>
      </c>
      <c r="BV110" s="6">
        <f>SUMIF('Eredeti fejléccel'!$B:$B,'Felosztás eredménykim'!$B110,'Eredeti fejléccel'!$AV:$AV)</f>
        <v>0</v>
      </c>
      <c r="BW110" s="6">
        <f>SUMIF('Eredeti fejléccel'!$B:$B,'Felosztás eredménykim'!$B110,'Eredeti fejléccel'!$AW:$AW)</f>
        <v>0</v>
      </c>
      <c r="BX110" s="6">
        <f>SUMIF('Eredeti fejléccel'!$B:$B,'Felosztás eredménykim'!$B110,'Eredeti fejléccel'!$AX:$AX)</f>
        <v>0</v>
      </c>
      <c r="BY110" s="6">
        <f>SUMIF('Eredeti fejléccel'!$B:$B,'Felosztás eredménykim'!$B110,'Eredeti fejléccel'!$AY:$AY)</f>
        <v>0</v>
      </c>
      <c r="BZ110" s="6">
        <f>SUMIF('Eredeti fejléccel'!$B:$B,'Felosztás eredménykim'!$B110,'Eredeti fejléccel'!$AZ:$AZ)</f>
        <v>0</v>
      </c>
      <c r="CA110" s="6">
        <f>SUMIF('Eredeti fejléccel'!$B:$B,'Felosztás eredménykim'!$B110,'Eredeti fejléccel'!$BA:$BA)</f>
        <v>0</v>
      </c>
      <c r="CB110" s="210">
        <f t="shared" si="114"/>
        <v>0</v>
      </c>
      <c r="CC110" s="36">
        <f t="shared" si="143"/>
        <v>0</v>
      </c>
      <c r="CD110" s="8">
        <f t="shared" si="98"/>
        <v>0</v>
      </c>
      <c r="CE110" s="6">
        <f>SUMIF('Eredeti fejléccel'!$B:$B,'Felosztás eredménykim'!$B110,'Eredeti fejléccel'!$BC:$BC)</f>
        <v>0</v>
      </c>
      <c r="CF110" s="211">
        <f t="shared" si="135"/>
        <v>0</v>
      </c>
      <c r="CG110" s="6">
        <f>SUMIF('Eredeti fejléccel'!$B:$B,'Felosztás eredménykim'!$B110,'Eredeti fejléccel'!$H:$H)</f>
        <v>0</v>
      </c>
      <c r="CH110" s="6">
        <f>SUMIF('Eredeti fejléccel'!$B:$B,'Felosztás eredménykim'!$B110,'Eredeti fejléccel'!$BE:$BE)</f>
        <v>0</v>
      </c>
      <c r="CI110" s="210">
        <f t="shared" si="75"/>
        <v>0</v>
      </c>
      <c r="CJ110" s="36">
        <f t="shared" si="144"/>
        <v>0</v>
      </c>
      <c r="CK110" s="211">
        <f t="shared" si="100"/>
        <v>0</v>
      </c>
      <c r="CL110" s="211">
        <f t="shared" si="136"/>
        <v>0</v>
      </c>
      <c r="CM110" s="6">
        <f>SUMIF('Eredeti fejléccel'!$B:$B,'Felosztás eredménykim'!$B110,'Eredeti fejléccel'!$BD:$BD)</f>
        <v>0</v>
      </c>
      <c r="CN110" s="211">
        <f t="shared" si="76"/>
        <v>0</v>
      </c>
      <c r="CO110" s="211">
        <f t="shared" si="115"/>
        <v>0</v>
      </c>
      <c r="CP110" s="211"/>
      <c r="CQ110" s="211"/>
      <c r="CR110" s="212">
        <f t="shared" si="101"/>
        <v>0</v>
      </c>
      <c r="CS110" s="6">
        <f>SUMIF('Eredeti fejléccel'!$B:$B,'Felosztás eredménykim'!$B110,'Eredeti fejléccel'!$I:$I)</f>
        <v>0</v>
      </c>
      <c r="CT110" s="6">
        <f>SUMIF('Eredeti fejléccel'!$B:$B,'Felosztás eredménykim'!$B110,'Eredeti fejléccel'!$BG:$BG)</f>
        <v>0</v>
      </c>
      <c r="CU110" s="6">
        <f>SUMIF('Eredeti fejléccel'!$B:$B,'Felosztás eredménykim'!$B110,'Eredeti fejléccel'!$BH:$BH)</f>
        <v>0</v>
      </c>
      <c r="CV110" s="6">
        <f>SUMIF('Eredeti fejléccel'!$B:$B,'Felosztás eredménykim'!$B110,'Eredeti fejléccel'!$BI:$BI)</f>
        <v>0</v>
      </c>
      <c r="CW110" s="6">
        <f>SUMIF('Eredeti fejléccel'!$B:$B,'Felosztás eredménykim'!$B110,'Eredeti fejléccel'!$BL:$BL)</f>
        <v>0</v>
      </c>
      <c r="CX110" s="210">
        <f t="shared" si="77"/>
        <v>0</v>
      </c>
      <c r="CY110" s="6">
        <f>SUMIF('Eredeti fejléccel'!$B:$B,'Felosztás eredménykim'!$B110,'Eredeti fejléccel'!$BJ:$BJ)</f>
        <v>0</v>
      </c>
      <c r="CZ110" s="6">
        <f>SUMIF('Eredeti fejléccel'!$B:$B,'Felosztás eredménykim'!$B110,'Eredeti fejléccel'!$BK:$BK)</f>
        <v>0</v>
      </c>
      <c r="DA110" s="99">
        <f t="shared" si="116"/>
        <v>0</v>
      </c>
      <c r="DB110" s="215"/>
      <c r="DC110" s="212">
        <f t="shared" si="102"/>
        <v>0</v>
      </c>
      <c r="DD110" s="6">
        <f>SUMIF('Eredeti fejléccel'!$B:$B,'Felosztás eredménykim'!$B110,'Eredeti fejléccel'!$J:$J)</f>
        <v>0</v>
      </c>
      <c r="DE110" s="6">
        <f>SUMIF('Eredeti fejléccel'!$B:$B,'Felosztás eredménykim'!$B110,'Eredeti fejléccel'!$BM:$BM)</f>
        <v>0</v>
      </c>
      <c r="DF110" s="6">
        <f t="shared" si="128"/>
        <v>0</v>
      </c>
      <c r="DG110" s="211">
        <f t="shared" si="117"/>
        <v>0</v>
      </c>
      <c r="DH110" s="8">
        <f t="shared" si="129"/>
        <v>0</v>
      </c>
      <c r="DI110" s="211"/>
      <c r="DJ110" s="6">
        <f>SUMIF('Eredeti fejléccel'!$B:$B,'Felosztás eredménykim'!$B110,'Eredeti fejléccel'!$BN:$BN)</f>
        <v>0</v>
      </c>
      <c r="DK110" s="6">
        <f>SUMIF('Eredeti fejléccel'!$B:$B,'Felosztás eredménykim'!$B110,'Eredeti fejléccel'!$BZ:$BZ)</f>
        <v>0</v>
      </c>
      <c r="DL110" s="8">
        <f t="shared" si="130"/>
        <v>0</v>
      </c>
      <c r="DM110" s="6">
        <f>SUMIF('Eredeti fejléccel'!$B:$B,'Felosztás eredménykim'!$B110,'Eredeti fejléccel'!$BR:$BR)</f>
        <v>0</v>
      </c>
      <c r="DN110" s="6">
        <f>SUMIF('Eredeti fejléccel'!$B:$B,'Felosztás eredménykim'!$B110,'Eredeti fejléccel'!$BS:$BS)</f>
        <v>0</v>
      </c>
      <c r="DO110" s="6">
        <f>SUMIF('Eredeti fejléccel'!$B:$B,'Felosztás eredménykim'!$B110,'Eredeti fejléccel'!$BO:$BO)</f>
        <v>0</v>
      </c>
      <c r="DP110" s="6">
        <f>SUMIF('Eredeti fejléccel'!$B:$B,'Felosztás eredménykim'!$B110,'Eredeti fejléccel'!$BP:$BP)</f>
        <v>0</v>
      </c>
      <c r="DQ110" s="6">
        <f>SUMIF('Eredeti fejléccel'!$B:$B,'Felosztás eredménykim'!$B110,'Eredeti fejléccel'!$BQ:$BQ)</f>
        <v>0</v>
      </c>
      <c r="DR110" s="210"/>
      <c r="DS110" s="211"/>
      <c r="DT110" s="210"/>
      <c r="DU110" s="6">
        <f>SUMIF('Eredeti fejléccel'!$B:$B,'Felosztás eredménykim'!$B110,'Eredeti fejléccel'!$BT:$BT)</f>
        <v>0</v>
      </c>
      <c r="DV110" s="6">
        <f>SUMIF('Eredeti fejléccel'!$B:$B,'Felosztás eredménykim'!$B110,'Eredeti fejléccel'!$BU:$BU)</f>
        <v>0</v>
      </c>
      <c r="DW110" s="6">
        <f>SUMIF('Eredeti fejléccel'!$B:$B,'Felosztás eredménykim'!$B110,'Eredeti fejléccel'!$BV:$BV)</f>
        <v>0</v>
      </c>
      <c r="DX110" s="6">
        <f>SUMIF('Eredeti fejléccel'!$B:$B,'Felosztás eredménykim'!$B110,'Eredeti fejléccel'!$BW:$BW)</f>
        <v>0</v>
      </c>
      <c r="DY110" s="6">
        <f>SUMIF('Eredeti fejléccel'!$B:$B,'Felosztás eredménykim'!$B110,'Eredeti fejléccel'!$BX:$BX)</f>
        <v>0</v>
      </c>
      <c r="DZ110" s="6"/>
      <c r="EA110" s="6"/>
      <c r="EB110" s="6"/>
      <c r="EC110" s="6"/>
      <c r="ED110" s="6"/>
      <c r="EE110" s="6">
        <f>SUMIF('Eredeti fejléccel'!$B:$B,'Felosztás eredménykim'!$B110,'Eredeti fejléccel'!$CA:$CA)</f>
        <v>0</v>
      </c>
      <c r="EF110" s="6">
        <f>SUMIF('Eredeti fejléccel'!$B:$B,'Felosztás eredménykim'!$B110,'Eredeti fejléccel'!$CB:$CB)</f>
        <v>0</v>
      </c>
      <c r="EG110" s="6">
        <f>SUMIF('Eredeti fejléccel'!$B:$B,'Felosztás eredménykim'!$B110,'Eredeti fejléccel'!$CC:$CC)</f>
        <v>0</v>
      </c>
      <c r="EH110" s="6">
        <f>SUMIF('Eredeti fejléccel'!$B:$B,'Felosztás eredménykim'!$B110,'Eredeti fejléccel'!$CD:$CD)</f>
        <v>0</v>
      </c>
      <c r="EI110" s="210"/>
      <c r="EJ110" s="211"/>
      <c r="EK110" s="6">
        <f>SUMIF('Eredeti fejléccel'!$B:$B,'Felosztás eredménykim'!$B110,'Eredeti fejléccel'!$CE:$CE)</f>
        <v>0</v>
      </c>
      <c r="EL110" s="211"/>
      <c r="EM110" s="210"/>
      <c r="EN110" s="6">
        <f>SUMIF('Eredeti fejléccel'!$B:$B,'Felosztás eredménykim'!$B110,'Eredeti fejléccel'!$CF:$CF)</f>
        <v>0</v>
      </c>
      <c r="EO110" s="210"/>
      <c r="EP110" s="6">
        <f>SUMIF('Eredeti fejléccel'!$B:$B,'Felosztás eredménykim'!$B110,'Eredeti fejléccel'!$CG:$CG)</f>
        <v>0</v>
      </c>
      <c r="EQ110" s="210"/>
      <c r="ER110" s="211"/>
      <c r="ES110" s="6">
        <f>SUMIF('Eredeti fejléccel'!$B:$B,'Felosztás eredménykim'!$B110,'Eredeti fejléccel'!$CH:$CH)</f>
        <v>0</v>
      </c>
      <c r="ET110" s="6">
        <f>SUMIF('Eredeti fejléccel'!$B:$B,'Felosztás eredménykim'!$B110,'Eredeti fejléccel'!$CI:$CI)</f>
        <v>0</v>
      </c>
      <c r="EU110" s="210"/>
      <c r="EV110" s="211"/>
      <c r="EW110" s="211">
        <f t="shared" si="118"/>
        <v>0</v>
      </c>
      <c r="EX110" s="211">
        <f t="shared" si="78"/>
        <v>0</v>
      </c>
      <c r="EY110" s="211">
        <f t="shared" si="119"/>
        <v>0</v>
      </c>
      <c r="EZ110" s="211">
        <f t="shared" si="120"/>
        <v>0</v>
      </c>
      <c r="FA110" s="211">
        <f t="shared" si="121"/>
        <v>0</v>
      </c>
      <c r="FB110" s="211"/>
      <c r="FC110" s="6">
        <f>SUMIF('Eredeti fejléccel'!$B:$B,'Felosztás eredménykim'!$B110,'Eredeti fejléccel'!$L:$L)</f>
        <v>0</v>
      </c>
      <c r="FD110" s="6">
        <f>SUMIF('Eredeti fejléccel'!$B:$B,'Felosztás eredménykim'!$B110,'Eredeti fejléccel'!$CJ:$CJ)</f>
        <v>0</v>
      </c>
      <c r="FE110" s="6">
        <f>SUMIF('Eredeti fejléccel'!$B:$B,'Felosztás eredménykim'!$B110,'Eredeti fejléccel'!$CL:$CL)</f>
        <v>0</v>
      </c>
      <c r="FF110" s="213"/>
      <c r="FG110" s="214">
        <f t="shared" si="79"/>
        <v>0</v>
      </c>
      <c r="FH110" s="6">
        <f>SUMIF('Eredeti fejléccel'!$B:$B,'Felosztás eredménykim'!$B110,'Eredeti fejléccel'!$CK:$CK)</f>
        <v>0</v>
      </c>
      <c r="FI110" s="36">
        <f t="shared" si="145"/>
        <v>0</v>
      </c>
      <c r="FJ110" s="216">
        <f t="shared" si="104"/>
        <v>0</v>
      </c>
      <c r="FK110" s="6">
        <f>SUMIF('Eredeti fejléccel'!$B:$B,'Felosztás eredménykim'!$B110,'Eredeti fejléccel'!$CM:$CM)</f>
        <v>0</v>
      </c>
      <c r="FL110" s="6">
        <f>SUMIF('Eredeti fejléccel'!$B:$B,'Felosztás eredménykim'!$B110,'Eredeti fejléccel'!$CN:$CN)</f>
        <v>0</v>
      </c>
      <c r="FM110" s="211">
        <f t="shared" si="80"/>
        <v>0</v>
      </c>
      <c r="FN110" s="36">
        <f t="shared" si="146"/>
        <v>0</v>
      </c>
      <c r="FO110" s="216">
        <f t="shared" si="106"/>
        <v>0</v>
      </c>
      <c r="FP110" s="6">
        <f>SUMIF('Eredeti fejléccel'!$B:$B,'Felosztás eredménykim'!$B110,'Eredeti fejléccel'!$CO:$CO)</f>
        <v>0</v>
      </c>
      <c r="FQ110" s="6">
        <f>'Eredeti fejléccel'!CP110</f>
        <v>0</v>
      </c>
      <c r="FR110" s="6">
        <f>'Eredeti fejléccel'!CQ110</f>
        <v>0</v>
      </c>
      <c r="FS110" s="103">
        <f t="shared" si="122"/>
        <v>0</v>
      </c>
      <c r="FT110" s="36">
        <f t="shared" si="147"/>
        <v>0</v>
      </c>
      <c r="FU110" s="216">
        <f t="shared" si="108"/>
        <v>0</v>
      </c>
      <c r="FV110" s="216"/>
      <c r="FW110" s="6">
        <f>SUMIF('Eredeti fejléccel'!$B:$B,'Felosztás eredménykim'!$B110,'Eredeti fejléccel'!$CR:$CR)</f>
        <v>0</v>
      </c>
      <c r="FX110" s="6">
        <f>SUMIF('Eredeti fejléccel'!$B:$B,'Felosztás eredménykim'!$B110,'Eredeti fejléccel'!$CS:$CS)</f>
        <v>0</v>
      </c>
      <c r="FY110" s="6">
        <f>SUMIF('Eredeti fejléccel'!$B:$B,'Felosztás eredménykim'!$B110,'Eredeti fejléccel'!$CT:$CT)</f>
        <v>0</v>
      </c>
      <c r="FZ110" s="6">
        <f>SUMIF('Eredeti fejléccel'!$B:$B,'Felosztás eredménykim'!$B110,'Eredeti fejléccel'!$CU:$CU)</f>
        <v>0</v>
      </c>
      <c r="GA110" s="217">
        <f t="shared" si="81"/>
        <v>0</v>
      </c>
      <c r="GB110" s="36">
        <f t="shared" si="148"/>
        <v>0</v>
      </c>
      <c r="GC110" s="216">
        <f t="shared" si="110"/>
        <v>0</v>
      </c>
      <c r="GD110" s="210">
        <f>SUMIF('Eredeti fejléccel'!$B:$B,'Felosztás eredménykim'!$B110,'Eredeti fejléccel'!$CV:$CV)</f>
        <v>0</v>
      </c>
      <c r="GE110" s="6">
        <f>SUMIF('Eredeti fejléccel'!$B:$B,'Felosztás eredménykim'!$B110,'Eredeti fejléccel'!$CW:$CW)</f>
        <v>0</v>
      </c>
      <c r="GF110" s="217">
        <f t="shared" si="82"/>
        <v>0</v>
      </c>
      <c r="GG110" s="212">
        <f t="shared" si="111"/>
        <v>0</v>
      </c>
      <c r="GH110" s="210"/>
      <c r="GI110" s="211"/>
      <c r="GJ110" s="210"/>
      <c r="GK110" s="211"/>
      <c r="GL110" s="210"/>
      <c r="GM110" s="6">
        <f>SUMIF('Eredeti fejléccel'!$B:$B,'Felosztás eredménykim'!$B110,'Eredeti fejléccel'!$CX:$CX)</f>
        <v>0</v>
      </c>
      <c r="GN110" s="6">
        <f>SUMIF('Eredeti fejléccel'!$B:$B,'Felosztás eredménykim'!$B110,'Eredeti fejléccel'!$CY:$CY)</f>
        <v>0</v>
      </c>
      <c r="GO110" s="6">
        <f>SUMIF('Eredeti fejléccel'!$B:$B,'Felosztás eredménykim'!$B110,'Eredeti fejléccel'!$CZ:$CZ)</f>
        <v>0</v>
      </c>
      <c r="GP110" s="6">
        <f>SUMIF('Eredeti fejléccel'!$B:$B,'Felosztás eredménykim'!$B110,'Eredeti fejléccel'!$DA:$DA)</f>
        <v>0</v>
      </c>
      <c r="GQ110" s="6">
        <f>SUMIF('Eredeti fejléccel'!$B:$B,'Felosztás eredménykim'!$B110,'Eredeti fejléccel'!$DB:$DB)</f>
        <v>0</v>
      </c>
      <c r="GR110" s="217">
        <f t="shared" si="83"/>
        <v>0</v>
      </c>
      <c r="GS110" s="211"/>
      <c r="GT110" s="211"/>
      <c r="GU110" s="211"/>
      <c r="GV110" s="211"/>
      <c r="GW110" s="212">
        <f t="shared" si="112"/>
        <v>0</v>
      </c>
      <c r="GX110" s="6">
        <f>SUMIF('Eredeti fejléccel'!$B:$B,'Felosztás eredménykim'!$B110,'Eredeti fejléccel'!$M:$M)</f>
        <v>0</v>
      </c>
      <c r="GY110" s="6">
        <f>SUMIF('Eredeti fejléccel'!$B:$B,'Felosztás eredménykim'!$B110,'Eredeti fejléccel'!$DC:$DC)</f>
        <v>0</v>
      </c>
      <c r="GZ110" s="6">
        <f>SUMIF('Eredeti fejléccel'!$B:$B,'Felosztás eredménykim'!$B110,'Eredeti fejléccel'!$DD:$DD)</f>
        <v>0</v>
      </c>
      <c r="HA110" s="6">
        <f>SUMIF('Eredeti fejléccel'!$B:$B,'Felosztás eredménykim'!$B110,'Eredeti fejléccel'!$DE:$DE)</f>
        <v>0</v>
      </c>
      <c r="HB110" s="217">
        <f t="shared" si="84"/>
        <v>0</v>
      </c>
      <c r="HC110" s="211"/>
      <c r="HD110" s="218">
        <f>SUM(D110:HA110)-W110-X110-AD110-AE110-AF110-AG110-AK110-AL110-AM110-AS110-AT110-AU110-BE110-BF110-BG110-BL110-BM110-BN110-BO110-CB110-CC110-CD110-CI110-CJ110-CK110-CN110-CO110-CP110-CR110-CX110-DA110-DC110-DG110-DH110-DL110-EW110-EX110-EY110-EZ110-FA110-FF110-FG110-FI110-FJ110-FM110-FN110-FO110-FS110-FT110-FU110-GA110-GB110-GC110-GF110-GG110-GR110-GS110-GT110-GU110-GW110</f>
        <v>0</v>
      </c>
      <c r="HE110" s="9"/>
      <c r="HF110" s="476"/>
      <c r="HG110" s="219"/>
      <c r="HH110" s="220">
        <f t="shared" si="85"/>
        <v>0</v>
      </c>
      <c r="HI110" s="219"/>
      <c r="HJ110" s="219"/>
      <c r="HK110" s="219"/>
      <c r="HL110" s="219"/>
      <c r="HM110" s="219"/>
      <c r="HN110" s="219"/>
      <c r="HO110" s="219"/>
      <c r="HP110" s="219"/>
      <c r="HQ110" s="219"/>
      <c r="HR110" s="219"/>
      <c r="HS110" s="219"/>
      <c r="HT110" s="219"/>
      <c r="HU110" s="219"/>
      <c r="HV110" s="219"/>
      <c r="HW110" s="219"/>
      <c r="HX110" s="219"/>
    </row>
    <row r="111" spans="1:232" x14ac:dyDescent="0.25">
      <c r="A111" s="4" t="s">
        <v>768</v>
      </c>
      <c r="B111" s="325" t="s">
        <v>768</v>
      </c>
      <c r="C111" s="1" t="s">
        <v>769</v>
      </c>
      <c r="D111" s="6">
        <f>SUMIF('Eredeti fejléccel'!$B:$B,'Felosztás eredménykim'!$B111,'Eredeti fejléccel'!$D:$D)</f>
        <v>0</v>
      </c>
      <c r="E111" s="6">
        <f>SUMIF('Eredeti fejléccel'!$B:$B,'Felosztás eredménykim'!$B111,'Eredeti fejléccel'!$E:$E)</f>
        <v>0</v>
      </c>
      <c r="F111" s="6">
        <f>SUMIF('Eredeti fejléccel'!$B:$B,'Felosztás eredménykim'!$B111,'Eredeti fejléccel'!$F:$F)</f>
        <v>0</v>
      </c>
      <c r="G111" s="6">
        <f>SUMIF('Eredeti fejléccel'!$B:$B,'Felosztás eredménykim'!$B111,'Eredeti fejléccel'!$G:$G)</f>
        <v>0</v>
      </c>
      <c r="H111" s="6"/>
      <c r="I111" s="6">
        <f>SUMIF('Eredeti fejléccel'!$B:$B,'Felosztás eredménykim'!$B111,'Eredeti fejléccel'!$O:$O)</f>
        <v>0</v>
      </c>
      <c r="J111" s="6">
        <f>SUMIF('Eredeti fejléccel'!$B:$B,'Felosztás eredménykim'!$B111,'Eredeti fejléccel'!$P:$P)</f>
        <v>0</v>
      </c>
      <c r="K111" s="6">
        <f>SUMIF('Eredeti fejléccel'!$B:$B,'Felosztás eredménykim'!$B111,'Eredeti fejléccel'!$Q:$Q)</f>
        <v>0</v>
      </c>
      <c r="L111" s="6">
        <f>SUMIF('Eredeti fejléccel'!$B:$B,'Felosztás eredménykim'!$B111,'Eredeti fejléccel'!$R:$R)</f>
        <v>0</v>
      </c>
      <c r="M111" s="6">
        <f>SUMIF('Eredeti fejléccel'!$B:$B,'Felosztás eredménykim'!$B111,'Eredeti fejléccel'!$T:$T)</f>
        <v>0</v>
      </c>
      <c r="N111" s="6">
        <f>SUMIF('Eredeti fejléccel'!$B:$B,'Felosztás eredménykim'!$B111,'Eredeti fejléccel'!$U:$U)</f>
        <v>0</v>
      </c>
      <c r="O111" s="6">
        <f>SUMIF('Eredeti fejléccel'!$B:$B,'Felosztás eredménykim'!$B111,'Eredeti fejléccel'!$V:$V)</f>
        <v>90226</v>
      </c>
      <c r="P111" s="6">
        <f>SUMIF('Eredeti fejléccel'!$B:$B,'Felosztás eredménykim'!$B111,'Eredeti fejléccel'!$W:$W)</f>
        <v>0</v>
      </c>
      <c r="Q111" s="6">
        <f>SUMIF('Eredeti fejléccel'!$B:$B,'Felosztás eredménykim'!$B111,'Eredeti fejléccel'!$X:$X)</f>
        <v>0</v>
      </c>
      <c r="R111" s="6">
        <f>SUMIF('Eredeti fejléccel'!$B:$B,'Felosztás eredménykim'!$B111,'Eredeti fejléccel'!$Y:$Y)</f>
        <v>90226</v>
      </c>
      <c r="S111" s="6">
        <f>SUMIF('Eredeti fejléccel'!$B:$B,'Felosztás eredménykim'!$B111,'Eredeti fejléccel'!$Z:$Z)</f>
        <v>0</v>
      </c>
      <c r="T111" s="6">
        <f>SUMIF('Eredeti fejléccel'!$B:$B,'Felosztás eredménykim'!$B111,'Eredeti fejléccel'!$AA:$AA)</f>
        <v>0</v>
      </c>
      <c r="U111" s="6">
        <f>SUMIF('Eredeti fejléccel'!$B:$B,'Felosztás eredménykim'!$B111,'Eredeti fejléccel'!$D:$D)</f>
        <v>0</v>
      </c>
      <c r="V111" s="6">
        <f>SUMIF('Eredeti fejléccel'!$B:$B,'Felosztás eredménykim'!$B111,'Eredeti fejléccel'!$AT:$AT)</f>
        <v>0</v>
      </c>
      <c r="X111" s="36">
        <f t="shared" si="86"/>
        <v>180452</v>
      </c>
      <c r="Z111" s="6">
        <f>SUMIF('Eredeti fejléccel'!$B:$B,'Felosztás eredménykim'!$B111,'Eredeti fejléccel'!$K:$K)</f>
        <v>0</v>
      </c>
      <c r="AB111" s="6">
        <f>SUMIF('Eredeti fejléccel'!$B:$B,'Felosztás eredménykim'!$B111,'Eredeti fejléccel'!$AB:$AB)</f>
        <v>0</v>
      </c>
      <c r="AC111" s="6">
        <f>SUMIF('Eredeti fejléccel'!$B:$B,'Felosztás eredménykim'!$B111,'Eredeti fejléccel'!$AQ:$AQ)</f>
        <v>0</v>
      </c>
      <c r="AE111" s="73">
        <f>SUM(Z111:AD111)</f>
        <v>0</v>
      </c>
      <c r="AF111" s="36">
        <f t="shared" si="138"/>
        <v>21526.95665411375</v>
      </c>
      <c r="AG111" s="8">
        <f t="shared" si="88"/>
        <v>0</v>
      </c>
      <c r="AI111" s="6">
        <f>SUMIF('Eredeti fejléccel'!$B:$B,'Felosztás eredménykim'!$B111,'Eredeti fejléccel'!$BB:$BB)</f>
        <v>552091</v>
      </c>
      <c r="AJ111" s="6">
        <f>SUMIF('Eredeti fejléccel'!$B:$B,'Felosztás eredménykim'!$B111,'Eredeti fejléccel'!$AF:$AF)</f>
        <v>0</v>
      </c>
      <c r="AK111" s="8">
        <f>SUM(AG111:AJ111)</f>
        <v>552091</v>
      </c>
      <c r="AL111" s="36">
        <f t="shared" si="139"/>
        <v>8550.3984915077344</v>
      </c>
      <c r="AM111" s="8">
        <f t="shared" si="90"/>
        <v>0</v>
      </c>
      <c r="AN111" s="6">
        <f t="shared" si="123"/>
        <v>0</v>
      </c>
      <c r="AO111" s="6">
        <f>SUMIF('Eredeti fejléccel'!$B:$B,'Felosztás eredménykim'!$B111,'Eredeti fejléccel'!$AC:$AC)</f>
        <v>0</v>
      </c>
      <c r="AP111" s="6">
        <f>SUMIF('Eredeti fejléccel'!$B:$B,'Felosztás eredménykim'!$B111,'Eredeti fejléccel'!$AD:$AD)</f>
        <v>0</v>
      </c>
      <c r="AQ111" s="6">
        <f>SUMIF('Eredeti fejléccel'!$B:$B,'Felosztás eredménykim'!$B111,'Eredeti fejléccel'!$AE:$AE)</f>
        <v>0</v>
      </c>
      <c r="AR111" s="6">
        <f>SUMIF('Eredeti fejléccel'!$B:$B,'Felosztás eredménykim'!$B111,'Eredeti fejléccel'!$AG:$AG)</f>
        <v>254102</v>
      </c>
      <c r="AS111" s="6">
        <f t="shared" si="124"/>
        <v>254102</v>
      </c>
      <c r="AT111" s="36">
        <f t="shared" si="140"/>
        <v>13888.359131686293</v>
      </c>
      <c r="AU111" s="8">
        <f t="shared" si="92"/>
        <v>0</v>
      </c>
      <c r="AV111" s="6">
        <f>SUMIF('Eredeti fejléccel'!$B:$B,'Felosztás eredménykim'!$B111,'Eredeti fejléccel'!$AI:$AI)</f>
        <v>0</v>
      </c>
      <c r="AW111" s="6">
        <f>SUMIF('Eredeti fejléccel'!$B:$B,'Felosztás eredménykim'!$B111,'Eredeti fejléccel'!$AJ:$AJ)</f>
        <v>0</v>
      </c>
      <c r="AX111" s="6">
        <f>SUMIF('Eredeti fejléccel'!$B:$B,'Felosztás eredménykim'!$B111,'Eredeti fejléccel'!$AK:$AK)</f>
        <v>0</v>
      </c>
      <c r="AY111" s="6">
        <f>SUMIF('Eredeti fejléccel'!$B:$B,'Felosztás eredménykim'!$B111,'Eredeti fejléccel'!$AL:$AL)</f>
        <v>0</v>
      </c>
      <c r="AZ111" s="6">
        <f>SUMIF('Eredeti fejléccel'!$B:$B,'Felosztás eredménykim'!$B111,'Eredeti fejléccel'!$AM:$AM)</f>
        <v>45113</v>
      </c>
      <c r="BA111" s="6">
        <f>SUMIF('Eredeti fejléccel'!$B:$B,'Felosztás eredménykim'!$B111,'Eredeti fejléccel'!$AN:$AN)</f>
        <v>0</v>
      </c>
      <c r="BB111" s="6">
        <f>SUMIF('Eredeti fejléccel'!$B:$B,'Felosztás eredménykim'!$B111,'Eredeti fejléccel'!$AP:$AP)</f>
        <v>0</v>
      </c>
      <c r="BD111" s="6">
        <f>SUMIF('Eredeti fejléccel'!$B:$B,'Felosztás eredménykim'!$B111,'Eredeti fejléccel'!$AS:$AS)</f>
        <v>0</v>
      </c>
      <c r="BE111" s="8">
        <f>SUM(AU111:BD111)</f>
        <v>45113</v>
      </c>
      <c r="BF111" s="36">
        <f t="shared" si="141"/>
        <v>3623.0502082659891</v>
      </c>
      <c r="BG111" s="8">
        <f t="shared" si="94"/>
        <v>0</v>
      </c>
      <c r="BH111" s="6">
        <f t="shared" si="125"/>
        <v>0</v>
      </c>
      <c r="BI111" s="6">
        <f>SUMIF('Eredeti fejléccel'!$B:$B,'Felosztás eredménykim'!$B111,'Eredeti fejléccel'!$AH:$AH)</f>
        <v>0</v>
      </c>
      <c r="BJ111" s="6">
        <f>SUMIF('Eredeti fejléccel'!$B:$B,'Felosztás eredménykim'!$B111,'Eredeti fejléccel'!$AO:$AO)</f>
        <v>0</v>
      </c>
      <c r="BK111" s="6">
        <f>SUMIF('Eredeti fejléccel'!$B:$B,'Felosztás eredménykim'!$B111,'Eredeti fejléccel'!$BF:$BF)</f>
        <v>0</v>
      </c>
      <c r="BL111" s="8">
        <f t="shared" si="126"/>
        <v>0</v>
      </c>
      <c r="BM111" s="36">
        <f t="shared" si="142"/>
        <v>13574.361446969908</v>
      </c>
      <c r="BN111" s="8">
        <f t="shared" si="96"/>
        <v>0</v>
      </c>
      <c r="BP111" s="8">
        <f t="shared" si="127"/>
        <v>0</v>
      </c>
      <c r="BQ111" s="6">
        <f>SUMIF('Eredeti fejléccel'!$B:$B,'Felosztás eredménykim'!$B111,'Eredeti fejléccel'!$N:$N)</f>
        <v>0</v>
      </c>
      <c r="BR111" s="6">
        <f>SUMIF('Eredeti fejléccel'!$B:$B,'Felosztás eredménykim'!$B111,'Eredeti fejléccel'!$S:$S)</f>
        <v>0</v>
      </c>
      <c r="BT111" s="6">
        <f>SUMIF('Eredeti fejléccel'!$B:$B,'Felosztás eredménykim'!$B111,'Eredeti fejléccel'!$AR:$AR)</f>
        <v>0</v>
      </c>
      <c r="BU111" s="6">
        <f>SUMIF('Eredeti fejléccel'!$B:$B,'Felosztás eredménykim'!$B111,'Eredeti fejléccel'!$AU:$AU)</f>
        <v>0</v>
      </c>
      <c r="BV111" s="6">
        <f>SUMIF('Eredeti fejléccel'!$B:$B,'Felosztás eredménykim'!$B111,'Eredeti fejléccel'!$AV:$AV)</f>
        <v>0</v>
      </c>
      <c r="BW111" s="6">
        <f>SUMIF('Eredeti fejléccel'!$B:$B,'Felosztás eredménykim'!$B111,'Eredeti fejléccel'!$AW:$AW)</f>
        <v>0</v>
      </c>
      <c r="BX111" s="6">
        <f>SUMIF('Eredeti fejléccel'!$B:$B,'Felosztás eredménykim'!$B111,'Eredeti fejléccel'!$AX:$AX)</f>
        <v>0</v>
      </c>
      <c r="BY111" s="6">
        <f>SUMIF('Eredeti fejléccel'!$B:$B,'Felosztás eredménykim'!$B111,'Eredeti fejléccel'!$AY:$AY)</f>
        <v>0</v>
      </c>
      <c r="BZ111" s="6">
        <f>SUMIF('Eredeti fejléccel'!$B:$B,'Felosztás eredménykim'!$B111,'Eredeti fejléccel'!$AZ:$AZ)</f>
        <v>0</v>
      </c>
      <c r="CA111" s="6">
        <f>SUMIF('Eredeti fejléccel'!$B:$B,'Felosztás eredménykim'!$B111,'Eredeti fejléccel'!$BA:$BA)</f>
        <v>270678</v>
      </c>
      <c r="CB111" s="6">
        <f t="shared" si="114"/>
        <v>270678</v>
      </c>
      <c r="CC111" s="36">
        <f t="shared" si="143"/>
        <v>3695.5112124313091</v>
      </c>
      <c r="CD111" s="8">
        <f t="shared" si="98"/>
        <v>0</v>
      </c>
      <c r="CE111" s="6">
        <f>SUMIF('Eredeti fejléccel'!$B:$B,'Felosztás eredménykim'!$B111,'Eredeti fejléccel'!$BC:$BC)</f>
        <v>0</v>
      </c>
      <c r="CF111" s="8">
        <f>-CE111/2</f>
        <v>0</v>
      </c>
      <c r="CG111" s="6">
        <f>SUMIF('Eredeti fejléccel'!$B:$B,'Felosztás eredménykim'!$B111,'Eredeti fejléccel'!$H:$H)</f>
        <v>0</v>
      </c>
      <c r="CH111" s="6">
        <f>SUMIF('Eredeti fejléccel'!$B:$B,'Felosztás eredménykim'!$B111,'Eredeti fejléccel'!$BE:$BE)</f>
        <v>90226</v>
      </c>
      <c r="CI111" s="6">
        <f>SUM(CD111:CH111)</f>
        <v>90226</v>
      </c>
      <c r="CJ111" s="36">
        <f t="shared" si="144"/>
        <v>2656.9034860617257</v>
      </c>
      <c r="CK111" s="8">
        <f t="shared" si="100"/>
        <v>0</v>
      </c>
      <c r="CL111" s="8">
        <f>CE111/2</f>
        <v>0</v>
      </c>
      <c r="CM111" s="6">
        <f>SUMIF('Eredeti fejléccel'!$B:$B,'Felosztás eredménykim'!$B111,'Eredeti fejléccel'!$BD:$BD)</f>
        <v>45113</v>
      </c>
      <c r="CN111" s="8">
        <f>SUM(CK111:CM111)</f>
        <v>45113</v>
      </c>
      <c r="CO111" s="8">
        <f t="shared" si="115"/>
        <v>1324838.5406310367</v>
      </c>
      <c r="CR111" s="36">
        <f t="shared" si="101"/>
        <v>15959.486284610433</v>
      </c>
      <c r="CS111" s="6">
        <f>SUMIF('Eredeti fejléccel'!$B:$B,'Felosztás eredménykim'!$B111,'Eredeti fejléccel'!$I:$I)</f>
        <v>0</v>
      </c>
      <c r="CT111" s="6">
        <f>SUMIF('Eredeti fejléccel'!$B:$B,'Felosztás eredménykim'!$B111,'Eredeti fejléccel'!$BG:$BG)</f>
        <v>0</v>
      </c>
      <c r="CU111" s="6">
        <f>SUMIF('Eredeti fejléccel'!$B:$B,'Felosztás eredménykim'!$B111,'Eredeti fejléccel'!$BH:$BH)</f>
        <v>315791</v>
      </c>
      <c r="CV111" s="6">
        <f>SUMIF('Eredeti fejléccel'!$B:$B,'Felosztás eredménykim'!$B111,'Eredeti fejléccel'!$BI:$BI)</f>
        <v>45113</v>
      </c>
      <c r="CW111" s="6">
        <f>SUMIF('Eredeti fejléccel'!$B:$B,'Felosztás eredménykim'!$B111,'Eredeti fejléccel'!$BL:$BL)</f>
        <v>0</v>
      </c>
      <c r="CX111" s="6">
        <f t="shared" si="77"/>
        <v>360904</v>
      </c>
      <c r="CY111" s="6">
        <f>SUMIF('Eredeti fejléccel'!$B:$B,'Felosztás eredménykim'!$B111,'Eredeti fejléccel'!$BJ:$BJ)</f>
        <v>0</v>
      </c>
      <c r="CZ111" s="6">
        <f>SUMIF('Eredeti fejléccel'!$B:$B,'Felosztás eredménykim'!$B111,'Eredeti fejléccel'!$BK:$BK)</f>
        <v>0</v>
      </c>
      <c r="DA111" s="99">
        <f t="shared" si="116"/>
        <v>360904</v>
      </c>
      <c r="DC111" s="36">
        <f t="shared" si="102"/>
        <v>13978.348744365747</v>
      </c>
      <c r="DD111" s="6">
        <f>SUMIF('Eredeti fejléccel'!$B:$B,'Felosztás eredménykim'!$B111,'Eredeti fejléccel'!$J:$J)</f>
        <v>0</v>
      </c>
      <c r="DE111" s="6">
        <f>SUMIF('Eredeti fejléccel'!$B:$B,'Felosztás eredménykim'!$B111,'Eredeti fejléccel'!$BM:$BM)</f>
        <v>232663</v>
      </c>
      <c r="DF111" s="6">
        <f t="shared" si="128"/>
        <v>0</v>
      </c>
      <c r="DG111" s="8">
        <f t="shared" si="117"/>
        <v>0</v>
      </c>
      <c r="DH111" s="8">
        <f t="shared" si="129"/>
        <v>232663</v>
      </c>
      <c r="DJ111" s="6">
        <f>SUMIF('Eredeti fejléccel'!$B:$B,'Felosztás eredménykim'!$B111,'Eredeti fejléccel'!$BN:$BN)</f>
        <v>175350</v>
      </c>
      <c r="DK111" s="6">
        <f>SUMIF('Eredeti fejléccel'!$B:$B,'Felosztás eredménykim'!$B111,'Eredeti fejléccel'!$BZ:$BZ)</f>
        <v>0</v>
      </c>
      <c r="DL111" s="8">
        <f t="shared" si="130"/>
        <v>175350</v>
      </c>
      <c r="DM111" s="6">
        <f>SUMIF('Eredeti fejléccel'!$B:$B,'Felosztás eredménykim'!$B111,'Eredeti fejléccel'!$BR:$BR)</f>
        <v>0</v>
      </c>
      <c r="DN111" s="6">
        <f>SUMIF('Eredeti fejléccel'!$B:$B,'Felosztás eredménykim'!$B111,'Eredeti fejléccel'!$BS:$BS)</f>
        <v>0</v>
      </c>
      <c r="DO111" s="6">
        <f>SUMIF('Eredeti fejléccel'!$B:$B,'Felosztás eredménykim'!$B111,'Eredeti fejléccel'!$BO:$BO)</f>
        <v>0</v>
      </c>
      <c r="DP111" s="6">
        <f>SUMIF('Eredeti fejléccel'!$B:$B,'Felosztás eredménykim'!$B111,'Eredeti fejléccel'!$BP:$BP)</f>
        <v>0</v>
      </c>
      <c r="DQ111" s="6">
        <f>SUMIF('Eredeti fejléccel'!$B:$B,'Felosztás eredménykim'!$B111,'Eredeti fejléccel'!$BQ:$BQ)</f>
        <v>0</v>
      </c>
      <c r="DS111" s="8"/>
      <c r="DU111" s="6">
        <f>SUMIF('Eredeti fejléccel'!$B:$B,'Felosztás eredménykim'!$B111,'Eredeti fejléccel'!$BT:$BT)</f>
        <v>0</v>
      </c>
      <c r="DV111" s="6">
        <f>SUMIF('Eredeti fejléccel'!$B:$B,'Felosztás eredménykim'!$B111,'Eredeti fejléccel'!$BU:$BU)</f>
        <v>0</v>
      </c>
      <c r="DW111" s="6">
        <f>SUMIF('Eredeti fejléccel'!$B:$B,'Felosztás eredménykim'!$B111,'Eredeti fejléccel'!$BV:$BV)</f>
        <v>0</v>
      </c>
      <c r="DX111" s="6">
        <f>SUMIF('Eredeti fejléccel'!$B:$B,'Felosztás eredménykim'!$B111,'Eredeti fejléccel'!$BW:$BW)</f>
        <v>0</v>
      </c>
      <c r="DY111" s="6">
        <f>SUMIF('Eredeti fejléccel'!$B:$B,'Felosztás eredménykim'!$B111,'Eredeti fejléccel'!$BX:$BX)</f>
        <v>0</v>
      </c>
      <c r="EA111" s="6"/>
      <c r="EC111" s="6"/>
      <c r="EE111" s="6">
        <f>SUMIF('Eredeti fejléccel'!$B:$B,'Felosztás eredménykim'!$B111,'Eredeti fejléccel'!$CA:$CA)</f>
        <v>0</v>
      </c>
      <c r="EF111" s="6">
        <f>SUMIF('Eredeti fejléccel'!$B:$B,'Felosztás eredménykim'!$B111,'Eredeti fejléccel'!$CB:$CB)</f>
        <v>0</v>
      </c>
      <c r="EG111" s="6">
        <f>SUMIF('Eredeti fejléccel'!$B:$B,'Felosztás eredménykim'!$B111,'Eredeti fejléccel'!$CC:$CC)</f>
        <v>0</v>
      </c>
      <c r="EH111" s="6">
        <f>SUMIF('Eredeti fejléccel'!$B:$B,'Felosztás eredménykim'!$B111,'Eredeti fejléccel'!$CD:$CD)</f>
        <v>0</v>
      </c>
      <c r="EK111" s="6">
        <f>SUMIF('Eredeti fejléccel'!$B:$B,'Felosztás eredménykim'!$B111,'Eredeti fejléccel'!$CE:$CE)</f>
        <v>0</v>
      </c>
      <c r="EN111" s="6">
        <f>SUMIF('Eredeti fejléccel'!$B:$B,'Felosztás eredménykim'!$B111,'Eredeti fejléccel'!$CF:$CF)</f>
        <v>0</v>
      </c>
      <c r="EP111" s="6">
        <f>SUMIF('Eredeti fejléccel'!$B:$B,'Felosztás eredménykim'!$B111,'Eredeti fejléccel'!$CG:$CG)</f>
        <v>0</v>
      </c>
      <c r="ES111" s="6">
        <f>SUMIF('Eredeti fejléccel'!$B:$B,'Felosztás eredménykim'!$B111,'Eredeti fejléccel'!$CH:$CH)</f>
        <v>0</v>
      </c>
      <c r="ET111" s="6">
        <f>SUMIF('Eredeti fejléccel'!$B:$B,'Felosztás eredménykim'!$B111,'Eredeti fejléccel'!$CI:$CI)</f>
        <v>0</v>
      </c>
      <c r="EW111" s="8">
        <f t="shared" si="118"/>
        <v>0</v>
      </c>
      <c r="EX111" s="8">
        <f t="shared" si="78"/>
        <v>0</v>
      </c>
      <c r="EY111" s="8">
        <f t="shared" si="119"/>
        <v>232663</v>
      </c>
      <c r="EZ111" s="8">
        <f t="shared" si="120"/>
        <v>408013</v>
      </c>
      <c r="FA111" s="8">
        <f t="shared" si="121"/>
        <v>232663</v>
      </c>
      <c r="FC111" s="6">
        <f>SUMIF('Eredeti fejléccel'!$B:$B,'Felosztás eredménykim'!$B111,'Eredeti fejléccel'!$L:$L)</f>
        <v>0</v>
      </c>
      <c r="FD111" s="6">
        <f>SUMIF('Eredeti fejléccel'!$B:$B,'Felosztás eredménykim'!$B111,'Eredeti fejléccel'!$CJ:$CJ)</f>
        <v>0</v>
      </c>
      <c r="FE111" s="6">
        <f>SUMIF('Eredeti fejléccel'!$B:$B,'Felosztás eredménykim'!$B111,'Eredeti fejléccel'!$CL:$CL)</f>
        <v>0</v>
      </c>
      <c r="FG111" s="99">
        <f t="shared" si="79"/>
        <v>0</v>
      </c>
      <c r="FH111" s="6">
        <f>SUMIF('Eredeti fejléccel'!$B:$B,'Felosztás eredménykim'!$B111,'Eredeti fejléccel'!$CK:$CK)</f>
        <v>0</v>
      </c>
      <c r="FI111" s="36">
        <f t="shared" si="145"/>
        <v>16446.413170576052</v>
      </c>
      <c r="FJ111" s="101">
        <f t="shared" si="104"/>
        <v>0</v>
      </c>
      <c r="FK111" s="6">
        <f>SUMIF('Eredeti fejléccel'!$B:$B,'Felosztás eredménykim'!$B111,'Eredeti fejléccel'!$CM:$CM)</f>
        <v>45113</v>
      </c>
      <c r="FL111" s="6">
        <f>SUMIF('Eredeti fejléccel'!$B:$B,'Felosztás eredménykim'!$B111,'Eredeti fejléccel'!$CN:$CN)</f>
        <v>0</v>
      </c>
      <c r="FM111" s="8">
        <f t="shared" si="80"/>
        <v>45113</v>
      </c>
      <c r="FN111" s="36">
        <f t="shared" si="146"/>
        <v>13982.149294124447</v>
      </c>
      <c r="FO111" s="101">
        <f t="shared" si="106"/>
        <v>0</v>
      </c>
      <c r="FP111" s="6">
        <f>SUMIF('Eredeti fejléccel'!$B:$B,'Felosztás eredménykim'!$B111,'Eredeti fejléccel'!$CO:$CO)</f>
        <v>45113</v>
      </c>
      <c r="FQ111" s="6">
        <f>'Eredeti fejléccel'!CP111</f>
        <v>311726</v>
      </c>
      <c r="FR111" s="6">
        <f>'Eredeti fejléccel'!CQ111</f>
        <v>0</v>
      </c>
      <c r="FS111" s="103">
        <f t="shared" si="122"/>
        <v>356839</v>
      </c>
      <c r="FT111" s="36">
        <f t="shared" si="147"/>
        <v>38594.809179364951</v>
      </c>
      <c r="FU111" s="101">
        <f t="shared" si="108"/>
        <v>0</v>
      </c>
      <c r="FV111" s="101"/>
      <c r="FW111" s="6">
        <f>SUMIF('Eredeti fejléccel'!$B:$B,'Felosztás eredménykim'!$B111,'Eredeti fejléccel'!$CR:$CR)</f>
        <v>599417</v>
      </c>
      <c r="FX111" s="6">
        <f>SUMIF('Eredeti fejléccel'!$B:$B,'Felosztás eredménykim'!$B111,'Eredeti fejléccel'!$CS:$CS)</f>
        <v>0</v>
      </c>
      <c r="FY111" s="6">
        <f>SUMIF('Eredeti fejléccel'!$B:$B,'Felosztás eredménykim'!$B111,'Eredeti fejléccel'!$CT:$CT)</f>
        <v>0</v>
      </c>
      <c r="FZ111" s="6">
        <f>SUMIF('Eredeti fejléccel'!$B:$B,'Felosztás eredménykim'!$B111,'Eredeti fejléccel'!$CU:$CU)</f>
        <v>0</v>
      </c>
      <c r="GA111" s="103">
        <f t="shared" si="81"/>
        <v>599417</v>
      </c>
      <c r="GB111" s="36">
        <f t="shared" si="148"/>
        <v>5144.3756836872963</v>
      </c>
      <c r="GC111" s="101">
        <f t="shared" si="110"/>
        <v>0</v>
      </c>
      <c r="GD111" s="6">
        <f>SUMIF('Eredeti fejléccel'!$B:$B,'Felosztás eredménykim'!$B111,'Eredeti fejléccel'!$CV:$CV)</f>
        <v>117163</v>
      </c>
      <c r="GE111" s="6">
        <f>SUMIF('Eredeti fejléccel'!$B:$B,'Felosztás eredménykim'!$B111,'Eredeti fejléccel'!$CW:$CW)</f>
        <v>0</v>
      </c>
      <c r="GF111" s="103">
        <f t="shared" si="82"/>
        <v>117163</v>
      </c>
      <c r="GG111" s="36">
        <f t="shared" si="111"/>
        <v>0</v>
      </c>
      <c r="GM111" s="6">
        <f>SUMIF('Eredeti fejléccel'!$B:$B,'Felosztás eredménykim'!$B111,'Eredeti fejléccel'!$CX:$CX)</f>
        <v>0</v>
      </c>
      <c r="GN111" s="6">
        <f>SUMIF('Eredeti fejléccel'!$B:$B,'Felosztás eredménykim'!$B111,'Eredeti fejléccel'!$CY:$CY)</f>
        <v>0</v>
      </c>
      <c r="GO111" s="6">
        <f>SUMIF('Eredeti fejléccel'!$B:$B,'Felosztás eredménykim'!$B111,'Eredeti fejléccel'!$CZ:$CZ)</f>
        <v>0</v>
      </c>
      <c r="GP111" s="6">
        <f>SUMIF('Eredeti fejléccel'!$B:$B,'Felosztás eredménykim'!$B111,'Eredeti fejléccel'!$DA:$DA)</f>
        <v>0</v>
      </c>
      <c r="GQ111" s="6">
        <f>SUMIF('Eredeti fejléccel'!$B:$B,'Felosztás eredménykim'!$B111,'Eredeti fejléccel'!$DB:$DB)</f>
        <v>0</v>
      </c>
      <c r="GR111" s="103">
        <f t="shared" si="83"/>
        <v>0</v>
      </c>
      <c r="GW111" s="36">
        <f t="shared" si="112"/>
        <v>8830.8770122343849</v>
      </c>
      <c r="GX111" s="6">
        <f>SUMIF('Eredeti fejléccel'!$B:$B,'Felosztás eredménykim'!$B111,'Eredeti fejléccel'!$M:$M)</f>
        <v>0</v>
      </c>
      <c r="GY111" s="6">
        <f>SUMIF('Eredeti fejléccel'!$B:$B,'Felosztás eredménykim'!$B111,'Eredeti fejléccel'!$DC:$DC)</f>
        <v>0</v>
      </c>
      <c r="GZ111" s="6">
        <f>SUMIF('Eredeti fejléccel'!$B:$B,'Felosztás eredménykim'!$B111,'Eredeti fejléccel'!$DD:$DD)</f>
        <v>0</v>
      </c>
      <c r="HA111" s="6">
        <f>SUMIF('Eredeti fejléccel'!$B:$B,'Felosztás eredménykim'!$B111,'Eredeti fejléccel'!$DE:$DE)</f>
        <v>210900</v>
      </c>
      <c r="HB111" s="103">
        <f t="shared" si="84"/>
        <v>210900</v>
      </c>
      <c r="HD111" s="9">
        <f t="shared" ref="HD111:HD118" si="176">SUM(D111:HA111)-W111-X111-AD111-AE111-AF111-AG111-AK111-AL111-AM111-AS111-AT111-AU111-BE111-BF111-BG111-BL111-BM111-BN111-CB111-CC111-CD111-CI111-CJ111-CK111-CN111-CO111-CP111-CR111-CX111-DA111-DC111-DG111-DH111-DL111-EW111-EX111-EY111-EZ111-FA111-FF111-FG111-FI111-FJ111-FM111-FN111-FO111-FS111-FT111-FU111-GA111-GB111-GC111-GF111-GG111-GR111-GS111-GT111-GU111-GW111</f>
        <v>3536123.9999999986</v>
      </c>
      <c r="HE111" s="9">
        <v>3536124</v>
      </c>
      <c r="HF111" s="476"/>
      <c r="HH111" s="34">
        <f t="shared" si="85"/>
        <v>0</v>
      </c>
    </row>
    <row r="112" spans="1:232" x14ac:dyDescent="0.25">
      <c r="A112" s="4" t="s">
        <v>1482</v>
      </c>
      <c r="B112" s="325" t="s">
        <v>1482</v>
      </c>
      <c r="C112" s="1" t="s">
        <v>1483</v>
      </c>
      <c r="D112" s="6">
        <f>SUMIF('Eredeti fejléccel'!$B:$B,'Felosztás eredménykim'!$B112,'Eredeti fejléccel'!$D:$D)</f>
        <v>0</v>
      </c>
      <c r="E112" s="6">
        <f>SUMIF('Eredeti fejléccel'!$B:$B,'Felosztás eredménykim'!$B112,'Eredeti fejléccel'!$E:$E)</f>
        <v>0</v>
      </c>
      <c r="F112" s="6">
        <f>SUMIF('Eredeti fejléccel'!$B:$B,'Felosztás eredménykim'!$B112,'Eredeti fejléccel'!$F:$F)</f>
        <v>0</v>
      </c>
      <c r="G112" s="6">
        <f>SUMIF('Eredeti fejléccel'!$B:$B,'Felosztás eredménykim'!$B112,'Eredeti fejléccel'!$G:$G)</f>
        <v>0</v>
      </c>
      <c r="H112" s="6"/>
      <c r="I112" s="6">
        <f>SUMIF('Eredeti fejléccel'!$B:$B,'Felosztás eredménykim'!$B112,'Eredeti fejléccel'!$O:$O)</f>
        <v>0</v>
      </c>
      <c r="J112" s="6">
        <f>SUMIF('Eredeti fejléccel'!$B:$B,'Felosztás eredménykim'!$B112,'Eredeti fejléccel'!$P:$P)</f>
        <v>0</v>
      </c>
      <c r="K112" s="6">
        <f>SUMIF('Eredeti fejléccel'!$B:$B,'Felosztás eredménykim'!$B112,'Eredeti fejléccel'!$Q:$Q)</f>
        <v>0</v>
      </c>
      <c r="L112" s="6">
        <f>SUMIF('Eredeti fejléccel'!$B:$B,'Felosztás eredménykim'!$B112,'Eredeti fejléccel'!$R:$R)</f>
        <v>0</v>
      </c>
      <c r="M112" s="6">
        <f>SUMIF('Eredeti fejléccel'!$B:$B,'Felosztás eredménykim'!$B112,'Eredeti fejléccel'!$T:$T)</f>
        <v>0</v>
      </c>
      <c r="N112" s="6">
        <f>SUMIF('Eredeti fejléccel'!$B:$B,'Felosztás eredménykim'!$B112,'Eredeti fejléccel'!$U:$U)</f>
        <v>0</v>
      </c>
      <c r="O112" s="6">
        <f>SUMIF('Eredeti fejléccel'!$B:$B,'Felosztás eredménykim'!$B112,'Eredeti fejléccel'!$V:$V)</f>
        <v>0</v>
      </c>
      <c r="P112" s="6">
        <f>SUMIF('Eredeti fejléccel'!$B:$B,'Felosztás eredménykim'!$B112,'Eredeti fejléccel'!$W:$W)</f>
        <v>0</v>
      </c>
      <c r="Q112" s="6">
        <f>SUMIF('Eredeti fejléccel'!$B:$B,'Felosztás eredménykim'!$B112,'Eredeti fejléccel'!$X:$X)</f>
        <v>0</v>
      </c>
      <c r="R112" s="6">
        <f>SUMIF('Eredeti fejléccel'!$B:$B,'Felosztás eredménykim'!$B112,'Eredeti fejléccel'!$Y:$Y)</f>
        <v>0</v>
      </c>
      <c r="S112" s="6">
        <f>SUMIF('Eredeti fejléccel'!$B:$B,'Felosztás eredménykim'!$B112,'Eredeti fejléccel'!$Z:$Z)</f>
        <v>0</v>
      </c>
      <c r="T112" s="6">
        <f>SUMIF('Eredeti fejléccel'!$B:$B,'Felosztás eredménykim'!$B112,'Eredeti fejléccel'!$AA:$AA)</f>
        <v>0</v>
      </c>
      <c r="U112" s="6">
        <f>SUMIF('Eredeti fejléccel'!$B:$B,'Felosztás eredménykim'!$B112,'Eredeti fejléccel'!$D:$D)</f>
        <v>0</v>
      </c>
      <c r="V112" s="6">
        <f>SUMIF('Eredeti fejléccel'!$B:$B,'Felosztás eredménykim'!$B112,'Eredeti fejléccel'!$AT:$AT)</f>
        <v>0</v>
      </c>
      <c r="X112" s="36">
        <f t="shared" si="86"/>
        <v>0</v>
      </c>
      <c r="Z112" s="6">
        <f>SUMIF('Eredeti fejléccel'!$B:$B,'Felosztás eredménykim'!$B112,'Eredeti fejléccel'!$K:$K)</f>
        <v>0</v>
      </c>
      <c r="AB112" s="6">
        <f>SUMIF('Eredeti fejléccel'!$B:$B,'Felosztás eredménykim'!$B112,'Eredeti fejléccel'!$AB:$AB)</f>
        <v>0</v>
      </c>
      <c r="AC112" s="6">
        <f>SUMIF('Eredeti fejléccel'!$B:$B,'Felosztás eredménykim'!$B112,'Eredeti fejléccel'!$AQ:$AQ)</f>
        <v>0</v>
      </c>
      <c r="AE112" s="73">
        <f>SUM(Z112:AD112)</f>
        <v>0</v>
      </c>
      <c r="AF112" s="36">
        <f t="shared" si="138"/>
        <v>0</v>
      </c>
      <c r="AG112" s="8">
        <f t="shared" si="88"/>
        <v>0</v>
      </c>
      <c r="AI112" s="6">
        <f>SUMIF('Eredeti fejléccel'!$B:$B,'Felosztás eredménykim'!$B112,'Eredeti fejléccel'!$BB:$BB)</f>
        <v>0</v>
      </c>
      <c r="AJ112" s="6">
        <f>SUMIF('Eredeti fejléccel'!$B:$B,'Felosztás eredménykim'!$B112,'Eredeti fejléccel'!$AF:$AF)</f>
        <v>0</v>
      </c>
      <c r="AK112" s="8">
        <f>SUM(AG112:AJ112)</f>
        <v>0</v>
      </c>
      <c r="AL112" s="36">
        <f t="shared" si="139"/>
        <v>0</v>
      </c>
      <c r="AM112" s="8">
        <f t="shared" si="90"/>
        <v>0</v>
      </c>
      <c r="AN112" s="6">
        <f>-AO112/2</f>
        <v>0</v>
      </c>
      <c r="AO112" s="6">
        <f>SUMIF('Eredeti fejléccel'!$B:$B,'Felosztás eredménykim'!$B112,'Eredeti fejléccel'!$AC:$AC)</f>
        <v>0</v>
      </c>
      <c r="AP112" s="6">
        <f>SUMIF('Eredeti fejléccel'!$B:$B,'Felosztás eredménykim'!$B112,'Eredeti fejléccel'!$AD:$AD)</f>
        <v>0</v>
      </c>
      <c r="AQ112" s="6">
        <f>SUMIF('Eredeti fejléccel'!$B:$B,'Felosztás eredménykim'!$B112,'Eredeti fejléccel'!$AE:$AE)</f>
        <v>0</v>
      </c>
      <c r="AR112" s="6">
        <f>SUMIF('Eredeti fejléccel'!$B:$B,'Felosztás eredménykim'!$B112,'Eredeti fejléccel'!$AG:$AG)</f>
        <v>0</v>
      </c>
      <c r="AS112" s="6">
        <f>SUM(AM112:AR112)</f>
        <v>0</v>
      </c>
      <c r="AT112" s="36">
        <f t="shared" si="140"/>
        <v>0</v>
      </c>
      <c r="AU112" s="8">
        <f t="shared" si="92"/>
        <v>0</v>
      </c>
      <c r="AV112" s="6">
        <f>SUMIF('Eredeti fejléccel'!$B:$B,'Felosztás eredménykim'!$B112,'Eredeti fejléccel'!$AI:$AI)</f>
        <v>0</v>
      </c>
      <c r="AW112" s="6">
        <f>SUMIF('Eredeti fejléccel'!$B:$B,'Felosztás eredménykim'!$B112,'Eredeti fejléccel'!$AJ:$AJ)</f>
        <v>0</v>
      </c>
      <c r="AX112" s="6">
        <f>SUMIF('Eredeti fejléccel'!$B:$B,'Felosztás eredménykim'!$B112,'Eredeti fejléccel'!$AK:$AK)</f>
        <v>0</v>
      </c>
      <c r="AY112" s="6">
        <f>SUMIF('Eredeti fejléccel'!$B:$B,'Felosztás eredménykim'!$B112,'Eredeti fejléccel'!$AL:$AL)</f>
        <v>0</v>
      </c>
      <c r="AZ112" s="6">
        <f>SUMIF('Eredeti fejléccel'!$B:$B,'Felosztás eredménykim'!$B112,'Eredeti fejléccel'!$AM:$AM)</f>
        <v>0</v>
      </c>
      <c r="BA112" s="6">
        <f>SUMIF('Eredeti fejléccel'!$B:$B,'Felosztás eredménykim'!$B112,'Eredeti fejléccel'!$AN:$AN)</f>
        <v>0</v>
      </c>
      <c r="BB112" s="6">
        <f>SUMIF('Eredeti fejléccel'!$B:$B,'Felosztás eredménykim'!$B112,'Eredeti fejléccel'!$AP:$AP)</f>
        <v>0</v>
      </c>
      <c r="BD112" s="6">
        <f>SUMIF('Eredeti fejléccel'!$B:$B,'Felosztás eredménykim'!$B112,'Eredeti fejléccel'!$AS:$AS)</f>
        <v>0</v>
      </c>
      <c r="BE112" s="8">
        <f>SUM(AU112:BD112)</f>
        <v>0</v>
      </c>
      <c r="BF112" s="36">
        <f t="shared" si="141"/>
        <v>0</v>
      </c>
      <c r="BG112" s="8">
        <f t="shared" si="94"/>
        <v>0</v>
      </c>
      <c r="BH112" s="6">
        <f>AO112/2</f>
        <v>0</v>
      </c>
      <c r="BI112" s="6">
        <f>SUMIF('Eredeti fejléccel'!$B:$B,'Felosztás eredménykim'!$B112,'Eredeti fejléccel'!$AH:$AH)</f>
        <v>0</v>
      </c>
      <c r="BJ112" s="6">
        <f>SUMIF('Eredeti fejléccel'!$B:$B,'Felosztás eredménykim'!$B112,'Eredeti fejléccel'!$AO:$AO)</f>
        <v>0</v>
      </c>
      <c r="BK112" s="6">
        <f>SUMIF('Eredeti fejléccel'!$B:$B,'Felosztás eredménykim'!$B112,'Eredeti fejléccel'!$BF:$BF)</f>
        <v>0</v>
      </c>
      <c r="BL112" s="8">
        <f>SUM(BG112:BK112)</f>
        <v>0</v>
      </c>
      <c r="BM112" s="36">
        <f t="shared" si="142"/>
        <v>0</v>
      </c>
      <c r="BN112" s="8">
        <f t="shared" si="96"/>
        <v>0</v>
      </c>
      <c r="BP112" s="8">
        <f>-FV112</f>
        <v>0</v>
      </c>
      <c r="BQ112" s="6">
        <f>SUMIF('Eredeti fejléccel'!$B:$B,'Felosztás eredménykim'!$B112,'Eredeti fejléccel'!$N:$N)</f>
        <v>0</v>
      </c>
      <c r="BR112" s="6">
        <f>SUMIF('Eredeti fejléccel'!$B:$B,'Felosztás eredménykim'!$B112,'Eredeti fejléccel'!$S:$S)</f>
        <v>0</v>
      </c>
      <c r="BT112" s="6">
        <f>SUMIF('Eredeti fejléccel'!$B:$B,'Felosztás eredménykim'!$B112,'Eredeti fejléccel'!$AR:$AR)</f>
        <v>0</v>
      </c>
      <c r="BU112" s="6">
        <f>SUMIF('Eredeti fejléccel'!$B:$B,'Felosztás eredménykim'!$B112,'Eredeti fejléccel'!$AU:$AU)</f>
        <v>0</v>
      </c>
      <c r="BV112" s="6">
        <f>SUMIF('Eredeti fejléccel'!$B:$B,'Felosztás eredménykim'!$B112,'Eredeti fejléccel'!$AV:$AV)</f>
        <v>0</v>
      </c>
      <c r="BW112" s="6">
        <f>SUMIF('Eredeti fejléccel'!$B:$B,'Felosztás eredménykim'!$B112,'Eredeti fejléccel'!$AW:$AW)</f>
        <v>0</v>
      </c>
      <c r="BX112" s="6">
        <f>SUMIF('Eredeti fejléccel'!$B:$B,'Felosztás eredménykim'!$B112,'Eredeti fejléccel'!$AX:$AX)</f>
        <v>0</v>
      </c>
      <c r="BY112" s="6">
        <f>SUMIF('Eredeti fejléccel'!$B:$B,'Felosztás eredménykim'!$B112,'Eredeti fejléccel'!$AY:$AY)</f>
        <v>0</v>
      </c>
      <c r="BZ112" s="6">
        <f>SUMIF('Eredeti fejléccel'!$B:$B,'Felosztás eredménykim'!$B112,'Eredeti fejléccel'!$AZ:$AZ)</f>
        <v>0</v>
      </c>
      <c r="CA112" s="6">
        <f>SUMIF('Eredeti fejléccel'!$B:$B,'Felosztás eredménykim'!$B112,'Eredeti fejléccel'!$BA:$BA)</f>
        <v>0</v>
      </c>
      <c r="CB112" s="6">
        <f t="shared" si="114"/>
        <v>0</v>
      </c>
      <c r="CC112" s="36">
        <f t="shared" si="143"/>
        <v>0</v>
      </c>
      <c r="CD112" s="8">
        <f t="shared" si="98"/>
        <v>0</v>
      </c>
      <c r="CE112" s="6">
        <f>SUMIF('Eredeti fejléccel'!$B:$B,'Felosztás eredménykim'!$B112,'Eredeti fejléccel'!$BC:$BC)</f>
        <v>0</v>
      </c>
      <c r="CF112" s="8">
        <f>-CE112/2</f>
        <v>0</v>
      </c>
      <c r="CG112" s="6">
        <f>SUMIF('Eredeti fejléccel'!$B:$B,'Felosztás eredménykim'!$B112,'Eredeti fejléccel'!$H:$H)</f>
        <v>0</v>
      </c>
      <c r="CH112" s="6">
        <f>SUMIF('Eredeti fejléccel'!$B:$B,'Felosztás eredménykim'!$B112,'Eredeti fejléccel'!$BE:$BE)</f>
        <v>0</v>
      </c>
      <c r="CI112" s="6">
        <f>SUM(CD112:CH112)</f>
        <v>0</v>
      </c>
      <c r="CJ112" s="36">
        <f t="shared" si="144"/>
        <v>0</v>
      </c>
      <c r="CK112" s="8">
        <f t="shared" si="100"/>
        <v>0</v>
      </c>
      <c r="CL112" s="8">
        <f>CE112/2</f>
        <v>0</v>
      </c>
      <c r="CM112" s="6">
        <f>SUMIF('Eredeti fejléccel'!$B:$B,'Felosztás eredménykim'!$B112,'Eredeti fejléccel'!$BD:$BD)</f>
        <v>0</v>
      </c>
      <c r="CN112" s="8">
        <f>SUM(CK112:CM112)</f>
        <v>0</v>
      </c>
      <c r="CO112" s="8">
        <f t="shared" si="115"/>
        <v>0</v>
      </c>
      <c r="CR112" s="36">
        <f t="shared" si="101"/>
        <v>0</v>
      </c>
      <c r="CS112" s="6">
        <f>SUMIF('Eredeti fejléccel'!$B:$B,'Felosztás eredménykim'!$B112,'Eredeti fejléccel'!$I:$I)</f>
        <v>0</v>
      </c>
      <c r="CT112" s="6">
        <f>SUMIF('Eredeti fejléccel'!$B:$B,'Felosztás eredménykim'!$B112,'Eredeti fejléccel'!$BG:$BG)</f>
        <v>0</v>
      </c>
      <c r="CU112" s="6">
        <f>SUMIF('Eredeti fejléccel'!$B:$B,'Felosztás eredménykim'!$B112,'Eredeti fejléccel'!$BH:$BH)</f>
        <v>0</v>
      </c>
      <c r="CV112" s="6">
        <f>SUMIF('Eredeti fejléccel'!$B:$B,'Felosztás eredménykim'!$B112,'Eredeti fejléccel'!$BI:$BI)</f>
        <v>0</v>
      </c>
      <c r="CW112" s="6">
        <f>SUMIF('Eredeti fejléccel'!$B:$B,'Felosztás eredménykim'!$B112,'Eredeti fejléccel'!$BL:$BL)</f>
        <v>0</v>
      </c>
      <c r="CX112" s="6">
        <f>SUM(CS112:CW112)</f>
        <v>0</v>
      </c>
      <c r="CY112" s="6">
        <f>SUMIF('Eredeti fejléccel'!$B:$B,'Felosztás eredménykim'!$B112,'Eredeti fejléccel'!$BJ:$BJ)</f>
        <v>0</v>
      </c>
      <c r="CZ112" s="6">
        <f>SUMIF('Eredeti fejléccel'!$B:$B,'Felosztás eredménykim'!$B112,'Eredeti fejléccel'!$BK:$BK)</f>
        <v>0</v>
      </c>
      <c r="DA112" s="99">
        <f t="shared" si="116"/>
        <v>0</v>
      </c>
      <c r="DC112" s="36">
        <f t="shared" si="102"/>
        <v>0</v>
      </c>
      <c r="DD112" s="6">
        <f>SUMIF('Eredeti fejléccel'!$B:$B,'Felosztás eredménykim'!$B112,'Eredeti fejléccel'!$J:$J)</f>
        <v>0</v>
      </c>
      <c r="DE112" s="6">
        <f>SUMIF('Eredeti fejléccel'!$B:$B,'Felosztás eredménykim'!$B112,'Eredeti fejléccel'!$BM:$BM)</f>
        <v>0</v>
      </c>
      <c r="DF112" s="6">
        <f>-DI112</f>
        <v>0</v>
      </c>
      <c r="DG112" s="8">
        <f t="shared" si="117"/>
        <v>0</v>
      </c>
      <c r="DH112" s="8">
        <f>SUM(DD112:DG112)</f>
        <v>0</v>
      </c>
      <c r="DJ112" s="6">
        <f>SUMIF('Eredeti fejléccel'!$B:$B,'Felosztás eredménykim'!$B112,'Eredeti fejléccel'!$BN:$BN)</f>
        <v>0</v>
      </c>
      <c r="DK112" s="6">
        <f>SUMIF('Eredeti fejléccel'!$B:$B,'Felosztás eredménykim'!$B112,'Eredeti fejléccel'!$BZ:$BZ)</f>
        <v>0</v>
      </c>
      <c r="DL112" s="8">
        <f>SUM(DI112:DK112)</f>
        <v>0</v>
      </c>
      <c r="DM112" s="6">
        <f>SUMIF('Eredeti fejléccel'!$B:$B,'Felosztás eredménykim'!$B112,'Eredeti fejléccel'!$BR:$BR)</f>
        <v>0</v>
      </c>
      <c r="DN112" s="6">
        <f>SUMIF('Eredeti fejléccel'!$B:$B,'Felosztás eredménykim'!$B112,'Eredeti fejléccel'!$BS:$BS)</f>
        <v>0</v>
      </c>
      <c r="DO112" s="6">
        <f>SUMIF('Eredeti fejléccel'!$B:$B,'Felosztás eredménykim'!$B112,'Eredeti fejléccel'!$BO:$BO)</f>
        <v>0</v>
      </c>
      <c r="DP112" s="6">
        <f>SUMIF('Eredeti fejléccel'!$B:$B,'Felosztás eredménykim'!$B112,'Eredeti fejléccel'!$BP:$BP)</f>
        <v>0</v>
      </c>
      <c r="DQ112" s="6">
        <f>SUMIF('Eredeti fejléccel'!$B:$B,'Felosztás eredménykim'!$B112,'Eredeti fejléccel'!$BQ:$BQ)</f>
        <v>0</v>
      </c>
      <c r="DS112" s="8"/>
      <c r="DU112" s="6">
        <f>SUMIF('Eredeti fejléccel'!$B:$B,'Felosztás eredménykim'!$B112,'Eredeti fejléccel'!$BT:$BT)</f>
        <v>0</v>
      </c>
      <c r="DV112" s="6">
        <f>SUMIF('Eredeti fejléccel'!$B:$B,'Felosztás eredménykim'!$B112,'Eredeti fejléccel'!$BU:$BU)</f>
        <v>0</v>
      </c>
      <c r="DW112" s="6">
        <f>SUMIF('Eredeti fejléccel'!$B:$B,'Felosztás eredménykim'!$B112,'Eredeti fejléccel'!$BV:$BV)</f>
        <v>0</v>
      </c>
      <c r="DX112" s="6">
        <f>SUMIF('Eredeti fejléccel'!$B:$B,'Felosztás eredménykim'!$B112,'Eredeti fejléccel'!$BW:$BW)</f>
        <v>0</v>
      </c>
      <c r="DY112" s="6">
        <f>SUMIF('Eredeti fejléccel'!$B:$B,'Felosztás eredménykim'!$B112,'Eredeti fejléccel'!$BX:$BX)</f>
        <v>0</v>
      </c>
      <c r="EA112" s="6"/>
      <c r="EC112" s="6"/>
      <c r="EE112" s="6">
        <f>SUMIF('Eredeti fejléccel'!$B:$B,'Felosztás eredménykim'!$B112,'Eredeti fejléccel'!$CA:$CA)</f>
        <v>0</v>
      </c>
      <c r="EF112" s="6">
        <f>SUMIF('Eredeti fejléccel'!$B:$B,'Felosztás eredménykim'!$B112,'Eredeti fejléccel'!$CB:$CB)</f>
        <v>0</v>
      </c>
      <c r="EG112" s="6">
        <f>SUMIF('Eredeti fejléccel'!$B:$B,'Felosztás eredménykim'!$B112,'Eredeti fejléccel'!$CC:$CC)</f>
        <v>0</v>
      </c>
      <c r="EH112" s="6">
        <f>SUMIF('Eredeti fejléccel'!$B:$B,'Felosztás eredménykim'!$B112,'Eredeti fejléccel'!$CD:$CD)</f>
        <v>0</v>
      </c>
      <c r="EK112" s="6">
        <f>SUMIF('Eredeti fejléccel'!$B:$B,'Felosztás eredménykim'!$B112,'Eredeti fejléccel'!$CE:$CE)</f>
        <v>0</v>
      </c>
      <c r="EN112" s="6">
        <f>SUMIF('Eredeti fejléccel'!$B:$B,'Felosztás eredménykim'!$B112,'Eredeti fejléccel'!$CF:$CF)</f>
        <v>0</v>
      </c>
      <c r="EP112" s="6">
        <f>SUMIF('Eredeti fejléccel'!$B:$B,'Felosztás eredménykim'!$B112,'Eredeti fejléccel'!$CG:$CG)</f>
        <v>0</v>
      </c>
      <c r="ES112" s="6">
        <f>SUMIF('Eredeti fejléccel'!$B:$B,'Felosztás eredménykim'!$B112,'Eredeti fejléccel'!$CH:$CH)</f>
        <v>0</v>
      </c>
      <c r="ET112" s="6">
        <f>SUMIF('Eredeti fejléccel'!$B:$B,'Felosztás eredménykim'!$B112,'Eredeti fejléccel'!$CI:$CI)</f>
        <v>0</v>
      </c>
      <c r="EW112" s="8">
        <f>SUM(DR112:ED112)</f>
        <v>0</v>
      </c>
      <c r="EX112" s="8">
        <f>SUM(EE112:EV112)</f>
        <v>0</v>
      </c>
      <c r="EY112" s="8">
        <f t="shared" si="119"/>
        <v>0</v>
      </c>
      <c r="EZ112" s="8">
        <f>EY112+DL112+DM112+DN112+DO112+DP112+DQ112</f>
        <v>0</v>
      </c>
      <c r="FA112" s="8">
        <f>EZ112-DL112-DM112</f>
        <v>0</v>
      </c>
      <c r="FC112" s="6">
        <f>SUMIF('Eredeti fejléccel'!$B:$B,'Felosztás eredménykim'!$B112,'Eredeti fejléccel'!$L:$L)</f>
        <v>0</v>
      </c>
      <c r="FD112" s="6">
        <f>SUMIF('Eredeti fejléccel'!$B:$B,'Felosztás eredménykim'!$B112,'Eredeti fejléccel'!$CJ:$CJ)</f>
        <v>0</v>
      </c>
      <c r="FE112" s="6">
        <f>SUMIF('Eredeti fejléccel'!$B:$B,'Felosztás eredménykim'!$B112,'Eredeti fejléccel'!$CL:$CL)</f>
        <v>0</v>
      </c>
      <c r="FG112" s="99">
        <f>SUM(FC112:FF112)</f>
        <v>0</v>
      </c>
      <c r="FH112" s="6">
        <f>SUMIF('Eredeti fejléccel'!$B:$B,'Felosztás eredménykim'!$B112,'Eredeti fejléccel'!$CK:$CK)</f>
        <v>0</v>
      </c>
      <c r="FI112" s="36">
        <f t="shared" si="145"/>
        <v>0</v>
      </c>
      <c r="FJ112" s="101">
        <f t="shared" si="104"/>
        <v>0</v>
      </c>
      <c r="FK112" s="6">
        <f>SUMIF('Eredeti fejléccel'!$B:$B,'Felosztás eredménykim'!$B112,'Eredeti fejléccel'!$CM:$CM)</f>
        <v>0</v>
      </c>
      <c r="FL112" s="6">
        <f>SUMIF('Eredeti fejléccel'!$B:$B,'Felosztás eredménykim'!$B112,'Eredeti fejléccel'!$CN:$CN)</f>
        <v>0</v>
      </c>
      <c r="FM112" s="8">
        <f>SUM(FJ112:FL112)</f>
        <v>0</v>
      </c>
      <c r="FN112" s="36">
        <f t="shared" si="146"/>
        <v>0</v>
      </c>
      <c r="FO112" s="101">
        <f t="shared" si="106"/>
        <v>0</v>
      </c>
      <c r="FP112" s="6">
        <f>SUMIF('Eredeti fejléccel'!$B:$B,'Felosztás eredménykim'!$B112,'Eredeti fejléccel'!$CO:$CO)</f>
        <v>0</v>
      </c>
      <c r="FQ112" s="6">
        <f>'Eredeti fejléccel'!CP112</f>
        <v>0</v>
      </c>
      <c r="FR112" s="6">
        <f>'Eredeti fejléccel'!CQ112</f>
        <v>0</v>
      </c>
      <c r="FS112" s="103">
        <f t="shared" si="122"/>
        <v>0</v>
      </c>
      <c r="FT112" s="36">
        <f t="shared" si="147"/>
        <v>0</v>
      </c>
      <c r="FU112" s="101">
        <f t="shared" si="108"/>
        <v>0</v>
      </c>
      <c r="FV112" s="101"/>
      <c r="FW112" s="6">
        <f>SUMIF('Eredeti fejléccel'!$B:$B,'Felosztás eredménykim'!$B112,'Eredeti fejléccel'!$CR:$CR)</f>
        <v>0</v>
      </c>
      <c r="FX112" s="6">
        <f>SUMIF('Eredeti fejléccel'!$B:$B,'Felosztás eredménykim'!$B112,'Eredeti fejléccel'!$CS:$CS)</f>
        <v>0</v>
      </c>
      <c r="FY112" s="6">
        <f>SUMIF('Eredeti fejléccel'!$B:$B,'Felosztás eredménykim'!$B112,'Eredeti fejléccel'!$CT:$CT)</f>
        <v>0</v>
      </c>
      <c r="FZ112" s="6">
        <f>SUMIF('Eredeti fejléccel'!$B:$B,'Felosztás eredménykim'!$B112,'Eredeti fejléccel'!$CU:$CU)</f>
        <v>0</v>
      </c>
      <c r="GA112" s="103">
        <f>SUM(FU112:FZ112)</f>
        <v>0</v>
      </c>
      <c r="GB112" s="36">
        <f t="shared" si="148"/>
        <v>0</v>
      </c>
      <c r="GC112" s="101">
        <f t="shared" si="110"/>
        <v>0</v>
      </c>
      <c r="GD112" s="6">
        <f>SUMIF('Eredeti fejléccel'!$B:$B,'Felosztás eredménykim'!$B112,'Eredeti fejléccel'!$CV:$CV)</f>
        <v>0</v>
      </c>
      <c r="GE112" s="6">
        <f>SUMIF('Eredeti fejléccel'!$B:$B,'Felosztás eredménykim'!$B112,'Eredeti fejléccel'!$CW:$CW)</f>
        <v>0</v>
      </c>
      <c r="GF112" s="103">
        <f>SUM(GC112:GE112)</f>
        <v>0</v>
      </c>
      <c r="GG112" s="36">
        <f t="shared" si="111"/>
        <v>0</v>
      </c>
      <c r="GM112" s="6">
        <f>SUMIF('Eredeti fejléccel'!$B:$B,'Felosztás eredménykim'!$B112,'Eredeti fejléccel'!$CX:$CX)</f>
        <v>0</v>
      </c>
      <c r="GN112" s="6">
        <f>SUMIF('Eredeti fejléccel'!$B:$B,'Felosztás eredménykim'!$B112,'Eredeti fejléccel'!$CY:$CY)</f>
        <v>0</v>
      </c>
      <c r="GO112" s="6">
        <f>SUMIF('Eredeti fejléccel'!$B:$B,'Felosztás eredménykim'!$B112,'Eredeti fejléccel'!$CZ:$CZ)</f>
        <v>0</v>
      </c>
      <c r="GP112" s="6">
        <f>SUMIF('Eredeti fejléccel'!$B:$B,'Felosztás eredménykim'!$B112,'Eredeti fejléccel'!$DA:$DA)</f>
        <v>0</v>
      </c>
      <c r="GQ112" s="6">
        <f>SUMIF('Eredeti fejléccel'!$B:$B,'Felosztás eredménykim'!$B112,'Eredeti fejléccel'!$DB:$DB)</f>
        <v>0</v>
      </c>
      <c r="GR112" s="103">
        <f>SUM(GH112:GQ112)</f>
        <v>0</v>
      </c>
      <c r="GW112" s="36">
        <f t="shared" si="112"/>
        <v>0</v>
      </c>
      <c r="GX112" s="6">
        <f>SUMIF('Eredeti fejléccel'!$B:$B,'Felosztás eredménykim'!$B112,'Eredeti fejléccel'!$M:$M)</f>
        <v>0</v>
      </c>
      <c r="GY112" s="6">
        <f>SUMIF('Eredeti fejléccel'!$B:$B,'Felosztás eredménykim'!$B112,'Eredeti fejléccel'!$DC:$DC)</f>
        <v>0</v>
      </c>
      <c r="GZ112" s="6">
        <f>SUMIF('Eredeti fejléccel'!$B:$B,'Felosztás eredménykim'!$B112,'Eredeti fejléccel'!$DD:$DD)</f>
        <v>0</v>
      </c>
      <c r="HA112" s="6">
        <f>SUMIF('Eredeti fejléccel'!$B:$B,'Felosztás eredménykim'!$B112,'Eredeti fejléccel'!$DE:$DE)</f>
        <v>0</v>
      </c>
      <c r="HB112" s="103">
        <f>SUM(GX112:HA112)</f>
        <v>0</v>
      </c>
      <c r="HD112" s="9">
        <f t="shared" si="176"/>
        <v>0</v>
      </c>
      <c r="HE112" s="9"/>
      <c r="HF112" s="476"/>
      <c r="HH112" s="34">
        <f>+HD112-HE112</f>
        <v>0</v>
      </c>
    </row>
    <row r="113" spans="1:232" s="209" customFormat="1" x14ac:dyDescent="0.25">
      <c r="A113" s="4" t="s">
        <v>224</v>
      </c>
      <c r="B113" s="208" t="s">
        <v>224</v>
      </c>
      <c r="C113" s="209" t="s">
        <v>225</v>
      </c>
      <c r="D113" s="6">
        <f>SUMIF('Eredeti fejléccel'!$B:$B,'Felosztás eredménykim'!$B113,'Eredeti fejléccel'!$D:$D)</f>
        <v>0</v>
      </c>
      <c r="E113" s="6">
        <f>SUMIF('Eredeti fejléccel'!$B:$B,'Felosztás eredménykim'!$B113,'Eredeti fejléccel'!$E:$E)</f>
        <v>0</v>
      </c>
      <c r="F113" s="6">
        <f>SUMIF('Eredeti fejléccel'!$B:$B,'Felosztás eredménykim'!$B113,'Eredeti fejléccel'!$F:$F)</f>
        <v>0</v>
      </c>
      <c r="G113" s="6">
        <f>SUMIF('Eredeti fejléccel'!$B:$B,'Felosztás eredménykim'!$B113,'Eredeti fejléccel'!$G:$G)</f>
        <v>0</v>
      </c>
      <c r="H113" s="6"/>
      <c r="I113" s="6">
        <f>SUMIF('Eredeti fejléccel'!$B:$B,'Felosztás eredménykim'!$B113,'Eredeti fejléccel'!$O:$O)</f>
        <v>0</v>
      </c>
      <c r="J113" s="6">
        <f>SUMIF('Eredeti fejléccel'!$B:$B,'Felosztás eredménykim'!$B113,'Eredeti fejléccel'!$P:$P)</f>
        <v>0</v>
      </c>
      <c r="K113" s="6">
        <f>SUMIF('Eredeti fejléccel'!$B:$B,'Felosztás eredménykim'!$B113,'Eredeti fejléccel'!$Q:$Q)</f>
        <v>0</v>
      </c>
      <c r="L113" s="6">
        <f>SUMIF('Eredeti fejléccel'!$B:$B,'Felosztás eredménykim'!$B113,'Eredeti fejléccel'!$R:$R)</f>
        <v>60000</v>
      </c>
      <c r="M113" s="6">
        <f>SUMIF('Eredeti fejléccel'!$B:$B,'Felosztás eredménykim'!$B113,'Eredeti fejléccel'!$T:$T)</f>
        <v>0</v>
      </c>
      <c r="N113" s="6">
        <f>SUMIF('Eredeti fejléccel'!$B:$B,'Felosztás eredménykim'!$B113,'Eredeti fejléccel'!$U:$U)</f>
        <v>0</v>
      </c>
      <c r="O113" s="6">
        <f>SUMIF('Eredeti fejléccel'!$B:$B,'Felosztás eredménykim'!$B113,'Eredeti fejléccel'!$V:$V)</f>
        <v>0</v>
      </c>
      <c r="P113" s="6">
        <f>SUMIF('Eredeti fejléccel'!$B:$B,'Felosztás eredménykim'!$B113,'Eredeti fejléccel'!$W:$W)</f>
        <v>0</v>
      </c>
      <c r="Q113" s="6">
        <f>SUMIF('Eredeti fejléccel'!$B:$B,'Felosztás eredménykim'!$B113,'Eredeti fejléccel'!$X:$X)</f>
        <v>0</v>
      </c>
      <c r="R113" s="6">
        <f>SUMIF('Eredeti fejléccel'!$B:$B,'Felosztás eredménykim'!$B113,'Eredeti fejléccel'!$Y:$Y)</f>
        <v>0</v>
      </c>
      <c r="S113" s="6">
        <f>SUMIF('Eredeti fejléccel'!$B:$B,'Felosztás eredménykim'!$B113,'Eredeti fejléccel'!$Z:$Z)</f>
        <v>0</v>
      </c>
      <c r="T113" s="6">
        <f>SUMIF('Eredeti fejléccel'!$B:$B,'Felosztás eredménykim'!$B113,'Eredeti fejléccel'!$AA:$AA)</f>
        <v>0</v>
      </c>
      <c r="U113" s="6">
        <f>SUMIF('Eredeti fejléccel'!$B:$B,'Felosztás eredménykim'!$B113,'Eredeti fejléccel'!$D:$D)</f>
        <v>0</v>
      </c>
      <c r="V113" s="6">
        <f>SUMIF('Eredeti fejléccel'!$B:$B,'Felosztás eredménykim'!$B113,'Eredeti fejléccel'!$AT:$AT)</f>
        <v>0</v>
      </c>
      <c r="W113" s="212"/>
      <c r="X113" s="212">
        <f t="shared" si="86"/>
        <v>60000</v>
      </c>
      <c r="Y113" s="212"/>
      <c r="Z113" s="6">
        <f>SUMIF('Eredeti fejléccel'!$B:$B,'Felosztás eredménykim'!$B113,'Eredeti fejléccel'!$K:$K)</f>
        <v>0</v>
      </c>
      <c r="AA113" s="210"/>
      <c r="AB113" s="6">
        <f>SUMIF('Eredeti fejléccel'!$B:$B,'Felosztás eredménykim'!$B113,'Eredeti fejléccel'!$AB:$AB)</f>
        <v>0</v>
      </c>
      <c r="AC113" s="6">
        <f>SUMIF('Eredeti fejléccel'!$B:$B,'Felosztás eredménykim'!$B113,'Eredeti fejléccel'!$AQ:$AQ)</f>
        <v>0</v>
      </c>
      <c r="AD113" s="213"/>
      <c r="AE113" s="73">
        <f t="shared" si="131"/>
        <v>0</v>
      </c>
      <c r="AF113" s="36">
        <f t="shared" si="138"/>
        <v>7157.678492046778</v>
      </c>
      <c r="AG113" s="8">
        <f t="shared" si="88"/>
        <v>0</v>
      </c>
      <c r="AH113" s="6"/>
      <c r="AI113" s="6">
        <f>SUMIF('Eredeti fejléccel'!$B:$B,'Felosztás eredménykim'!$B113,'Eredeti fejléccel'!$BB:$BB)</f>
        <v>50000</v>
      </c>
      <c r="AJ113" s="6">
        <f>SUMIF('Eredeti fejléccel'!$B:$B,'Felosztás eredménykim'!$B113,'Eredeti fejléccel'!$AF:$AF)</f>
        <v>0</v>
      </c>
      <c r="AK113" s="211">
        <f t="shared" si="73"/>
        <v>50000</v>
      </c>
      <c r="AL113" s="36">
        <f t="shared" si="139"/>
        <v>2842.9937572898284</v>
      </c>
      <c r="AM113" s="8">
        <f t="shared" si="90"/>
        <v>0</v>
      </c>
      <c r="AN113" s="6">
        <f t="shared" si="123"/>
        <v>0</v>
      </c>
      <c r="AO113" s="6">
        <f>SUMIF('Eredeti fejléccel'!$B:$B,'Felosztás eredménykim'!$B113,'Eredeti fejléccel'!$AC:$AC)</f>
        <v>0</v>
      </c>
      <c r="AP113" s="6">
        <f>SUMIF('Eredeti fejléccel'!$B:$B,'Felosztás eredménykim'!$B113,'Eredeti fejléccel'!$AD:$AD)</f>
        <v>0</v>
      </c>
      <c r="AQ113" s="6">
        <f>SUMIF('Eredeti fejléccel'!$B:$B,'Felosztás eredménykim'!$B113,'Eredeti fejléccel'!$AE:$AE)</f>
        <v>0</v>
      </c>
      <c r="AR113" s="6">
        <f>SUMIF('Eredeti fejléccel'!$B:$B,'Felosztás eredménykim'!$B113,'Eredeti fejléccel'!$AG:$AG)</f>
        <v>40000</v>
      </c>
      <c r="AS113" s="6">
        <f t="shared" si="124"/>
        <v>40000</v>
      </c>
      <c r="AT113" s="36">
        <f t="shared" si="140"/>
        <v>4617.8570916430835</v>
      </c>
      <c r="AU113" s="8">
        <f t="shared" si="92"/>
        <v>0</v>
      </c>
      <c r="AV113" s="6">
        <f>SUMIF('Eredeti fejléccel'!$B:$B,'Felosztás eredménykim'!$B113,'Eredeti fejléccel'!$AI:$AI)</f>
        <v>0</v>
      </c>
      <c r="AW113" s="6">
        <f>SUMIF('Eredeti fejléccel'!$B:$B,'Felosztás eredménykim'!$B113,'Eredeti fejléccel'!$AJ:$AJ)</f>
        <v>0</v>
      </c>
      <c r="AX113" s="6">
        <f>SUMIF('Eredeti fejléccel'!$B:$B,'Felosztás eredménykim'!$B113,'Eredeti fejléccel'!$AK:$AK)</f>
        <v>0</v>
      </c>
      <c r="AY113" s="6">
        <f>SUMIF('Eredeti fejléccel'!$B:$B,'Felosztás eredménykim'!$B113,'Eredeti fejléccel'!$AL:$AL)</f>
        <v>60000</v>
      </c>
      <c r="AZ113" s="6">
        <f>SUMIF('Eredeti fejléccel'!$B:$B,'Felosztás eredménykim'!$B113,'Eredeti fejléccel'!$AM:$AM)</f>
        <v>0</v>
      </c>
      <c r="BA113" s="6">
        <f>SUMIF('Eredeti fejléccel'!$B:$B,'Felosztás eredménykim'!$B113,'Eredeti fejléccel'!$AN:$AN)</f>
        <v>0</v>
      </c>
      <c r="BB113" s="6">
        <f>SUMIF('Eredeti fejléccel'!$B:$B,'Felosztás eredménykim'!$B113,'Eredeti fejléccel'!$AP:$AP)</f>
        <v>0</v>
      </c>
      <c r="BC113" s="210"/>
      <c r="BD113" s="6">
        <f>SUMIF('Eredeti fejléccel'!$B:$B,'Felosztás eredménykim'!$B113,'Eredeti fejléccel'!$AS:$AS)</f>
        <v>0</v>
      </c>
      <c r="BE113" s="211">
        <f t="shared" si="74"/>
        <v>60000</v>
      </c>
      <c r="BF113" s="36">
        <f t="shared" si="141"/>
        <v>1204.6583717329781</v>
      </c>
      <c r="BG113" s="8">
        <f t="shared" si="94"/>
        <v>0</v>
      </c>
      <c r="BH113" s="6">
        <f t="shared" si="125"/>
        <v>0</v>
      </c>
      <c r="BI113" s="6">
        <f>SUMIF('Eredeti fejléccel'!$B:$B,'Felosztás eredménykim'!$B113,'Eredeti fejléccel'!$AH:$AH)</f>
        <v>0</v>
      </c>
      <c r="BJ113" s="6">
        <f>SUMIF('Eredeti fejléccel'!$B:$B,'Felosztás eredménykim'!$B113,'Eredeti fejléccel'!$AO:$AO)</f>
        <v>0</v>
      </c>
      <c r="BK113" s="6">
        <f>SUMIF('Eredeti fejléccel'!$B:$B,'Felosztás eredménykim'!$B113,'Eredeti fejléccel'!$BF:$BF)</f>
        <v>0</v>
      </c>
      <c r="BL113" s="8">
        <f t="shared" si="126"/>
        <v>0</v>
      </c>
      <c r="BM113" s="36">
        <f t="shared" si="142"/>
        <v>4513.4533660928919</v>
      </c>
      <c r="BN113" s="8">
        <f t="shared" si="96"/>
        <v>0</v>
      </c>
      <c r="BO113" s="211"/>
      <c r="BP113" s="8">
        <f t="shared" si="127"/>
        <v>0</v>
      </c>
      <c r="BQ113" s="6">
        <f>SUMIF('Eredeti fejléccel'!$B:$B,'Felosztás eredménykim'!$B113,'Eredeti fejléccel'!$N:$N)</f>
        <v>0</v>
      </c>
      <c r="BR113" s="6">
        <f>SUMIF('Eredeti fejléccel'!$B:$B,'Felosztás eredménykim'!$B113,'Eredeti fejléccel'!$S:$S)</f>
        <v>0</v>
      </c>
      <c r="BS113" s="210"/>
      <c r="BT113" s="6">
        <f>SUMIF('Eredeti fejléccel'!$B:$B,'Felosztás eredménykim'!$B113,'Eredeti fejléccel'!$AR:$AR)</f>
        <v>0</v>
      </c>
      <c r="BU113" s="6">
        <f>SUMIF('Eredeti fejléccel'!$B:$B,'Felosztás eredménykim'!$B113,'Eredeti fejléccel'!$AU:$AU)</f>
        <v>0</v>
      </c>
      <c r="BV113" s="6">
        <f>SUMIF('Eredeti fejléccel'!$B:$B,'Felosztás eredménykim'!$B113,'Eredeti fejléccel'!$AV:$AV)</f>
        <v>0</v>
      </c>
      <c r="BW113" s="6">
        <f>SUMIF('Eredeti fejléccel'!$B:$B,'Felosztás eredménykim'!$B113,'Eredeti fejléccel'!$AW:$AW)</f>
        <v>0</v>
      </c>
      <c r="BX113" s="6">
        <f>SUMIF('Eredeti fejléccel'!$B:$B,'Felosztás eredménykim'!$B113,'Eredeti fejléccel'!$AX:$AX)</f>
        <v>0</v>
      </c>
      <c r="BY113" s="6">
        <f>SUMIF('Eredeti fejléccel'!$B:$B,'Felosztás eredménykim'!$B113,'Eredeti fejléccel'!$AY:$AY)</f>
        <v>0</v>
      </c>
      <c r="BZ113" s="6">
        <f>SUMIF('Eredeti fejléccel'!$B:$B,'Felosztás eredménykim'!$B113,'Eredeti fejléccel'!$AZ:$AZ)</f>
        <v>0</v>
      </c>
      <c r="CA113" s="6">
        <f>SUMIF('Eredeti fejléccel'!$B:$B,'Felosztás eredménykim'!$B113,'Eredeti fejléccel'!$BA:$BA)</f>
        <v>0</v>
      </c>
      <c r="CB113" s="210">
        <f t="shared" si="114"/>
        <v>0</v>
      </c>
      <c r="CC113" s="36">
        <f t="shared" si="143"/>
        <v>1228.7515391676377</v>
      </c>
      <c r="CD113" s="8">
        <f t="shared" si="98"/>
        <v>0</v>
      </c>
      <c r="CE113" s="6">
        <f>SUMIF('Eredeti fejléccel'!$B:$B,'Felosztás eredménykim'!$B113,'Eredeti fejléccel'!$BC:$BC)</f>
        <v>0</v>
      </c>
      <c r="CF113" s="211">
        <f t="shared" si="135"/>
        <v>0</v>
      </c>
      <c r="CG113" s="6">
        <f>SUMIF('Eredeti fejléccel'!$B:$B,'Felosztás eredménykim'!$B113,'Eredeti fejléccel'!$H:$H)</f>
        <v>0</v>
      </c>
      <c r="CH113" s="6">
        <f>SUMIF('Eredeti fejléccel'!$B:$B,'Felosztás eredménykim'!$B113,'Eredeti fejléccel'!$BE:$BE)</f>
        <v>0</v>
      </c>
      <c r="CI113" s="210">
        <f t="shared" si="75"/>
        <v>0</v>
      </c>
      <c r="CJ113" s="36">
        <f t="shared" si="144"/>
        <v>883.41613927085075</v>
      </c>
      <c r="CK113" s="211">
        <f t="shared" si="100"/>
        <v>0</v>
      </c>
      <c r="CL113" s="211">
        <f t="shared" si="136"/>
        <v>0</v>
      </c>
      <c r="CM113" s="6">
        <f>SUMIF('Eredeti fejléccel'!$B:$B,'Felosztás eredménykim'!$B113,'Eredeti fejléccel'!$BD:$BD)</f>
        <v>100000</v>
      </c>
      <c r="CN113" s="211">
        <f t="shared" si="76"/>
        <v>100000</v>
      </c>
      <c r="CO113" s="211">
        <f t="shared" si="115"/>
        <v>272448.80875724403</v>
      </c>
      <c r="CP113" s="211"/>
      <c r="CQ113" s="211"/>
      <c r="CR113" s="212">
        <f t="shared" si="101"/>
        <v>5306.5035415325183</v>
      </c>
      <c r="CS113" s="6">
        <f>SUMIF('Eredeti fejléccel'!$B:$B,'Felosztás eredménykim'!$B113,'Eredeti fejléccel'!$I:$I)</f>
        <v>0</v>
      </c>
      <c r="CT113" s="6">
        <f>SUMIF('Eredeti fejléccel'!$B:$B,'Felosztás eredménykim'!$B113,'Eredeti fejléccel'!$BG:$BG)</f>
        <v>0</v>
      </c>
      <c r="CU113" s="6">
        <f>SUMIF('Eredeti fejléccel'!$B:$B,'Felosztás eredménykim'!$B113,'Eredeti fejléccel'!$BH:$BH)</f>
        <v>0</v>
      </c>
      <c r="CV113" s="6">
        <f>SUMIF('Eredeti fejléccel'!$B:$B,'Felosztás eredménykim'!$B113,'Eredeti fejléccel'!$BI:$BI)</f>
        <v>0</v>
      </c>
      <c r="CW113" s="6">
        <f>SUMIF('Eredeti fejléccel'!$B:$B,'Felosztás eredménykim'!$B113,'Eredeti fejléccel'!$BL:$BL)</f>
        <v>0</v>
      </c>
      <c r="CX113" s="210">
        <f t="shared" si="77"/>
        <v>0</v>
      </c>
      <c r="CY113" s="6">
        <f>SUMIF('Eredeti fejléccel'!$B:$B,'Felosztás eredménykim'!$B113,'Eredeti fejléccel'!$BJ:$BJ)</f>
        <v>0</v>
      </c>
      <c r="CZ113" s="6">
        <f>SUMIF('Eredeti fejléccel'!$B:$B,'Felosztás eredménykim'!$B113,'Eredeti fejléccel'!$BK:$BK)</f>
        <v>0</v>
      </c>
      <c r="DA113" s="99">
        <f t="shared" si="116"/>
        <v>0</v>
      </c>
      <c r="DB113" s="215"/>
      <c r="DC113" s="212">
        <f t="shared" si="102"/>
        <v>4647.778493238894</v>
      </c>
      <c r="DD113" s="6">
        <f>SUMIF('Eredeti fejléccel'!$B:$B,'Felosztás eredménykim'!$B113,'Eredeti fejléccel'!$J:$J)</f>
        <v>0</v>
      </c>
      <c r="DE113" s="6">
        <f>SUMIF('Eredeti fejléccel'!$B:$B,'Felosztás eredménykim'!$B113,'Eredeti fejléccel'!$BM:$BM)</f>
        <v>0</v>
      </c>
      <c r="DF113" s="6">
        <f t="shared" si="128"/>
        <v>50000</v>
      </c>
      <c r="DG113" s="211">
        <f t="shared" si="117"/>
        <v>0</v>
      </c>
      <c r="DH113" s="8">
        <f t="shared" si="129"/>
        <v>50000</v>
      </c>
      <c r="DI113" s="211">
        <f>-50000</f>
        <v>-50000</v>
      </c>
      <c r="DJ113" s="6">
        <f>SUMIF('Eredeti fejléccel'!$B:$B,'Felosztás eredménykim'!$B113,'Eredeti fejléccel'!$BN:$BN)</f>
        <v>130000</v>
      </c>
      <c r="DK113" s="6">
        <f>SUMIF('Eredeti fejléccel'!$B:$B,'Felosztás eredménykim'!$B113,'Eredeti fejléccel'!$BZ:$BZ)</f>
        <v>0</v>
      </c>
      <c r="DL113" s="8">
        <f t="shared" si="130"/>
        <v>80000</v>
      </c>
      <c r="DM113" s="6">
        <f>SUMIF('Eredeti fejléccel'!$B:$B,'Felosztás eredménykim'!$B113,'Eredeti fejléccel'!$BR:$BR)</f>
        <v>0</v>
      </c>
      <c r="DN113" s="6">
        <f>SUMIF('Eredeti fejléccel'!$B:$B,'Felosztás eredménykim'!$B113,'Eredeti fejléccel'!$BS:$BS)</f>
        <v>0</v>
      </c>
      <c r="DO113" s="6">
        <f>SUMIF('Eredeti fejléccel'!$B:$B,'Felosztás eredménykim'!$B113,'Eredeti fejléccel'!$BO:$BO)</f>
        <v>0</v>
      </c>
      <c r="DP113" s="6">
        <f>SUMIF('Eredeti fejléccel'!$B:$B,'Felosztás eredménykim'!$B113,'Eredeti fejléccel'!$BP:$BP)</f>
        <v>0</v>
      </c>
      <c r="DQ113" s="6">
        <f>SUMIF('Eredeti fejléccel'!$B:$B,'Felosztás eredménykim'!$B113,'Eredeti fejléccel'!$BQ:$BQ)</f>
        <v>0</v>
      </c>
      <c r="DR113" s="210"/>
      <c r="DS113" s="211"/>
      <c r="DT113" s="210"/>
      <c r="DU113" s="6">
        <f>SUMIF('Eredeti fejléccel'!$B:$B,'Felosztás eredménykim'!$B113,'Eredeti fejléccel'!$BT:$BT)</f>
        <v>0</v>
      </c>
      <c r="DV113" s="6">
        <f>SUMIF('Eredeti fejléccel'!$B:$B,'Felosztás eredménykim'!$B113,'Eredeti fejléccel'!$BU:$BU)</f>
        <v>0</v>
      </c>
      <c r="DW113" s="6">
        <f>SUMIF('Eredeti fejléccel'!$B:$B,'Felosztás eredménykim'!$B113,'Eredeti fejléccel'!$BV:$BV)</f>
        <v>0</v>
      </c>
      <c r="DX113" s="6">
        <f>SUMIF('Eredeti fejléccel'!$B:$B,'Felosztás eredménykim'!$B113,'Eredeti fejléccel'!$BW:$BW)</f>
        <v>0</v>
      </c>
      <c r="DY113" s="6">
        <f>SUMIF('Eredeti fejléccel'!$B:$B,'Felosztás eredménykim'!$B113,'Eredeti fejléccel'!$BX:$BX)</f>
        <v>0</v>
      </c>
      <c r="DZ113" s="6"/>
      <c r="EA113" s="6"/>
      <c r="EB113" s="6"/>
      <c r="EC113" s="6"/>
      <c r="ED113" s="6"/>
      <c r="EE113" s="6">
        <f>SUMIF('Eredeti fejléccel'!$B:$B,'Felosztás eredménykim'!$B113,'Eredeti fejléccel'!$CA:$CA)</f>
        <v>0</v>
      </c>
      <c r="EF113" s="6">
        <f>SUMIF('Eredeti fejléccel'!$B:$B,'Felosztás eredménykim'!$B113,'Eredeti fejléccel'!$CB:$CB)</f>
        <v>0</v>
      </c>
      <c r="EG113" s="6">
        <f>SUMIF('Eredeti fejléccel'!$B:$B,'Felosztás eredménykim'!$B113,'Eredeti fejléccel'!$CC:$CC)</f>
        <v>0</v>
      </c>
      <c r="EH113" s="6">
        <f>SUMIF('Eredeti fejléccel'!$B:$B,'Felosztás eredménykim'!$B113,'Eredeti fejléccel'!$CD:$CD)</f>
        <v>0</v>
      </c>
      <c r="EI113" s="210"/>
      <c r="EJ113" s="211"/>
      <c r="EK113" s="6">
        <f>SUMIF('Eredeti fejléccel'!$B:$B,'Felosztás eredménykim'!$B113,'Eredeti fejléccel'!$CE:$CE)</f>
        <v>0</v>
      </c>
      <c r="EL113" s="211"/>
      <c r="EM113" s="210"/>
      <c r="EN113" s="6">
        <f>SUMIF('Eredeti fejléccel'!$B:$B,'Felosztás eredménykim'!$B113,'Eredeti fejléccel'!$CF:$CF)</f>
        <v>0</v>
      </c>
      <c r="EO113" s="210"/>
      <c r="EP113" s="6">
        <f>SUMIF('Eredeti fejléccel'!$B:$B,'Felosztás eredménykim'!$B113,'Eredeti fejléccel'!$CG:$CG)</f>
        <v>0</v>
      </c>
      <c r="EQ113" s="210"/>
      <c r="ER113" s="211"/>
      <c r="ES113" s="6">
        <f>SUMIF('Eredeti fejléccel'!$B:$B,'Felosztás eredménykim'!$B113,'Eredeti fejléccel'!$CH:$CH)</f>
        <v>0</v>
      </c>
      <c r="ET113" s="6">
        <f>SUMIF('Eredeti fejléccel'!$B:$B,'Felosztás eredménykim'!$B113,'Eredeti fejléccel'!$CI:$CI)</f>
        <v>0</v>
      </c>
      <c r="EU113" s="210"/>
      <c r="EV113" s="211"/>
      <c r="EW113" s="211">
        <f t="shared" si="118"/>
        <v>0</v>
      </c>
      <c r="EX113" s="211">
        <f t="shared" si="78"/>
        <v>0</v>
      </c>
      <c r="EY113" s="211">
        <f t="shared" si="119"/>
        <v>50000</v>
      </c>
      <c r="EZ113" s="211">
        <f t="shared" si="120"/>
        <v>130000</v>
      </c>
      <c r="FA113" s="211">
        <f t="shared" si="121"/>
        <v>50000</v>
      </c>
      <c r="FB113" s="211"/>
      <c r="FC113" s="6">
        <f>SUMIF('Eredeti fejléccel'!$B:$B,'Felosztás eredménykim'!$B113,'Eredeti fejléccel'!$L:$L)</f>
        <v>0</v>
      </c>
      <c r="FD113" s="6">
        <f>SUMIF('Eredeti fejléccel'!$B:$B,'Felosztás eredménykim'!$B113,'Eredeti fejléccel'!$CJ:$CJ)</f>
        <v>0</v>
      </c>
      <c r="FE113" s="6">
        <f>SUMIF('Eredeti fejléccel'!$B:$B,'Felosztás eredménykim'!$B113,'Eredeti fejléccel'!$CL:$CL)</f>
        <v>0</v>
      </c>
      <c r="FF113" s="213"/>
      <c r="FG113" s="214">
        <f t="shared" si="79"/>
        <v>0</v>
      </c>
      <c r="FH113" s="6">
        <f>SUMIF('Eredeti fejléccel'!$B:$B,'Felosztás eredménykim'!$B113,'Eredeti fejléccel'!$CK:$CK)</f>
        <v>0</v>
      </c>
      <c r="FI113" s="36">
        <f t="shared" si="145"/>
        <v>5468.405948587786</v>
      </c>
      <c r="FJ113" s="216">
        <f t="shared" si="104"/>
        <v>0</v>
      </c>
      <c r="FK113" s="6">
        <f>SUMIF('Eredeti fejléccel'!$B:$B,'Felosztás eredménykim'!$B113,'Eredeti fejléccel'!$CM:$CM)</f>
        <v>0</v>
      </c>
      <c r="FL113" s="6">
        <f>SUMIF('Eredeti fejléccel'!$B:$B,'Felosztás eredménykim'!$B113,'Eredeti fejléccel'!$CN:$CN)</f>
        <v>0</v>
      </c>
      <c r="FM113" s="211">
        <f t="shared" si="80"/>
        <v>0</v>
      </c>
      <c r="FN113" s="36">
        <f t="shared" si="146"/>
        <v>4649.0421699258914</v>
      </c>
      <c r="FO113" s="216">
        <f t="shared" si="106"/>
        <v>0</v>
      </c>
      <c r="FP113" s="6">
        <f>SUMIF('Eredeti fejléccel'!$B:$B,'Felosztás eredménykim'!$B113,'Eredeti fejléccel'!$CO:$CO)</f>
        <v>40000</v>
      </c>
      <c r="FQ113" s="6">
        <f>'Eredeti fejléccel'!CP113</f>
        <v>0</v>
      </c>
      <c r="FR113" s="6">
        <f>'Eredeti fejléccel'!CQ113</f>
        <v>0</v>
      </c>
      <c r="FS113" s="103">
        <f t="shared" si="122"/>
        <v>40000</v>
      </c>
      <c r="FT113" s="36">
        <f t="shared" si="147"/>
        <v>12832.712027364048</v>
      </c>
      <c r="FU113" s="216">
        <f t="shared" si="108"/>
        <v>0</v>
      </c>
      <c r="FV113" s="216"/>
      <c r="FW113" s="6">
        <f>SUMIF('Eredeti fejléccel'!$B:$B,'Felosztás eredménykim'!$B113,'Eredeti fejléccel'!$CR:$CR)</f>
        <v>120000</v>
      </c>
      <c r="FX113" s="6">
        <f>SUMIF('Eredeti fejléccel'!$B:$B,'Felosztás eredménykim'!$B113,'Eredeti fejléccel'!$CS:$CS)</f>
        <v>0</v>
      </c>
      <c r="FY113" s="6">
        <f>SUMIF('Eredeti fejléccel'!$B:$B,'Felosztás eredménykim'!$B113,'Eredeti fejléccel'!$CT:$CT)</f>
        <v>0</v>
      </c>
      <c r="FZ113" s="6">
        <f>SUMIF('Eredeti fejléccel'!$B:$B,'Felosztás eredménykim'!$B113,'Eredeti fejléccel'!$CU:$CU)</f>
        <v>0</v>
      </c>
      <c r="GA113" s="217">
        <f t="shared" si="81"/>
        <v>120000</v>
      </c>
      <c r="GB113" s="36">
        <f t="shared" si="148"/>
        <v>1710.4966474255637</v>
      </c>
      <c r="GC113" s="216">
        <f t="shared" si="110"/>
        <v>0</v>
      </c>
      <c r="GD113" s="210">
        <f>SUMIF('Eredeti fejléccel'!$B:$B,'Felosztás eredménykim'!$B113,'Eredeti fejléccel'!$CV:$CV)</f>
        <v>40000</v>
      </c>
      <c r="GE113" s="6">
        <f>SUMIF('Eredeti fejléccel'!$B:$B,'Felosztás eredménykim'!$B113,'Eredeti fejléccel'!$CW:$CW)</f>
        <v>0</v>
      </c>
      <c r="GF113" s="217">
        <f t="shared" si="82"/>
        <v>40000</v>
      </c>
      <c r="GG113" s="212">
        <f t="shared" si="111"/>
        <v>0</v>
      </c>
      <c r="GH113" s="210"/>
      <c r="GI113" s="211"/>
      <c r="GJ113" s="210"/>
      <c r="GK113" s="211"/>
      <c r="GL113" s="210"/>
      <c r="GM113" s="6">
        <f>SUMIF('Eredeti fejléccel'!$B:$B,'Felosztás eredménykim'!$B113,'Eredeti fejléccel'!$CX:$CX)</f>
        <v>0</v>
      </c>
      <c r="GN113" s="6">
        <f>SUMIF('Eredeti fejléccel'!$B:$B,'Felosztás eredménykim'!$B113,'Eredeti fejléccel'!$CY:$CY)</f>
        <v>0</v>
      </c>
      <c r="GO113" s="6">
        <f>SUMIF('Eredeti fejléccel'!$B:$B,'Felosztás eredménykim'!$B113,'Eredeti fejléccel'!$CZ:$CZ)</f>
        <v>0</v>
      </c>
      <c r="GP113" s="6">
        <f>SUMIF('Eredeti fejléccel'!$B:$B,'Felosztás eredménykim'!$B113,'Eredeti fejléccel'!$DA:$DA)</f>
        <v>0</v>
      </c>
      <c r="GQ113" s="6">
        <f>SUMIF('Eredeti fejléccel'!$B:$B,'Felosztás eredménykim'!$B113,'Eredeti fejléccel'!$DB:$DB)</f>
        <v>0</v>
      </c>
      <c r="GR113" s="217">
        <f t="shared" si="83"/>
        <v>0</v>
      </c>
      <c r="GS113" s="211"/>
      <c r="GT113" s="211"/>
      <c r="GU113" s="211"/>
      <c r="GV113" s="211"/>
      <c r="GW113" s="212">
        <f t="shared" si="112"/>
        <v>2936.2524146812625</v>
      </c>
      <c r="GX113" s="6">
        <f>SUMIF('Eredeti fejléccel'!$B:$B,'Felosztás eredménykim'!$B113,'Eredeti fejléccel'!$M:$M)</f>
        <v>0</v>
      </c>
      <c r="GY113" s="6">
        <f>SUMIF('Eredeti fejléccel'!$B:$B,'Felosztás eredménykim'!$B113,'Eredeti fejléccel'!$DC:$DC)</f>
        <v>0</v>
      </c>
      <c r="GZ113" s="6">
        <f>SUMIF('Eredeti fejléccel'!$B:$B,'Felosztás eredménykim'!$B113,'Eredeti fejléccel'!$DD:$DD)</f>
        <v>0</v>
      </c>
      <c r="HA113" s="6">
        <f>SUMIF('Eredeti fejléccel'!$B:$B,'Felosztás eredménykim'!$B113,'Eredeti fejléccel'!$DE:$DE)</f>
        <v>0</v>
      </c>
      <c r="HB113" s="217">
        <f t="shared" si="84"/>
        <v>0</v>
      </c>
      <c r="HC113" s="211"/>
      <c r="HD113" s="218">
        <f t="shared" si="176"/>
        <v>639999.99999999953</v>
      </c>
      <c r="HE113" s="9">
        <v>640000</v>
      </c>
      <c r="HF113" s="476"/>
      <c r="HG113" s="219"/>
      <c r="HH113" s="220">
        <f t="shared" si="85"/>
        <v>0</v>
      </c>
      <c r="HI113" s="219"/>
      <c r="HJ113" s="219"/>
      <c r="HK113" s="219"/>
      <c r="HL113" s="219"/>
      <c r="HM113" s="219"/>
      <c r="HN113" s="219"/>
      <c r="HO113" s="219"/>
      <c r="HP113" s="219"/>
      <c r="HQ113" s="219"/>
      <c r="HR113" s="219"/>
      <c r="HS113" s="219"/>
      <c r="HT113" s="219"/>
      <c r="HU113" s="219"/>
      <c r="HV113" s="219"/>
      <c r="HW113" s="219"/>
      <c r="HX113" s="219"/>
    </row>
    <row r="114" spans="1:232" s="209" customFormat="1" x14ac:dyDescent="0.25">
      <c r="A114" s="4" t="s">
        <v>770</v>
      </c>
      <c r="B114" s="208" t="s">
        <v>770</v>
      </c>
      <c r="C114" s="209" t="s">
        <v>771</v>
      </c>
      <c r="D114" s="6">
        <f>SUMIF('Eredeti fejléccel'!$B:$B,'Felosztás eredménykim'!$B114,'Eredeti fejléccel'!$D:$D)</f>
        <v>0</v>
      </c>
      <c r="E114" s="6">
        <f>SUMIF('Eredeti fejléccel'!$B:$B,'Felosztás eredménykim'!$B114,'Eredeti fejléccel'!$E:$E)</f>
        <v>0</v>
      </c>
      <c r="F114" s="6">
        <f>SUMIF('Eredeti fejléccel'!$B:$B,'Felosztás eredménykim'!$B114,'Eredeti fejléccel'!$F:$F)</f>
        <v>0</v>
      </c>
      <c r="G114" s="6">
        <f>SUMIF('Eredeti fejléccel'!$B:$B,'Felosztás eredménykim'!$B114,'Eredeti fejléccel'!$G:$G)</f>
        <v>0</v>
      </c>
      <c r="H114" s="6"/>
      <c r="I114" s="6">
        <f>SUMIF('Eredeti fejléccel'!$B:$B,'Felosztás eredménykim'!$B114,'Eredeti fejléccel'!$O:$O)</f>
        <v>0</v>
      </c>
      <c r="J114" s="6">
        <f>SUMIF('Eredeti fejléccel'!$B:$B,'Felosztás eredménykim'!$B114,'Eredeti fejléccel'!$P:$P)</f>
        <v>0</v>
      </c>
      <c r="K114" s="6">
        <f>SUMIF('Eredeti fejléccel'!$B:$B,'Felosztás eredménykim'!$B114,'Eredeti fejléccel'!$Q:$Q)</f>
        <v>0</v>
      </c>
      <c r="L114" s="6">
        <f>SUMIF('Eredeti fejléccel'!$B:$B,'Felosztás eredménykim'!$B114,'Eredeti fejléccel'!$R:$R)</f>
        <v>0</v>
      </c>
      <c r="M114" s="6">
        <f>SUMIF('Eredeti fejléccel'!$B:$B,'Felosztás eredménykim'!$B114,'Eredeti fejléccel'!$T:$T)</f>
        <v>0</v>
      </c>
      <c r="N114" s="6">
        <f>SUMIF('Eredeti fejléccel'!$B:$B,'Felosztás eredménykim'!$B114,'Eredeti fejléccel'!$U:$U)</f>
        <v>0</v>
      </c>
      <c r="O114" s="6">
        <f>SUMIF('Eredeti fejléccel'!$B:$B,'Felosztás eredménykim'!$B114,'Eredeti fejléccel'!$V:$V)</f>
        <v>0</v>
      </c>
      <c r="P114" s="6">
        <f>SUMIF('Eredeti fejléccel'!$B:$B,'Felosztás eredménykim'!$B114,'Eredeti fejléccel'!$W:$W)</f>
        <v>0</v>
      </c>
      <c r="Q114" s="6">
        <f>SUMIF('Eredeti fejléccel'!$B:$B,'Felosztás eredménykim'!$B114,'Eredeti fejléccel'!$X:$X)</f>
        <v>0</v>
      </c>
      <c r="R114" s="6">
        <f>SUMIF('Eredeti fejléccel'!$B:$B,'Felosztás eredménykim'!$B114,'Eredeti fejléccel'!$Y:$Y)</f>
        <v>0</v>
      </c>
      <c r="S114" s="6">
        <f>SUMIF('Eredeti fejléccel'!$B:$B,'Felosztás eredménykim'!$B114,'Eredeti fejléccel'!$Z:$Z)</f>
        <v>0</v>
      </c>
      <c r="T114" s="6">
        <f>SUMIF('Eredeti fejléccel'!$B:$B,'Felosztás eredménykim'!$B114,'Eredeti fejléccel'!$AA:$AA)</f>
        <v>0</v>
      </c>
      <c r="U114" s="6">
        <f>SUMIF('Eredeti fejléccel'!$B:$B,'Felosztás eredménykim'!$B114,'Eredeti fejléccel'!$D:$D)</f>
        <v>0</v>
      </c>
      <c r="V114" s="6">
        <f>SUMIF('Eredeti fejléccel'!$B:$B,'Felosztás eredménykim'!$B114,'Eredeti fejléccel'!$AT:$AT)</f>
        <v>0</v>
      </c>
      <c r="W114" s="212"/>
      <c r="X114" s="212">
        <f t="shared" si="86"/>
        <v>0</v>
      </c>
      <c r="Y114" s="212"/>
      <c r="Z114" s="6">
        <f>SUMIF('Eredeti fejléccel'!$B:$B,'Felosztás eredménykim'!$B114,'Eredeti fejléccel'!$K:$K)</f>
        <v>0</v>
      </c>
      <c r="AA114" s="210"/>
      <c r="AB114" s="6">
        <f>SUMIF('Eredeti fejléccel'!$B:$B,'Felosztás eredménykim'!$B114,'Eredeti fejléccel'!$AB:$AB)</f>
        <v>0</v>
      </c>
      <c r="AC114" s="6">
        <f>SUMIF('Eredeti fejléccel'!$B:$B,'Felosztás eredménykim'!$B114,'Eredeti fejléccel'!$AQ:$AQ)</f>
        <v>0</v>
      </c>
      <c r="AD114" s="213"/>
      <c r="AE114" s="73">
        <f t="shared" si="131"/>
        <v>0</v>
      </c>
      <c r="AF114" s="36">
        <f t="shared" si="138"/>
        <v>0</v>
      </c>
      <c r="AG114" s="8">
        <f t="shared" si="88"/>
        <v>0</v>
      </c>
      <c r="AH114" s="6"/>
      <c r="AI114" s="6">
        <f>SUMIF('Eredeti fejléccel'!$B:$B,'Felosztás eredménykim'!$B114,'Eredeti fejléccel'!$BB:$BB)</f>
        <v>0</v>
      </c>
      <c r="AJ114" s="6">
        <f>SUMIF('Eredeti fejléccel'!$B:$B,'Felosztás eredménykim'!$B114,'Eredeti fejléccel'!$AF:$AF)</f>
        <v>0</v>
      </c>
      <c r="AK114" s="211">
        <f t="shared" si="73"/>
        <v>0</v>
      </c>
      <c r="AL114" s="36">
        <f t="shared" si="139"/>
        <v>0</v>
      </c>
      <c r="AM114" s="8">
        <f t="shared" si="90"/>
        <v>0</v>
      </c>
      <c r="AN114" s="6">
        <f t="shared" si="123"/>
        <v>0</v>
      </c>
      <c r="AO114" s="6">
        <f>SUMIF('Eredeti fejléccel'!$B:$B,'Felosztás eredménykim'!$B114,'Eredeti fejléccel'!$AC:$AC)</f>
        <v>0</v>
      </c>
      <c r="AP114" s="6">
        <f>SUMIF('Eredeti fejléccel'!$B:$B,'Felosztás eredménykim'!$B114,'Eredeti fejléccel'!$AD:$AD)</f>
        <v>0</v>
      </c>
      <c r="AQ114" s="6">
        <f>SUMIF('Eredeti fejléccel'!$B:$B,'Felosztás eredménykim'!$B114,'Eredeti fejléccel'!$AE:$AE)</f>
        <v>0</v>
      </c>
      <c r="AR114" s="6">
        <f>SUMIF('Eredeti fejléccel'!$B:$B,'Felosztás eredménykim'!$B114,'Eredeti fejléccel'!$AG:$AG)</f>
        <v>0</v>
      </c>
      <c r="AS114" s="6">
        <f t="shared" si="124"/>
        <v>0</v>
      </c>
      <c r="AT114" s="36">
        <f t="shared" si="140"/>
        <v>0</v>
      </c>
      <c r="AU114" s="8">
        <f t="shared" si="92"/>
        <v>0</v>
      </c>
      <c r="AV114" s="6">
        <f>SUMIF('Eredeti fejléccel'!$B:$B,'Felosztás eredménykim'!$B114,'Eredeti fejléccel'!$AI:$AI)</f>
        <v>0</v>
      </c>
      <c r="AW114" s="6">
        <f>SUMIF('Eredeti fejléccel'!$B:$B,'Felosztás eredménykim'!$B114,'Eredeti fejléccel'!$AJ:$AJ)</f>
        <v>0</v>
      </c>
      <c r="AX114" s="6">
        <f>SUMIF('Eredeti fejléccel'!$B:$B,'Felosztás eredménykim'!$B114,'Eredeti fejléccel'!$AK:$AK)</f>
        <v>0</v>
      </c>
      <c r="AY114" s="6">
        <f>SUMIF('Eredeti fejléccel'!$B:$B,'Felosztás eredménykim'!$B114,'Eredeti fejléccel'!$AL:$AL)</f>
        <v>0</v>
      </c>
      <c r="AZ114" s="6">
        <f>SUMIF('Eredeti fejléccel'!$B:$B,'Felosztás eredménykim'!$B114,'Eredeti fejléccel'!$AM:$AM)</f>
        <v>0</v>
      </c>
      <c r="BA114" s="6">
        <f>SUMIF('Eredeti fejléccel'!$B:$B,'Felosztás eredménykim'!$B114,'Eredeti fejléccel'!$AN:$AN)</f>
        <v>0</v>
      </c>
      <c r="BB114" s="6">
        <f>SUMIF('Eredeti fejléccel'!$B:$B,'Felosztás eredménykim'!$B114,'Eredeti fejléccel'!$AP:$AP)</f>
        <v>0</v>
      </c>
      <c r="BC114" s="210"/>
      <c r="BD114" s="6">
        <f>SUMIF('Eredeti fejléccel'!$B:$B,'Felosztás eredménykim'!$B114,'Eredeti fejléccel'!$AS:$AS)</f>
        <v>0</v>
      </c>
      <c r="BE114" s="211">
        <f t="shared" si="74"/>
        <v>0</v>
      </c>
      <c r="BF114" s="36">
        <f t="shared" si="141"/>
        <v>0</v>
      </c>
      <c r="BG114" s="8">
        <f t="shared" si="94"/>
        <v>0</v>
      </c>
      <c r="BH114" s="6">
        <f t="shared" si="125"/>
        <v>0</v>
      </c>
      <c r="BI114" s="6">
        <f>SUMIF('Eredeti fejléccel'!$B:$B,'Felosztás eredménykim'!$B114,'Eredeti fejléccel'!$AH:$AH)</f>
        <v>0</v>
      </c>
      <c r="BJ114" s="6">
        <f>SUMIF('Eredeti fejléccel'!$B:$B,'Felosztás eredménykim'!$B114,'Eredeti fejléccel'!$AO:$AO)</f>
        <v>0</v>
      </c>
      <c r="BK114" s="6">
        <f>SUMIF('Eredeti fejléccel'!$B:$B,'Felosztás eredménykim'!$B114,'Eredeti fejléccel'!$BF:$BF)</f>
        <v>0</v>
      </c>
      <c r="BL114" s="8">
        <f t="shared" si="126"/>
        <v>0</v>
      </c>
      <c r="BM114" s="36">
        <f t="shared" si="142"/>
        <v>0</v>
      </c>
      <c r="BN114" s="8">
        <f t="shared" si="96"/>
        <v>0</v>
      </c>
      <c r="BO114" s="211"/>
      <c r="BP114" s="8">
        <f t="shared" si="127"/>
        <v>0</v>
      </c>
      <c r="BQ114" s="6">
        <f>SUMIF('Eredeti fejléccel'!$B:$B,'Felosztás eredménykim'!$B114,'Eredeti fejléccel'!$N:$N)</f>
        <v>0</v>
      </c>
      <c r="BR114" s="6">
        <f>SUMIF('Eredeti fejléccel'!$B:$B,'Felosztás eredménykim'!$B114,'Eredeti fejléccel'!$S:$S)</f>
        <v>0</v>
      </c>
      <c r="BS114" s="210"/>
      <c r="BT114" s="6">
        <f>SUMIF('Eredeti fejléccel'!$B:$B,'Felosztás eredménykim'!$B114,'Eredeti fejléccel'!$AR:$AR)</f>
        <v>0</v>
      </c>
      <c r="BU114" s="6">
        <f>SUMIF('Eredeti fejléccel'!$B:$B,'Felosztás eredménykim'!$B114,'Eredeti fejléccel'!$AU:$AU)</f>
        <v>0</v>
      </c>
      <c r="BV114" s="6">
        <f>SUMIF('Eredeti fejléccel'!$B:$B,'Felosztás eredménykim'!$B114,'Eredeti fejléccel'!$AV:$AV)</f>
        <v>0</v>
      </c>
      <c r="BW114" s="6">
        <f>SUMIF('Eredeti fejléccel'!$B:$B,'Felosztás eredménykim'!$B114,'Eredeti fejléccel'!$AW:$AW)</f>
        <v>0</v>
      </c>
      <c r="BX114" s="6">
        <f>SUMIF('Eredeti fejléccel'!$B:$B,'Felosztás eredménykim'!$B114,'Eredeti fejléccel'!$AX:$AX)</f>
        <v>0</v>
      </c>
      <c r="BY114" s="6">
        <f>SUMIF('Eredeti fejléccel'!$B:$B,'Felosztás eredménykim'!$B114,'Eredeti fejléccel'!$AY:$AY)</f>
        <v>0</v>
      </c>
      <c r="BZ114" s="6">
        <f>SUMIF('Eredeti fejléccel'!$B:$B,'Felosztás eredménykim'!$B114,'Eredeti fejléccel'!$AZ:$AZ)</f>
        <v>0</v>
      </c>
      <c r="CA114" s="6">
        <f>SUMIF('Eredeti fejléccel'!$B:$B,'Felosztás eredménykim'!$B114,'Eredeti fejléccel'!$BA:$BA)</f>
        <v>0</v>
      </c>
      <c r="CB114" s="210">
        <f t="shared" si="114"/>
        <v>0</v>
      </c>
      <c r="CC114" s="36">
        <f t="shared" si="143"/>
        <v>0</v>
      </c>
      <c r="CD114" s="8">
        <f t="shared" si="98"/>
        <v>0</v>
      </c>
      <c r="CE114" s="6">
        <f>SUMIF('Eredeti fejléccel'!$B:$B,'Felosztás eredménykim'!$B114,'Eredeti fejléccel'!$BC:$BC)</f>
        <v>0</v>
      </c>
      <c r="CF114" s="211">
        <f t="shared" si="135"/>
        <v>0</v>
      </c>
      <c r="CG114" s="6">
        <f>SUMIF('Eredeti fejléccel'!$B:$B,'Felosztás eredménykim'!$B114,'Eredeti fejléccel'!$H:$H)</f>
        <v>0</v>
      </c>
      <c r="CH114" s="6">
        <f>SUMIF('Eredeti fejléccel'!$B:$B,'Felosztás eredménykim'!$B114,'Eredeti fejléccel'!$BE:$BE)</f>
        <v>0</v>
      </c>
      <c r="CI114" s="210">
        <f t="shared" si="75"/>
        <v>0</v>
      </c>
      <c r="CJ114" s="36">
        <f t="shared" si="144"/>
        <v>0</v>
      </c>
      <c r="CK114" s="211">
        <f t="shared" si="100"/>
        <v>0</v>
      </c>
      <c r="CL114" s="211">
        <f t="shared" si="136"/>
        <v>0</v>
      </c>
      <c r="CM114" s="6">
        <f>SUMIF('Eredeti fejléccel'!$B:$B,'Felosztás eredménykim'!$B114,'Eredeti fejléccel'!$BD:$BD)</f>
        <v>0</v>
      </c>
      <c r="CN114" s="211">
        <f t="shared" si="76"/>
        <v>0</v>
      </c>
      <c r="CO114" s="211">
        <f t="shared" si="115"/>
        <v>0</v>
      </c>
      <c r="CP114" s="211"/>
      <c r="CQ114" s="211"/>
      <c r="CR114" s="212">
        <f t="shared" si="101"/>
        <v>0</v>
      </c>
      <c r="CS114" s="6">
        <f>SUMIF('Eredeti fejléccel'!$B:$B,'Felosztás eredménykim'!$B114,'Eredeti fejléccel'!$I:$I)</f>
        <v>0</v>
      </c>
      <c r="CT114" s="6">
        <f>SUMIF('Eredeti fejléccel'!$B:$B,'Felosztás eredménykim'!$B114,'Eredeti fejléccel'!$BG:$BG)</f>
        <v>0</v>
      </c>
      <c r="CU114" s="6">
        <f>SUMIF('Eredeti fejléccel'!$B:$B,'Felosztás eredménykim'!$B114,'Eredeti fejléccel'!$BH:$BH)</f>
        <v>0</v>
      </c>
      <c r="CV114" s="6">
        <f>SUMIF('Eredeti fejléccel'!$B:$B,'Felosztás eredménykim'!$B114,'Eredeti fejléccel'!$BI:$BI)</f>
        <v>0</v>
      </c>
      <c r="CW114" s="6">
        <f>SUMIF('Eredeti fejléccel'!$B:$B,'Felosztás eredménykim'!$B114,'Eredeti fejléccel'!$BL:$BL)</f>
        <v>0</v>
      </c>
      <c r="CX114" s="210">
        <f t="shared" si="77"/>
        <v>0</v>
      </c>
      <c r="CY114" s="6">
        <f>SUMIF('Eredeti fejléccel'!$B:$B,'Felosztás eredménykim'!$B114,'Eredeti fejléccel'!$BJ:$BJ)</f>
        <v>0</v>
      </c>
      <c r="CZ114" s="6">
        <f>SUMIF('Eredeti fejléccel'!$B:$B,'Felosztás eredménykim'!$B114,'Eredeti fejléccel'!$BK:$BK)</f>
        <v>0</v>
      </c>
      <c r="DA114" s="99">
        <f t="shared" si="116"/>
        <v>0</v>
      </c>
      <c r="DB114" s="215"/>
      <c r="DC114" s="212">
        <f t="shared" si="102"/>
        <v>0</v>
      </c>
      <c r="DD114" s="6">
        <f>SUMIF('Eredeti fejléccel'!$B:$B,'Felosztás eredménykim'!$B114,'Eredeti fejléccel'!$J:$J)</f>
        <v>0</v>
      </c>
      <c r="DE114" s="6">
        <f>SUMIF('Eredeti fejléccel'!$B:$B,'Felosztás eredménykim'!$B114,'Eredeti fejléccel'!$BM:$BM)</f>
        <v>0</v>
      </c>
      <c r="DF114" s="6">
        <f t="shared" si="128"/>
        <v>0</v>
      </c>
      <c r="DG114" s="211">
        <f t="shared" si="117"/>
        <v>0</v>
      </c>
      <c r="DH114" s="8">
        <f t="shared" si="129"/>
        <v>0</v>
      </c>
      <c r="DI114" s="211"/>
      <c r="DJ114" s="6">
        <f>SUMIF('Eredeti fejléccel'!$B:$B,'Felosztás eredménykim'!$B114,'Eredeti fejléccel'!$BN:$BN)</f>
        <v>0</v>
      </c>
      <c r="DK114" s="6">
        <f>SUMIF('Eredeti fejléccel'!$B:$B,'Felosztás eredménykim'!$B114,'Eredeti fejléccel'!$BZ:$BZ)</f>
        <v>0</v>
      </c>
      <c r="DL114" s="8">
        <f t="shared" si="130"/>
        <v>0</v>
      </c>
      <c r="DM114" s="6">
        <f>SUMIF('Eredeti fejléccel'!$B:$B,'Felosztás eredménykim'!$B114,'Eredeti fejléccel'!$BR:$BR)</f>
        <v>0</v>
      </c>
      <c r="DN114" s="6">
        <f>SUMIF('Eredeti fejléccel'!$B:$B,'Felosztás eredménykim'!$B114,'Eredeti fejléccel'!$BS:$BS)</f>
        <v>0</v>
      </c>
      <c r="DO114" s="6">
        <f>SUMIF('Eredeti fejléccel'!$B:$B,'Felosztás eredménykim'!$B114,'Eredeti fejléccel'!$BO:$BO)</f>
        <v>0</v>
      </c>
      <c r="DP114" s="6">
        <f>SUMIF('Eredeti fejléccel'!$B:$B,'Felosztás eredménykim'!$B114,'Eredeti fejléccel'!$BP:$BP)</f>
        <v>0</v>
      </c>
      <c r="DQ114" s="6">
        <f>SUMIF('Eredeti fejléccel'!$B:$B,'Felosztás eredménykim'!$B114,'Eredeti fejléccel'!$BQ:$BQ)</f>
        <v>0</v>
      </c>
      <c r="DR114" s="210"/>
      <c r="DS114" s="211"/>
      <c r="DT114" s="210"/>
      <c r="DU114" s="6">
        <f>SUMIF('Eredeti fejléccel'!$B:$B,'Felosztás eredménykim'!$B114,'Eredeti fejléccel'!$BT:$BT)</f>
        <v>0</v>
      </c>
      <c r="DV114" s="6">
        <f>SUMIF('Eredeti fejléccel'!$B:$B,'Felosztás eredménykim'!$B114,'Eredeti fejléccel'!$BU:$BU)</f>
        <v>0</v>
      </c>
      <c r="DW114" s="6">
        <f>SUMIF('Eredeti fejléccel'!$B:$B,'Felosztás eredménykim'!$B114,'Eredeti fejléccel'!$BV:$BV)</f>
        <v>0</v>
      </c>
      <c r="DX114" s="6">
        <f>SUMIF('Eredeti fejléccel'!$B:$B,'Felosztás eredménykim'!$B114,'Eredeti fejléccel'!$BW:$BW)</f>
        <v>0</v>
      </c>
      <c r="DY114" s="6">
        <f>SUMIF('Eredeti fejléccel'!$B:$B,'Felosztás eredménykim'!$B114,'Eredeti fejléccel'!$BX:$BX)</f>
        <v>0</v>
      </c>
      <c r="DZ114" s="6"/>
      <c r="EA114" s="6"/>
      <c r="EB114" s="6"/>
      <c r="EC114" s="6"/>
      <c r="ED114" s="6"/>
      <c r="EE114" s="6">
        <f>SUMIF('Eredeti fejléccel'!$B:$B,'Felosztás eredménykim'!$B114,'Eredeti fejléccel'!$CA:$CA)</f>
        <v>0</v>
      </c>
      <c r="EF114" s="6">
        <f>SUMIF('Eredeti fejléccel'!$B:$B,'Felosztás eredménykim'!$B114,'Eredeti fejléccel'!$CB:$CB)</f>
        <v>0</v>
      </c>
      <c r="EG114" s="6">
        <f>SUMIF('Eredeti fejléccel'!$B:$B,'Felosztás eredménykim'!$B114,'Eredeti fejléccel'!$CC:$CC)</f>
        <v>0</v>
      </c>
      <c r="EH114" s="6">
        <f>SUMIF('Eredeti fejléccel'!$B:$B,'Felosztás eredménykim'!$B114,'Eredeti fejléccel'!$CD:$CD)</f>
        <v>0</v>
      </c>
      <c r="EI114" s="210"/>
      <c r="EJ114" s="211"/>
      <c r="EK114" s="6">
        <f>SUMIF('Eredeti fejléccel'!$B:$B,'Felosztás eredménykim'!$B114,'Eredeti fejléccel'!$CE:$CE)</f>
        <v>0</v>
      </c>
      <c r="EL114" s="211"/>
      <c r="EM114" s="210"/>
      <c r="EN114" s="6">
        <f>SUMIF('Eredeti fejléccel'!$B:$B,'Felosztás eredménykim'!$B114,'Eredeti fejléccel'!$CF:$CF)</f>
        <v>0</v>
      </c>
      <c r="EO114" s="210"/>
      <c r="EP114" s="6">
        <f>SUMIF('Eredeti fejléccel'!$B:$B,'Felosztás eredménykim'!$B114,'Eredeti fejléccel'!$CG:$CG)</f>
        <v>0</v>
      </c>
      <c r="EQ114" s="210"/>
      <c r="ER114" s="211"/>
      <c r="ES114" s="6">
        <f>SUMIF('Eredeti fejléccel'!$B:$B,'Felosztás eredménykim'!$B114,'Eredeti fejléccel'!$CH:$CH)</f>
        <v>0</v>
      </c>
      <c r="ET114" s="6">
        <f>SUMIF('Eredeti fejléccel'!$B:$B,'Felosztás eredménykim'!$B114,'Eredeti fejléccel'!$CI:$CI)</f>
        <v>0</v>
      </c>
      <c r="EU114" s="210"/>
      <c r="EV114" s="211"/>
      <c r="EW114" s="211">
        <f t="shared" si="118"/>
        <v>0</v>
      </c>
      <c r="EX114" s="211">
        <f t="shared" si="78"/>
        <v>0</v>
      </c>
      <c r="EY114" s="211">
        <f t="shared" si="119"/>
        <v>0</v>
      </c>
      <c r="EZ114" s="211">
        <f t="shared" si="120"/>
        <v>0</v>
      </c>
      <c r="FA114" s="211">
        <f t="shared" si="121"/>
        <v>0</v>
      </c>
      <c r="FB114" s="211"/>
      <c r="FC114" s="6">
        <f>SUMIF('Eredeti fejléccel'!$B:$B,'Felosztás eredménykim'!$B114,'Eredeti fejléccel'!$L:$L)</f>
        <v>0</v>
      </c>
      <c r="FD114" s="6">
        <f>SUMIF('Eredeti fejléccel'!$B:$B,'Felosztás eredménykim'!$B114,'Eredeti fejléccel'!$CJ:$CJ)</f>
        <v>0</v>
      </c>
      <c r="FE114" s="6">
        <f>SUMIF('Eredeti fejléccel'!$B:$B,'Felosztás eredménykim'!$B114,'Eredeti fejléccel'!$CL:$CL)</f>
        <v>0</v>
      </c>
      <c r="FF114" s="213"/>
      <c r="FG114" s="214">
        <f t="shared" si="79"/>
        <v>0</v>
      </c>
      <c r="FH114" s="6">
        <f>SUMIF('Eredeti fejléccel'!$B:$B,'Felosztás eredménykim'!$B114,'Eredeti fejléccel'!$CK:$CK)</f>
        <v>0</v>
      </c>
      <c r="FI114" s="36">
        <f t="shared" si="145"/>
        <v>0</v>
      </c>
      <c r="FJ114" s="216">
        <f t="shared" si="104"/>
        <v>0</v>
      </c>
      <c r="FK114" s="6">
        <f>SUMIF('Eredeti fejléccel'!$B:$B,'Felosztás eredménykim'!$B114,'Eredeti fejléccel'!$CM:$CM)</f>
        <v>0</v>
      </c>
      <c r="FL114" s="6">
        <f>SUMIF('Eredeti fejléccel'!$B:$B,'Felosztás eredménykim'!$B114,'Eredeti fejléccel'!$CN:$CN)</f>
        <v>0</v>
      </c>
      <c r="FM114" s="211">
        <f t="shared" si="80"/>
        <v>0</v>
      </c>
      <c r="FN114" s="36">
        <f t="shared" si="146"/>
        <v>0</v>
      </c>
      <c r="FO114" s="216">
        <f t="shared" si="106"/>
        <v>0</v>
      </c>
      <c r="FP114" s="6">
        <f>SUMIF('Eredeti fejléccel'!$B:$B,'Felosztás eredménykim'!$B114,'Eredeti fejléccel'!$CO:$CO)</f>
        <v>0</v>
      </c>
      <c r="FQ114" s="6">
        <f>'Eredeti fejléccel'!CP114</f>
        <v>0</v>
      </c>
      <c r="FR114" s="6">
        <f>'Eredeti fejléccel'!CQ114</f>
        <v>0</v>
      </c>
      <c r="FS114" s="103">
        <f t="shared" si="122"/>
        <v>0</v>
      </c>
      <c r="FT114" s="36">
        <f t="shared" si="147"/>
        <v>0</v>
      </c>
      <c r="FU114" s="216">
        <f t="shared" si="108"/>
        <v>0</v>
      </c>
      <c r="FV114" s="216"/>
      <c r="FW114" s="6">
        <f>SUMIF('Eredeti fejléccel'!$B:$B,'Felosztás eredménykim'!$B114,'Eredeti fejléccel'!$CR:$CR)</f>
        <v>0</v>
      </c>
      <c r="FX114" s="6">
        <f>SUMIF('Eredeti fejléccel'!$B:$B,'Felosztás eredménykim'!$B114,'Eredeti fejléccel'!$CS:$CS)</f>
        <v>0</v>
      </c>
      <c r="FY114" s="6">
        <f>SUMIF('Eredeti fejléccel'!$B:$B,'Felosztás eredménykim'!$B114,'Eredeti fejléccel'!$CT:$CT)</f>
        <v>0</v>
      </c>
      <c r="FZ114" s="6">
        <f>SUMIF('Eredeti fejléccel'!$B:$B,'Felosztás eredménykim'!$B114,'Eredeti fejléccel'!$CU:$CU)</f>
        <v>0</v>
      </c>
      <c r="GA114" s="217">
        <f t="shared" si="81"/>
        <v>0</v>
      </c>
      <c r="GB114" s="36">
        <f t="shared" si="148"/>
        <v>0</v>
      </c>
      <c r="GC114" s="216">
        <f t="shared" si="110"/>
        <v>0</v>
      </c>
      <c r="GD114" s="210">
        <f>SUMIF('Eredeti fejléccel'!$B:$B,'Felosztás eredménykim'!$B114,'Eredeti fejléccel'!$CV:$CV)</f>
        <v>0</v>
      </c>
      <c r="GE114" s="6">
        <f>SUMIF('Eredeti fejléccel'!$B:$B,'Felosztás eredménykim'!$B114,'Eredeti fejléccel'!$CW:$CW)</f>
        <v>0</v>
      </c>
      <c r="GF114" s="217">
        <f t="shared" si="82"/>
        <v>0</v>
      </c>
      <c r="GG114" s="212">
        <f t="shared" si="111"/>
        <v>0</v>
      </c>
      <c r="GH114" s="210"/>
      <c r="GI114" s="211"/>
      <c r="GJ114" s="210"/>
      <c r="GK114" s="211"/>
      <c r="GL114" s="210"/>
      <c r="GM114" s="6">
        <f>SUMIF('Eredeti fejléccel'!$B:$B,'Felosztás eredménykim'!$B114,'Eredeti fejléccel'!$CX:$CX)</f>
        <v>0</v>
      </c>
      <c r="GN114" s="6">
        <f>SUMIF('Eredeti fejléccel'!$B:$B,'Felosztás eredménykim'!$B114,'Eredeti fejléccel'!$CY:$CY)</f>
        <v>0</v>
      </c>
      <c r="GO114" s="6">
        <f>SUMIF('Eredeti fejléccel'!$B:$B,'Felosztás eredménykim'!$B114,'Eredeti fejléccel'!$CZ:$CZ)</f>
        <v>0</v>
      </c>
      <c r="GP114" s="6">
        <f>SUMIF('Eredeti fejléccel'!$B:$B,'Felosztás eredménykim'!$B114,'Eredeti fejléccel'!$DA:$DA)</f>
        <v>0</v>
      </c>
      <c r="GQ114" s="6">
        <f>SUMIF('Eredeti fejléccel'!$B:$B,'Felosztás eredménykim'!$B114,'Eredeti fejléccel'!$DB:$DB)</f>
        <v>0</v>
      </c>
      <c r="GR114" s="217">
        <f t="shared" si="83"/>
        <v>0</v>
      </c>
      <c r="GS114" s="211"/>
      <c r="GT114" s="211"/>
      <c r="GU114" s="211"/>
      <c r="GV114" s="211"/>
      <c r="GW114" s="212">
        <f t="shared" si="112"/>
        <v>0</v>
      </c>
      <c r="GX114" s="6">
        <f>SUMIF('Eredeti fejléccel'!$B:$B,'Felosztás eredménykim'!$B114,'Eredeti fejléccel'!$M:$M)</f>
        <v>0</v>
      </c>
      <c r="GY114" s="6">
        <f>SUMIF('Eredeti fejléccel'!$B:$B,'Felosztás eredménykim'!$B114,'Eredeti fejléccel'!$DC:$DC)</f>
        <v>0</v>
      </c>
      <c r="GZ114" s="6">
        <f>SUMIF('Eredeti fejléccel'!$B:$B,'Felosztás eredménykim'!$B114,'Eredeti fejléccel'!$DD:$DD)</f>
        <v>0</v>
      </c>
      <c r="HA114" s="6">
        <f>SUMIF('Eredeti fejléccel'!$B:$B,'Felosztás eredménykim'!$B114,'Eredeti fejléccel'!$DE:$DE)</f>
        <v>0</v>
      </c>
      <c r="HB114" s="217">
        <f t="shared" si="84"/>
        <v>0</v>
      </c>
      <c r="HC114" s="211"/>
      <c r="HD114" s="218">
        <f t="shared" si="176"/>
        <v>0</v>
      </c>
      <c r="HE114" s="9"/>
      <c r="HF114" s="476"/>
      <c r="HG114" s="219"/>
      <c r="HH114" s="220">
        <f t="shared" si="85"/>
        <v>0</v>
      </c>
      <c r="HI114" s="219"/>
      <c r="HJ114" s="219"/>
      <c r="HK114" s="219"/>
      <c r="HL114" s="219"/>
      <c r="HM114" s="219"/>
      <c r="HN114" s="219"/>
      <c r="HO114" s="219"/>
      <c r="HP114" s="219"/>
      <c r="HQ114" s="219"/>
      <c r="HR114" s="219"/>
      <c r="HS114" s="219"/>
      <c r="HT114" s="219"/>
      <c r="HU114" s="219"/>
      <c r="HV114" s="219"/>
      <c r="HW114" s="219"/>
      <c r="HX114" s="219"/>
    </row>
    <row r="115" spans="1:232" x14ac:dyDescent="0.25">
      <c r="A115" s="4" t="s">
        <v>226</v>
      </c>
      <c r="B115" s="4" t="s">
        <v>226</v>
      </c>
      <c r="C115" s="1" t="s">
        <v>227</v>
      </c>
      <c r="D115" s="6">
        <f>SUMIF('Eredeti fejléccel'!$B:$B,'Felosztás eredménykim'!$B115,'Eredeti fejléccel'!$D:$D)</f>
        <v>0</v>
      </c>
      <c r="E115" s="6">
        <f>SUMIF('Eredeti fejléccel'!$B:$B,'Felosztás eredménykim'!$B115,'Eredeti fejléccel'!$E:$E)</f>
        <v>3868607.3029</v>
      </c>
      <c r="F115" s="6">
        <f>SUMIF('Eredeti fejléccel'!$B:$B,'Felosztás eredménykim'!$B115,'Eredeti fejléccel'!$F:$F)</f>
        <v>0</v>
      </c>
      <c r="G115" s="6">
        <f>SUMIF('Eredeti fejléccel'!$B:$B,'Felosztás eredménykim'!$B115,'Eredeti fejléccel'!$G:$G)</f>
        <v>347803.7</v>
      </c>
      <c r="H115" s="6"/>
      <c r="I115" s="6">
        <f>SUMIF('Eredeti fejléccel'!$B:$B,'Felosztás eredménykim'!$B115,'Eredeti fejléccel'!$O:$O)</f>
        <v>19285.844100000002</v>
      </c>
      <c r="J115" s="6">
        <f>SUMIF('Eredeti fejléccel'!$B:$B,'Felosztás eredménykim'!$B115,'Eredeti fejléccel'!$P:$P)</f>
        <v>0</v>
      </c>
      <c r="K115" s="6">
        <f>SUMIF('Eredeti fejléccel'!$B:$B,'Felosztás eredménykim'!$B115,'Eredeti fejléccel'!$Q:$Q)</f>
        <v>0</v>
      </c>
      <c r="L115" s="6">
        <f>SUMIF('Eredeti fejléccel'!$B:$B,'Felosztás eredménykim'!$B115,'Eredeti fejléccel'!$R:$R)</f>
        <v>0</v>
      </c>
      <c r="M115" s="6">
        <f>SUMIF('Eredeti fejléccel'!$B:$B,'Felosztás eredménykim'!$B115,'Eredeti fejléccel'!$T:$T)</f>
        <v>0</v>
      </c>
      <c r="N115" s="6">
        <f>SUMIF('Eredeti fejléccel'!$B:$B,'Felosztás eredménykim'!$B115,'Eredeti fejléccel'!$U:$U)</f>
        <v>0</v>
      </c>
      <c r="O115" s="6">
        <f>SUMIF('Eredeti fejléccel'!$B:$B,'Felosztás eredménykim'!$B115,'Eredeti fejléccel'!$V:$V)</f>
        <v>83571.991099999999</v>
      </c>
      <c r="P115" s="6">
        <f>SUMIF('Eredeti fejléccel'!$B:$B,'Felosztás eredménykim'!$B115,'Eredeti fejléccel'!$W:$W)</f>
        <v>81621</v>
      </c>
      <c r="Q115" s="6">
        <f>SUMIF('Eredeti fejléccel'!$B:$B,'Felosztás eredménykim'!$B115,'Eredeti fejléccel'!$X:$X)</f>
        <v>0</v>
      </c>
      <c r="R115" s="6">
        <f>SUMIF('Eredeti fejléccel'!$B:$B,'Felosztás eredménykim'!$B115,'Eredeti fejléccel'!$Y:$Y)</f>
        <v>0</v>
      </c>
      <c r="S115" s="6">
        <f>SUMIF('Eredeti fejléccel'!$B:$B,'Felosztás eredménykim'!$B115,'Eredeti fejléccel'!$Z:$Z)</f>
        <v>0</v>
      </c>
      <c r="T115" s="6">
        <f>SUMIF('Eredeti fejléccel'!$B:$B,'Felosztás eredménykim'!$B115,'Eredeti fejléccel'!$AA:$AA)</f>
        <v>0</v>
      </c>
      <c r="U115" s="6">
        <v>0</v>
      </c>
      <c r="V115" s="6">
        <f>SUMIF('Eredeti fejléccel'!$B:$B,'Felosztás eredménykim'!$B115,'Eredeti fejléccel'!$AT:$AT)</f>
        <v>0</v>
      </c>
      <c r="X115" s="36">
        <f t="shared" si="86"/>
        <v>4400889.8381000003</v>
      </c>
      <c r="Z115" s="6">
        <f>SUMIF('Eredeti fejléccel'!$B:$B,'Felosztás eredménykim'!$B115,'Eredeti fejléccel'!$K:$K)</f>
        <v>664158.07350000006</v>
      </c>
      <c r="AB115" s="6">
        <f>SUMIF('Eredeti fejléccel'!$B:$B,'Felosztás eredménykim'!$B115,'Eredeti fejléccel'!$AB:$AB)</f>
        <v>0</v>
      </c>
      <c r="AC115" s="6">
        <f>SUMIF('Eredeti fejléccel'!$B:$B,'Felosztás eredménykim'!$B115,'Eredeti fejléccel'!$AQ:$AQ)</f>
        <v>0</v>
      </c>
      <c r="AE115" s="73">
        <f t="shared" si="131"/>
        <v>664158.07350000006</v>
      </c>
      <c r="AF115" s="36">
        <f t="shared" si="138"/>
        <v>525002.57566725987</v>
      </c>
      <c r="AG115" s="8">
        <f t="shared" si="88"/>
        <v>211763.12780855916</v>
      </c>
      <c r="AI115" s="6">
        <f>SUMIF('Eredeti fejléccel'!$B:$B,'Felosztás eredménykim'!$B115,'Eredeti fejléccel'!$BB:$BB)</f>
        <v>49003.000800000009</v>
      </c>
      <c r="AJ115" s="6">
        <f>SUMIF('Eredeti fejléccel'!$B:$B,'Felosztás eredménykim'!$B115,'Eredeti fejléccel'!$AF:$AF)</f>
        <v>0</v>
      </c>
      <c r="AK115" s="8">
        <f t="shared" si="73"/>
        <v>260766.12860855917</v>
      </c>
      <c r="AL115" s="36">
        <f t="shared" si="139"/>
        <v>208528.3722706424</v>
      </c>
      <c r="AM115" s="8">
        <f t="shared" si="90"/>
        <v>84111.245154816206</v>
      </c>
      <c r="AN115" s="6">
        <f t="shared" si="123"/>
        <v>-6428.614700000001</v>
      </c>
      <c r="AO115" s="6">
        <f>SUMIF('Eredeti fejléccel'!$B:$B,'Felosztás eredménykim'!$B115,'Eredeti fejléccel'!$AC:$AC)</f>
        <v>12857.229400000002</v>
      </c>
      <c r="AP115" s="6">
        <f>SUMIF('Eredeti fejléccel'!$B:$B,'Felosztás eredménykim'!$B115,'Eredeti fejléccel'!$AD:$AD)</f>
        <v>0</v>
      </c>
      <c r="AQ115" s="6">
        <f>SUMIF('Eredeti fejléccel'!$B:$B,'Felosztás eredménykim'!$B115,'Eredeti fejléccel'!$AE:$AE)</f>
        <v>0</v>
      </c>
      <c r="AR115" s="6">
        <f>SUMIF('Eredeti fejléccel'!$B:$B,'Felosztás eredménykim'!$B115,'Eredeti fejléccel'!$AG:$AG)</f>
        <v>169732.96</v>
      </c>
      <c r="AS115" s="6">
        <f t="shared" si="124"/>
        <v>260272.81985481619</v>
      </c>
      <c r="AT115" s="36">
        <f t="shared" si="140"/>
        <v>338711.33914016775</v>
      </c>
      <c r="AU115" s="8">
        <f t="shared" si="92"/>
        <v>136621.3727797156</v>
      </c>
      <c r="AV115" s="6">
        <f>SUMIF('Eredeti fejléccel'!$B:$B,'Felosztás eredménykim'!$B115,'Eredeti fejléccel'!$AI:$AI)</f>
        <v>0</v>
      </c>
      <c r="AW115" s="6">
        <f>SUMIF('Eredeti fejléccel'!$B:$B,'Felosztás eredménykim'!$B115,'Eredeti fejléccel'!$AJ:$AJ)</f>
        <v>12857.229400000002</v>
      </c>
      <c r="AX115" s="6">
        <f>SUMIF('Eredeti fejléccel'!$B:$B,'Felosztás eredménykim'!$B115,'Eredeti fejléccel'!$AK:$AK)</f>
        <v>83571.991099999999</v>
      </c>
      <c r="AY115" s="6">
        <f>SUMIF('Eredeti fejléccel'!$B:$B,'Felosztás eredménykim'!$B115,'Eredeti fejléccel'!$AL:$AL)</f>
        <v>32143.073500000002</v>
      </c>
      <c r="AZ115" s="6">
        <f>SUMIF('Eredeti fejléccel'!$B:$B,'Felosztás eredménykim'!$B115,'Eredeti fejléccel'!$AM:$AM)</f>
        <v>57857.532299999999</v>
      </c>
      <c r="BA115" s="6">
        <f>SUMIF('Eredeti fejléccel'!$B:$B,'Felosztás eredménykim'!$B115,'Eredeti fejléccel'!$AN:$AN)</f>
        <v>0</v>
      </c>
      <c r="BB115" s="6">
        <f>SUMIF('Eredeti fejléccel'!$B:$B,'Felosztás eredménykim'!$B115,'Eredeti fejléccel'!$AP:$AP)</f>
        <v>0</v>
      </c>
      <c r="BD115" s="6">
        <f>SUMIF('Eredeti fejléccel'!$B:$B,'Felosztás eredménykim'!$B115,'Eredeti fejléccel'!$AS:$AS)</f>
        <v>0</v>
      </c>
      <c r="BE115" s="8">
        <f t="shared" si="74"/>
        <v>323051.19907971565</v>
      </c>
      <c r="BF115" s="36">
        <f t="shared" si="141"/>
        <v>88359.479775695916</v>
      </c>
      <c r="BG115" s="8">
        <f t="shared" si="94"/>
        <v>35640.358116447547</v>
      </c>
      <c r="BH115" s="6">
        <f t="shared" si="125"/>
        <v>6428.614700000001</v>
      </c>
      <c r="BI115" s="6">
        <f>SUMIF('Eredeti fejléccel'!$B:$B,'Felosztás eredménykim'!$B115,'Eredeti fejléccel'!$AH:$AH)</f>
        <v>57857.532299999999</v>
      </c>
      <c r="BJ115" s="6">
        <f>SUMIF('Eredeti fejléccel'!$B:$B,'Felosztás eredménykim'!$B115,'Eredeti fejléccel'!$AO:$AO)</f>
        <v>0</v>
      </c>
      <c r="BK115" s="6">
        <f>SUMIF('Eredeti fejléccel'!$B:$B,'Felosztás eredménykim'!$B115,'Eredeti fejléccel'!$BF:$BF)</f>
        <v>0</v>
      </c>
      <c r="BL115" s="8">
        <f t="shared" si="126"/>
        <v>99926.505116447544</v>
      </c>
      <c r="BM115" s="36">
        <f t="shared" si="142"/>
        <v>331053.51755960746</v>
      </c>
      <c r="BN115" s="8">
        <f t="shared" si="96"/>
        <v>133532.54174295682</v>
      </c>
      <c r="BP115" s="8">
        <f t="shared" si="127"/>
        <v>0</v>
      </c>
      <c r="BQ115" s="6">
        <f>SUMIF('Eredeti fejléccel'!$B:$B,'Felosztás eredménykim'!$B115,'Eredeti fejléccel'!$N:$N)</f>
        <v>0</v>
      </c>
      <c r="BR115" s="6">
        <f>SUMIF('Eredeti fejléccel'!$B:$B,'Felosztás eredménykim'!$B115,'Eredeti fejléccel'!$S:$S)</f>
        <v>0</v>
      </c>
      <c r="BT115" s="6">
        <f>SUMIF('Eredeti fejléccel'!$B:$B,'Felosztás eredménykim'!$B115,'Eredeti fejléccel'!$AR:$AR)</f>
        <v>0</v>
      </c>
      <c r="BU115" s="6">
        <f>SUMIF('Eredeti fejléccel'!$B:$B,'Felosztás eredménykim'!$B115,'Eredeti fejléccel'!$AU:$AU)</f>
        <v>0</v>
      </c>
      <c r="BV115" s="6">
        <f>SUMIF('Eredeti fejléccel'!$B:$B,'Felosztás eredménykim'!$B115,'Eredeti fejléccel'!$AV:$AV)</f>
        <v>4704.58</v>
      </c>
      <c r="BW115" s="6">
        <f>SUMIF('Eredeti fejléccel'!$B:$B,'Felosztás eredménykim'!$B115,'Eredeti fejléccel'!$AW:$AW)</f>
        <v>0</v>
      </c>
      <c r="BX115" s="6">
        <f>SUMIF('Eredeti fejléccel'!$B:$B,'Felosztás eredménykim'!$B115,'Eredeti fejléccel'!$AX:$AX)</f>
        <v>0</v>
      </c>
      <c r="BY115" s="6">
        <f>SUMIF('Eredeti fejléccel'!$B:$B,'Felosztás eredménykim'!$B115,'Eredeti fejléccel'!$AY:$AY)</f>
        <v>0</v>
      </c>
      <c r="BZ115" s="6">
        <f>SUMIF('Eredeti fejléccel'!$B:$B,'Felosztás eredménykim'!$B115,'Eredeti fejléccel'!$AZ:$AZ)</f>
        <v>0</v>
      </c>
      <c r="CA115" s="6">
        <f>SUMIF('Eredeti fejléccel'!$B:$B,'Felosztás eredménykim'!$B115,'Eredeti fejléccel'!$BA:$BA)</f>
        <v>65250.2768</v>
      </c>
      <c r="CB115" s="6">
        <f t="shared" si="114"/>
        <v>203487.3985429568</v>
      </c>
      <c r="CC115" s="36">
        <f t="shared" si="143"/>
        <v>90126.669371209849</v>
      </c>
      <c r="CD115" s="8">
        <f t="shared" si="98"/>
        <v>36353.165278776498</v>
      </c>
      <c r="CE115" s="6">
        <f>SUMIF('Eredeti fejléccel'!$B:$B,'Felosztás eredménykim'!$B115,'Eredeti fejléccel'!$BC:$BC)</f>
        <v>12857.229400000002</v>
      </c>
      <c r="CF115" s="8">
        <f t="shared" si="135"/>
        <v>-6428.614700000001</v>
      </c>
      <c r="CG115" s="6">
        <f>SUMIF('Eredeti fejléccel'!$B:$B,'Felosztás eredménykim'!$B115,'Eredeti fejléccel'!$H:$H)</f>
        <v>0</v>
      </c>
      <c r="CH115" s="6">
        <f>SUMIF('Eredeti fejléccel'!$B:$B,'Felosztás eredménykim'!$B115,'Eredeti fejléccel'!$BE:$BE)</f>
        <v>90000.605800000034</v>
      </c>
      <c r="CI115" s="6">
        <f t="shared" si="75"/>
        <v>132782.38577877654</v>
      </c>
      <c r="CJ115" s="36">
        <f t="shared" si="144"/>
        <v>64796.951835510357</v>
      </c>
      <c r="CK115" s="8">
        <f t="shared" si="100"/>
        <v>26136.2626187282</v>
      </c>
      <c r="CL115" s="8">
        <f t="shared" si="136"/>
        <v>6428.614700000001</v>
      </c>
      <c r="CM115" s="6">
        <f>SUMIF('Eredeti fejléccel'!$B:$B,'Felosztás eredménykim'!$B115,'Eredeti fejléccel'!$BD:$BD)</f>
        <v>51428.917600000008</v>
      </c>
      <c r="CN115" s="8">
        <f t="shared" si="76"/>
        <v>83993.794918728207</v>
      </c>
      <c r="CO115" s="8">
        <f t="shared" si="115"/>
        <v>3010859.1375200935</v>
      </c>
      <c r="CR115" s="36">
        <f t="shared" si="101"/>
        <v>389222.2918628687</v>
      </c>
      <c r="CS115" s="6">
        <f>SUMIF('Eredeti fejléccel'!$B:$B,'Felosztás eredménykim'!$B115,'Eredeti fejléccel'!$I:$I)</f>
        <v>0</v>
      </c>
      <c r="CT115" s="6">
        <f>SUMIF('Eredeti fejléccel'!$B:$B,'Felosztás eredménykim'!$B115,'Eredeti fejléccel'!$BG:$BG)</f>
        <v>0</v>
      </c>
      <c r="CU115" s="6">
        <f>SUMIF('Eredeti fejléccel'!$B:$B,'Felosztás eredménykim'!$B115,'Eredeti fejléccel'!$BH:$BH)</f>
        <v>0</v>
      </c>
      <c r="CV115" s="6">
        <f>SUMIF('Eredeti fejléccel'!$B:$B,'Felosztás eredménykim'!$B115,'Eredeti fejléccel'!$BI:$BI)</f>
        <v>0</v>
      </c>
      <c r="CW115" s="6">
        <f>SUMIF('Eredeti fejléccel'!$B:$B,'Felosztás eredménykim'!$B115,'Eredeti fejléccel'!$BL:$BL)</f>
        <v>349273.15999999992</v>
      </c>
      <c r="CX115" s="6">
        <f t="shared" si="77"/>
        <v>349273.15999999992</v>
      </c>
      <c r="CY115" s="6">
        <f>SUMIF('Eredeti fejléccel'!$B:$B,'Felosztás eredménykim'!$B115,'Eredeti fejléccel'!$BJ:$BJ)</f>
        <v>50195.95</v>
      </c>
      <c r="CZ115" s="6">
        <f>SUMIF('Eredeti fejléccel'!$B:$B,'Felosztás eredménykim'!$B115,'Eredeti fejléccel'!$BK:$BK)</f>
        <v>0</v>
      </c>
      <c r="DA115" s="99">
        <f t="shared" si="116"/>
        <v>399469.10999999993</v>
      </c>
      <c r="DC115" s="36">
        <f t="shared" si="102"/>
        <v>340906.01901057962</v>
      </c>
      <c r="DD115" s="6">
        <f>SUMIF('Eredeti fejléccel'!$B:$B,'Felosztás eredménykim'!$B115,'Eredeti fejléccel'!$J:$J)</f>
        <v>0</v>
      </c>
      <c r="DE115" s="6">
        <f>SUMIF('Eredeti fejléccel'!$B:$B,'Felosztás eredménykim'!$B115,'Eredeti fejléccel'!$BM:$BM)</f>
        <v>93266.26</v>
      </c>
      <c r="DF115" s="6">
        <f t="shared" si="128"/>
        <v>0</v>
      </c>
      <c r="DG115" s="8">
        <f t="shared" si="117"/>
        <v>0</v>
      </c>
      <c r="DH115" s="8">
        <f t="shared" si="129"/>
        <v>93266.26</v>
      </c>
      <c r="DJ115" s="6">
        <f>SUMIF('Eredeti fejléccel'!$B:$B,'Felosztás eredménykim'!$B115,'Eredeti fejléccel'!$BN:$BN)</f>
        <v>0</v>
      </c>
      <c r="DK115" s="6">
        <f>SUMIF('Eredeti fejléccel'!$B:$B,'Felosztás eredménykim'!$B115,'Eredeti fejléccel'!$BZ:$BZ)</f>
        <v>0</v>
      </c>
      <c r="DL115" s="8">
        <f t="shared" si="130"/>
        <v>0</v>
      </c>
      <c r="DM115" s="6">
        <f>SUMIF('Eredeti fejléccel'!$B:$B,'Felosztás eredménykim'!$B115,'Eredeti fejléccel'!$BR:$BR)</f>
        <v>0</v>
      </c>
      <c r="DN115" s="6">
        <f>SUMIF('Eredeti fejléccel'!$B:$B,'Felosztás eredménykim'!$B115,'Eredeti fejléccel'!$BS:$BS)</f>
        <v>0</v>
      </c>
      <c r="DO115" s="6">
        <f>SUMIF('Eredeti fejléccel'!$B:$B,'Felosztás eredménykim'!$B115,'Eredeti fejléccel'!$BO:$BO)</f>
        <v>0</v>
      </c>
      <c r="DP115" s="6">
        <f>SUMIF('Eredeti fejléccel'!$B:$B,'Felosztás eredménykim'!$B115,'Eredeti fejléccel'!$BP:$BP)</f>
        <v>0</v>
      </c>
      <c r="DQ115" s="6">
        <f>SUMIF('Eredeti fejléccel'!$B:$B,'Felosztás eredménykim'!$B115,'Eredeti fejléccel'!$BQ:$BQ)</f>
        <v>0</v>
      </c>
      <c r="DS115" s="8"/>
      <c r="DU115" s="6">
        <f>SUMIF('Eredeti fejléccel'!$B:$B,'Felosztás eredménykim'!$B115,'Eredeti fejléccel'!$BT:$BT)</f>
        <v>929748.00000000035</v>
      </c>
      <c r="DV115" s="6">
        <f>SUMIF('Eredeti fejléccel'!$B:$B,'Felosztás eredménykim'!$B115,'Eredeti fejléccel'!$BU:$BU)</f>
        <v>0</v>
      </c>
      <c r="DW115" s="6">
        <f>SUMIF('Eredeti fejléccel'!$B:$B,'Felosztás eredménykim'!$B115,'Eredeti fejléccel'!$BV:$BV)</f>
        <v>0</v>
      </c>
      <c r="DX115" s="6">
        <f>SUMIF('Eredeti fejléccel'!$B:$B,'Felosztás eredménykim'!$B115,'Eredeti fejléccel'!$BW:$BW)</f>
        <v>0</v>
      </c>
      <c r="DY115" s="6">
        <f>SUMIF('Eredeti fejléccel'!$B:$B,'Felosztás eredménykim'!$B115,'Eredeti fejléccel'!$BX:$BX)</f>
        <v>0</v>
      </c>
      <c r="EA115" s="6"/>
      <c r="EC115" s="6"/>
      <c r="EE115" s="6">
        <f>SUMIF('Eredeti fejléccel'!$B:$B,'Felosztás eredménykim'!$B115,'Eredeti fejléccel'!$CA:$CA)</f>
        <v>0</v>
      </c>
      <c r="EF115" s="6">
        <f>SUMIF('Eredeti fejléccel'!$B:$B,'Felosztás eredménykim'!$B115,'Eredeti fejléccel'!$CB:$CB)</f>
        <v>0</v>
      </c>
      <c r="EG115" s="6">
        <f>SUMIF('Eredeti fejléccel'!$B:$B,'Felosztás eredménykim'!$B115,'Eredeti fejléccel'!$CC:$CC)</f>
        <v>0</v>
      </c>
      <c r="EH115" s="6">
        <f>SUMIF('Eredeti fejléccel'!$B:$B,'Felosztás eredménykim'!$B115,'Eredeti fejléccel'!$CD:$CD)</f>
        <v>0</v>
      </c>
      <c r="EK115" s="6">
        <f>SUMIF('Eredeti fejléccel'!$B:$B,'Felosztás eredménykim'!$B115,'Eredeti fejléccel'!$CE:$CE)</f>
        <v>0</v>
      </c>
      <c r="EN115" s="6">
        <f>SUMIF('Eredeti fejléccel'!$B:$B,'Felosztás eredménykim'!$B115,'Eredeti fejléccel'!$CF:$CF)</f>
        <v>0</v>
      </c>
      <c r="EP115" s="6">
        <f>SUMIF('Eredeti fejléccel'!$B:$B,'Felosztás eredménykim'!$B115,'Eredeti fejléccel'!$CG:$CG)</f>
        <v>0</v>
      </c>
      <c r="ES115" s="6">
        <f>SUMIF('Eredeti fejléccel'!$B:$B,'Felosztás eredménykim'!$B115,'Eredeti fejléccel'!$CH:$CH)</f>
        <v>0</v>
      </c>
      <c r="ET115" s="6">
        <f>SUMIF('Eredeti fejléccel'!$B:$B,'Felosztás eredménykim'!$B115,'Eredeti fejléccel'!$CI:$CI)</f>
        <v>0</v>
      </c>
      <c r="EW115" s="8">
        <f t="shared" si="118"/>
        <v>929748.00000000035</v>
      </c>
      <c r="EX115" s="8">
        <f t="shared" si="78"/>
        <v>0</v>
      </c>
      <c r="EY115" s="8">
        <f t="shared" si="119"/>
        <v>1023014.2600000004</v>
      </c>
      <c r="EZ115" s="8">
        <f t="shared" si="120"/>
        <v>1023014.2600000004</v>
      </c>
      <c r="FA115" s="8">
        <f t="shared" si="121"/>
        <v>1023014.2600000004</v>
      </c>
      <c r="FC115" s="6">
        <f>SUMIF('Eredeti fejléccel'!$B:$B,'Felosztás eredménykim'!$B115,'Eredeti fejléccel'!$L:$L)</f>
        <v>0</v>
      </c>
      <c r="FD115" s="6">
        <f>SUMIF('Eredeti fejléccel'!$B:$B,'Felosztás eredménykim'!$B115,'Eredeti fejléccel'!$CJ:$CJ)</f>
        <v>911301.58000000007</v>
      </c>
      <c r="FE115" s="6">
        <f>SUMIF('Eredeti fejléccel'!$B:$B,'Felosztás eredménykim'!$B115,'Eredeti fejléccel'!$CL:$CL)</f>
        <v>0</v>
      </c>
      <c r="FG115" s="99">
        <f t="shared" si="79"/>
        <v>911301.58000000007</v>
      </c>
      <c r="FH115" s="6">
        <f>SUMIF('Eredeti fejléccel'!$B:$B,'Felosztás eredménykim'!$B115,'Eredeti fejléccel'!$CK:$CK)</f>
        <v>0</v>
      </c>
      <c r="FI115" s="36">
        <f t="shared" si="145"/>
        <v>401097.53616242635</v>
      </c>
      <c r="FJ115" s="101">
        <f t="shared" si="104"/>
        <v>202077.62602586905</v>
      </c>
      <c r="FK115" s="6">
        <f>SUMIF('Eredeti fejléccel'!$B:$B,'Felosztás eredménykim'!$B115,'Eredeti fejléccel'!$CM:$CM)</f>
        <v>0</v>
      </c>
      <c r="FL115" s="6">
        <f>SUMIF('Eredeti fejléccel'!$B:$B,'Felosztás eredménykim'!$B115,'Eredeti fejléccel'!$CN:$CN)</f>
        <v>0</v>
      </c>
      <c r="FM115" s="8">
        <f t="shared" si="80"/>
        <v>202077.62602586905</v>
      </c>
      <c r="FN115" s="36">
        <f t="shared" si="146"/>
        <v>340998.70737542043</v>
      </c>
      <c r="FO115" s="101">
        <f t="shared" si="106"/>
        <v>171799.13375586097</v>
      </c>
      <c r="FP115" s="6">
        <f>SUMIF('Eredeti fejléccel'!$B:$B,'Felosztás eredménykim'!$B115,'Eredeti fejléccel'!$CO:$CO)</f>
        <v>0</v>
      </c>
      <c r="FQ115" s="6">
        <f>'Eredeti fejléccel'!CP115</f>
        <v>0</v>
      </c>
      <c r="FR115" s="6">
        <f>'Eredeti fejléccel'!CQ115</f>
        <v>0</v>
      </c>
      <c r="FS115" s="103">
        <f t="shared" si="122"/>
        <v>171799.13375586097</v>
      </c>
      <c r="FT115" s="36">
        <f t="shared" si="147"/>
        <v>941255.86594150157</v>
      </c>
      <c r="FU115" s="101">
        <f t="shared" si="108"/>
        <v>474215.70496847219</v>
      </c>
      <c r="FV115" s="101"/>
      <c r="FW115" s="6">
        <f>SUMIF('Eredeti fejléccel'!$B:$B,'Felosztás eredménykim'!$B115,'Eredeti fejléccel'!$CR:$CR)</f>
        <v>0</v>
      </c>
      <c r="FX115" s="6">
        <f>SUMIF('Eredeti fejléccel'!$B:$B,'Felosztás eredménykim'!$B115,'Eredeti fejléccel'!$CS:$CS)</f>
        <v>0</v>
      </c>
      <c r="FY115" s="6">
        <f>SUMIF('Eredeti fejléccel'!$B:$B,'Felosztás eredménykim'!$B115,'Eredeti fejléccel'!$CT:$CT)</f>
        <v>0</v>
      </c>
      <c r="FZ115" s="6">
        <f>SUMIF('Eredeti fejléccel'!$B:$B,'Felosztás eredménykim'!$B115,'Eredeti fejléccel'!$CU:$CU)</f>
        <v>0</v>
      </c>
      <c r="GA115" s="103">
        <f t="shared" si="81"/>
        <v>474215.70496847219</v>
      </c>
      <c r="GB115" s="36">
        <f t="shared" si="148"/>
        <v>125461.78856265468</v>
      </c>
      <c r="GC115" s="101">
        <f t="shared" si="110"/>
        <v>63209.115249797906</v>
      </c>
      <c r="GD115" s="6">
        <f>SUMIF('Eredeti fejléccel'!$B:$B,'Felosztás eredménykim'!$B115,'Eredeti fejléccel'!$CV:$CV)</f>
        <v>0</v>
      </c>
      <c r="GE115" s="6">
        <f>SUMIF('Eredeti fejléccel'!$B:$B,'Felosztás eredménykim'!$B115,'Eredeti fejléccel'!$CW:$CW)</f>
        <v>0</v>
      </c>
      <c r="GF115" s="103">
        <f t="shared" si="82"/>
        <v>63209.115249797906</v>
      </c>
      <c r="GG115" s="36">
        <f t="shared" si="111"/>
        <v>0</v>
      </c>
      <c r="GM115" s="6">
        <f>SUMIF('Eredeti fejléccel'!$B:$B,'Felosztás eredménykim'!$B115,'Eredeti fejléccel'!$CX:$CX)</f>
        <v>0</v>
      </c>
      <c r="GN115" s="6">
        <f>SUMIF('Eredeti fejléccel'!$B:$B,'Felosztás eredménykim'!$B115,'Eredeti fejléccel'!$CY:$CY)</f>
        <v>0</v>
      </c>
      <c r="GO115" s="6">
        <f>SUMIF('Eredeti fejléccel'!$B:$B,'Felosztás eredménykim'!$B115,'Eredeti fejléccel'!$CZ:$CZ)</f>
        <v>0</v>
      </c>
      <c r="GP115" s="6">
        <f>SUMIF('Eredeti fejléccel'!$B:$B,'Felosztás eredménykim'!$B115,'Eredeti fejléccel'!$DA:$DA)</f>
        <v>0</v>
      </c>
      <c r="GQ115" s="6">
        <f>SUMIF('Eredeti fejléccel'!$B:$B,'Felosztás eredménykim'!$B115,'Eredeti fejléccel'!$DB:$DB)</f>
        <v>0</v>
      </c>
      <c r="GR115" s="103">
        <f t="shared" si="83"/>
        <v>0</v>
      </c>
      <c r="GW115" s="36">
        <f t="shared" si="112"/>
        <v>215368.72356445593</v>
      </c>
      <c r="GX115" s="6">
        <f>SUMIF('Eredeti fejléccel'!$B:$B,'Felosztás eredménykim'!$B115,'Eredeti fejléccel'!$M:$M)</f>
        <v>0</v>
      </c>
      <c r="GY115" s="6">
        <f>SUMIF('Eredeti fejléccel'!$B:$B,'Felosztás eredménykim'!$B115,'Eredeti fejléccel'!$DC:$DC)</f>
        <v>126650.43999999999</v>
      </c>
      <c r="GZ115" s="6">
        <f>SUMIF('Eredeti fejléccel'!$B:$B,'Felosztás eredménykim'!$B115,'Eredeti fejléccel'!$DD:$DD)</f>
        <v>0</v>
      </c>
      <c r="HA115" s="6">
        <f>SUMIF('Eredeti fejléccel'!$B:$B,'Felosztás eredménykim'!$B115,'Eredeti fejléccel'!$DE:$DE)</f>
        <v>0</v>
      </c>
      <c r="HB115" s="103">
        <f t="shared" si="84"/>
        <v>126650.43999999999</v>
      </c>
      <c r="HD115" s="9">
        <f t="shared" si="176"/>
        <v>8225605.4600000093</v>
      </c>
      <c r="HE115" s="9">
        <v>8225605.46</v>
      </c>
      <c r="HF115" s="476"/>
      <c r="HH115" s="34">
        <f t="shared" si="85"/>
        <v>9.3132257461547852E-9</v>
      </c>
    </row>
    <row r="116" spans="1:232" x14ac:dyDescent="0.25">
      <c r="A116" s="4" t="s">
        <v>228</v>
      </c>
      <c r="B116" s="4" t="s">
        <v>228</v>
      </c>
      <c r="C116" s="1" t="s">
        <v>229</v>
      </c>
      <c r="D116" s="6">
        <f>SUMIF('Eredeti fejléccel'!$B:$B,'Felosztás eredménykim'!$B116,'Eredeti fejléccel'!$D:$D)</f>
        <v>0</v>
      </c>
      <c r="E116" s="6">
        <f>SUMIF('Eredeti fejléccel'!$B:$B,'Felosztás eredménykim'!$B116,'Eredeti fejléccel'!$E:$E)</f>
        <v>1560000</v>
      </c>
      <c r="F116" s="6">
        <f>SUMIF('Eredeti fejléccel'!$B:$B,'Felosztás eredménykim'!$B116,'Eredeti fejléccel'!$F:$F)</f>
        <v>0</v>
      </c>
      <c r="G116" s="6">
        <f>SUMIF('Eredeti fejléccel'!$B:$B,'Felosztás eredménykim'!$B116,'Eredeti fejléccel'!$G:$G)</f>
        <v>0</v>
      </c>
      <c r="H116" s="6"/>
      <c r="I116" s="6">
        <f>SUMIF('Eredeti fejléccel'!$B:$B,'Felosztás eredménykim'!$B116,'Eredeti fejléccel'!$O:$O)</f>
        <v>0</v>
      </c>
      <c r="J116" s="6">
        <f>SUMIF('Eredeti fejléccel'!$B:$B,'Felosztás eredménykim'!$B116,'Eredeti fejléccel'!$P:$P)</f>
        <v>0</v>
      </c>
      <c r="K116" s="6">
        <f>SUMIF('Eredeti fejléccel'!$B:$B,'Felosztás eredménykim'!$B116,'Eredeti fejléccel'!$Q:$Q)</f>
        <v>0</v>
      </c>
      <c r="L116" s="6">
        <f>SUMIF('Eredeti fejléccel'!$B:$B,'Felosztás eredménykim'!$B116,'Eredeti fejléccel'!$R:$R)</f>
        <v>0</v>
      </c>
      <c r="M116" s="6">
        <f>SUMIF('Eredeti fejléccel'!$B:$B,'Felosztás eredménykim'!$B116,'Eredeti fejléccel'!$T:$T)</f>
        <v>0</v>
      </c>
      <c r="N116" s="6">
        <f>SUMIF('Eredeti fejléccel'!$B:$B,'Felosztás eredménykim'!$B116,'Eredeti fejléccel'!$U:$U)</f>
        <v>0</v>
      </c>
      <c r="O116" s="6">
        <f>SUMIF('Eredeti fejléccel'!$B:$B,'Felosztás eredménykim'!$B116,'Eredeti fejléccel'!$V:$V)</f>
        <v>0</v>
      </c>
      <c r="P116" s="6">
        <f>SUMIF('Eredeti fejléccel'!$B:$B,'Felosztás eredménykim'!$B116,'Eredeti fejléccel'!$W:$W)</f>
        <v>0</v>
      </c>
      <c r="Q116" s="6">
        <f>SUMIF('Eredeti fejléccel'!$B:$B,'Felosztás eredménykim'!$B116,'Eredeti fejléccel'!$X:$X)</f>
        <v>0</v>
      </c>
      <c r="R116" s="6">
        <f>SUMIF('Eredeti fejléccel'!$B:$B,'Felosztás eredménykim'!$B116,'Eredeti fejléccel'!$Y:$Y)</f>
        <v>0</v>
      </c>
      <c r="S116" s="6">
        <f>SUMIF('Eredeti fejléccel'!$B:$B,'Felosztás eredménykim'!$B116,'Eredeti fejléccel'!$Z:$Z)</f>
        <v>0</v>
      </c>
      <c r="T116" s="6">
        <f>SUMIF('Eredeti fejléccel'!$B:$B,'Felosztás eredménykim'!$B116,'Eredeti fejléccel'!$AA:$AA)</f>
        <v>0</v>
      </c>
      <c r="U116" s="6">
        <f>SUMIF('Eredeti fejléccel'!$B:$B,'Felosztás eredménykim'!$B116,'Eredeti fejléccel'!$D:$D)</f>
        <v>0</v>
      </c>
      <c r="V116" s="6">
        <f>SUMIF('Eredeti fejléccel'!$B:$B,'Felosztás eredménykim'!$B116,'Eredeti fejléccel'!$AT:$AT)</f>
        <v>0</v>
      </c>
      <c r="X116" s="36">
        <f t="shared" si="86"/>
        <v>1560000</v>
      </c>
      <c r="Z116" s="6">
        <f>SUMIF('Eredeti fejléccel'!$B:$B,'Felosztás eredménykim'!$B116,'Eredeti fejléccel'!$K:$K)</f>
        <v>0</v>
      </c>
      <c r="AB116" s="6">
        <f>SUMIF('Eredeti fejléccel'!$B:$B,'Felosztás eredménykim'!$B116,'Eredeti fejléccel'!$AB:$AB)</f>
        <v>0</v>
      </c>
      <c r="AC116" s="6">
        <f>SUMIF('Eredeti fejléccel'!$B:$B,'Felosztás eredménykim'!$B116,'Eredeti fejléccel'!$AQ:$AQ)</f>
        <v>0</v>
      </c>
      <c r="AE116" s="73">
        <f t="shared" si="131"/>
        <v>0</v>
      </c>
      <c r="AF116" s="36">
        <f t="shared" si="138"/>
        <v>186099.64079321621</v>
      </c>
      <c r="AG116" s="8">
        <f t="shared" si="88"/>
        <v>0</v>
      </c>
      <c r="AI116" s="6">
        <f>SUMIF('Eredeti fejléccel'!$B:$B,'Felosztás eredménykim'!$B116,'Eredeti fejléccel'!$BB:$BB)</f>
        <v>0</v>
      </c>
      <c r="AJ116" s="6">
        <f>SUMIF('Eredeti fejléccel'!$B:$B,'Felosztás eredménykim'!$B116,'Eredeti fejléccel'!$AF:$AF)</f>
        <v>0</v>
      </c>
      <c r="AK116" s="8">
        <f t="shared" si="73"/>
        <v>0</v>
      </c>
      <c r="AL116" s="36">
        <f t="shared" si="139"/>
        <v>73917.837689535547</v>
      </c>
      <c r="AM116" s="8">
        <f t="shared" si="90"/>
        <v>0</v>
      </c>
      <c r="AN116" s="6">
        <f t="shared" si="123"/>
        <v>0</v>
      </c>
      <c r="AO116" s="6">
        <f>SUMIF('Eredeti fejléccel'!$B:$B,'Felosztás eredménykim'!$B116,'Eredeti fejléccel'!$AC:$AC)</f>
        <v>0</v>
      </c>
      <c r="AP116" s="6">
        <f>SUMIF('Eredeti fejléccel'!$B:$B,'Felosztás eredménykim'!$B116,'Eredeti fejléccel'!$AD:$AD)</f>
        <v>0</v>
      </c>
      <c r="AQ116" s="6">
        <f>SUMIF('Eredeti fejléccel'!$B:$B,'Felosztás eredménykim'!$B116,'Eredeti fejléccel'!$AE:$AE)</f>
        <v>0</v>
      </c>
      <c r="AR116" s="6">
        <f>SUMIF('Eredeti fejléccel'!$B:$B,'Felosztás eredménykim'!$B116,'Eredeti fejléccel'!$AG:$AG)</f>
        <v>0</v>
      </c>
      <c r="AS116" s="6">
        <f t="shared" si="124"/>
        <v>0</v>
      </c>
      <c r="AT116" s="36">
        <f t="shared" si="140"/>
        <v>120064.28438272016</v>
      </c>
      <c r="AU116" s="8">
        <f t="shared" si="92"/>
        <v>0</v>
      </c>
      <c r="AV116" s="6">
        <f>SUMIF('Eredeti fejléccel'!$B:$B,'Felosztás eredménykim'!$B116,'Eredeti fejléccel'!$AI:$AI)</f>
        <v>0</v>
      </c>
      <c r="AW116" s="6">
        <f>SUMIF('Eredeti fejléccel'!$B:$B,'Felosztás eredménykim'!$B116,'Eredeti fejléccel'!$AJ:$AJ)</f>
        <v>0</v>
      </c>
      <c r="AX116" s="6">
        <f>SUMIF('Eredeti fejléccel'!$B:$B,'Felosztás eredménykim'!$B116,'Eredeti fejléccel'!$AK:$AK)</f>
        <v>0</v>
      </c>
      <c r="AY116" s="6">
        <f>SUMIF('Eredeti fejléccel'!$B:$B,'Felosztás eredménykim'!$B116,'Eredeti fejléccel'!$AL:$AL)</f>
        <v>0</v>
      </c>
      <c r="AZ116" s="6">
        <f>SUMIF('Eredeti fejléccel'!$B:$B,'Felosztás eredménykim'!$B116,'Eredeti fejléccel'!$AM:$AM)</f>
        <v>0</v>
      </c>
      <c r="BA116" s="6">
        <f>SUMIF('Eredeti fejléccel'!$B:$B,'Felosztás eredménykim'!$B116,'Eredeti fejléccel'!$AN:$AN)</f>
        <v>0</v>
      </c>
      <c r="BB116" s="6">
        <f>SUMIF('Eredeti fejléccel'!$B:$B,'Felosztás eredménykim'!$B116,'Eredeti fejléccel'!$AP:$AP)</f>
        <v>0</v>
      </c>
      <c r="BD116" s="6">
        <f>SUMIF('Eredeti fejléccel'!$B:$B,'Felosztás eredménykim'!$B116,'Eredeti fejléccel'!$AS:$AS)</f>
        <v>0</v>
      </c>
      <c r="BE116" s="8">
        <f t="shared" si="74"/>
        <v>0</v>
      </c>
      <c r="BF116" s="36">
        <f t="shared" si="141"/>
        <v>31321.117665057431</v>
      </c>
      <c r="BG116" s="8">
        <f t="shared" si="94"/>
        <v>0</v>
      </c>
      <c r="BH116" s="6">
        <f t="shared" si="125"/>
        <v>0</v>
      </c>
      <c r="BI116" s="6">
        <f>SUMIF('Eredeti fejléccel'!$B:$B,'Felosztás eredménykim'!$B116,'Eredeti fejléccel'!$AH:$AH)</f>
        <v>0</v>
      </c>
      <c r="BJ116" s="6">
        <f>SUMIF('Eredeti fejléccel'!$B:$B,'Felosztás eredménykim'!$B116,'Eredeti fejléccel'!$AO:$AO)</f>
        <v>0</v>
      </c>
      <c r="BK116" s="6">
        <f>SUMIF('Eredeti fejléccel'!$B:$B,'Felosztás eredménykim'!$B116,'Eredeti fejléccel'!$BF:$BF)</f>
        <v>0</v>
      </c>
      <c r="BL116" s="8">
        <f t="shared" si="126"/>
        <v>0</v>
      </c>
      <c r="BM116" s="36">
        <f t="shared" si="142"/>
        <v>117349.78751841518</v>
      </c>
      <c r="BN116" s="8">
        <f t="shared" si="96"/>
        <v>0</v>
      </c>
      <c r="BP116" s="8">
        <f t="shared" si="127"/>
        <v>0</v>
      </c>
      <c r="BQ116" s="6">
        <f>SUMIF('Eredeti fejléccel'!$B:$B,'Felosztás eredménykim'!$B116,'Eredeti fejléccel'!$N:$N)</f>
        <v>0</v>
      </c>
      <c r="BR116" s="6">
        <f>SUMIF('Eredeti fejléccel'!$B:$B,'Felosztás eredménykim'!$B116,'Eredeti fejléccel'!$S:$S)</f>
        <v>0</v>
      </c>
      <c r="BT116" s="6">
        <f>SUMIF('Eredeti fejléccel'!$B:$B,'Felosztás eredménykim'!$B116,'Eredeti fejléccel'!$AR:$AR)</f>
        <v>0</v>
      </c>
      <c r="BU116" s="6">
        <f>SUMIF('Eredeti fejléccel'!$B:$B,'Felosztás eredménykim'!$B116,'Eredeti fejléccel'!$AU:$AU)</f>
        <v>0</v>
      </c>
      <c r="BV116" s="6">
        <f>SUMIF('Eredeti fejléccel'!$B:$B,'Felosztás eredménykim'!$B116,'Eredeti fejléccel'!$AV:$AV)</f>
        <v>0</v>
      </c>
      <c r="BW116" s="6">
        <f>SUMIF('Eredeti fejléccel'!$B:$B,'Felosztás eredménykim'!$B116,'Eredeti fejléccel'!$AW:$AW)</f>
        <v>0</v>
      </c>
      <c r="BX116" s="6">
        <f>SUMIF('Eredeti fejléccel'!$B:$B,'Felosztás eredménykim'!$B116,'Eredeti fejléccel'!$AX:$AX)</f>
        <v>0</v>
      </c>
      <c r="BY116" s="6">
        <f>SUMIF('Eredeti fejléccel'!$B:$B,'Felosztás eredménykim'!$B116,'Eredeti fejléccel'!$AY:$AY)</f>
        <v>0</v>
      </c>
      <c r="BZ116" s="6">
        <f>SUMIF('Eredeti fejléccel'!$B:$B,'Felosztás eredménykim'!$B116,'Eredeti fejléccel'!$AZ:$AZ)</f>
        <v>0</v>
      </c>
      <c r="CA116" s="6">
        <f>SUMIF('Eredeti fejléccel'!$B:$B,'Felosztás eredménykim'!$B116,'Eredeti fejléccel'!$BA:$BA)</f>
        <v>0</v>
      </c>
      <c r="CB116" s="6">
        <f t="shared" si="114"/>
        <v>0</v>
      </c>
      <c r="CC116" s="36">
        <f t="shared" si="143"/>
        <v>31947.540018358581</v>
      </c>
      <c r="CD116" s="8">
        <f t="shared" si="98"/>
        <v>0</v>
      </c>
      <c r="CE116" s="6">
        <f>SUMIF('Eredeti fejléccel'!$B:$B,'Felosztás eredménykim'!$B116,'Eredeti fejléccel'!$BC:$BC)</f>
        <v>0</v>
      </c>
      <c r="CF116" s="8">
        <f t="shared" si="135"/>
        <v>0</v>
      </c>
      <c r="CG116" s="6">
        <f>SUMIF('Eredeti fejléccel'!$B:$B,'Felosztás eredménykim'!$B116,'Eredeti fejléccel'!$H:$H)</f>
        <v>0</v>
      </c>
      <c r="CH116" s="6">
        <f>SUMIF('Eredeti fejléccel'!$B:$B,'Felosztás eredménykim'!$B116,'Eredeti fejléccel'!$BE:$BE)</f>
        <v>0</v>
      </c>
      <c r="CI116" s="6">
        <f t="shared" si="75"/>
        <v>0</v>
      </c>
      <c r="CJ116" s="36">
        <f t="shared" si="144"/>
        <v>22968.819621042119</v>
      </c>
      <c r="CK116" s="8">
        <f t="shared" si="100"/>
        <v>0</v>
      </c>
      <c r="CL116" s="8">
        <f t="shared" si="136"/>
        <v>0</v>
      </c>
      <c r="CM116" s="6">
        <f>SUMIF('Eredeti fejléccel'!$B:$B,'Felosztás eredménykim'!$B116,'Eredeti fejléccel'!$BD:$BD)</f>
        <v>0</v>
      </c>
      <c r="CN116" s="8">
        <f t="shared" si="76"/>
        <v>0</v>
      </c>
      <c r="CO116" s="8">
        <f t="shared" si="115"/>
        <v>583669.02768834517</v>
      </c>
      <c r="CR116" s="36">
        <f t="shared" si="101"/>
        <v>137969.09207984549</v>
      </c>
      <c r="CS116" s="6">
        <f>SUMIF('Eredeti fejléccel'!$B:$B,'Felosztás eredménykim'!$B116,'Eredeti fejléccel'!$I:$I)</f>
        <v>0</v>
      </c>
      <c r="CT116" s="6">
        <f>SUMIF('Eredeti fejléccel'!$B:$B,'Felosztás eredménykim'!$B116,'Eredeti fejléccel'!$BG:$BG)</f>
        <v>0</v>
      </c>
      <c r="CU116" s="6">
        <f>SUMIF('Eredeti fejléccel'!$B:$B,'Felosztás eredménykim'!$B116,'Eredeti fejléccel'!$BH:$BH)</f>
        <v>0</v>
      </c>
      <c r="CV116" s="6">
        <f>SUMIF('Eredeti fejléccel'!$B:$B,'Felosztás eredménykim'!$B116,'Eredeti fejléccel'!$BI:$BI)</f>
        <v>0</v>
      </c>
      <c r="CW116" s="6">
        <f>SUMIF('Eredeti fejléccel'!$B:$B,'Felosztás eredménykim'!$B116,'Eredeti fejléccel'!$BL:$BL)</f>
        <v>0</v>
      </c>
      <c r="CX116" s="6">
        <f t="shared" si="77"/>
        <v>0</v>
      </c>
      <c r="CY116" s="6">
        <f>SUMIF('Eredeti fejléccel'!$B:$B,'Felosztás eredménykim'!$B116,'Eredeti fejléccel'!$BJ:$BJ)</f>
        <v>0</v>
      </c>
      <c r="CZ116" s="6">
        <f>SUMIF('Eredeti fejléccel'!$B:$B,'Felosztás eredménykim'!$B116,'Eredeti fejléccel'!$BK:$BK)</f>
        <v>0</v>
      </c>
      <c r="DA116" s="99">
        <f t="shared" si="116"/>
        <v>0</v>
      </c>
      <c r="DC116" s="36">
        <f t="shared" si="102"/>
        <v>120842.24082421124</v>
      </c>
      <c r="DD116" s="6">
        <f>SUMIF('Eredeti fejléccel'!$B:$B,'Felosztás eredménykim'!$B116,'Eredeti fejléccel'!$J:$J)</f>
        <v>0</v>
      </c>
      <c r="DE116" s="6">
        <f>SUMIF('Eredeti fejléccel'!$B:$B,'Felosztás eredménykim'!$B116,'Eredeti fejléccel'!$BM:$BM)</f>
        <v>0</v>
      </c>
      <c r="DF116" s="6">
        <f t="shared" si="128"/>
        <v>0</v>
      </c>
      <c r="DG116" s="8">
        <f t="shared" si="117"/>
        <v>0</v>
      </c>
      <c r="DH116" s="8">
        <f t="shared" si="129"/>
        <v>0</v>
      </c>
      <c r="DJ116" s="6">
        <f>SUMIF('Eredeti fejléccel'!$B:$B,'Felosztás eredménykim'!$B116,'Eredeti fejléccel'!$BN:$BN)</f>
        <v>0</v>
      </c>
      <c r="DK116" s="6">
        <f>SUMIF('Eredeti fejléccel'!$B:$B,'Felosztás eredménykim'!$B116,'Eredeti fejléccel'!$BZ:$BZ)</f>
        <v>0</v>
      </c>
      <c r="DL116" s="8">
        <f t="shared" si="130"/>
        <v>0</v>
      </c>
      <c r="DM116" s="6">
        <f>SUMIF('Eredeti fejléccel'!$B:$B,'Felosztás eredménykim'!$B116,'Eredeti fejléccel'!$BR:$BR)</f>
        <v>0</v>
      </c>
      <c r="DN116" s="6">
        <f>SUMIF('Eredeti fejléccel'!$B:$B,'Felosztás eredménykim'!$B116,'Eredeti fejléccel'!$BS:$BS)</f>
        <v>0</v>
      </c>
      <c r="DO116" s="6">
        <f>SUMIF('Eredeti fejléccel'!$B:$B,'Felosztás eredménykim'!$B116,'Eredeti fejléccel'!$BO:$BO)</f>
        <v>0</v>
      </c>
      <c r="DP116" s="6">
        <f>SUMIF('Eredeti fejléccel'!$B:$B,'Felosztás eredménykim'!$B116,'Eredeti fejléccel'!$BP:$BP)</f>
        <v>0</v>
      </c>
      <c r="DQ116" s="6">
        <f>SUMIF('Eredeti fejléccel'!$B:$B,'Felosztás eredménykim'!$B116,'Eredeti fejléccel'!$BQ:$BQ)</f>
        <v>0</v>
      </c>
      <c r="DS116" s="8"/>
      <c r="DU116" s="6">
        <f>SUMIF('Eredeti fejléccel'!$B:$B,'Felosztás eredménykim'!$B116,'Eredeti fejléccel'!$BT:$BT)</f>
        <v>0</v>
      </c>
      <c r="DV116" s="6">
        <f>SUMIF('Eredeti fejléccel'!$B:$B,'Felosztás eredménykim'!$B116,'Eredeti fejléccel'!$BU:$BU)</f>
        <v>0</v>
      </c>
      <c r="DW116" s="6">
        <f>SUMIF('Eredeti fejléccel'!$B:$B,'Felosztás eredménykim'!$B116,'Eredeti fejléccel'!$BV:$BV)</f>
        <v>0</v>
      </c>
      <c r="DX116" s="6">
        <f>SUMIF('Eredeti fejléccel'!$B:$B,'Felosztás eredménykim'!$B116,'Eredeti fejléccel'!$BW:$BW)</f>
        <v>0</v>
      </c>
      <c r="DY116" s="6">
        <f>SUMIF('Eredeti fejléccel'!$B:$B,'Felosztás eredménykim'!$B116,'Eredeti fejléccel'!$BX:$BX)</f>
        <v>0</v>
      </c>
      <c r="EA116" s="6"/>
      <c r="EC116" s="6"/>
      <c r="EE116" s="6">
        <f>SUMIF('Eredeti fejléccel'!$B:$B,'Felosztás eredménykim'!$B116,'Eredeti fejléccel'!$CA:$CA)</f>
        <v>0</v>
      </c>
      <c r="EF116" s="6">
        <f>SUMIF('Eredeti fejléccel'!$B:$B,'Felosztás eredménykim'!$B116,'Eredeti fejléccel'!$CB:$CB)</f>
        <v>0</v>
      </c>
      <c r="EG116" s="6">
        <f>SUMIF('Eredeti fejléccel'!$B:$B,'Felosztás eredménykim'!$B116,'Eredeti fejléccel'!$CC:$CC)</f>
        <v>0</v>
      </c>
      <c r="EH116" s="6">
        <f>SUMIF('Eredeti fejléccel'!$B:$B,'Felosztás eredménykim'!$B116,'Eredeti fejléccel'!$CD:$CD)</f>
        <v>0</v>
      </c>
      <c r="EK116" s="6">
        <f>SUMIF('Eredeti fejléccel'!$B:$B,'Felosztás eredménykim'!$B116,'Eredeti fejléccel'!$CE:$CE)</f>
        <v>0</v>
      </c>
      <c r="EN116" s="6">
        <f>SUMIF('Eredeti fejléccel'!$B:$B,'Felosztás eredménykim'!$B116,'Eredeti fejléccel'!$CF:$CF)</f>
        <v>0</v>
      </c>
      <c r="EP116" s="6">
        <f>SUMIF('Eredeti fejléccel'!$B:$B,'Felosztás eredménykim'!$B116,'Eredeti fejléccel'!$CG:$CG)</f>
        <v>0</v>
      </c>
      <c r="ES116" s="6">
        <f>SUMIF('Eredeti fejléccel'!$B:$B,'Felosztás eredménykim'!$B116,'Eredeti fejléccel'!$CH:$CH)</f>
        <v>0</v>
      </c>
      <c r="ET116" s="6">
        <f>SUMIF('Eredeti fejléccel'!$B:$B,'Felosztás eredménykim'!$B116,'Eredeti fejléccel'!$CI:$CI)</f>
        <v>0</v>
      </c>
      <c r="EW116" s="8">
        <f t="shared" si="118"/>
        <v>0</v>
      </c>
      <c r="EX116" s="8">
        <f t="shared" si="78"/>
        <v>0</v>
      </c>
      <c r="EY116" s="8">
        <f t="shared" si="119"/>
        <v>0</v>
      </c>
      <c r="EZ116" s="8">
        <f t="shared" si="120"/>
        <v>0</v>
      </c>
      <c r="FA116" s="8">
        <f t="shared" si="121"/>
        <v>0</v>
      </c>
      <c r="FC116" s="6">
        <f>SUMIF('Eredeti fejléccel'!$B:$B,'Felosztás eredménykim'!$B116,'Eredeti fejléccel'!$L:$L)</f>
        <v>0</v>
      </c>
      <c r="FD116" s="6">
        <f>SUMIF('Eredeti fejléccel'!$B:$B,'Felosztás eredménykim'!$B116,'Eredeti fejléccel'!$CJ:$CJ)</f>
        <v>0</v>
      </c>
      <c r="FE116" s="6">
        <f>SUMIF('Eredeti fejléccel'!$B:$B,'Felosztás eredménykim'!$B116,'Eredeti fejléccel'!$CL:$CL)</f>
        <v>0</v>
      </c>
      <c r="FG116" s="99">
        <f t="shared" si="79"/>
        <v>0</v>
      </c>
      <c r="FH116" s="6">
        <f>SUMIF('Eredeti fejléccel'!$B:$B,'Felosztás eredménykim'!$B116,'Eredeti fejléccel'!$CK:$CK)</f>
        <v>0</v>
      </c>
      <c r="FI116" s="36">
        <f t="shared" si="145"/>
        <v>142178.55466328244</v>
      </c>
      <c r="FJ116" s="101">
        <f t="shared" si="104"/>
        <v>0</v>
      </c>
      <c r="FK116" s="6">
        <f>SUMIF('Eredeti fejléccel'!$B:$B,'Felosztás eredménykim'!$B116,'Eredeti fejléccel'!$CM:$CM)</f>
        <v>0</v>
      </c>
      <c r="FL116" s="6">
        <f>SUMIF('Eredeti fejléccel'!$B:$B,'Felosztás eredménykim'!$B116,'Eredeti fejléccel'!$CN:$CN)</f>
        <v>0</v>
      </c>
      <c r="FM116" s="8">
        <f t="shared" si="80"/>
        <v>0</v>
      </c>
      <c r="FN116" s="36">
        <f t="shared" si="146"/>
        <v>120875.09641807317</v>
      </c>
      <c r="FO116" s="101">
        <f t="shared" si="106"/>
        <v>0</v>
      </c>
      <c r="FP116" s="6">
        <f>SUMIF('Eredeti fejléccel'!$B:$B,'Felosztás eredménykim'!$B116,'Eredeti fejléccel'!$CO:$CO)</f>
        <v>0</v>
      </c>
      <c r="FQ116" s="6">
        <f>'Eredeti fejléccel'!CP116</f>
        <v>0</v>
      </c>
      <c r="FR116" s="6">
        <f>'Eredeti fejléccel'!CQ116</f>
        <v>0</v>
      </c>
      <c r="FS116" s="103">
        <f t="shared" si="122"/>
        <v>0</v>
      </c>
      <c r="FT116" s="36">
        <f t="shared" si="147"/>
        <v>333650.5127114653</v>
      </c>
      <c r="FU116" s="101">
        <f t="shared" si="108"/>
        <v>0</v>
      </c>
      <c r="FV116" s="101"/>
      <c r="FW116" s="6">
        <f>SUMIF('Eredeti fejléccel'!$B:$B,'Felosztás eredménykim'!$B116,'Eredeti fejléccel'!$CR:$CR)</f>
        <v>0</v>
      </c>
      <c r="FX116" s="6">
        <f>SUMIF('Eredeti fejléccel'!$B:$B,'Felosztás eredménykim'!$B116,'Eredeti fejléccel'!$CS:$CS)</f>
        <v>0</v>
      </c>
      <c r="FY116" s="6">
        <f>SUMIF('Eredeti fejléccel'!$B:$B,'Felosztás eredménykim'!$B116,'Eredeti fejléccel'!$CT:$CT)</f>
        <v>0</v>
      </c>
      <c r="FZ116" s="6">
        <f>SUMIF('Eredeti fejléccel'!$B:$B,'Felosztás eredménykim'!$B116,'Eredeti fejléccel'!$CU:$CU)</f>
        <v>0</v>
      </c>
      <c r="GA116" s="103">
        <f t="shared" si="81"/>
        <v>0</v>
      </c>
      <c r="GB116" s="36">
        <f t="shared" si="148"/>
        <v>44472.912833064649</v>
      </c>
      <c r="GC116" s="101">
        <f t="shared" si="110"/>
        <v>0</v>
      </c>
      <c r="GD116" s="6">
        <f>SUMIF('Eredeti fejléccel'!$B:$B,'Felosztás eredménykim'!$B116,'Eredeti fejléccel'!$CV:$CV)</f>
        <v>0</v>
      </c>
      <c r="GE116" s="6">
        <f>SUMIF('Eredeti fejléccel'!$B:$B,'Felosztás eredménykim'!$B116,'Eredeti fejléccel'!$CW:$CW)</f>
        <v>0</v>
      </c>
      <c r="GF116" s="103">
        <f t="shared" si="82"/>
        <v>0</v>
      </c>
      <c r="GG116" s="36">
        <f t="shared" si="111"/>
        <v>0</v>
      </c>
      <c r="GM116" s="6">
        <f>SUMIF('Eredeti fejléccel'!$B:$B,'Felosztás eredménykim'!$B116,'Eredeti fejléccel'!$CX:$CX)</f>
        <v>0</v>
      </c>
      <c r="GN116" s="6">
        <f>SUMIF('Eredeti fejléccel'!$B:$B,'Felosztás eredménykim'!$B116,'Eredeti fejléccel'!$CY:$CY)</f>
        <v>0</v>
      </c>
      <c r="GO116" s="6">
        <f>SUMIF('Eredeti fejléccel'!$B:$B,'Felosztás eredménykim'!$B116,'Eredeti fejléccel'!$CZ:$CZ)</f>
        <v>0</v>
      </c>
      <c r="GP116" s="6">
        <f>SUMIF('Eredeti fejléccel'!$B:$B,'Felosztás eredménykim'!$B116,'Eredeti fejléccel'!$DA:$DA)</f>
        <v>0</v>
      </c>
      <c r="GQ116" s="6">
        <f>SUMIF('Eredeti fejléccel'!$B:$B,'Felosztás eredménykim'!$B116,'Eredeti fejléccel'!$DB:$DB)</f>
        <v>0</v>
      </c>
      <c r="GR116" s="103">
        <f t="shared" si="83"/>
        <v>0</v>
      </c>
      <c r="GW116" s="36">
        <f t="shared" si="112"/>
        <v>76342.562781712826</v>
      </c>
      <c r="GX116" s="6">
        <f>SUMIF('Eredeti fejléccel'!$B:$B,'Felosztás eredménykim'!$B116,'Eredeti fejléccel'!$M:$M)</f>
        <v>0</v>
      </c>
      <c r="GY116" s="6">
        <f>SUMIF('Eredeti fejléccel'!$B:$B,'Felosztás eredménykim'!$B116,'Eredeti fejléccel'!$DC:$DC)</f>
        <v>0</v>
      </c>
      <c r="GZ116" s="6">
        <f>SUMIF('Eredeti fejléccel'!$B:$B,'Felosztás eredménykim'!$B116,'Eredeti fejléccel'!$DD:$DD)</f>
        <v>0</v>
      </c>
      <c r="HA116" s="6">
        <f>SUMIF('Eredeti fejléccel'!$B:$B,'Felosztás eredménykim'!$B116,'Eredeti fejléccel'!$DE:$DE)</f>
        <v>0</v>
      </c>
      <c r="HB116" s="103">
        <f t="shared" si="84"/>
        <v>0</v>
      </c>
      <c r="HD116" s="9">
        <f t="shared" si="176"/>
        <v>1560000.0000000012</v>
      </c>
      <c r="HE116" s="9">
        <v>1560000</v>
      </c>
      <c r="HF116" s="476"/>
      <c r="HH116" s="34">
        <f t="shared" si="85"/>
        <v>0</v>
      </c>
    </row>
    <row r="117" spans="1:232" x14ac:dyDescent="0.25">
      <c r="A117" s="4" t="s">
        <v>230</v>
      </c>
      <c r="B117" s="4" t="s">
        <v>230</v>
      </c>
      <c r="C117" s="1" t="s">
        <v>231</v>
      </c>
      <c r="D117" s="6">
        <f>SUMIF('Eredeti fejléccel'!$B:$B,'Felosztás eredménykim'!$B117,'Eredeti fejléccel'!$D:$D)</f>
        <v>0</v>
      </c>
      <c r="E117" s="6">
        <f>SUMIF('Eredeti fejléccel'!$B:$B,'Felosztás eredménykim'!$B117,'Eredeti fejléccel'!$E:$E)</f>
        <v>0</v>
      </c>
      <c r="F117" s="6">
        <f>SUMIF('Eredeti fejléccel'!$B:$B,'Felosztás eredménykim'!$B117,'Eredeti fejléccel'!$F:$F)</f>
        <v>0</v>
      </c>
      <c r="G117" s="6">
        <f>SUMIF('Eredeti fejléccel'!$B:$B,'Felosztás eredménykim'!$B117,'Eredeti fejléccel'!$G:$G)</f>
        <v>0</v>
      </c>
      <c r="H117" s="6"/>
      <c r="I117" s="6">
        <f>SUMIF('Eredeti fejléccel'!$B:$B,'Felosztás eredménykim'!$B117,'Eredeti fejléccel'!$O:$O)</f>
        <v>0</v>
      </c>
      <c r="J117" s="6">
        <f>SUMIF('Eredeti fejléccel'!$B:$B,'Felosztás eredménykim'!$B117,'Eredeti fejléccel'!$P:$P)</f>
        <v>0</v>
      </c>
      <c r="K117" s="6">
        <f>SUMIF('Eredeti fejléccel'!$B:$B,'Felosztás eredménykim'!$B117,'Eredeti fejléccel'!$Q:$Q)</f>
        <v>0</v>
      </c>
      <c r="L117" s="6">
        <f>SUMIF('Eredeti fejléccel'!$B:$B,'Felosztás eredménykim'!$B117,'Eredeti fejléccel'!$R:$R)</f>
        <v>0</v>
      </c>
      <c r="M117" s="6">
        <f>SUMIF('Eredeti fejléccel'!$B:$B,'Felosztás eredménykim'!$B117,'Eredeti fejléccel'!$T:$T)</f>
        <v>0</v>
      </c>
      <c r="N117" s="6">
        <f>SUMIF('Eredeti fejléccel'!$B:$B,'Felosztás eredménykim'!$B117,'Eredeti fejléccel'!$U:$U)</f>
        <v>0</v>
      </c>
      <c r="O117" s="6">
        <f>SUMIF('Eredeti fejléccel'!$B:$B,'Felosztás eredménykim'!$B117,'Eredeti fejléccel'!$V:$V)</f>
        <v>0</v>
      </c>
      <c r="P117" s="6">
        <f>SUMIF('Eredeti fejléccel'!$B:$B,'Felosztás eredménykim'!$B117,'Eredeti fejléccel'!$W:$W)</f>
        <v>0</v>
      </c>
      <c r="Q117" s="6">
        <f>SUMIF('Eredeti fejléccel'!$B:$B,'Felosztás eredménykim'!$B117,'Eredeti fejléccel'!$X:$X)</f>
        <v>0</v>
      </c>
      <c r="R117" s="6">
        <f>SUMIF('Eredeti fejléccel'!$B:$B,'Felosztás eredménykim'!$B117,'Eredeti fejléccel'!$Y:$Y)</f>
        <v>0</v>
      </c>
      <c r="S117" s="6">
        <f>SUMIF('Eredeti fejléccel'!$B:$B,'Felosztás eredménykim'!$B117,'Eredeti fejléccel'!$Z:$Z)</f>
        <v>0</v>
      </c>
      <c r="T117" s="6">
        <f>SUMIF('Eredeti fejléccel'!$B:$B,'Felosztás eredménykim'!$B117,'Eredeti fejléccel'!$AA:$AA)</f>
        <v>0</v>
      </c>
      <c r="U117" s="6">
        <f>SUMIF('Eredeti fejléccel'!$B:$B,'Felosztás eredménykim'!$B117,'Eredeti fejléccel'!$D:$D)</f>
        <v>0</v>
      </c>
      <c r="V117" s="6">
        <f>SUMIF('Eredeti fejléccel'!$B:$B,'Felosztás eredménykim'!$B117,'Eredeti fejléccel'!$AT:$AT)</f>
        <v>0</v>
      </c>
      <c r="X117" s="36">
        <f t="shared" si="86"/>
        <v>0</v>
      </c>
      <c r="Z117" s="6">
        <f>SUMIF('Eredeti fejléccel'!$B:$B,'Felosztás eredménykim'!$B117,'Eredeti fejléccel'!$K:$K)</f>
        <v>0</v>
      </c>
      <c r="AB117" s="6">
        <f>SUMIF('Eredeti fejléccel'!$B:$B,'Felosztás eredménykim'!$B117,'Eredeti fejléccel'!$AB:$AB)</f>
        <v>0</v>
      </c>
      <c r="AC117" s="6">
        <f>SUMIF('Eredeti fejléccel'!$B:$B,'Felosztás eredménykim'!$B117,'Eredeti fejléccel'!$AQ:$AQ)</f>
        <v>0</v>
      </c>
      <c r="AE117" s="73">
        <f t="shared" si="131"/>
        <v>0</v>
      </c>
      <c r="AF117" s="36">
        <f t="shared" si="138"/>
        <v>0</v>
      </c>
      <c r="AG117" s="8">
        <f t="shared" si="88"/>
        <v>0</v>
      </c>
      <c r="AI117" s="6">
        <f>SUMIF('Eredeti fejléccel'!$B:$B,'Felosztás eredménykim'!$B117,'Eredeti fejléccel'!$BB:$BB)</f>
        <v>0</v>
      </c>
      <c r="AJ117" s="6">
        <f>SUMIF('Eredeti fejléccel'!$B:$B,'Felosztás eredménykim'!$B117,'Eredeti fejléccel'!$AF:$AF)</f>
        <v>0</v>
      </c>
      <c r="AK117" s="8">
        <f t="shared" si="73"/>
        <v>0</v>
      </c>
      <c r="AL117" s="36">
        <f t="shared" si="139"/>
        <v>0</v>
      </c>
      <c r="AM117" s="8">
        <f t="shared" si="90"/>
        <v>0</v>
      </c>
      <c r="AN117" s="6">
        <f t="shared" si="123"/>
        <v>0</v>
      </c>
      <c r="AO117" s="6">
        <f>SUMIF('Eredeti fejléccel'!$B:$B,'Felosztás eredménykim'!$B117,'Eredeti fejléccel'!$AC:$AC)</f>
        <v>0</v>
      </c>
      <c r="AP117" s="6">
        <f>SUMIF('Eredeti fejléccel'!$B:$B,'Felosztás eredménykim'!$B117,'Eredeti fejléccel'!$AD:$AD)</f>
        <v>0</v>
      </c>
      <c r="AQ117" s="6">
        <f>SUMIF('Eredeti fejléccel'!$B:$B,'Felosztás eredménykim'!$B117,'Eredeti fejléccel'!$AE:$AE)</f>
        <v>0</v>
      </c>
      <c r="AR117" s="6">
        <f>SUMIF('Eredeti fejléccel'!$B:$B,'Felosztás eredménykim'!$B117,'Eredeti fejléccel'!$AG:$AG)</f>
        <v>0</v>
      </c>
      <c r="AS117" s="6">
        <f t="shared" si="124"/>
        <v>0</v>
      </c>
      <c r="AT117" s="36">
        <f t="shared" si="140"/>
        <v>0</v>
      </c>
      <c r="AU117" s="8">
        <f t="shared" si="92"/>
        <v>0</v>
      </c>
      <c r="AV117" s="6">
        <f>SUMIF('Eredeti fejléccel'!$B:$B,'Felosztás eredménykim'!$B117,'Eredeti fejléccel'!$AI:$AI)</f>
        <v>0</v>
      </c>
      <c r="AW117" s="6">
        <f>SUMIF('Eredeti fejléccel'!$B:$B,'Felosztás eredménykim'!$B117,'Eredeti fejléccel'!$AJ:$AJ)</f>
        <v>0</v>
      </c>
      <c r="AX117" s="6">
        <f>SUMIF('Eredeti fejléccel'!$B:$B,'Felosztás eredménykim'!$B117,'Eredeti fejléccel'!$AK:$AK)</f>
        <v>0</v>
      </c>
      <c r="AY117" s="6">
        <f>SUMIF('Eredeti fejléccel'!$B:$B,'Felosztás eredménykim'!$B117,'Eredeti fejléccel'!$AL:$AL)</f>
        <v>0</v>
      </c>
      <c r="AZ117" s="6">
        <f>SUMIF('Eredeti fejléccel'!$B:$B,'Felosztás eredménykim'!$B117,'Eredeti fejléccel'!$AM:$AM)</f>
        <v>0</v>
      </c>
      <c r="BA117" s="6">
        <f>SUMIF('Eredeti fejléccel'!$B:$B,'Felosztás eredménykim'!$B117,'Eredeti fejléccel'!$AN:$AN)</f>
        <v>0</v>
      </c>
      <c r="BB117" s="6">
        <f>SUMIF('Eredeti fejléccel'!$B:$B,'Felosztás eredménykim'!$B117,'Eredeti fejléccel'!$AP:$AP)</f>
        <v>0</v>
      </c>
      <c r="BD117" s="6">
        <f>SUMIF('Eredeti fejléccel'!$B:$B,'Felosztás eredménykim'!$B117,'Eredeti fejléccel'!$AS:$AS)</f>
        <v>0</v>
      </c>
      <c r="BE117" s="8">
        <f t="shared" si="74"/>
        <v>0</v>
      </c>
      <c r="BF117" s="36">
        <f t="shared" si="141"/>
        <v>0</v>
      </c>
      <c r="BG117" s="8">
        <f t="shared" si="94"/>
        <v>0</v>
      </c>
      <c r="BH117" s="6">
        <f t="shared" si="125"/>
        <v>0</v>
      </c>
      <c r="BI117" s="6">
        <f>SUMIF('Eredeti fejléccel'!$B:$B,'Felosztás eredménykim'!$B117,'Eredeti fejléccel'!$AH:$AH)</f>
        <v>0</v>
      </c>
      <c r="BJ117" s="6">
        <f>SUMIF('Eredeti fejléccel'!$B:$B,'Felosztás eredménykim'!$B117,'Eredeti fejléccel'!$AO:$AO)</f>
        <v>0</v>
      </c>
      <c r="BK117" s="6">
        <f>SUMIF('Eredeti fejléccel'!$B:$B,'Felosztás eredménykim'!$B117,'Eredeti fejléccel'!$BF:$BF)</f>
        <v>0</v>
      </c>
      <c r="BL117" s="8">
        <f t="shared" si="126"/>
        <v>0</v>
      </c>
      <c r="BM117" s="36">
        <f t="shared" si="142"/>
        <v>0</v>
      </c>
      <c r="BN117" s="8">
        <f t="shared" si="96"/>
        <v>0</v>
      </c>
      <c r="BP117" s="8">
        <f t="shared" si="127"/>
        <v>0</v>
      </c>
      <c r="BQ117" s="6">
        <f>SUMIF('Eredeti fejléccel'!$B:$B,'Felosztás eredménykim'!$B117,'Eredeti fejléccel'!$N:$N)</f>
        <v>0</v>
      </c>
      <c r="BR117" s="6">
        <f>SUMIF('Eredeti fejléccel'!$B:$B,'Felosztás eredménykim'!$B117,'Eredeti fejléccel'!$S:$S)</f>
        <v>0</v>
      </c>
      <c r="BT117" s="6">
        <f>SUMIF('Eredeti fejléccel'!$B:$B,'Felosztás eredménykim'!$B117,'Eredeti fejléccel'!$AR:$AR)</f>
        <v>0</v>
      </c>
      <c r="BU117" s="6">
        <f>SUMIF('Eredeti fejléccel'!$B:$B,'Felosztás eredménykim'!$B117,'Eredeti fejléccel'!$AU:$AU)</f>
        <v>0</v>
      </c>
      <c r="BV117" s="6">
        <f>SUMIF('Eredeti fejléccel'!$B:$B,'Felosztás eredménykim'!$B117,'Eredeti fejléccel'!$AV:$AV)</f>
        <v>0</v>
      </c>
      <c r="BW117" s="6">
        <f>SUMIF('Eredeti fejléccel'!$B:$B,'Felosztás eredménykim'!$B117,'Eredeti fejléccel'!$AW:$AW)</f>
        <v>0</v>
      </c>
      <c r="BX117" s="6">
        <f>SUMIF('Eredeti fejléccel'!$B:$B,'Felosztás eredménykim'!$B117,'Eredeti fejléccel'!$AX:$AX)</f>
        <v>0</v>
      </c>
      <c r="BY117" s="6">
        <f>SUMIF('Eredeti fejléccel'!$B:$B,'Felosztás eredménykim'!$B117,'Eredeti fejléccel'!$AY:$AY)</f>
        <v>0</v>
      </c>
      <c r="BZ117" s="6">
        <f>SUMIF('Eredeti fejléccel'!$B:$B,'Felosztás eredménykim'!$B117,'Eredeti fejléccel'!$AZ:$AZ)</f>
        <v>0</v>
      </c>
      <c r="CA117" s="6">
        <f>SUMIF('Eredeti fejléccel'!$B:$B,'Felosztás eredménykim'!$B117,'Eredeti fejléccel'!$BA:$BA)</f>
        <v>101093.36</v>
      </c>
      <c r="CB117" s="6">
        <f t="shared" si="114"/>
        <v>101093.36</v>
      </c>
      <c r="CC117" s="36">
        <f t="shared" si="143"/>
        <v>0</v>
      </c>
      <c r="CD117" s="8">
        <f t="shared" si="98"/>
        <v>0</v>
      </c>
      <c r="CE117" s="6">
        <f>SUMIF('Eredeti fejléccel'!$B:$B,'Felosztás eredménykim'!$B117,'Eredeti fejléccel'!$BC:$BC)</f>
        <v>0</v>
      </c>
      <c r="CF117" s="8">
        <f t="shared" si="135"/>
        <v>0</v>
      </c>
      <c r="CG117" s="6">
        <f>SUMIF('Eredeti fejléccel'!$B:$B,'Felosztás eredménykim'!$B117,'Eredeti fejléccel'!$H:$H)</f>
        <v>0</v>
      </c>
      <c r="CH117" s="6">
        <f>SUMIF('Eredeti fejléccel'!$B:$B,'Felosztás eredménykim'!$B117,'Eredeti fejléccel'!$BE:$BE)</f>
        <v>0</v>
      </c>
      <c r="CI117" s="6">
        <f t="shared" si="75"/>
        <v>0</v>
      </c>
      <c r="CJ117" s="36">
        <f t="shared" si="144"/>
        <v>0</v>
      </c>
      <c r="CK117" s="8">
        <f t="shared" si="100"/>
        <v>0</v>
      </c>
      <c r="CL117" s="8">
        <f t="shared" si="136"/>
        <v>0</v>
      </c>
      <c r="CM117" s="6">
        <f>SUMIF('Eredeti fejléccel'!$B:$B,'Felosztás eredménykim'!$B117,'Eredeti fejléccel'!$BD:$BD)</f>
        <v>0</v>
      </c>
      <c r="CN117" s="8">
        <f t="shared" si="76"/>
        <v>0</v>
      </c>
      <c r="CO117" s="8">
        <f t="shared" si="115"/>
        <v>101093.36</v>
      </c>
      <c r="CR117" s="36">
        <f t="shared" si="101"/>
        <v>0</v>
      </c>
      <c r="CS117" s="6">
        <f>SUMIF('Eredeti fejléccel'!$B:$B,'Felosztás eredménykim'!$B117,'Eredeti fejléccel'!$I:$I)</f>
        <v>0</v>
      </c>
      <c r="CT117" s="6">
        <f>SUMIF('Eredeti fejléccel'!$B:$B,'Felosztás eredménykim'!$B117,'Eredeti fejléccel'!$BG:$BG)</f>
        <v>0</v>
      </c>
      <c r="CU117" s="6">
        <f>SUMIF('Eredeti fejléccel'!$B:$B,'Felosztás eredménykim'!$B117,'Eredeti fejléccel'!$BH:$BH)</f>
        <v>0</v>
      </c>
      <c r="CV117" s="6">
        <f>SUMIF('Eredeti fejléccel'!$B:$B,'Felosztás eredménykim'!$B117,'Eredeti fejléccel'!$BI:$BI)</f>
        <v>0</v>
      </c>
      <c r="CW117" s="6">
        <f>SUMIF('Eredeti fejléccel'!$B:$B,'Felosztás eredménykim'!$B117,'Eredeti fejléccel'!$BL:$BL)</f>
        <v>144286.36000000002</v>
      </c>
      <c r="CX117" s="6">
        <f t="shared" si="77"/>
        <v>144286.36000000002</v>
      </c>
      <c r="CY117" s="6">
        <f>SUMIF('Eredeti fejléccel'!$B:$B,'Felosztás eredménykim'!$B117,'Eredeti fejléccel'!$BJ:$BJ)</f>
        <v>29750.68</v>
      </c>
      <c r="CZ117" s="6">
        <f>SUMIF('Eredeti fejléccel'!$B:$B,'Felosztás eredménykim'!$B117,'Eredeti fejléccel'!$BK:$BK)</f>
        <v>0</v>
      </c>
      <c r="DA117" s="99">
        <f t="shared" si="116"/>
        <v>174037.04</v>
      </c>
      <c r="DC117" s="36">
        <f t="shared" si="102"/>
        <v>0</v>
      </c>
      <c r="DD117" s="6">
        <f>SUMIF('Eredeti fejléccel'!$B:$B,'Felosztás eredménykim'!$B117,'Eredeti fejléccel'!$J:$J)</f>
        <v>0</v>
      </c>
      <c r="DE117" s="6">
        <f>SUMIF('Eredeti fejléccel'!$B:$B,'Felosztás eredménykim'!$B117,'Eredeti fejléccel'!$BM:$BM)</f>
        <v>257750.04</v>
      </c>
      <c r="DF117" s="6">
        <f t="shared" si="128"/>
        <v>0</v>
      </c>
      <c r="DG117" s="8">
        <f t="shared" si="117"/>
        <v>0</v>
      </c>
      <c r="DH117" s="8">
        <f t="shared" si="129"/>
        <v>257750.04</v>
      </c>
      <c r="DJ117" s="6">
        <f>SUMIF('Eredeti fejléccel'!$B:$B,'Felosztás eredménykim'!$B117,'Eredeti fejléccel'!$BN:$BN)</f>
        <v>0</v>
      </c>
      <c r="DK117" s="6">
        <f>SUMIF('Eredeti fejléccel'!$B:$B,'Felosztás eredménykim'!$B117,'Eredeti fejléccel'!$BZ:$BZ)</f>
        <v>0</v>
      </c>
      <c r="DL117" s="8">
        <f t="shared" si="130"/>
        <v>0</v>
      </c>
      <c r="DM117" s="6">
        <f>SUMIF('Eredeti fejléccel'!$B:$B,'Felosztás eredménykim'!$B117,'Eredeti fejléccel'!$BR:$BR)</f>
        <v>0</v>
      </c>
      <c r="DN117" s="6">
        <f>SUMIF('Eredeti fejléccel'!$B:$B,'Felosztás eredménykim'!$B117,'Eredeti fejléccel'!$BS:$BS)</f>
        <v>0</v>
      </c>
      <c r="DO117" s="6">
        <f>SUMIF('Eredeti fejléccel'!$B:$B,'Felosztás eredménykim'!$B117,'Eredeti fejléccel'!$BO:$BO)</f>
        <v>0</v>
      </c>
      <c r="DP117" s="6">
        <f>SUMIF('Eredeti fejléccel'!$B:$B,'Felosztás eredménykim'!$B117,'Eredeti fejléccel'!$BP:$BP)</f>
        <v>0</v>
      </c>
      <c r="DQ117" s="6">
        <f>SUMIF('Eredeti fejléccel'!$B:$B,'Felosztás eredménykim'!$B117,'Eredeti fejléccel'!$BQ:$BQ)</f>
        <v>0</v>
      </c>
      <c r="DS117" s="8"/>
      <c r="DU117" s="6">
        <f>SUMIF('Eredeti fejléccel'!$B:$B,'Felosztás eredménykim'!$B117,'Eredeti fejléccel'!$BT:$BT)</f>
        <v>0</v>
      </c>
      <c r="DV117" s="6">
        <f>SUMIF('Eredeti fejléccel'!$B:$B,'Felosztás eredménykim'!$B117,'Eredeti fejléccel'!$BU:$BU)</f>
        <v>0</v>
      </c>
      <c r="DW117" s="6">
        <f>SUMIF('Eredeti fejléccel'!$B:$B,'Felosztás eredménykim'!$B117,'Eredeti fejléccel'!$BV:$BV)</f>
        <v>0</v>
      </c>
      <c r="DX117" s="6">
        <f>SUMIF('Eredeti fejléccel'!$B:$B,'Felosztás eredménykim'!$B117,'Eredeti fejléccel'!$BW:$BW)</f>
        <v>0</v>
      </c>
      <c r="DY117" s="6">
        <f>SUMIF('Eredeti fejléccel'!$B:$B,'Felosztás eredménykim'!$B117,'Eredeti fejléccel'!$BX:$BX)</f>
        <v>0</v>
      </c>
      <c r="EA117" s="6"/>
      <c r="EC117" s="6"/>
      <c r="EE117" s="6">
        <f>SUMIF('Eredeti fejléccel'!$B:$B,'Felosztás eredménykim'!$B117,'Eredeti fejléccel'!$CA:$CA)</f>
        <v>0</v>
      </c>
      <c r="EF117" s="6">
        <f>SUMIF('Eredeti fejléccel'!$B:$B,'Felosztás eredménykim'!$B117,'Eredeti fejléccel'!$CB:$CB)</f>
        <v>0</v>
      </c>
      <c r="EG117" s="6">
        <f>SUMIF('Eredeti fejléccel'!$B:$B,'Felosztás eredménykim'!$B117,'Eredeti fejléccel'!$CC:$CC)</f>
        <v>0</v>
      </c>
      <c r="EH117" s="6">
        <f>SUMIF('Eredeti fejléccel'!$B:$B,'Felosztás eredménykim'!$B117,'Eredeti fejléccel'!$CD:$CD)</f>
        <v>0</v>
      </c>
      <c r="EK117" s="6">
        <f>SUMIF('Eredeti fejléccel'!$B:$B,'Felosztás eredménykim'!$B117,'Eredeti fejléccel'!$CE:$CE)</f>
        <v>0</v>
      </c>
      <c r="EN117" s="6">
        <f>SUMIF('Eredeti fejléccel'!$B:$B,'Felosztás eredménykim'!$B117,'Eredeti fejléccel'!$CF:$CF)</f>
        <v>0</v>
      </c>
      <c r="EP117" s="6">
        <f>SUMIF('Eredeti fejléccel'!$B:$B,'Felosztás eredménykim'!$B117,'Eredeti fejléccel'!$CG:$CG)</f>
        <v>0</v>
      </c>
      <c r="ES117" s="6">
        <f>SUMIF('Eredeti fejléccel'!$B:$B,'Felosztás eredménykim'!$B117,'Eredeti fejléccel'!$CH:$CH)</f>
        <v>0</v>
      </c>
      <c r="ET117" s="6">
        <f>SUMIF('Eredeti fejléccel'!$B:$B,'Felosztás eredménykim'!$B117,'Eredeti fejléccel'!$CI:$CI)</f>
        <v>0</v>
      </c>
      <c r="EW117" s="8">
        <f t="shared" si="118"/>
        <v>0</v>
      </c>
      <c r="EX117" s="8">
        <f t="shared" si="78"/>
        <v>0</v>
      </c>
      <c r="EY117" s="8">
        <f t="shared" si="119"/>
        <v>257750.04</v>
      </c>
      <c r="EZ117" s="8">
        <f t="shared" si="120"/>
        <v>257750.04</v>
      </c>
      <c r="FA117" s="8">
        <f t="shared" si="121"/>
        <v>257750.04</v>
      </c>
      <c r="FC117" s="6">
        <f>SUMIF('Eredeti fejléccel'!$B:$B,'Felosztás eredménykim'!$B117,'Eredeti fejléccel'!$L:$L)</f>
        <v>0</v>
      </c>
      <c r="FD117" s="6">
        <f>SUMIF('Eredeti fejléccel'!$B:$B,'Felosztás eredménykim'!$B117,'Eredeti fejléccel'!$CJ:$CJ)</f>
        <v>184944.08</v>
      </c>
      <c r="FE117" s="6">
        <f>SUMIF('Eredeti fejléccel'!$B:$B,'Felosztás eredménykim'!$B117,'Eredeti fejléccel'!$CL:$CL)</f>
        <v>0</v>
      </c>
      <c r="FG117" s="99">
        <f t="shared" si="79"/>
        <v>184944.08</v>
      </c>
      <c r="FH117" s="6">
        <f>SUMIF('Eredeti fejléccel'!$B:$B,'Felosztás eredménykim'!$B117,'Eredeti fejléccel'!$CK:$CK)</f>
        <v>0</v>
      </c>
      <c r="FI117" s="36">
        <f t="shared" si="145"/>
        <v>0</v>
      </c>
      <c r="FJ117" s="101">
        <f t="shared" si="104"/>
        <v>41010.639566693608</v>
      </c>
      <c r="FK117" s="6">
        <f>SUMIF('Eredeti fejléccel'!$B:$B,'Felosztás eredménykim'!$B117,'Eredeti fejléccel'!$CM:$CM)</f>
        <v>0</v>
      </c>
      <c r="FL117" s="6">
        <f>SUMIF('Eredeti fejléccel'!$B:$B,'Felosztás eredménykim'!$B117,'Eredeti fejléccel'!$CN:$CN)</f>
        <v>0</v>
      </c>
      <c r="FM117" s="8">
        <f t="shared" si="80"/>
        <v>41010.639566693608</v>
      </c>
      <c r="FN117" s="36">
        <f t="shared" si="146"/>
        <v>0</v>
      </c>
      <c r="FO117" s="101">
        <f t="shared" si="106"/>
        <v>34865.771589329015</v>
      </c>
      <c r="FP117" s="6">
        <f>SUMIF('Eredeti fejléccel'!$B:$B,'Felosztás eredménykim'!$B117,'Eredeti fejléccel'!$CO:$CO)</f>
        <v>103140.08</v>
      </c>
      <c r="FQ117" s="6">
        <f>'Eredeti fejléccel'!CP117</f>
        <v>0</v>
      </c>
      <c r="FR117" s="6">
        <f>'Eredeti fejléccel'!CQ117</f>
        <v>0</v>
      </c>
      <c r="FS117" s="103">
        <f t="shared" si="122"/>
        <v>138005.85158932902</v>
      </c>
      <c r="FT117" s="36">
        <f t="shared" si="147"/>
        <v>0</v>
      </c>
      <c r="FU117" s="101">
        <f t="shared" si="108"/>
        <v>96239.696278092146</v>
      </c>
      <c r="FV117" s="101"/>
      <c r="FW117" s="6">
        <f>SUMIF('Eredeti fejléccel'!$B:$B,'Felosztás eredménykim'!$B117,'Eredeti fejléccel'!$CR:$CR)</f>
        <v>1044536.3600000001</v>
      </c>
      <c r="FX117" s="6">
        <f>SUMIF('Eredeti fejléccel'!$B:$B,'Felosztás eredménykim'!$B117,'Eredeti fejléccel'!$CS:$CS)</f>
        <v>0</v>
      </c>
      <c r="FY117" s="6">
        <f>SUMIF('Eredeti fejléccel'!$B:$B,'Felosztás eredménykim'!$B117,'Eredeti fejléccel'!$CT:$CT)</f>
        <v>0</v>
      </c>
      <c r="FZ117" s="6">
        <f>SUMIF('Eredeti fejléccel'!$B:$B,'Felosztás eredménykim'!$B117,'Eredeti fejléccel'!$CU:$CU)</f>
        <v>0</v>
      </c>
      <c r="GA117" s="103">
        <f t="shared" si="81"/>
        <v>1140776.0562780923</v>
      </c>
      <c r="GB117" s="36">
        <f t="shared" si="148"/>
        <v>0</v>
      </c>
      <c r="GC117" s="101">
        <f t="shared" si="110"/>
        <v>12827.972565885204</v>
      </c>
      <c r="GD117" s="6">
        <f>SUMIF('Eredeti fejléccel'!$B:$B,'Felosztás eredménykim'!$B117,'Eredeti fejléccel'!$CV:$CV)</f>
        <v>146804.08000000002</v>
      </c>
      <c r="GE117" s="6">
        <f>SUMIF('Eredeti fejléccel'!$B:$B,'Felosztás eredménykim'!$B117,'Eredeti fejléccel'!$CW:$CW)</f>
        <v>0</v>
      </c>
      <c r="GF117" s="103">
        <f t="shared" si="82"/>
        <v>159632.05256588521</v>
      </c>
      <c r="GG117" s="36">
        <f t="shared" si="111"/>
        <v>0</v>
      </c>
      <c r="GM117" s="6">
        <f>SUMIF('Eredeti fejléccel'!$B:$B,'Felosztás eredménykim'!$B117,'Eredeti fejléccel'!$CX:$CX)</f>
        <v>0</v>
      </c>
      <c r="GN117" s="6">
        <f>SUMIF('Eredeti fejléccel'!$B:$B,'Felosztás eredménykim'!$B117,'Eredeti fejléccel'!$CY:$CY)</f>
        <v>0</v>
      </c>
      <c r="GO117" s="6">
        <f>SUMIF('Eredeti fejléccel'!$B:$B,'Felosztás eredménykim'!$B117,'Eredeti fejléccel'!$CZ:$CZ)</f>
        <v>0</v>
      </c>
      <c r="GP117" s="6">
        <f>SUMIF('Eredeti fejléccel'!$B:$B,'Felosztás eredménykim'!$B117,'Eredeti fejléccel'!$DA:$DA)</f>
        <v>0</v>
      </c>
      <c r="GQ117" s="6">
        <f>SUMIF('Eredeti fejléccel'!$B:$B,'Felosztás eredménykim'!$B117,'Eredeti fejléccel'!$DB:$DB)</f>
        <v>0</v>
      </c>
      <c r="GR117" s="103">
        <f t="shared" si="83"/>
        <v>0</v>
      </c>
      <c r="GW117" s="36">
        <f t="shared" si="112"/>
        <v>0</v>
      </c>
      <c r="GX117" s="6">
        <f>SUMIF('Eredeti fejléccel'!$B:$B,'Felosztás eredménykim'!$B117,'Eredeti fejléccel'!$M:$M)</f>
        <v>0</v>
      </c>
      <c r="GY117" s="6">
        <f>SUMIF('Eredeti fejléccel'!$B:$B,'Felosztás eredménykim'!$B117,'Eredeti fejléccel'!$DC:$DC)</f>
        <v>0</v>
      </c>
      <c r="GZ117" s="6">
        <f>SUMIF('Eredeti fejléccel'!$B:$B,'Felosztás eredménykim'!$B117,'Eredeti fejléccel'!$DD:$DD)</f>
        <v>0</v>
      </c>
      <c r="HA117" s="6">
        <f>SUMIF('Eredeti fejléccel'!$B:$B,'Felosztás eredménykim'!$B117,'Eredeti fejléccel'!$DE:$DE)</f>
        <v>0</v>
      </c>
      <c r="HB117" s="103">
        <f t="shared" si="84"/>
        <v>0</v>
      </c>
      <c r="HD117" s="9">
        <f t="shared" si="176"/>
        <v>2012305.04</v>
      </c>
      <c r="HE117" s="9">
        <v>2012305.0400000005</v>
      </c>
      <c r="HF117" s="476"/>
      <c r="HH117" s="34">
        <f t="shared" si="85"/>
        <v>0</v>
      </c>
    </row>
    <row r="118" spans="1:232" x14ac:dyDescent="0.25">
      <c r="A118" s="325" t="s">
        <v>990</v>
      </c>
      <c r="B118" s="4" t="s">
        <v>990</v>
      </c>
      <c r="C118" s="1" t="s">
        <v>991</v>
      </c>
      <c r="D118" s="6">
        <f>SUMIF('Eredeti fejléccel'!$B:$B,'Felosztás eredménykim'!$B118,'Eredeti fejléccel'!$D:$D)</f>
        <v>0</v>
      </c>
      <c r="E118" s="6">
        <f>SUMIF('Eredeti fejléccel'!$B:$B,'Felosztás eredménykim'!$B118,'Eredeti fejléccel'!$E:$E)</f>
        <v>0</v>
      </c>
      <c r="F118" s="6">
        <f>SUMIF('Eredeti fejléccel'!$B:$B,'Felosztás eredménykim'!$B118,'Eredeti fejléccel'!$F:$F)</f>
        <v>0</v>
      </c>
      <c r="G118" s="6">
        <f>SUMIF('Eredeti fejléccel'!$B:$B,'Felosztás eredménykim'!$B118,'Eredeti fejléccel'!$G:$G)</f>
        <v>0</v>
      </c>
      <c r="H118" s="6"/>
      <c r="I118" s="6">
        <f>SUMIF('Eredeti fejléccel'!$B:$B,'Felosztás eredménykim'!$B118,'Eredeti fejléccel'!$O:$O)</f>
        <v>0</v>
      </c>
      <c r="J118" s="6">
        <f>SUMIF('Eredeti fejléccel'!$B:$B,'Felosztás eredménykim'!$B118,'Eredeti fejléccel'!$P:$P)</f>
        <v>0</v>
      </c>
      <c r="K118" s="6">
        <f>SUMIF('Eredeti fejléccel'!$B:$B,'Felosztás eredménykim'!$B118,'Eredeti fejléccel'!$Q:$Q)</f>
        <v>0</v>
      </c>
      <c r="L118" s="6">
        <f>SUMIF('Eredeti fejléccel'!$B:$B,'Felosztás eredménykim'!$B118,'Eredeti fejléccel'!$R:$R)</f>
        <v>0</v>
      </c>
      <c r="M118" s="6">
        <f>SUMIF('Eredeti fejléccel'!$B:$B,'Felosztás eredménykim'!$B118,'Eredeti fejléccel'!$T:$T)</f>
        <v>0</v>
      </c>
      <c r="N118" s="6">
        <f>SUMIF('Eredeti fejléccel'!$B:$B,'Felosztás eredménykim'!$B118,'Eredeti fejléccel'!$U:$U)</f>
        <v>0</v>
      </c>
      <c r="O118" s="6">
        <f>SUMIF('Eredeti fejléccel'!$B:$B,'Felosztás eredménykim'!$B118,'Eredeti fejléccel'!$V:$V)</f>
        <v>0</v>
      </c>
      <c r="P118" s="6">
        <f>SUMIF('Eredeti fejléccel'!$B:$B,'Felosztás eredménykim'!$B118,'Eredeti fejléccel'!$W:$W)</f>
        <v>0</v>
      </c>
      <c r="Q118" s="6">
        <f>SUMIF('Eredeti fejléccel'!$B:$B,'Felosztás eredménykim'!$B118,'Eredeti fejléccel'!$X:$X)</f>
        <v>0</v>
      </c>
      <c r="R118" s="6">
        <f>SUMIF('Eredeti fejléccel'!$B:$B,'Felosztás eredménykim'!$B118,'Eredeti fejléccel'!$Y:$Y)</f>
        <v>0</v>
      </c>
      <c r="S118" s="6">
        <f>SUMIF('Eredeti fejléccel'!$B:$B,'Felosztás eredménykim'!$B118,'Eredeti fejléccel'!$Z:$Z)</f>
        <v>0</v>
      </c>
      <c r="T118" s="6">
        <f>SUMIF('Eredeti fejléccel'!$B:$B,'Felosztás eredménykim'!$B118,'Eredeti fejléccel'!$AA:$AA)</f>
        <v>0</v>
      </c>
      <c r="U118" s="6">
        <f>SUMIF('Eredeti fejléccel'!$B:$B,'Felosztás eredménykim'!$B118,'Eredeti fejléccel'!$D:$D)</f>
        <v>0</v>
      </c>
      <c r="V118" s="6">
        <f>SUMIF('Eredeti fejléccel'!$B:$B,'Felosztás eredménykim'!$B118,'Eredeti fejléccel'!$AT:$AT)</f>
        <v>0</v>
      </c>
      <c r="X118" s="36">
        <f t="shared" si="86"/>
        <v>0</v>
      </c>
      <c r="Z118" s="6">
        <f>SUMIF('Eredeti fejléccel'!$B:$B,'Felosztás eredménykim'!$B118,'Eredeti fejléccel'!$K:$K)</f>
        <v>0</v>
      </c>
      <c r="AB118" s="6">
        <f>SUMIF('Eredeti fejléccel'!$B:$B,'Felosztás eredménykim'!$B118,'Eredeti fejléccel'!$AB:$AB)</f>
        <v>0</v>
      </c>
      <c r="AC118" s="6">
        <f>SUMIF('Eredeti fejléccel'!$B:$B,'Felosztás eredménykim'!$B118,'Eredeti fejléccel'!$AQ:$AQ)</f>
        <v>0</v>
      </c>
      <c r="AE118" s="73">
        <f>SUM(Z118:AD118)</f>
        <v>0</v>
      </c>
      <c r="AF118" s="36">
        <f t="shared" si="138"/>
        <v>0</v>
      </c>
      <c r="AG118" s="8">
        <f t="shared" si="88"/>
        <v>0</v>
      </c>
      <c r="AI118" s="6">
        <f>SUMIF('Eredeti fejléccel'!$B:$B,'Felosztás eredménykim'!$B118,'Eredeti fejléccel'!$BB:$BB)</f>
        <v>0</v>
      </c>
      <c r="AJ118" s="6">
        <f>SUMIF('Eredeti fejléccel'!$B:$B,'Felosztás eredménykim'!$B118,'Eredeti fejléccel'!$AF:$AF)</f>
        <v>0</v>
      </c>
      <c r="AK118" s="8">
        <f t="shared" si="73"/>
        <v>0</v>
      </c>
      <c r="AL118" s="36">
        <f t="shared" si="139"/>
        <v>0</v>
      </c>
      <c r="AM118" s="8">
        <f t="shared" si="90"/>
        <v>0</v>
      </c>
      <c r="AN118" s="6">
        <f>-AO118/2</f>
        <v>0</v>
      </c>
      <c r="AO118" s="6">
        <f>SUMIF('Eredeti fejléccel'!$B:$B,'Felosztás eredménykim'!$B118,'Eredeti fejléccel'!$AC:$AC)</f>
        <v>0</v>
      </c>
      <c r="AP118" s="6">
        <f>SUMIF('Eredeti fejléccel'!$B:$B,'Felosztás eredménykim'!$B118,'Eredeti fejléccel'!$AD:$AD)</f>
        <v>0</v>
      </c>
      <c r="AQ118" s="6">
        <f>SUMIF('Eredeti fejléccel'!$B:$B,'Felosztás eredménykim'!$B118,'Eredeti fejléccel'!$AE:$AE)</f>
        <v>0</v>
      </c>
      <c r="AR118" s="6">
        <f>SUMIF('Eredeti fejléccel'!$B:$B,'Felosztás eredménykim'!$B118,'Eredeti fejléccel'!$AG:$AG)</f>
        <v>0</v>
      </c>
      <c r="AS118" s="6">
        <f>SUM(AM118:AR118)</f>
        <v>0</v>
      </c>
      <c r="AT118" s="36">
        <f t="shared" si="140"/>
        <v>0</v>
      </c>
      <c r="AU118" s="8">
        <f t="shared" si="92"/>
        <v>0</v>
      </c>
      <c r="AV118" s="6">
        <f>SUMIF('Eredeti fejléccel'!$B:$B,'Felosztás eredménykim'!$B118,'Eredeti fejléccel'!$AI:$AI)</f>
        <v>0</v>
      </c>
      <c r="AW118" s="6">
        <f>SUMIF('Eredeti fejléccel'!$B:$B,'Felosztás eredménykim'!$B118,'Eredeti fejléccel'!$AJ:$AJ)</f>
        <v>0</v>
      </c>
      <c r="AX118" s="6">
        <f>SUMIF('Eredeti fejléccel'!$B:$B,'Felosztás eredménykim'!$B118,'Eredeti fejléccel'!$AK:$AK)</f>
        <v>0</v>
      </c>
      <c r="AY118" s="6">
        <f>SUMIF('Eredeti fejléccel'!$B:$B,'Felosztás eredménykim'!$B118,'Eredeti fejléccel'!$AL:$AL)</f>
        <v>0</v>
      </c>
      <c r="AZ118" s="6">
        <f>SUMIF('Eredeti fejléccel'!$B:$B,'Felosztás eredménykim'!$B118,'Eredeti fejléccel'!$AM:$AM)</f>
        <v>0</v>
      </c>
      <c r="BA118" s="6">
        <f>SUMIF('Eredeti fejléccel'!$B:$B,'Felosztás eredménykim'!$B118,'Eredeti fejléccel'!$AN:$AN)</f>
        <v>0</v>
      </c>
      <c r="BB118" s="6">
        <f>SUMIF('Eredeti fejléccel'!$B:$B,'Felosztás eredménykim'!$B118,'Eredeti fejléccel'!$AP:$AP)</f>
        <v>0</v>
      </c>
      <c r="BD118" s="6">
        <f>SUMIF('Eredeti fejléccel'!$B:$B,'Felosztás eredménykim'!$B118,'Eredeti fejléccel'!$AS:$AS)</f>
        <v>0</v>
      </c>
      <c r="BE118" s="8">
        <f t="shared" si="74"/>
        <v>0</v>
      </c>
      <c r="BF118" s="36">
        <f t="shared" si="141"/>
        <v>0</v>
      </c>
      <c r="BG118" s="8">
        <f t="shared" si="94"/>
        <v>0</v>
      </c>
      <c r="BH118" s="6">
        <f>AO118/2</f>
        <v>0</v>
      </c>
      <c r="BI118" s="6">
        <f>SUMIF('Eredeti fejléccel'!$B:$B,'Felosztás eredménykim'!$B118,'Eredeti fejléccel'!$AH:$AH)</f>
        <v>0</v>
      </c>
      <c r="BJ118" s="6">
        <f>SUMIF('Eredeti fejléccel'!$B:$B,'Felosztás eredménykim'!$B118,'Eredeti fejléccel'!$AO:$AO)</f>
        <v>0</v>
      </c>
      <c r="BK118" s="6">
        <f>SUMIF('Eredeti fejléccel'!$B:$B,'Felosztás eredménykim'!$B118,'Eredeti fejléccel'!$BF:$BF)</f>
        <v>0</v>
      </c>
      <c r="BL118" s="8">
        <f>SUM(BG118:BK118)</f>
        <v>0</v>
      </c>
      <c r="BM118" s="36">
        <f t="shared" si="142"/>
        <v>0</v>
      </c>
      <c r="BN118" s="8">
        <f t="shared" si="96"/>
        <v>0</v>
      </c>
      <c r="BP118" s="8">
        <f>-FV118</f>
        <v>0</v>
      </c>
      <c r="BQ118" s="6">
        <f>SUMIF('Eredeti fejléccel'!$B:$B,'Felosztás eredménykim'!$B118,'Eredeti fejléccel'!$N:$N)</f>
        <v>0</v>
      </c>
      <c r="BR118" s="6">
        <f>SUMIF('Eredeti fejléccel'!$B:$B,'Felosztás eredménykim'!$B118,'Eredeti fejléccel'!$S:$S)</f>
        <v>0</v>
      </c>
      <c r="BT118" s="6">
        <f>SUMIF('Eredeti fejléccel'!$B:$B,'Felosztás eredménykim'!$B118,'Eredeti fejléccel'!$AR:$AR)</f>
        <v>0</v>
      </c>
      <c r="BU118" s="6">
        <f>SUMIF('Eredeti fejléccel'!$B:$B,'Felosztás eredménykim'!$B118,'Eredeti fejléccel'!$AU:$AU)</f>
        <v>0</v>
      </c>
      <c r="BV118" s="6">
        <f>SUMIF('Eredeti fejléccel'!$B:$B,'Felosztás eredménykim'!$B118,'Eredeti fejléccel'!$AV:$AV)</f>
        <v>0</v>
      </c>
      <c r="BW118" s="6">
        <f>SUMIF('Eredeti fejléccel'!$B:$B,'Felosztás eredménykim'!$B118,'Eredeti fejléccel'!$AW:$AW)</f>
        <v>0</v>
      </c>
      <c r="BX118" s="6">
        <f>SUMIF('Eredeti fejléccel'!$B:$B,'Felosztás eredménykim'!$B118,'Eredeti fejléccel'!$AX:$AX)</f>
        <v>0</v>
      </c>
      <c r="BY118" s="6">
        <f>SUMIF('Eredeti fejléccel'!$B:$B,'Felosztás eredménykim'!$B118,'Eredeti fejléccel'!$AY:$AY)</f>
        <v>0</v>
      </c>
      <c r="BZ118" s="6">
        <f>SUMIF('Eredeti fejléccel'!$B:$B,'Felosztás eredménykim'!$B118,'Eredeti fejléccel'!$AZ:$AZ)</f>
        <v>0</v>
      </c>
      <c r="CA118" s="6">
        <f>SUMIF('Eredeti fejléccel'!$B:$B,'Felosztás eredménykim'!$B118,'Eredeti fejléccel'!$BA:$BA)</f>
        <v>0</v>
      </c>
      <c r="CB118" s="6">
        <f t="shared" si="114"/>
        <v>0</v>
      </c>
      <c r="CC118" s="36">
        <f t="shared" si="143"/>
        <v>0</v>
      </c>
      <c r="CD118" s="8">
        <f t="shared" si="98"/>
        <v>0</v>
      </c>
      <c r="CE118" s="6">
        <f>SUMIF('Eredeti fejléccel'!$B:$B,'Felosztás eredménykim'!$B118,'Eredeti fejléccel'!$BC:$BC)</f>
        <v>0</v>
      </c>
      <c r="CF118" s="8">
        <f>-CE118/2</f>
        <v>0</v>
      </c>
      <c r="CG118" s="6">
        <f>SUMIF('Eredeti fejléccel'!$B:$B,'Felosztás eredménykim'!$B118,'Eredeti fejléccel'!$H:$H)</f>
        <v>0</v>
      </c>
      <c r="CH118" s="6">
        <f>SUMIF('Eredeti fejléccel'!$B:$B,'Felosztás eredménykim'!$B118,'Eredeti fejléccel'!$BE:$BE)</f>
        <v>0</v>
      </c>
      <c r="CI118" s="6">
        <f t="shared" si="75"/>
        <v>0</v>
      </c>
      <c r="CJ118" s="36">
        <f t="shared" si="144"/>
        <v>0</v>
      </c>
      <c r="CK118" s="8">
        <f t="shared" si="100"/>
        <v>0</v>
      </c>
      <c r="CL118" s="8">
        <f>CE118/2</f>
        <v>0</v>
      </c>
      <c r="CM118" s="6">
        <f>SUMIF('Eredeti fejléccel'!$B:$B,'Felosztás eredménykim'!$B118,'Eredeti fejléccel'!$BD:$BD)</f>
        <v>0</v>
      </c>
      <c r="CN118" s="8">
        <f t="shared" si="76"/>
        <v>0</v>
      </c>
      <c r="CO118" s="8">
        <f t="shared" si="115"/>
        <v>0</v>
      </c>
      <c r="CR118" s="36">
        <f t="shared" si="101"/>
        <v>0</v>
      </c>
      <c r="CS118" s="6">
        <f>SUMIF('Eredeti fejléccel'!$B:$B,'Felosztás eredménykim'!$B118,'Eredeti fejléccel'!$I:$I)</f>
        <v>0</v>
      </c>
      <c r="CT118" s="6">
        <f>SUMIF('Eredeti fejléccel'!$B:$B,'Felosztás eredménykim'!$B118,'Eredeti fejléccel'!$BG:$BG)</f>
        <v>0</v>
      </c>
      <c r="CU118" s="6">
        <f>SUMIF('Eredeti fejléccel'!$B:$B,'Felosztás eredménykim'!$B118,'Eredeti fejléccel'!$BH:$BH)</f>
        <v>0</v>
      </c>
      <c r="CV118" s="6">
        <f>SUMIF('Eredeti fejléccel'!$B:$B,'Felosztás eredménykim'!$B118,'Eredeti fejléccel'!$BI:$BI)</f>
        <v>0</v>
      </c>
      <c r="CW118" s="6">
        <f>SUMIF('Eredeti fejléccel'!$B:$B,'Felosztás eredménykim'!$B118,'Eredeti fejléccel'!$BL:$BL)</f>
        <v>0</v>
      </c>
      <c r="CX118" s="6">
        <f t="shared" si="77"/>
        <v>0</v>
      </c>
      <c r="CY118" s="6">
        <f>SUMIF('Eredeti fejléccel'!$B:$B,'Felosztás eredménykim'!$B118,'Eredeti fejléccel'!$BJ:$BJ)</f>
        <v>0</v>
      </c>
      <c r="CZ118" s="6">
        <f>SUMIF('Eredeti fejléccel'!$B:$B,'Felosztás eredménykim'!$B118,'Eredeti fejléccel'!$BK:$BK)</f>
        <v>0</v>
      </c>
      <c r="DA118" s="99">
        <f t="shared" si="116"/>
        <v>0</v>
      </c>
      <c r="DC118" s="36">
        <f t="shared" si="102"/>
        <v>0</v>
      </c>
      <c r="DD118" s="6">
        <f>SUMIF('Eredeti fejléccel'!$B:$B,'Felosztás eredménykim'!$B118,'Eredeti fejléccel'!$J:$J)</f>
        <v>0</v>
      </c>
      <c r="DE118" s="6">
        <f>SUMIF('Eredeti fejléccel'!$B:$B,'Felosztás eredménykim'!$B118,'Eredeti fejléccel'!$BM:$BM)</f>
        <v>0</v>
      </c>
      <c r="DF118" s="6">
        <f>-DI118</f>
        <v>0</v>
      </c>
      <c r="DG118" s="8">
        <f t="shared" si="117"/>
        <v>0</v>
      </c>
      <c r="DH118" s="8">
        <f>SUM(DD118:DG118)</f>
        <v>0</v>
      </c>
      <c r="DJ118" s="6">
        <f>SUMIF('Eredeti fejléccel'!$B:$B,'Felosztás eredménykim'!$B118,'Eredeti fejléccel'!$BN:$BN)</f>
        <v>0</v>
      </c>
      <c r="DK118" s="6">
        <f>SUMIF('Eredeti fejléccel'!$B:$B,'Felosztás eredménykim'!$B118,'Eredeti fejléccel'!$BZ:$BZ)</f>
        <v>0</v>
      </c>
      <c r="DL118" s="8">
        <f>SUM(DI118:DK118)</f>
        <v>0</v>
      </c>
      <c r="DM118" s="6">
        <f>SUMIF('Eredeti fejléccel'!$B:$B,'Felosztás eredménykim'!$B118,'Eredeti fejléccel'!$BR:$BR)</f>
        <v>0</v>
      </c>
      <c r="DN118" s="6">
        <f>SUMIF('Eredeti fejléccel'!$B:$B,'Felosztás eredménykim'!$B118,'Eredeti fejléccel'!$BS:$BS)</f>
        <v>0</v>
      </c>
      <c r="DO118" s="6">
        <f>SUMIF('Eredeti fejléccel'!$B:$B,'Felosztás eredménykim'!$B118,'Eredeti fejléccel'!$BO:$BO)</f>
        <v>0</v>
      </c>
      <c r="DP118" s="6">
        <f>SUMIF('Eredeti fejléccel'!$B:$B,'Felosztás eredménykim'!$B118,'Eredeti fejléccel'!$BP:$BP)</f>
        <v>0</v>
      </c>
      <c r="DQ118" s="6">
        <f>SUMIF('Eredeti fejléccel'!$B:$B,'Felosztás eredménykim'!$B118,'Eredeti fejléccel'!$BQ:$BQ)</f>
        <v>0</v>
      </c>
      <c r="DS118" s="8"/>
      <c r="DU118" s="6">
        <f>SUMIF('Eredeti fejléccel'!$B:$B,'Felosztás eredménykim'!$B118,'Eredeti fejléccel'!$BT:$BT)</f>
        <v>0</v>
      </c>
      <c r="DV118" s="6">
        <f>SUMIF('Eredeti fejléccel'!$B:$B,'Felosztás eredménykim'!$B118,'Eredeti fejléccel'!$BU:$BU)</f>
        <v>0</v>
      </c>
      <c r="DW118" s="6">
        <f>SUMIF('Eredeti fejléccel'!$B:$B,'Felosztás eredménykim'!$B118,'Eredeti fejléccel'!$BV:$BV)</f>
        <v>0</v>
      </c>
      <c r="DX118" s="6">
        <f>SUMIF('Eredeti fejléccel'!$B:$B,'Felosztás eredménykim'!$B118,'Eredeti fejléccel'!$BW:$BW)</f>
        <v>0</v>
      </c>
      <c r="DY118" s="6">
        <f>SUMIF('Eredeti fejléccel'!$B:$B,'Felosztás eredménykim'!$B118,'Eredeti fejléccel'!$BX:$BX)</f>
        <v>0</v>
      </c>
      <c r="EA118" s="6"/>
      <c r="EC118" s="6"/>
      <c r="EE118" s="6">
        <f>SUMIF('Eredeti fejléccel'!$B:$B,'Felosztás eredménykim'!$B118,'Eredeti fejléccel'!$CA:$CA)</f>
        <v>0</v>
      </c>
      <c r="EF118" s="6">
        <f>SUMIF('Eredeti fejléccel'!$B:$B,'Felosztás eredménykim'!$B118,'Eredeti fejléccel'!$CB:$CB)</f>
        <v>0</v>
      </c>
      <c r="EG118" s="6">
        <f>SUMIF('Eredeti fejléccel'!$B:$B,'Felosztás eredménykim'!$B118,'Eredeti fejléccel'!$CC:$CC)</f>
        <v>0</v>
      </c>
      <c r="EH118" s="6">
        <f>SUMIF('Eredeti fejléccel'!$B:$B,'Felosztás eredménykim'!$B118,'Eredeti fejléccel'!$CD:$CD)</f>
        <v>0</v>
      </c>
      <c r="EK118" s="6">
        <f>SUMIF('Eredeti fejléccel'!$B:$B,'Felosztás eredménykim'!$B118,'Eredeti fejléccel'!$CE:$CE)</f>
        <v>0</v>
      </c>
      <c r="EN118" s="6">
        <f>SUMIF('Eredeti fejléccel'!$B:$B,'Felosztás eredménykim'!$B118,'Eredeti fejléccel'!$CF:$CF)</f>
        <v>0</v>
      </c>
      <c r="EP118" s="6">
        <f>SUMIF('Eredeti fejléccel'!$B:$B,'Felosztás eredménykim'!$B118,'Eredeti fejléccel'!$CG:$CG)</f>
        <v>0</v>
      </c>
      <c r="ES118" s="6">
        <f>SUMIF('Eredeti fejléccel'!$B:$B,'Felosztás eredménykim'!$B118,'Eredeti fejléccel'!$CH:$CH)</f>
        <v>0</v>
      </c>
      <c r="ET118" s="6">
        <f>SUMIF('Eredeti fejléccel'!$B:$B,'Felosztás eredménykim'!$B118,'Eredeti fejléccel'!$CI:$CI)</f>
        <v>0</v>
      </c>
      <c r="EW118" s="8">
        <f t="shared" si="118"/>
        <v>0</v>
      </c>
      <c r="EX118" s="8">
        <f t="shared" si="78"/>
        <v>0</v>
      </c>
      <c r="EY118" s="8">
        <f t="shared" si="119"/>
        <v>0</v>
      </c>
      <c r="EZ118" s="8">
        <f t="shared" si="120"/>
        <v>0</v>
      </c>
      <c r="FA118" s="8">
        <f t="shared" si="121"/>
        <v>0</v>
      </c>
      <c r="FC118" s="6">
        <f>SUMIF('Eredeti fejléccel'!$B:$B,'Felosztás eredménykim'!$B118,'Eredeti fejléccel'!$L:$L)</f>
        <v>0</v>
      </c>
      <c r="FD118" s="6">
        <f>SUMIF('Eredeti fejléccel'!$B:$B,'Felosztás eredménykim'!$B118,'Eredeti fejléccel'!$CJ:$CJ)</f>
        <v>0</v>
      </c>
      <c r="FE118" s="6">
        <f>SUMIF('Eredeti fejléccel'!$B:$B,'Felosztás eredménykim'!$B118,'Eredeti fejléccel'!$CL:$CL)</f>
        <v>0</v>
      </c>
      <c r="FG118" s="99">
        <f t="shared" si="79"/>
        <v>0</v>
      </c>
      <c r="FH118" s="6">
        <f>SUMIF('Eredeti fejléccel'!$B:$B,'Felosztás eredménykim'!$B118,'Eredeti fejléccel'!$CK:$CK)</f>
        <v>0</v>
      </c>
      <c r="FI118" s="36">
        <f t="shared" si="145"/>
        <v>0</v>
      </c>
      <c r="FJ118" s="101">
        <f t="shared" si="104"/>
        <v>0</v>
      </c>
      <c r="FK118" s="6">
        <f>SUMIF('Eredeti fejléccel'!$B:$B,'Felosztás eredménykim'!$B118,'Eredeti fejléccel'!$CM:$CM)</f>
        <v>0</v>
      </c>
      <c r="FL118" s="6">
        <f>SUMIF('Eredeti fejléccel'!$B:$B,'Felosztás eredménykim'!$B118,'Eredeti fejléccel'!$CN:$CN)</f>
        <v>0</v>
      </c>
      <c r="FM118" s="8">
        <f t="shared" si="80"/>
        <v>0</v>
      </c>
      <c r="FN118" s="36">
        <f t="shared" si="146"/>
        <v>0</v>
      </c>
      <c r="FO118" s="101">
        <f t="shared" si="106"/>
        <v>0</v>
      </c>
      <c r="FP118" s="6">
        <f>SUMIF('Eredeti fejléccel'!$B:$B,'Felosztás eredménykim'!$B118,'Eredeti fejléccel'!$CO:$CO)</f>
        <v>0</v>
      </c>
      <c r="FQ118" s="6">
        <f>'Eredeti fejléccel'!CP118</f>
        <v>0</v>
      </c>
      <c r="FR118" s="6">
        <f>'Eredeti fejléccel'!CQ118</f>
        <v>0</v>
      </c>
      <c r="FS118" s="103">
        <f t="shared" si="122"/>
        <v>0</v>
      </c>
      <c r="FT118" s="36">
        <f t="shared" si="147"/>
        <v>0</v>
      </c>
      <c r="FU118" s="101">
        <f t="shared" si="108"/>
        <v>0</v>
      </c>
      <c r="FV118" s="101"/>
      <c r="FW118" s="6">
        <f>SUMIF('Eredeti fejléccel'!$B:$B,'Felosztás eredménykim'!$B118,'Eredeti fejléccel'!$CR:$CR)</f>
        <v>0</v>
      </c>
      <c r="FX118" s="6">
        <f>SUMIF('Eredeti fejléccel'!$B:$B,'Felosztás eredménykim'!$B118,'Eredeti fejléccel'!$CS:$CS)</f>
        <v>0</v>
      </c>
      <c r="FY118" s="6">
        <f>SUMIF('Eredeti fejléccel'!$B:$B,'Felosztás eredménykim'!$B118,'Eredeti fejléccel'!$CT:$CT)</f>
        <v>0</v>
      </c>
      <c r="FZ118" s="6">
        <f>SUMIF('Eredeti fejléccel'!$B:$B,'Felosztás eredménykim'!$B118,'Eredeti fejléccel'!$CU:$CU)</f>
        <v>0</v>
      </c>
      <c r="GA118" s="103">
        <f t="shared" si="81"/>
        <v>0</v>
      </c>
      <c r="GB118" s="36">
        <f t="shared" si="148"/>
        <v>0</v>
      </c>
      <c r="GC118" s="101">
        <f t="shared" si="110"/>
        <v>0</v>
      </c>
      <c r="GD118" s="6">
        <f>SUMIF('Eredeti fejléccel'!$B:$B,'Felosztás eredménykim'!$B118,'Eredeti fejléccel'!$CV:$CV)</f>
        <v>0</v>
      </c>
      <c r="GE118" s="6">
        <f>SUMIF('Eredeti fejléccel'!$B:$B,'Felosztás eredménykim'!$B118,'Eredeti fejléccel'!$CW:$CW)</f>
        <v>0</v>
      </c>
      <c r="GF118" s="103">
        <f t="shared" si="82"/>
        <v>0</v>
      </c>
      <c r="GG118" s="36">
        <f t="shared" si="111"/>
        <v>0</v>
      </c>
      <c r="GM118" s="6">
        <f>SUMIF('Eredeti fejléccel'!$B:$B,'Felosztás eredménykim'!$B118,'Eredeti fejléccel'!$CX:$CX)</f>
        <v>0</v>
      </c>
      <c r="GN118" s="6">
        <f>SUMIF('Eredeti fejléccel'!$B:$B,'Felosztás eredménykim'!$B118,'Eredeti fejléccel'!$CY:$CY)</f>
        <v>0</v>
      </c>
      <c r="GO118" s="6">
        <f>SUMIF('Eredeti fejléccel'!$B:$B,'Felosztás eredménykim'!$B118,'Eredeti fejléccel'!$CZ:$CZ)</f>
        <v>0</v>
      </c>
      <c r="GP118" s="6">
        <f>SUMIF('Eredeti fejléccel'!$B:$B,'Felosztás eredménykim'!$B118,'Eredeti fejléccel'!$DA:$DA)</f>
        <v>0</v>
      </c>
      <c r="GQ118" s="6">
        <f>SUMIF('Eredeti fejléccel'!$B:$B,'Felosztás eredménykim'!$B118,'Eredeti fejléccel'!$DB:$DB)</f>
        <v>0</v>
      </c>
      <c r="GR118" s="103">
        <f t="shared" si="83"/>
        <v>0</v>
      </c>
      <c r="GW118" s="36">
        <f t="shared" si="112"/>
        <v>0</v>
      </c>
      <c r="GX118" s="6">
        <f>SUMIF('Eredeti fejléccel'!$B:$B,'Felosztás eredménykim'!$B118,'Eredeti fejléccel'!$M:$M)</f>
        <v>0</v>
      </c>
      <c r="GY118" s="6">
        <f>SUMIF('Eredeti fejléccel'!$B:$B,'Felosztás eredménykim'!$B118,'Eredeti fejléccel'!$DC:$DC)</f>
        <v>0</v>
      </c>
      <c r="GZ118" s="6">
        <f>SUMIF('Eredeti fejléccel'!$B:$B,'Felosztás eredménykim'!$B118,'Eredeti fejléccel'!$DD:$DD)</f>
        <v>0</v>
      </c>
      <c r="HA118" s="6">
        <f>SUMIF('Eredeti fejléccel'!$B:$B,'Felosztás eredménykim'!$B118,'Eredeti fejléccel'!$DE:$DE)</f>
        <v>0</v>
      </c>
      <c r="HB118" s="103">
        <f t="shared" si="84"/>
        <v>0</v>
      </c>
      <c r="HD118" s="9">
        <f t="shared" si="176"/>
        <v>0</v>
      </c>
      <c r="HE118" s="9"/>
      <c r="HF118" s="476"/>
      <c r="HH118" s="34">
        <f t="shared" si="85"/>
        <v>0</v>
      </c>
    </row>
    <row r="119" spans="1:232" s="209" customFormat="1" x14ac:dyDescent="0.25">
      <c r="A119" s="4" t="s">
        <v>232</v>
      </c>
      <c r="B119" s="208" t="s">
        <v>232</v>
      </c>
      <c r="C119" s="209" t="s">
        <v>233</v>
      </c>
      <c r="D119" s="6">
        <f>SUMIF('Eredeti fejléccel'!$B:$B,'Felosztás eredménykim'!$B119,'Eredeti fejléccel'!$D:$D)</f>
        <v>0</v>
      </c>
      <c r="E119" s="6">
        <f>SUMIF('Eredeti fejléccel'!$B:$B,'Felosztás eredménykim'!$B119,'Eredeti fejléccel'!$E:$E)</f>
        <v>811543</v>
      </c>
      <c r="F119" s="6">
        <f>SUMIF('Eredeti fejléccel'!$B:$B,'Felosztás eredménykim'!$B119,'Eredeti fejléccel'!$F:$F)</f>
        <v>0</v>
      </c>
      <c r="G119" s="6">
        <f>SUMIF('Eredeti fejléccel'!$B:$B,'Felosztás eredménykim'!$B119,'Eredeti fejléccel'!$G:$G)</f>
        <v>0</v>
      </c>
      <c r="H119" s="6"/>
      <c r="I119" s="6">
        <f>SUMIF('Eredeti fejléccel'!$B:$B,'Felosztás eredménykim'!$B119,'Eredeti fejléccel'!$O:$O)</f>
        <v>565715</v>
      </c>
      <c r="J119" s="6">
        <f>SUMIF('Eredeti fejléccel'!$B:$B,'Felosztás eredménykim'!$B119,'Eredeti fejléccel'!$P:$P)</f>
        <v>0</v>
      </c>
      <c r="K119" s="6">
        <f>SUMIF('Eredeti fejléccel'!$B:$B,'Felosztás eredménykim'!$B119,'Eredeti fejléccel'!$Q:$Q)</f>
        <v>0</v>
      </c>
      <c r="L119" s="6">
        <f>SUMIF('Eredeti fejléccel'!$B:$B,'Felosztás eredménykim'!$B119,'Eredeti fejléccel'!$R:$R)</f>
        <v>676965</v>
      </c>
      <c r="M119" s="6">
        <f>SUMIF('Eredeti fejléccel'!$B:$B,'Felosztás eredménykim'!$B119,'Eredeti fejléccel'!$T:$T)</f>
        <v>0</v>
      </c>
      <c r="N119" s="6">
        <f>SUMIF('Eredeti fejléccel'!$B:$B,'Felosztás eredménykim'!$B119,'Eredeti fejléccel'!$U:$U)</f>
        <v>0</v>
      </c>
      <c r="O119" s="6">
        <f>SUMIF('Eredeti fejléccel'!$B:$B,'Felosztás eredménykim'!$B119,'Eredeti fejléccel'!$V:$V)</f>
        <v>1018572</v>
      </c>
      <c r="P119" s="6">
        <f>SUMIF('Eredeti fejléccel'!$B:$B,'Felosztás eredménykim'!$B119,'Eredeti fejléccel'!$W:$W)</f>
        <v>645877</v>
      </c>
      <c r="Q119" s="6">
        <f>SUMIF('Eredeti fejléccel'!$B:$B,'Felosztás eredménykim'!$B119,'Eredeti fejléccel'!$X:$X)</f>
        <v>1723632</v>
      </c>
      <c r="R119" s="6">
        <f>SUMIF('Eredeti fejléccel'!$B:$B,'Felosztás eredménykim'!$B119,'Eredeti fejléccel'!$Y:$Y)</f>
        <v>526004</v>
      </c>
      <c r="S119" s="6">
        <f>SUMIF('Eredeti fejléccel'!$B:$B,'Felosztás eredménykim'!$B119,'Eredeti fejléccel'!$Z:$Z)</f>
        <v>415134</v>
      </c>
      <c r="T119" s="6">
        <f>SUMIF('Eredeti fejléccel'!$B:$B,'Felosztás eredménykim'!$B119,'Eredeti fejléccel'!$AA:$AA)</f>
        <v>0</v>
      </c>
      <c r="U119" s="6">
        <f>SUMIF('Eredeti fejléccel'!$B:$B,'Felosztás eredménykim'!$B119,'Eredeti fejléccel'!$D:$D)</f>
        <v>0</v>
      </c>
      <c r="V119" s="6">
        <f>SUMIF('Eredeti fejléccel'!$B:$B,'Felosztás eredménykim'!$B119,'Eredeti fejléccel'!$AT:$AT)</f>
        <v>963513</v>
      </c>
      <c r="W119" s="212"/>
      <c r="X119" s="212">
        <f t="shared" si="86"/>
        <v>7346955</v>
      </c>
      <c r="Y119" s="212"/>
      <c r="Z119" s="6">
        <f>SUMIF('Eredeti fejléccel'!$B:$B,'Felosztás eredménykim'!$B119,'Eredeti fejléccel'!$K:$K)</f>
        <v>910167</v>
      </c>
      <c r="AA119" s="210"/>
      <c r="AB119" s="6">
        <f>SUMIF('Eredeti fejléccel'!$B:$B,'Felosztás eredménykim'!$B119,'Eredeti fejléccel'!$AB:$AB)</f>
        <v>0</v>
      </c>
      <c r="AC119" s="6">
        <f>SUMIF('Eredeti fejléccel'!$B:$B,'Felosztás eredménykim'!$B119,'Eredeti fejléccel'!$AQ:$AQ)</f>
        <v>0</v>
      </c>
      <c r="AD119" s="213"/>
      <c r="AE119" s="73">
        <f t="shared" si="131"/>
        <v>910167</v>
      </c>
      <c r="AF119" s="36">
        <f t="shared" si="138"/>
        <v>876452.36309225892</v>
      </c>
      <c r="AG119" s="8">
        <f t="shared" si="88"/>
        <v>290201.71317413461</v>
      </c>
      <c r="AH119" s="6"/>
      <c r="AI119" s="6">
        <f>SUMIF('Eredeti fejléccel'!$B:$B,'Felosztás eredménykim'!$B119,'Eredeti fejléccel'!$BB:$BB)</f>
        <v>2113715</v>
      </c>
      <c r="AJ119" s="6">
        <f>SUMIF('Eredeti fejléccel'!$B:$B,'Felosztás eredménykim'!$B119,'Eredeti fejléccel'!$AF:$AF)</f>
        <v>0</v>
      </c>
      <c r="AK119" s="211">
        <f t="shared" si="73"/>
        <v>2403916.7131741345</v>
      </c>
      <c r="AL119" s="36">
        <f t="shared" si="139"/>
        <v>348122.45333482156</v>
      </c>
      <c r="AM119" s="8">
        <f t="shared" si="90"/>
        <v>115266.65521867452</v>
      </c>
      <c r="AN119" s="6">
        <f t="shared" si="123"/>
        <v>0</v>
      </c>
      <c r="AO119" s="6">
        <f>SUMIF('Eredeti fejléccel'!$B:$B,'Felosztás eredménykim'!$B119,'Eredeti fejléccel'!$AC:$AC)</f>
        <v>0</v>
      </c>
      <c r="AP119" s="6">
        <f>SUMIF('Eredeti fejléccel'!$B:$B,'Felosztás eredménykim'!$B119,'Eredeti fejléccel'!$AD:$AD)</f>
        <v>0</v>
      </c>
      <c r="AQ119" s="6">
        <f>SUMIF('Eredeti fejléccel'!$B:$B,'Felosztás eredménykim'!$B119,'Eredeti fejléccel'!$AE:$AE)</f>
        <v>0</v>
      </c>
      <c r="AR119" s="6">
        <f>SUMIF('Eredeti fejléccel'!$B:$B,'Felosztás eredménykim'!$B119,'Eredeti fejléccel'!$AG:$AG)</f>
        <v>1973732</v>
      </c>
      <c r="AS119" s="6">
        <f t="shared" si="124"/>
        <v>2088998.6552186746</v>
      </c>
      <c r="AT119" s="36">
        <f t="shared" si="140"/>
        <v>565453.13747887674</v>
      </c>
      <c r="AU119" s="8">
        <f t="shared" si="92"/>
        <v>187226.91172524815</v>
      </c>
      <c r="AV119" s="6">
        <f>SUMIF('Eredeti fejléccel'!$B:$B,'Felosztás eredménykim'!$B119,'Eredeti fejléccel'!$AI:$AI)</f>
        <v>0</v>
      </c>
      <c r="AW119" s="6">
        <f>SUMIF('Eredeti fejléccel'!$B:$B,'Felosztás eredménykim'!$B119,'Eredeti fejléccel'!$AJ:$AJ)</f>
        <v>257810</v>
      </c>
      <c r="AX119" s="6">
        <f>SUMIF('Eredeti fejléccel'!$B:$B,'Felosztás eredménykim'!$B119,'Eredeti fejléccel'!$AK:$AK)</f>
        <v>1387894</v>
      </c>
      <c r="AY119" s="6">
        <f>SUMIF('Eredeti fejléccel'!$B:$B,'Felosztás eredménykim'!$B119,'Eredeti fejléccel'!$AL:$AL)</f>
        <v>595194</v>
      </c>
      <c r="AZ119" s="6">
        <f>SUMIF('Eredeti fejléccel'!$B:$B,'Felosztás eredménykim'!$B119,'Eredeti fejléccel'!$AM:$AM)</f>
        <v>716671</v>
      </c>
      <c r="BA119" s="6">
        <f>SUMIF('Eredeti fejléccel'!$B:$B,'Felosztás eredménykim'!$B119,'Eredeti fejléccel'!$AN:$AN)</f>
        <v>0</v>
      </c>
      <c r="BB119" s="6">
        <f>SUMIF('Eredeti fejléccel'!$B:$B,'Felosztás eredménykim'!$B119,'Eredeti fejléccel'!$AP:$AP)</f>
        <v>316144</v>
      </c>
      <c r="BC119" s="210"/>
      <c r="BD119" s="6">
        <f>SUMIF('Eredeti fejléccel'!$B:$B,'Felosztás eredménykim'!$B119,'Eredeti fejléccel'!$AS:$AS)</f>
        <v>0</v>
      </c>
      <c r="BE119" s="211">
        <f t="shared" si="74"/>
        <v>3460939.9117252482</v>
      </c>
      <c r="BF119" s="36">
        <f t="shared" si="141"/>
        <v>147509.51412492438</v>
      </c>
      <c r="BG119" s="8">
        <f t="shared" si="94"/>
        <v>48841.803058760386</v>
      </c>
      <c r="BH119" s="6">
        <f t="shared" si="125"/>
        <v>0</v>
      </c>
      <c r="BI119" s="6">
        <f>SUMIF('Eredeti fejléccel'!$B:$B,'Felosztás eredménykim'!$B119,'Eredeti fejléccel'!$AH:$AH)</f>
        <v>813305</v>
      </c>
      <c r="BJ119" s="6">
        <f>SUMIF('Eredeti fejléccel'!$B:$B,'Felosztás eredménykim'!$B119,'Eredeti fejléccel'!$AO:$AO)</f>
        <v>0</v>
      </c>
      <c r="BK119" s="6">
        <f>SUMIF('Eredeti fejléccel'!$B:$B,'Felosztás eredménykim'!$B119,'Eredeti fejléccel'!$BF:$BF)</f>
        <v>0</v>
      </c>
      <c r="BL119" s="8">
        <f t="shared" si="126"/>
        <v>862146.80305876036</v>
      </c>
      <c r="BM119" s="36">
        <f t="shared" si="142"/>
        <v>552668.97958805005</v>
      </c>
      <c r="BN119" s="8">
        <f t="shared" si="96"/>
        <v>182993.95546015559</v>
      </c>
      <c r="BO119" s="211">
        <f>(78123+29685+150002)/2</f>
        <v>128905</v>
      </c>
      <c r="BP119" s="8">
        <f t="shared" si="127"/>
        <v>0</v>
      </c>
      <c r="BQ119" s="6">
        <f>SUMIF('Eredeti fejléccel'!$B:$B,'Felosztás eredménykim'!$B119,'Eredeti fejléccel'!$N:$N)</f>
        <v>0</v>
      </c>
      <c r="BR119" s="6">
        <f>SUMIF('Eredeti fejléccel'!$B:$B,'Felosztás eredménykim'!$B119,'Eredeti fejléccel'!$S:$S)</f>
        <v>0</v>
      </c>
      <c r="BS119" s="210"/>
      <c r="BT119" s="6">
        <f>SUMIF('Eredeti fejléccel'!$B:$B,'Felosztás eredménykim'!$B119,'Eredeti fejléccel'!$AR:$AR)</f>
        <v>0</v>
      </c>
      <c r="BU119" s="6">
        <f>SUMIF('Eredeti fejléccel'!$B:$B,'Felosztás eredménykim'!$B119,'Eredeti fejléccel'!$AU:$AU)</f>
        <v>0</v>
      </c>
      <c r="BV119" s="6">
        <f>SUMIF('Eredeti fejléccel'!$B:$B,'Felosztás eredménykim'!$B119,'Eredeti fejléccel'!$AV:$AV)</f>
        <v>531249</v>
      </c>
      <c r="BW119" s="6">
        <f>SUMIF('Eredeti fejléccel'!$B:$B,'Felosztás eredménykim'!$B119,'Eredeti fejléccel'!$AW:$AW)</f>
        <v>0</v>
      </c>
      <c r="BX119" s="6">
        <f>SUMIF('Eredeti fejléccel'!$B:$B,'Felosztás eredménykim'!$B119,'Eredeti fejléccel'!$AX:$AX)</f>
        <v>0</v>
      </c>
      <c r="BY119" s="6">
        <f>SUMIF('Eredeti fejléccel'!$B:$B,'Felosztás eredménykim'!$B119,'Eredeti fejléccel'!$AY:$AY)</f>
        <v>0</v>
      </c>
      <c r="BZ119" s="6">
        <f>SUMIF('Eredeti fejléccel'!$B:$B,'Felosztás eredménykim'!$B119,'Eredeti fejléccel'!$AZ:$AZ)</f>
        <v>0</v>
      </c>
      <c r="CA119" s="6">
        <f>SUMIF('Eredeti fejléccel'!$B:$B,'Felosztás eredménykim'!$B119,'Eredeti fejléccel'!$BA:$BA)</f>
        <v>2779820</v>
      </c>
      <c r="CB119" s="210">
        <f t="shared" si="114"/>
        <v>3622967.9554601554</v>
      </c>
      <c r="CC119" s="36">
        <f t="shared" si="143"/>
        <v>150459.70440742286</v>
      </c>
      <c r="CD119" s="8">
        <f t="shared" si="98"/>
        <v>49818.6391199356</v>
      </c>
      <c r="CE119" s="6">
        <f>SUMIF('Eredeti fejléccel'!$B:$B,'Felosztás eredménykim'!$B119,'Eredeti fejléccel'!$BC:$BC)</f>
        <v>211903</v>
      </c>
      <c r="CF119" s="211">
        <f t="shared" si="135"/>
        <v>-105951.5</v>
      </c>
      <c r="CG119" s="6">
        <f>SUMIF('Eredeti fejléccel'!$B:$B,'Felosztás eredménykim'!$B119,'Eredeti fejléccel'!$H:$H)</f>
        <v>0</v>
      </c>
      <c r="CH119" s="6">
        <f>SUMIF('Eredeti fejléccel'!$B:$B,'Felosztás eredménykim'!$B119,'Eredeti fejléccel'!$BE:$BE)</f>
        <v>935041</v>
      </c>
      <c r="CI119" s="210">
        <f t="shared" si="75"/>
        <v>1090811.1391199357</v>
      </c>
      <c r="CJ119" s="36">
        <f t="shared" si="144"/>
        <v>108173.64369161123</v>
      </c>
      <c r="CK119" s="211">
        <f t="shared" si="100"/>
        <v>35817.322243090952</v>
      </c>
      <c r="CL119" s="211">
        <f t="shared" si="136"/>
        <v>105951.5</v>
      </c>
      <c r="CM119" s="6">
        <f>SUMIF('Eredeti fejléccel'!$B:$B,'Felosztás eredménykim'!$B119,'Eredeti fejléccel'!$BD:$BD)</f>
        <v>601193</v>
      </c>
      <c r="CN119" s="211">
        <f t="shared" si="76"/>
        <v>742961.82224309095</v>
      </c>
      <c r="CO119" s="211">
        <f t="shared" si="115"/>
        <v>17021582.795717966</v>
      </c>
      <c r="CP119" s="211"/>
      <c r="CQ119" s="211"/>
      <c r="CR119" s="212">
        <f t="shared" si="101"/>
        <v>649777.37878300075</v>
      </c>
      <c r="CS119" s="6">
        <f>SUMIF('Eredeti fejléccel'!$B:$B,'Felosztás eredménykim'!$B119,'Eredeti fejléccel'!$I:$I)</f>
        <v>522264</v>
      </c>
      <c r="CT119" s="6">
        <f>SUMIF('Eredeti fejléccel'!$B:$B,'Felosztás eredménykim'!$B119,'Eredeti fejléccel'!$BG:$BG)</f>
        <v>0</v>
      </c>
      <c r="CU119" s="6">
        <f>SUMIF('Eredeti fejléccel'!$B:$B,'Felosztás eredménykim'!$B119,'Eredeti fejléccel'!$BH:$BH)</f>
        <v>2792226</v>
      </c>
      <c r="CV119" s="6">
        <f>SUMIF('Eredeti fejléccel'!$B:$B,'Felosztás eredménykim'!$B119,'Eredeti fejléccel'!$BI:$BI)</f>
        <v>667973</v>
      </c>
      <c r="CW119" s="6">
        <f>SUMIF('Eredeti fejléccel'!$B:$B,'Felosztás eredménykim'!$B119,'Eredeti fejléccel'!$BL:$BL)</f>
        <v>-1713115</v>
      </c>
      <c r="CX119" s="210">
        <f t="shared" si="77"/>
        <v>2269348</v>
      </c>
      <c r="CY119" s="6">
        <f>SUMIF('Eredeti fejléccel'!$B:$B,'Felosztás eredménykim'!$B119,'Eredeti fejléccel'!$BJ:$BJ)</f>
        <v>1713115</v>
      </c>
      <c r="CZ119" s="6">
        <f>SUMIF('Eredeti fejléccel'!$B:$B,'Felosztás eredménykim'!$B119,'Eredeti fejléccel'!$BK:$BK)</f>
        <v>0</v>
      </c>
      <c r="DA119" s="99">
        <f t="shared" si="116"/>
        <v>3982463</v>
      </c>
      <c r="DB119" s="215"/>
      <c r="DC119" s="212">
        <f t="shared" si="102"/>
        <v>569116.99066323263</v>
      </c>
      <c r="DD119" s="6">
        <f>SUMIF('Eredeti fejléccel'!$B:$B,'Felosztás eredménykim'!$B119,'Eredeti fejléccel'!$J:$J)</f>
        <v>0</v>
      </c>
      <c r="DE119" s="6">
        <f>SUMIF('Eredeti fejléccel'!$B:$B,'Felosztás eredménykim'!$B119,'Eredeti fejléccel'!$BM:$BM)</f>
        <v>1601022</v>
      </c>
      <c r="DF119" s="6">
        <f t="shared" si="128"/>
        <v>136720</v>
      </c>
      <c r="DG119" s="211">
        <f t="shared" si="117"/>
        <v>-128905</v>
      </c>
      <c r="DH119" s="8">
        <f t="shared" si="129"/>
        <v>1608837</v>
      </c>
      <c r="DI119" s="211">
        <f>-136720</f>
        <v>-136720</v>
      </c>
      <c r="DJ119" s="6">
        <f>SUMIF('Eredeti fejléccel'!$B:$B,'Felosztás eredménykim'!$B119,'Eredeti fejléccel'!$BN:$BN)</f>
        <v>1148553</v>
      </c>
      <c r="DK119" s="6">
        <f>SUMIF('Eredeti fejléccel'!$B:$B,'Felosztás eredménykim'!$B119,'Eredeti fejléccel'!$BZ:$BZ)</f>
        <v>0</v>
      </c>
      <c r="DL119" s="8">
        <f t="shared" si="130"/>
        <v>1011833</v>
      </c>
      <c r="DM119" s="6">
        <f>SUMIF('Eredeti fejléccel'!$B:$B,'Felosztás eredménykim'!$B119,'Eredeti fejléccel'!$BR:$BR)</f>
        <v>0</v>
      </c>
      <c r="DN119" s="6">
        <f>SUMIF('Eredeti fejléccel'!$B:$B,'Felosztás eredménykim'!$B119,'Eredeti fejléccel'!$BS:$BS)</f>
        <v>0</v>
      </c>
      <c r="DO119" s="6">
        <f>SUMIF('Eredeti fejléccel'!$B:$B,'Felosztás eredménykim'!$B119,'Eredeti fejléccel'!$BO:$BO)</f>
        <v>0</v>
      </c>
      <c r="DP119" s="6">
        <f>SUMIF('Eredeti fejléccel'!$B:$B,'Felosztás eredménykim'!$B119,'Eredeti fejléccel'!$BP:$BP)</f>
        <v>0</v>
      </c>
      <c r="DQ119" s="6">
        <f>SUMIF('Eredeti fejléccel'!$B:$B,'Felosztás eredménykim'!$B119,'Eredeti fejléccel'!$BQ:$BQ)</f>
        <v>0</v>
      </c>
      <c r="DR119" s="210"/>
      <c r="DS119" s="211"/>
      <c r="DT119" s="210"/>
      <c r="DU119" s="6">
        <f>SUMIF('Eredeti fejléccel'!$B:$B,'Felosztás eredménykim'!$B119,'Eredeti fejléccel'!$BT:$BT)</f>
        <v>0</v>
      </c>
      <c r="DV119" s="6">
        <f>SUMIF('Eredeti fejléccel'!$B:$B,'Felosztás eredménykim'!$B119,'Eredeti fejléccel'!$BU:$BU)</f>
        <v>0</v>
      </c>
      <c r="DW119" s="6">
        <f>SUMIF('Eredeti fejléccel'!$B:$B,'Felosztás eredménykim'!$B119,'Eredeti fejléccel'!$BV:$BV)</f>
        <v>0</v>
      </c>
      <c r="DX119" s="6">
        <f>SUMIF('Eredeti fejléccel'!$B:$B,'Felosztás eredménykim'!$B119,'Eredeti fejléccel'!$BW:$BW)</f>
        <v>0</v>
      </c>
      <c r="DY119" s="6">
        <f>SUMIF('Eredeti fejléccel'!$B:$B,'Felosztás eredménykim'!$B119,'Eredeti fejléccel'!$BX:$BX)</f>
        <v>0</v>
      </c>
      <c r="DZ119" s="6"/>
      <c r="EA119" s="6"/>
      <c r="EB119" s="6"/>
      <c r="EC119" s="6"/>
      <c r="ED119" s="6"/>
      <c r="EE119" s="6">
        <f>SUMIF('Eredeti fejléccel'!$B:$B,'Felosztás eredménykim'!$B119,'Eredeti fejléccel'!$CA:$CA)</f>
        <v>0</v>
      </c>
      <c r="EF119" s="6">
        <f>SUMIF('Eredeti fejléccel'!$B:$B,'Felosztás eredménykim'!$B119,'Eredeti fejléccel'!$CB:$CB)</f>
        <v>0</v>
      </c>
      <c r="EG119" s="6">
        <f>SUMIF('Eredeti fejléccel'!$B:$B,'Felosztás eredménykim'!$B119,'Eredeti fejléccel'!$CC:$CC)</f>
        <v>0</v>
      </c>
      <c r="EH119" s="6">
        <f>SUMIF('Eredeti fejléccel'!$B:$B,'Felosztás eredménykim'!$B119,'Eredeti fejléccel'!$CD:$CD)</f>
        <v>0</v>
      </c>
      <c r="EI119" s="210"/>
      <c r="EJ119" s="211"/>
      <c r="EK119" s="6">
        <f>SUMIF('Eredeti fejléccel'!$B:$B,'Felosztás eredménykim'!$B119,'Eredeti fejléccel'!$CE:$CE)</f>
        <v>0</v>
      </c>
      <c r="EL119" s="211"/>
      <c r="EM119" s="210"/>
      <c r="EN119" s="6">
        <f>SUMIF('Eredeti fejléccel'!$B:$B,'Felosztás eredménykim'!$B119,'Eredeti fejléccel'!$CF:$CF)</f>
        <v>0</v>
      </c>
      <c r="EO119" s="210"/>
      <c r="EP119" s="6">
        <f>SUMIF('Eredeti fejléccel'!$B:$B,'Felosztás eredménykim'!$B119,'Eredeti fejléccel'!$CG:$CG)</f>
        <v>0</v>
      </c>
      <c r="EQ119" s="210"/>
      <c r="ER119" s="211"/>
      <c r="ES119" s="6">
        <f>SUMIF('Eredeti fejléccel'!$B:$B,'Felosztás eredménykim'!$B119,'Eredeti fejléccel'!$CH:$CH)</f>
        <v>0</v>
      </c>
      <c r="ET119" s="6">
        <f>SUMIF('Eredeti fejléccel'!$B:$B,'Felosztás eredménykim'!$B119,'Eredeti fejléccel'!$CI:$CI)</f>
        <v>0</v>
      </c>
      <c r="EU119" s="210"/>
      <c r="EV119" s="211"/>
      <c r="EW119" s="211">
        <f t="shared" si="118"/>
        <v>0</v>
      </c>
      <c r="EX119" s="211">
        <f t="shared" si="78"/>
        <v>0</v>
      </c>
      <c r="EY119" s="211">
        <f t="shared" si="119"/>
        <v>1608837</v>
      </c>
      <c r="EZ119" s="211">
        <f t="shared" si="120"/>
        <v>2620670</v>
      </c>
      <c r="FA119" s="211">
        <f t="shared" si="121"/>
        <v>1608837</v>
      </c>
      <c r="FB119" s="211"/>
      <c r="FC119" s="6">
        <f>SUMIF('Eredeti fejléccel'!$B:$B,'Felosztás eredménykim'!$B119,'Eredeti fejléccel'!$L:$L)</f>
        <v>0</v>
      </c>
      <c r="FD119" s="6">
        <f>SUMIF('Eredeti fejléccel'!$B:$B,'Felosztás eredménykim'!$B119,'Eredeti fejléccel'!$CJ:$CJ)</f>
        <v>778707</v>
      </c>
      <c r="FE119" s="6">
        <f>SUMIF('Eredeti fejléccel'!$B:$B,'Felosztás eredménykim'!$B119,'Eredeti fejléccel'!$CL:$CL)</f>
        <v>0</v>
      </c>
      <c r="FF119" s="213"/>
      <c r="FG119" s="214">
        <f t="shared" si="79"/>
        <v>778707</v>
      </c>
      <c r="FH119" s="6">
        <f>SUMIF('Eredeti fejléccel'!$B:$B,'Felosztás eredménykim'!$B119,'Eredeti fejléccel'!$CK:$CK)</f>
        <v>0</v>
      </c>
      <c r="FI119" s="36">
        <f t="shared" si="145"/>
        <v>669602.20710011304</v>
      </c>
      <c r="FJ119" s="216">
        <f t="shared" si="104"/>
        <v>172675.28706548098</v>
      </c>
      <c r="FK119" s="6">
        <f>SUMIF('Eredeti fejléccel'!$B:$B,'Felosztás eredménykim'!$B119,'Eredeti fejléccel'!$CM:$CM)</f>
        <v>3875462</v>
      </c>
      <c r="FL119" s="6">
        <f>SUMIF('Eredeti fejléccel'!$B:$B,'Felosztás eredménykim'!$B119,'Eredeti fejléccel'!$CN:$CN)</f>
        <v>0</v>
      </c>
      <c r="FM119" s="211">
        <f t="shared" si="80"/>
        <v>4048137.2870654808</v>
      </c>
      <c r="FN119" s="36">
        <f t="shared" si="146"/>
        <v>569271.72692579788</v>
      </c>
      <c r="FO119" s="216">
        <f t="shared" si="106"/>
        <v>146802.32206952304</v>
      </c>
      <c r="FP119" s="6">
        <f>SUMIF('Eredeti fejléccel'!$B:$B,'Felosztás eredménykim'!$B119,'Eredeti fejléccel'!$CO:$CO)</f>
        <v>1613773</v>
      </c>
      <c r="FQ119" s="6">
        <f>'Eredeti fejléccel'!CP119</f>
        <v>1290409</v>
      </c>
      <c r="FR119" s="6">
        <f>'Eredeti fejléccel'!CQ119</f>
        <v>0</v>
      </c>
      <c r="FS119" s="103">
        <f t="shared" si="122"/>
        <v>3050984.3220695229</v>
      </c>
      <c r="FT119" s="36">
        <f t="shared" si="147"/>
        <v>1571355.9632167073</v>
      </c>
      <c r="FU119" s="216">
        <f t="shared" si="108"/>
        <v>405217.21576394502</v>
      </c>
      <c r="FV119" s="216"/>
      <c r="FW119" s="6">
        <f>SUMIF('Eredeti fejléccel'!$B:$B,'Felosztás eredménykim'!$B119,'Eredeti fejléccel'!$CR:$CR)</f>
        <v>8032490</v>
      </c>
      <c r="FX119" s="6">
        <f>SUMIF('Eredeti fejléccel'!$B:$B,'Felosztás eredménykim'!$B119,'Eredeti fejléccel'!$CS:$CS)</f>
        <v>701205</v>
      </c>
      <c r="FY119" s="6">
        <f>SUMIF('Eredeti fejléccel'!$B:$B,'Felosztás eredménykim'!$B119,'Eredeti fejléccel'!$CT:$CT)</f>
        <v>373079</v>
      </c>
      <c r="FZ119" s="6">
        <f>SUMIF('Eredeti fejléccel'!$B:$B,'Felosztás eredménykim'!$B119,'Eredeti fejléccel'!$CU:$CU)</f>
        <v>0</v>
      </c>
      <c r="GA119" s="217">
        <f t="shared" si="81"/>
        <v>9511991.2157639451</v>
      </c>
      <c r="GB119" s="36">
        <f t="shared" si="148"/>
        <v>209449.03160477467</v>
      </c>
      <c r="GC119" s="216">
        <f t="shared" si="110"/>
        <v>54012.175101050925</v>
      </c>
      <c r="GD119" s="210">
        <f>SUMIF('Eredeti fejléccel'!$B:$B,'Felosztás eredménykim'!$B119,'Eredeti fejléccel'!$CV:$CV)</f>
        <v>1332089</v>
      </c>
      <c r="GE119" s="6">
        <f>SUMIF('Eredeti fejléccel'!$B:$B,'Felosztás eredménykim'!$B119,'Eredeti fejléccel'!$CW:$CW)</f>
        <v>0</v>
      </c>
      <c r="GF119" s="217">
        <f t="shared" si="82"/>
        <v>1386101.1751010509</v>
      </c>
      <c r="GG119" s="212">
        <f t="shared" si="111"/>
        <v>0</v>
      </c>
      <c r="GH119" s="210"/>
      <c r="GI119" s="211"/>
      <c r="GJ119" s="210"/>
      <c r="GK119" s="211"/>
      <c r="GL119" s="210"/>
      <c r="GM119" s="6">
        <f>SUMIF('Eredeti fejléccel'!$B:$B,'Felosztás eredménykim'!$B119,'Eredeti fejléccel'!$CX:$CX)</f>
        <v>0</v>
      </c>
      <c r="GN119" s="6">
        <f>SUMIF('Eredeti fejléccel'!$B:$B,'Felosztás eredménykim'!$B119,'Eredeti fejléccel'!$CY:$CY)</f>
        <v>0</v>
      </c>
      <c r="GO119" s="6">
        <f>SUMIF('Eredeti fejléccel'!$B:$B,'Felosztás eredménykim'!$B119,'Eredeti fejléccel'!$CZ:$CZ)</f>
        <v>0</v>
      </c>
      <c r="GP119" s="6">
        <f>SUMIF('Eredeti fejléccel'!$B:$B,'Felosztás eredménykim'!$B119,'Eredeti fejléccel'!$DA:$DA)</f>
        <v>0</v>
      </c>
      <c r="GQ119" s="6">
        <f>SUMIF('Eredeti fejléccel'!$B:$B,'Felosztás eredménykim'!$B119,'Eredeti fejléccel'!$DB:$DB)</f>
        <v>0</v>
      </c>
      <c r="GR119" s="217">
        <f t="shared" si="83"/>
        <v>0</v>
      </c>
      <c r="GS119" s="211"/>
      <c r="GT119" s="211"/>
      <c r="GU119" s="211"/>
      <c r="GV119" s="211"/>
      <c r="GW119" s="212">
        <f t="shared" si="112"/>
        <v>359541.90598840959</v>
      </c>
      <c r="GX119" s="6">
        <f>SUMIF('Eredeti fejléccel'!$B:$B,'Felosztás eredménykim'!$B119,'Eredeti fejléccel'!$M:$M)</f>
        <v>0</v>
      </c>
      <c r="GY119" s="6">
        <f>SUMIF('Eredeti fejléccel'!$B:$B,'Felosztás eredménykim'!$B119,'Eredeti fejléccel'!$DC:$DC)</f>
        <v>667975</v>
      </c>
      <c r="GZ119" s="6">
        <f>SUMIF('Eredeti fejléccel'!$B:$B,'Felosztás eredménykim'!$B119,'Eredeti fejléccel'!$DD:$DD)</f>
        <v>0</v>
      </c>
      <c r="HA119" s="6">
        <f>SUMIF('Eredeti fejléccel'!$B:$B,'Felosztás eredménykim'!$B119,'Eredeti fejléccel'!$DE:$DE)</f>
        <v>1477325</v>
      </c>
      <c r="HB119" s="217">
        <f t="shared" si="84"/>
        <v>2145300</v>
      </c>
      <c r="HC119" s="211"/>
      <c r="HD119" s="218">
        <f>SUM(D119:HA119)-W119-X119-AD119-AE119-AF119-AG119-AK119-AL119-AM119-AS119-AT119-AU119-BE119-BF119-BG119-BL119-BM119-BN119-BO119-CB119-CC119-CD119-CI119-CJ119-CK119-CN119-CO119-CP119-CR119-CX119-DA119-DC119-DG119-DH119-DL119-EW119-EX119-EY119-EZ119-FA119-FF119-FG119-FI119-FJ119-FM119-FN119-FO119-FS119-FT119-FU119-GA119-GB119-GC119-GF119-GG119-GR119-GS119-GT119-GU119-GW119</f>
        <v>48365344.999999993</v>
      </c>
      <c r="HE119" s="9">
        <v>48365345</v>
      </c>
      <c r="HF119" s="476"/>
      <c r="HG119" s="219"/>
      <c r="HH119" s="220">
        <f t="shared" si="85"/>
        <v>0</v>
      </c>
      <c r="HI119" s="219"/>
      <c r="HJ119" s="219"/>
      <c r="HK119" s="219"/>
      <c r="HL119" s="219"/>
      <c r="HM119" s="219"/>
      <c r="HN119" s="219"/>
      <c r="HO119" s="219"/>
      <c r="HP119" s="219"/>
      <c r="HQ119" s="219"/>
      <c r="HR119" s="219"/>
      <c r="HS119" s="219"/>
      <c r="HT119" s="219"/>
      <c r="HU119" s="219"/>
      <c r="HV119" s="219"/>
      <c r="HW119" s="219"/>
      <c r="HX119" s="219"/>
    </row>
    <row r="120" spans="1:232" x14ac:dyDescent="0.25">
      <c r="A120" s="4" t="s">
        <v>234</v>
      </c>
      <c r="B120" s="4" t="s">
        <v>234</v>
      </c>
      <c r="C120" s="1" t="s">
        <v>235</v>
      </c>
      <c r="D120" s="6">
        <f>SUMIF('Eredeti fejléccel'!$B:$B,'Felosztás eredménykim'!$B120,'Eredeti fejléccel'!$D:$D)</f>
        <v>0</v>
      </c>
      <c r="E120" s="6">
        <f>SUMIF('Eredeti fejléccel'!$B:$B,'Felosztás eredménykim'!$B120,'Eredeti fejléccel'!$E:$E)</f>
        <v>0</v>
      </c>
      <c r="F120" s="6">
        <f>SUMIF('Eredeti fejléccel'!$B:$B,'Felosztás eredménykim'!$B120,'Eredeti fejléccel'!$F:$F)</f>
        <v>0</v>
      </c>
      <c r="G120" s="6">
        <f>SUMIF('Eredeti fejléccel'!$B:$B,'Felosztás eredménykim'!$B120,'Eredeti fejléccel'!$G:$G)</f>
        <v>0</v>
      </c>
      <c r="H120" s="6"/>
      <c r="I120" s="6">
        <f>SUMIF('Eredeti fejléccel'!$B:$B,'Felosztás eredménykim'!$B120,'Eredeti fejléccel'!$O:$O)</f>
        <v>0</v>
      </c>
      <c r="J120" s="6">
        <f>SUMIF('Eredeti fejléccel'!$B:$B,'Felosztás eredménykim'!$B120,'Eredeti fejléccel'!$P:$P)</f>
        <v>0</v>
      </c>
      <c r="K120" s="6">
        <f>SUMIF('Eredeti fejléccel'!$B:$B,'Felosztás eredménykim'!$B120,'Eredeti fejléccel'!$Q:$Q)</f>
        <v>0</v>
      </c>
      <c r="L120" s="6">
        <f>SUMIF('Eredeti fejléccel'!$B:$B,'Felosztás eredménykim'!$B120,'Eredeti fejléccel'!$R:$R)</f>
        <v>0</v>
      </c>
      <c r="M120" s="6">
        <f>SUMIF('Eredeti fejléccel'!$B:$B,'Felosztás eredménykim'!$B120,'Eredeti fejléccel'!$T:$T)</f>
        <v>0</v>
      </c>
      <c r="N120" s="6">
        <f>SUMIF('Eredeti fejléccel'!$B:$B,'Felosztás eredménykim'!$B120,'Eredeti fejléccel'!$U:$U)</f>
        <v>0</v>
      </c>
      <c r="O120" s="6">
        <f>SUMIF('Eredeti fejléccel'!$B:$B,'Felosztás eredménykim'!$B120,'Eredeti fejléccel'!$V:$V)</f>
        <v>0</v>
      </c>
      <c r="P120" s="6">
        <f>SUMIF('Eredeti fejléccel'!$B:$B,'Felosztás eredménykim'!$B120,'Eredeti fejléccel'!$W:$W)</f>
        <v>261360</v>
      </c>
      <c r="Q120" s="6">
        <f>SUMIF('Eredeti fejléccel'!$B:$B,'Felosztás eredménykim'!$B120,'Eredeti fejléccel'!$X:$X)</f>
        <v>0</v>
      </c>
      <c r="R120" s="6">
        <f>SUMIF('Eredeti fejléccel'!$B:$B,'Felosztás eredménykim'!$B120,'Eredeti fejléccel'!$Y:$Y)</f>
        <v>272040</v>
      </c>
      <c r="S120" s="6">
        <f>SUMIF('Eredeti fejléccel'!$B:$B,'Felosztás eredménykim'!$B120,'Eredeti fejléccel'!$Z:$Z)</f>
        <v>248160</v>
      </c>
      <c r="T120" s="6">
        <f>SUMIF('Eredeti fejléccel'!$B:$B,'Felosztás eredménykim'!$B120,'Eredeti fejléccel'!$AA:$AA)</f>
        <v>0</v>
      </c>
      <c r="U120" s="6">
        <f>SUMIF('Eredeti fejléccel'!$B:$B,'Felosztás eredménykim'!$B120,'Eredeti fejléccel'!$D:$D)</f>
        <v>0</v>
      </c>
      <c r="V120" s="6">
        <f>SUMIF('Eredeti fejléccel'!$B:$B,'Felosztás eredménykim'!$B120,'Eredeti fejléccel'!$AT:$AT)</f>
        <v>8256</v>
      </c>
      <c r="X120" s="36">
        <f t="shared" si="86"/>
        <v>789816</v>
      </c>
      <c r="Z120" s="6">
        <f>SUMIF('Eredeti fejléccel'!$B:$B,'Felosztás eredménykim'!$B120,'Eredeti fejléccel'!$K:$K)</f>
        <v>0</v>
      </c>
      <c r="AB120" s="6">
        <f>SUMIF('Eredeti fejléccel'!$B:$B,'Felosztás eredménykim'!$B120,'Eredeti fejléccel'!$AB:$AB)</f>
        <v>0</v>
      </c>
      <c r="AC120" s="6">
        <f>SUMIF('Eredeti fejléccel'!$B:$B,'Felosztás eredménykim'!$B120,'Eredeti fejléccel'!$AQ:$AQ)</f>
        <v>0</v>
      </c>
      <c r="AE120" s="73">
        <f>SUM(Z120:AD120)</f>
        <v>0</v>
      </c>
      <c r="AF120" s="36">
        <f t="shared" si="138"/>
        <v>94220.81659790696</v>
      </c>
      <c r="AG120" s="8">
        <f t="shared" si="88"/>
        <v>0</v>
      </c>
      <c r="AI120" s="6">
        <f>SUMIF('Eredeti fejléccel'!$B:$B,'Felosztás eredménykim'!$B120,'Eredeti fejléccel'!$BB:$BB)</f>
        <v>0</v>
      </c>
      <c r="AJ120" s="6">
        <f>SUMIF('Eredeti fejléccel'!$B:$B,'Felosztás eredménykim'!$B120,'Eredeti fejléccel'!$AF:$AF)</f>
        <v>0</v>
      </c>
      <c r="AK120" s="8">
        <f>SUM(AG120:AJ120)</f>
        <v>0</v>
      </c>
      <c r="AL120" s="36">
        <f t="shared" si="139"/>
        <v>37424.032623460385</v>
      </c>
      <c r="AM120" s="8">
        <f t="shared" si="90"/>
        <v>0</v>
      </c>
      <c r="AN120" s="6">
        <f t="shared" si="123"/>
        <v>0</v>
      </c>
      <c r="AO120" s="6">
        <f>SUMIF('Eredeti fejléccel'!$B:$B,'Felosztás eredménykim'!$B120,'Eredeti fejléccel'!$AC:$AC)</f>
        <v>0</v>
      </c>
      <c r="AP120" s="6">
        <f>SUMIF('Eredeti fejléccel'!$B:$B,'Felosztás eredménykim'!$B120,'Eredeti fejléccel'!$AD:$AD)</f>
        <v>0</v>
      </c>
      <c r="AQ120" s="6">
        <f>SUMIF('Eredeti fejléccel'!$B:$B,'Felosztás eredménykim'!$B120,'Eredeti fejléccel'!$AE:$AE)</f>
        <v>0</v>
      </c>
      <c r="AR120" s="6">
        <f>SUMIF('Eredeti fejléccel'!$B:$B,'Felosztás eredménykim'!$B120,'Eredeti fejléccel'!$AG:$AG)</f>
        <v>173340</v>
      </c>
      <c r="AS120" s="6">
        <f t="shared" si="124"/>
        <v>173340</v>
      </c>
      <c r="AT120" s="36">
        <f t="shared" si="140"/>
        <v>60787.623611552888</v>
      </c>
      <c r="AU120" s="8">
        <f t="shared" si="92"/>
        <v>0</v>
      </c>
      <c r="AV120" s="6">
        <f>SUMIF('Eredeti fejléccel'!$B:$B,'Felosztás eredménykim'!$B120,'Eredeti fejléccel'!$AI:$AI)</f>
        <v>0</v>
      </c>
      <c r="AW120" s="6">
        <f>SUMIF('Eredeti fejléccel'!$B:$B,'Felosztás eredménykim'!$B120,'Eredeti fejléccel'!$AJ:$AJ)</f>
        <v>0</v>
      </c>
      <c r="AX120" s="6">
        <f>SUMIF('Eredeti fejléccel'!$B:$B,'Felosztás eredménykim'!$B120,'Eredeti fejléccel'!$AK:$AK)</f>
        <v>0</v>
      </c>
      <c r="AY120" s="6">
        <f>SUMIF('Eredeti fejléccel'!$B:$B,'Felosztás eredménykim'!$B120,'Eredeti fejléccel'!$AL:$AL)</f>
        <v>0</v>
      </c>
      <c r="AZ120" s="6">
        <f>SUMIF('Eredeti fejléccel'!$B:$B,'Felosztás eredménykim'!$B120,'Eredeti fejléccel'!$AM:$AM)</f>
        <v>0</v>
      </c>
      <c r="BA120" s="6">
        <f>SUMIF('Eredeti fejléccel'!$B:$B,'Felosztás eredménykim'!$B120,'Eredeti fejléccel'!$AN:$AN)</f>
        <v>0</v>
      </c>
      <c r="BB120" s="6">
        <f>SUMIF('Eredeti fejléccel'!$B:$B,'Felosztás eredménykim'!$B120,'Eredeti fejléccel'!$AP:$AP)</f>
        <v>0</v>
      </c>
      <c r="BD120" s="6">
        <f>SUMIF('Eredeti fejléccel'!$B:$B,'Felosztás eredménykim'!$B120,'Eredeti fejléccel'!$AS:$AS)</f>
        <v>0</v>
      </c>
      <c r="BE120" s="8">
        <f>SUM(AU120:BD120)</f>
        <v>0</v>
      </c>
      <c r="BF120" s="36">
        <f t="shared" si="141"/>
        <v>15857.640942144229</v>
      </c>
      <c r="BG120" s="8">
        <f t="shared" si="94"/>
        <v>0</v>
      </c>
      <c r="BH120" s="6">
        <f t="shared" si="125"/>
        <v>0</v>
      </c>
      <c r="BI120" s="6">
        <f>SUMIF('Eredeti fejléccel'!$B:$B,'Felosztás eredménykim'!$B120,'Eredeti fejléccel'!$AH:$AH)</f>
        <v>0</v>
      </c>
      <c r="BJ120" s="6">
        <f>SUMIF('Eredeti fejléccel'!$B:$B,'Felosztás eredménykim'!$B120,'Eredeti fejléccel'!$AO:$AO)</f>
        <v>0</v>
      </c>
      <c r="BK120" s="6">
        <f>SUMIF('Eredeti fejléccel'!$B:$B,'Felosztás eredménykim'!$B120,'Eredeti fejléccel'!$BF:$BF)</f>
        <v>0</v>
      </c>
      <c r="BL120" s="8">
        <f t="shared" si="126"/>
        <v>0</v>
      </c>
      <c r="BM120" s="36">
        <f t="shared" si="142"/>
        <v>59413.294729900394</v>
      </c>
      <c r="BN120" s="8">
        <f t="shared" si="96"/>
        <v>0</v>
      </c>
      <c r="BO120" s="8">
        <f>98868/2</f>
        <v>49434</v>
      </c>
      <c r="BP120" s="8">
        <f t="shared" si="127"/>
        <v>0</v>
      </c>
      <c r="BQ120" s="6">
        <f>SUMIF('Eredeti fejléccel'!$B:$B,'Felosztás eredménykim'!$B120,'Eredeti fejléccel'!$N:$N)</f>
        <v>0</v>
      </c>
      <c r="BR120" s="6">
        <f>SUMIF('Eredeti fejléccel'!$B:$B,'Felosztás eredménykim'!$B120,'Eredeti fejléccel'!$S:$S)</f>
        <v>0</v>
      </c>
      <c r="BT120" s="6">
        <f>SUMIF('Eredeti fejléccel'!$B:$B,'Felosztás eredménykim'!$B120,'Eredeti fejléccel'!$AR:$AR)</f>
        <v>0</v>
      </c>
      <c r="BU120" s="6">
        <f>SUMIF('Eredeti fejléccel'!$B:$B,'Felosztás eredménykim'!$B120,'Eredeti fejléccel'!$AU:$AU)</f>
        <v>0</v>
      </c>
      <c r="BV120" s="6">
        <f>SUMIF('Eredeti fejléccel'!$B:$B,'Felosztás eredménykim'!$B120,'Eredeti fejléccel'!$AV:$AV)</f>
        <v>0</v>
      </c>
      <c r="BW120" s="6">
        <f>SUMIF('Eredeti fejléccel'!$B:$B,'Felosztás eredménykim'!$B120,'Eredeti fejléccel'!$AW:$AW)</f>
        <v>0</v>
      </c>
      <c r="BX120" s="6">
        <f>SUMIF('Eredeti fejléccel'!$B:$B,'Felosztás eredménykim'!$B120,'Eredeti fejléccel'!$AX:$AX)</f>
        <v>0</v>
      </c>
      <c r="BY120" s="6">
        <f>SUMIF('Eredeti fejléccel'!$B:$B,'Felosztás eredménykim'!$B120,'Eredeti fejléccel'!$AY:$AY)</f>
        <v>0</v>
      </c>
      <c r="BZ120" s="6">
        <f>SUMIF('Eredeti fejléccel'!$B:$B,'Felosztás eredménykim'!$B120,'Eredeti fejléccel'!$AZ:$AZ)</f>
        <v>0</v>
      </c>
      <c r="CA120" s="6">
        <f>SUMIF('Eredeti fejléccel'!$B:$B,'Felosztás eredménykim'!$B120,'Eredeti fejléccel'!$BA:$BA)</f>
        <v>0</v>
      </c>
      <c r="CB120" s="6">
        <f t="shared" si="114"/>
        <v>49434</v>
      </c>
      <c r="CC120" s="36">
        <f t="shared" si="143"/>
        <v>16174.793760987115</v>
      </c>
      <c r="CD120" s="8">
        <f t="shared" si="98"/>
        <v>0</v>
      </c>
      <c r="CE120" s="6">
        <f>SUMIF('Eredeti fejléccel'!$B:$B,'Felosztás eredménykim'!$B120,'Eredeti fejléccel'!$BC:$BC)</f>
        <v>0</v>
      </c>
      <c r="CF120" s="8">
        <f>-CE120/2</f>
        <v>0</v>
      </c>
      <c r="CG120" s="6">
        <f>SUMIF('Eredeti fejléccel'!$B:$B,'Felosztás eredménykim'!$B120,'Eredeti fejléccel'!$H:$H)</f>
        <v>0</v>
      </c>
      <c r="CH120" s="6">
        <f>SUMIF('Eredeti fejléccel'!$B:$B,'Felosztás eredménykim'!$B120,'Eredeti fejléccel'!$BE:$BE)</f>
        <v>0</v>
      </c>
      <c r="CI120" s="6">
        <f>SUM(CD120:CH120)</f>
        <v>0</v>
      </c>
      <c r="CJ120" s="36">
        <f t="shared" si="144"/>
        <v>11628.936690905772</v>
      </c>
      <c r="CK120" s="8">
        <f t="shared" si="100"/>
        <v>0</v>
      </c>
      <c r="CL120" s="8">
        <f>CE120/2</f>
        <v>0</v>
      </c>
      <c r="CM120" s="6">
        <f>SUMIF('Eredeti fejléccel'!$B:$B,'Felosztás eredménykim'!$B120,'Eredeti fejléccel'!$BD:$BD)</f>
        <v>0</v>
      </c>
      <c r="CN120" s="8">
        <f>SUM(CK120:CM120)</f>
        <v>0</v>
      </c>
      <c r="CO120" s="8">
        <f t="shared" si="115"/>
        <v>518281.13895685767</v>
      </c>
      <c r="CR120" s="36">
        <f t="shared" si="101"/>
        <v>69852.690019317466</v>
      </c>
      <c r="CS120" s="6">
        <f>SUMIF('Eredeti fejléccel'!$B:$B,'Felosztás eredménykim'!$B120,'Eredeti fejléccel'!$I:$I)</f>
        <v>0</v>
      </c>
      <c r="CT120" s="6">
        <f>SUMIF('Eredeti fejléccel'!$B:$B,'Felosztás eredménykim'!$B120,'Eredeti fejléccel'!$BG:$BG)</f>
        <v>0</v>
      </c>
      <c r="CU120" s="6">
        <f>SUMIF('Eredeti fejléccel'!$B:$B,'Felosztás eredménykim'!$B120,'Eredeti fejléccel'!$BH:$BH)</f>
        <v>0</v>
      </c>
      <c r="CV120" s="6">
        <f>SUMIF('Eredeti fejléccel'!$B:$B,'Felosztás eredménykim'!$B120,'Eredeti fejléccel'!$BI:$BI)</f>
        <v>0</v>
      </c>
      <c r="CW120" s="6">
        <f>SUMIF('Eredeti fejléccel'!$B:$B,'Felosztás eredménykim'!$B120,'Eredeti fejléccel'!$BL:$BL)</f>
        <v>756000</v>
      </c>
      <c r="CX120" s="6">
        <f t="shared" si="77"/>
        <v>756000</v>
      </c>
      <c r="CY120" s="6">
        <f>SUMIF('Eredeti fejléccel'!$B:$B,'Felosztás eredménykim'!$B120,'Eredeti fejléccel'!$BJ:$BJ)</f>
        <v>0</v>
      </c>
      <c r="CZ120" s="6">
        <f>SUMIF('Eredeti fejléccel'!$B:$B,'Felosztás eredménykim'!$B120,'Eredeti fejléccel'!$BK:$BK)</f>
        <v>0</v>
      </c>
      <c r="DA120" s="99">
        <f t="shared" si="116"/>
        <v>756000</v>
      </c>
      <c r="DC120" s="36">
        <f t="shared" si="102"/>
        <v>61181.496973599504</v>
      </c>
      <c r="DD120" s="6">
        <f>SUMIF('Eredeti fejléccel'!$B:$B,'Felosztás eredménykim'!$B120,'Eredeti fejléccel'!$J:$J)</f>
        <v>0</v>
      </c>
      <c r="DE120" s="6">
        <f>SUMIF('Eredeti fejléccel'!$B:$B,'Felosztás eredménykim'!$B120,'Eredeti fejléccel'!$BM:$BM)</f>
        <v>378000</v>
      </c>
      <c r="DF120" s="6">
        <f t="shared" si="128"/>
        <v>0</v>
      </c>
      <c r="DG120" s="8">
        <f t="shared" si="117"/>
        <v>-49434</v>
      </c>
      <c r="DH120" s="8">
        <f t="shared" si="129"/>
        <v>328566</v>
      </c>
      <c r="DJ120" s="6">
        <f>SUMIF('Eredeti fejléccel'!$B:$B,'Felosztás eredménykim'!$B120,'Eredeti fejléccel'!$BN:$BN)</f>
        <v>0</v>
      </c>
      <c r="DK120" s="6">
        <f>SUMIF('Eredeti fejléccel'!$B:$B,'Felosztás eredménykim'!$B120,'Eredeti fejléccel'!$BZ:$BZ)</f>
        <v>0</v>
      </c>
      <c r="DL120" s="8">
        <f t="shared" si="130"/>
        <v>0</v>
      </c>
      <c r="DM120" s="6">
        <f>SUMIF('Eredeti fejléccel'!$B:$B,'Felosztás eredménykim'!$B120,'Eredeti fejléccel'!$BR:$BR)</f>
        <v>0</v>
      </c>
      <c r="DN120" s="6">
        <f>SUMIF('Eredeti fejléccel'!$B:$B,'Felosztás eredménykim'!$B120,'Eredeti fejléccel'!$BS:$BS)</f>
        <v>0</v>
      </c>
      <c r="DO120" s="6">
        <f>SUMIF('Eredeti fejléccel'!$B:$B,'Felosztás eredménykim'!$B120,'Eredeti fejléccel'!$BO:$BO)</f>
        <v>0</v>
      </c>
      <c r="DP120" s="6">
        <f>SUMIF('Eredeti fejléccel'!$B:$B,'Felosztás eredménykim'!$B120,'Eredeti fejléccel'!$BP:$BP)</f>
        <v>0</v>
      </c>
      <c r="DQ120" s="6">
        <f>SUMIF('Eredeti fejléccel'!$B:$B,'Felosztás eredménykim'!$B120,'Eredeti fejléccel'!$BQ:$BQ)</f>
        <v>0</v>
      </c>
      <c r="DS120" s="8"/>
      <c r="DU120" s="6">
        <f>SUMIF('Eredeti fejléccel'!$B:$B,'Felosztás eredménykim'!$B120,'Eredeti fejléccel'!$BT:$BT)</f>
        <v>0</v>
      </c>
      <c r="DV120" s="6">
        <f>SUMIF('Eredeti fejléccel'!$B:$B,'Felosztás eredménykim'!$B120,'Eredeti fejléccel'!$BU:$BU)</f>
        <v>0</v>
      </c>
      <c r="DW120" s="6">
        <f>SUMIF('Eredeti fejléccel'!$B:$B,'Felosztás eredménykim'!$B120,'Eredeti fejléccel'!$BV:$BV)</f>
        <v>0</v>
      </c>
      <c r="DX120" s="6">
        <f>SUMIF('Eredeti fejléccel'!$B:$B,'Felosztás eredménykim'!$B120,'Eredeti fejléccel'!$BW:$BW)</f>
        <v>0</v>
      </c>
      <c r="DY120" s="6">
        <f>SUMIF('Eredeti fejléccel'!$B:$B,'Felosztás eredménykim'!$B120,'Eredeti fejléccel'!$BX:$BX)</f>
        <v>0</v>
      </c>
      <c r="EA120" s="6"/>
      <c r="EC120" s="6"/>
      <c r="EE120" s="6">
        <f>SUMIF('Eredeti fejléccel'!$B:$B,'Felosztás eredménykim'!$B120,'Eredeti fejléccel'!$CA:$CA)</f>
        <v>0</v>
      </c>
      <c r="EF120" s="6">
        <f>SUMIF('Eredeti fejléccel'!$B:$B,'Felosztás eredménykim'!$B120,'Eredeti fejléccel'!$CB:$CB)</f>
        <v>0</v>
      </c>
      <c r="EG120" s="6">
        <f>SUMIF('Eredeti fejléccel'!$B:$B,'Felosztás eredménykim'!$B120,'Eredeti fejléccel'!$CC:$CC)</f>
        <v>0</v>
      </c>
      <c r="EH120" s="6">
        <f>SUMIF('Eredeti fejléccel'!$B:$B,'Felosztás eredménykim'!$B120,'Eredeti fejléccel'!$CD:$CD)</f>
        <v>0</v>
      </c>
      <c r="EK120" s="6">
        <f>SUMIF('Eredeti fejléccel'!$B:$B,'Felosztás eredménykim'!$B120,'Eredeti fejléccel'!$CE:$CE)</f>
        <v>0</v>
      </c>
      <c r="EN120" s="6">
        <f>SUMIF('Eredeti fejléccel'!$B:$B,'Felosztás eredménykim'!$B120,'Eredeti fejléccel'!$CF:$CF)</f>
        <v>0</v>
      </c>
      <c r="EP120" s="6">
        <f>SUMIF('Eredeti fejléccel'!$B:$B,'Felosztás eredménykim'!$B120,'Eredeti fejléccel'!$CG:$CG)</f>
        <v>0</v>
      </c>
      <c r="ES120" s="6">
        <f>SUMIF('Eredeti fejléccel'!$B:$B,'Felosztás eredménykim'!$B120,'Eredeti fejléccel'!$CH:$CH)</f>
        <v>0</v>
      </c>
      <c r="ET120" s="6">
        <f>SUMIF('Eredeti fejléccel'!$B:$B,'Felosztás eredménykim'!$B120,'Eredeti fejléccel'!$CI:$CI)</f>
        <v>0</v>
      </c>
      <c r="EW120" s="8">
        <f t="shared" si="118"/>
        <v>0</v>
      </c>
      <c r="EX120" s="8">
        <f t="shared" si="78"/>
        <v>0</v>
      </c>
      <c r="EY120" s="8">
        <f t="shared" si="119"/>
        <v>328566</v>
      </c>
      <c r="EZ120" s="8">
        <f t="shared" si="120"/>
        <v>328566</v>
      </c>
      <c r="FA120" s="8">
        <f t="shared" si="121"/>
        <v>328566</v>
      </c>
      <c r="FC120" s="6">
        <f>SUMIF('Eredeti fejléccel'!$B:$B,'Felosztás eredménykim'!$B120,'Eredeti fejléccel'!$L:$L)</f>
        <v>0</v>
      </c>
      <c r="FD120" s="6">
        <f>SUMIF('Eredeti fejléccel'!$B:$B,'Felosztás eredménykim'!$B120,'Eredeti fejléccel'!$CJ:$CJ)</f>
        <v>0</v>
      </c>
      <c r="FE120" s="6">
        <f>SUMIF('Eredeti fejléccel'!$B:$B,'Felosztás eredménykim'!$B120,'Eredeti fejléccel'!$CL:$CL)</f>
        <v>0</v>
      </c>
      <c r="FG120" s="99">
        <f t="shared" si="79"/>
        <v>0</v>
      </c>
      <c r="FH120" s="6">
        <f>SUMIF('Eredeti fejléccel'!$B:$B,'Felosztás eredménykim'!$B120,'Eredeti fejléccel'!$CK:$CK)</f>
        <v>0</v>
      </c>
      <c r="FI120" s="36">
        <f t="shared" si="145"/>
        <v>71983.908544830192</v>
      </c>
      <c r="FJ120" s="101">
        <f t="shared" si="104"/>
        <v>0</v>
      </c>
      <c r="FK120" s="6">
        <f>SUMIF('Eredeti fejléccel'!$B:$B,'Felosztás eredménykim'!$B120,'Eredeti fejléccel'!$CM:$CM)</f>
        <v>0</v>
      </c>
      <c r="FL120" s="6">
        <f>SUMIF('Eredeti fejléccel'!$B:$B,'Felosztás eredménykim'!$B120,'Eredeti fejléccel'!$CN:$CN)</f>
        <v>0</v>
      </c>
      <c r="FM120" s="8">
        <f t="shared" si="80"/>
        <v>0</v>
      </c>
      <c r="FN120" s="36">
        <f t="shared" si="146"/>
        <v>61198.131508036458</v>
      </c>
      <c r="FO120" s="101">
        <f t="shared" si="106"/>
        <v>0</v>
      </c>
      <c r="FP120" s="6">
        <f>SUMIF('Eredeti fejléccel'!$B:$B,'Felosztás eredménykim'!$B120,'Eredeti fejléccel'!$CO:$CO)</f>
        <v>3150</v>
      </c>
      <c r="FQ120" s="6">
        <f>'Eredeti fejléccel'!CP120</f>
        <v>0</v>
      </c>
      <c r="FR120" s="6">
        <f>'Eredeti fejléccel'!CQ120</f>
        <v>0</v>
      </c>
      <c r="FS120" s="103">
        <f t="shared" si="122"/>
        <v>3150</v>
      </c>
      <c r="FT120" s="36">
        <f t="shared" si="147"/>
        <v>168924.68804340941</v>
      </c>
      <c r="FU120" s="101">
        <f t="shared" si="108"/>
        <v>0</v>
      </c>
      <c r="FV120" s="101"/>
      <c r="FW120" s="6">
        <f>SUMIF('Eredeti fejléccel'!$B:$B,'Felosztás eredménykim'!$B120,'Eredeti fejléccel'!$CR:$CR)</f>
        <v>0</v>
      </c>
      <c r="FX120" s="6">
        <f>SUMIF('Eredeti fejléccel'!$B:$B,'Felosztás eredménykim'!$B120,'Eredeti fejléccel'!$CS:$CS)</f>
        <v>0</v>
      </c>
      <c r="FY120" s="6">
        <f>SUMIF('Eredeti fejléccel'!$B:$B,'Felosztás eredménykim'!$B120,'Eredeti fejléccel'!$CT:$CT)</f>
        <v>0</v>
      </c>
      <c r="FZ120" s="6">
        <f>SUMIF('Eredeti fejléccel'!$B:$B,'Felosztás eredménykim'!$B120,'Eredeti fejléccel'!$CU:$CU)</f>
        <v>0</v>
      </c>
      <c r="GA120" s="103">
        <f t="shared" si="81"/>
        <v>0</v>
      </c>
      <c r="GB120" s="36">
        <f t="shared" si="148"/>
        <v>22516.293668051148</v>
      </c>
      <c r="GC120" s="101">
        <f t="shared" si="110"/>
        <v>0</v>
      </c>
      <c r="GD120" s="6">
        <f>SUMIF('Eredeti fejléccel'!$B:$B,'Felosztás eredménykim'!$B120,'Eredeti fejléccel'!$CV:$CV)</f>
        <v>16620</v>
      </c>
      <c r="GE120" s="6">
        <f>SUMIF('Eredeti fejléccel'!$B:$B,'Felosztás eredménykim'!$B120,'Eredeti fejléccel'!$CW:$CW)</f>
        <v>0</v>
      </c>
      <c r="GF120" s="103">
        <f t="shared" si="82"/>
        <v>16620</v>
      </c>
      <c r="GG120" s="36">
        <f t="shared" si="111"/>
        <v>0</v>
      </c>
      <c r="GM120" s="6">
        <f>SUMIF('Eredeti fejléccel'!$B:$B,'Felosztás eredménykim'!$B120,'Eredeti fejléccel'!$CX:$CX)</f>
        <v>0</v>
      </c>
      <c r="GN120" s="6">
        <f>SUMIF('Eredeti fejléccel'!$B:$B,'Felosztás eredménykim'!$B120,'Eredeti fejléccel'!$CY:$CY)</f>
        <v>0</v>
      </c>
      <c r="GO120" s="6">
        <f>SUMIF('Eredeti fejléccel'!$B:$B,'Felosztás eredménykim'!$B120,'Eredeti fejléccel'!$CZ:$CZ)</f>
        <v>0</v>
      </c>
      <c r="GP120" s="6">
        <f>SUMIF('Eredeti fejléccel'!$B:$B,'Felosztás eredménykim'!$B120,'Eredeti fejléccel'!$DA:$DA)</f>
        <v>0</v>
      </c>
      <c r="GQ120" s="6">
        <f>SUMIF('Eredeti fejléccel'!$B:$B,'Felosztás eredménykim'!$B120,'Eredeti fejléccel'!$DB:$DB)</f>
        <v>0</v>
      </c>
      <c r="GR120" s="103">
        <f t="shared" si="83"/>
        <v>0</v>
      </c>
      <c r="GW120" s="36">
        <f t="shared" si="112"/>
        <v>38651.652285898264</v>
      </c>
      <c r="GX120" s="6">
        <f>SUMIF('Eredeti fejléccel'!$B:$B,'Felosztás eredménykim'!$B120,'Eredeti fejléccel'!$M:$M)</f>
        <v>0</v>
      </c>
      <c r="GY120" s="6">
        <f>SUMIF('Eredeti fejléccel'!$B:$B,'Felosztás eredménykim'!$B120,'Eredeti fejléccel'!$DC:$DC)</f>
        <v>103020</v>
      </c>
      <c r="GZ120" s="6">
        <f>SUMIF('Eredeti fejléccel'!$B:$B,'Felosztás eredménykim'!$B120,'Eredeti fejléccel'!$DD:$DD)</f>
        <v>0</v>
      </c>
      <c r="HA120" s="6">
        <f>SUMIF('Eredeti fejléccel'!$B:$B,'Felosztás eredménykim'!$B120,'Eredeti fejléccel'!$DE:$DE)</f>
        <v>0</v>
      </c>
      <c r="HB120" s="103">
        <f t="shared" si="84"/>
        <v>103020</v>
      </c>
      <c r="HD120" s="218">
        <f>SUM(D120:HA120)-W120-X120-AD120-AE120-AF120-AG120-AK120-AL120-AM120-AS120-AT120-AU120-BE120-BF120-BG120-BL120-BM120-BN120-BO120-CB120-CC120-CD120-CI120-CJ120-CK120-CN120-CO120-CP120-CR120-CX120-DA120-DC120-DG120-DH120-DL120-EW120-EX120-EY120-EZ120-FA120-FF120-FG120-FI120-FJ120-FM120-FN120-FO120-FS120-FT120-FU120-GA120-GB120-GC120-GF120-GG120-GR120-GS120-GT120-GU120-GW120</f>
        <v>2219945.9999999986</v>
      </c>
      <c r="HE120" s="9">
        <v>2219946</v>
      </c>
      <c r="HF120" s="476"/>
      <c r="HH120" s="34">
        <f t="shared" si="85"/>
        <v>0</v>
      </c>
    </row>
    <row r="121" spans="1:232" s="209" customFormat="1" x14ac:dyDescent="0.25">
      <c r="A121" s="4" t="s">
        <v>236</v>
      </c>
      <c r="B121" s="208" t="s">
        <v>236</v>
      </c>
      <c r="C121" s="209" t="s">
        <v>237</v>
      </c>
      <c r="D121" s="6">
        <f>SUMIF('Eredeti fejléccel'!$B:$B,'Felosztás eredménykim'!$B121,'Eredeti fejléccel'!$D:$D)</f>
        <v>0</v>
      </c>
      <c r="E121" s="6">
        <f>SUMIF('Eredeti fejléccel'!$B:$B,'Felosztás eredménykim'!$B121,'Eredeti fejléccel'!$E:$E)</f>
        <v>0</v>
      </c>
      <c r="F121" s="6">
        <f>SUMIF('Eredeti fejléccel'!$B:$B,'Felosztás eredménykim'!$B121,'Eredeti fejléccel'!$F:$F)</f>
        <v>0</v>
      </c>
      <c r="G121" s="6">
        <f>SUMIF('Eredeti fejléccel'!$B:$B,'Felosztás eredménykim'!$B121,'Eredeti fejléccel'!$G:$G)</f>
        <v>0</v>
      </c>
      <c r="H121" s="6"/>
      <c r="I121" s="6">
        <f>SUMIF('Eredeti fejléccel'!$B:$B,'Felosztás eredménykim'!$B121,'Eredeti fejléccel'!$O:$O)</f>
        <v>0</v>
      </c>
      <c r="J121" s="6">
        <f>SUMIF('Eredeti fejléccel'!$B:$B,'Felosztás eredménykim'!$B121,'Eredeti fejléccel'!$P:$P)</f>
        <v>0</v>
      </c>
      <c r="K121" s="6">
        <f>SUMIF('Eredeti fejléccel'!$B:$B,'Felosztás eredménykim'!$B121,'Eredeti fejléccel'!$Q:$Q)</f>
        <v>0</v>
      </c>
      <c r="L121" s="6">
        <f>SUMIF('Eredeti fejléccel'!$B:$B,'Felosztás eredménykim'!$B121,'Eredeti fejléccel'!$R:$R)</f>
        <v>0</v>
      </c>
      <c r="M121" s="6">
        <f>SUMIF('Eredeti fejléccel'!$B:$B,'Felosztás eredménykim'!$B121,'Eredeti fejléccel'!$T:$T)</f>
        <v>0</v>
      </c>
      <c r="N121" s="6">
        <f>SUMIF('Eredeti fejléccel'!$B:$B,'Felosztás eredménykim'!$B121,'Eredeti fejléccel'!$U:$U)</f>
        <v>0</v>
      </c>
      <c r="O121" s="6">
        <f>SUMIF('Eredeti fejléccel'!$B:$B,'Felosztás eredménykim'!$B121,'Eredeti fejléccel'!$V:$V)</f>
        <v>0</v>
      </c>
      <c r="P121" s="6">
        <f>SUMIF('Eredeti fejléccel'!$B:$B,'Felosztás eredménykim'!$B121,'Eredeti fejléccel'!$W:$W)</f>
        <v>0</v>
      </c>
      <c r="Q121" s="6">
        <f>SUMIF('Eredeti fejléccel'!$B:$B,'Felosztás eredménykim'!$B121,'Eredeti fejléccel'!$X:$X)</f>
        <v>0</v>
      </c>
      <c r="R121" s="6">
        <f>SUMIF('Eredeti fejléccel'!$B:$B,'Felosztás eredménykim'!$B121,'Eredeti fejléccel'!$Y:$Y)</f>
        <v>0</v>
      </c>
      <c r="S121" s="6">
        <f>SUMIF('Eredeti fejléccel'!$B:$B,'Felosztás eredménykim'!$B121,'Eredeti fejléccel'!$Z:$Z)</f>
        <v>0</v>
      </c>
      <c r="T121" s="6">
        <f>SUMIF('Eredeti fejléccel'!$B:$B,'Felosztás eredménykim'!$B121,'Eredeti fejléccel'!$AA:$AA)</f>
        <v>0</v>
      </c>
      <c r="U121" s="6">
        <f>SUMIF('Eredeti fejléccel'!$B:$B,'Felosztás eredménykim'!$B121,'Eredeti fejléccel'!$D:$D)</f>
        <v>0</v>
      </c>
      <c r="V121" s="6">
        <f>SUMIF('Eredeti fejléccel'!$B:$B,'Felosztás eredménykim'!$B121,'Eredeti fejléccel'!$AT:$AT)</f>
        <v>0</v>
      </c>
      <c r="W121" s="212"/>
      <c r="X121" s="212">
        <f t="shared" si="86"/>
        <v>0</v>
      </c>
      <c r="Y121" s="212"/>
      <c r="Z121" s="6">
        <f>SUMIF('Eredeti fejléccel'!$B:$B,'Felosztás eredménykim'!$B121,'Eredeti fejléccel'!$K:$K)</f>
        <v>0</v>
      </c>
      <c r="AA121" s="210"/>
      <c r="AB121" s="6">
        <f>SUMIF('Eredeti fejléccel'!$B:$B,'Felosztás eredménykim'!$B121,'Eredeti fejléccel'!$AB:$AB)</f>
        <v>0</v>
      </c>
      <c r="AC121" s="6">
        <f>SUMIF('Eredeti fejléccel'!$B:$B,'Felosztás eredménykim'!$B121,'Eredeti fejléccel'!$AQ:$AQ)</f>
        <v>0</v>
      </c>
      <c r="AD121" s="213"/>
      <c r="AE121" s="73">
        <f t="shared" si="131"/>
        <v>0</v>
      </c>
      <c r="AF121" s="36">
        <f t="shared" si="138"/>
        <v>0</v>
      </c>
      <c r="AG121" s="8">
        <f t="shared" si="88"/>
        <v>0</v>
      </c>
      <c r="AH121" s="6"/>
      <c r="AI121" s="6">
        <f>SUMIF('Eredeti fejléccel'!$B:$B,'Felosztás eredménykim'!$B121,'Eredeti fejléccel'!$BB:$BB)</f>
        <v>0</v>
      </c>
      <c r="AJ121" s="6">
        <f>SUMIF('Eredeti fejléccel'!$B:$B,'Felosztás eredménykim'!$B121,'Eredeti fejléccel'!$AF:$AF)</f>
        <v>0</v>
      </c>
      <c r="AK121" s="211">
        <f t="shared" si="73"/>
        <v>0</v>
      </c>
      <c r="AL121" s="36">
        <f t="shared" si="139"/>
        <v>0</v>
      </c>
      <c r="AM121" s="8">
        <f t="shared" si="90"/>
        <v>0</v>
      </c>
      <c r="AN121" s="6">
        <f t="shared" si="123"/>
        <v>0</v>
      </c>
      <c r="AO121" s="6">
        <f>SUMIF('Eredeti fejléccel'!$B:$B,'Felosztás eredménykim'!$B121,'Eredeti fejléccel'!$AC:$AC)</f>
        <v>0</v>
      </c>
      <c r="AP121" s="6">
        <f>SUMIF('Eredeti fejléccel'!$B:$B,'Felosztás eredménykim'!$B121,'Eredeti fejléccel'!$AD:$AD)</f>
        <v>0</v>
      </c>
      <c r="AQ121" s="6">
        <f>SUMIF('Eredeti fejléccel'!$B:$B,'Felosztás eredménykim'!$B121,'Eredeti fejléccel'!$AE:$AE)</f>
        <v>0</v>
      </c>
      <c r="AR121" s="6">
        <f>SUMIF('Eredeti fejléccel'!$B:$B,'Felosztás eredménykim'!$B121,'Eredeti fejléccel'!$AG:$AG)</f>
        <v>0</v>
      </c>
      <c r="AS121" s="6">
        <f t="shared" si="124"/>
        <v>0</v>
      </c>
      <c r="AT121" s="36">
        <f t="shared" si="140"/>
        <v>0</v>
      </c>
      <c r="AU121" s="8">
        <f t="shared" si="92"/>
        <v>0</v>
      </c>
      <c r="AV121" s="6">
        <f>SUMIF('Eredeti fejléccel'!$B:$B,'Felosztás eredménykim'!$B121,'Eredeti fejléccel'!$AI:$AI)</f>
        <v>0</v>
      </c>
      <c r="AW121" s="6">
        <f>SUMIF('Eredeti fejléccel'!$B:$B,'Felosztás eredménykim'!$B121,'Eredeti fejléccel'!$AJ:$AJ)</f>
        <v>0</v>
      </c>
      <c r="AX121" s="6">
        <f>SUMIF('Eredeti fejléccel'!$B:$B,'Felosztás eredménykim'!$B121,'Eredeti fejléccel'!$AK:$AK)</f>
        <v>0</v>
      </c>
      <c r="AY121" s="6">
        <f>SUMIF('Eredeti fejléccel'!$B:$B,'Felosztás eredménykim'!$B121,'Eredeti fejléccel'!$AL:$AL)</f>
        <v>0</v>
      </c>
      <c r="AZ121" s="6">
        <f>SUMIF('Eredeti fejléccel'!$B:$B,'Felosztás eredménykim'!$B121,'Eredeti fejléccel'!$AM:$AM)</f>
        <v>0</v>
      </c>
      <c r="BA121" s="6">
        <f>SUMIF('Eredeti fejléccel'!$B:$B,'Felosztás eredménykim'!$B121,'Eredeti fejléccel'!$AN:$AN)</f>
        <v>0</v>
      </c>
      <c r="BB121" s="6">
        <f>SUMIF('Eredeti fejléccel'!$B:$B,'Felosztás eredménykim'!$B121,'Eredeti fejléccel'!$AP:$AP)</f>
        <v>0</v>
      </c>
      <c r="BC121" s="210"/>
      <c r="BD121" s="6">
        <f>SUMIF('Eredeti fejléccel'!$B:$B,'Felosztás eredménykim'!$B121,'Eredeti fejléccel'!$AS:$AS)</f>
        <v>0</v>
      </c>
      <c r="BE121" s="211">
        <f t="shared" si="74"/>
        <v>0</v>
      </c>
      <c r="BF121" s="36">
        <f t="shared" si="141"/>
        <v>0</v>
      </c>
      <c r="BG121" s="8">
        <f t="shared" si="94"/>
        <v>0</v>
      </c>
      <c r="BH121" s="6">
        <f t="shared" si="125"/>
        <v>0</v>
      </c>
      <c r="BI121" s="6">
        <f>SUMIF('Eredeti fejléccel'!$B:$B,'Felosztás eredménykim'!$B121,'Eredeti fejléccel'!$AH:$AH)</f>
        <v>0</v>
      </c>
      <c r="BJ121" s="6">
        <f>SUMIF('Eredeti fejléccel'!$B:$B,'Felosztás eredménykim'!$B121,'Eredeti fejléccel'!$AO:$AO)</f>
        <v>0</v>
      </c>
      <c r="BK121" s="6">
        <f>SUMIF('Eredeti fejléccel'!$B:$B,'Felosztás eredménykim'!$B121,'Eredeti fejléccel'!$BF:$BF)</f>
        <v>0</v>
      </c>
      <c r="BL121" s="8">
        <f t="shared" si="126"/>
        <v>0</v>
      </c>
      <c r="BM121" s="36">
        <f t="shared" si="142"/>
        <v>0</v>
      </c>
      <c r="BN121" s="8">
        <f t="shared" si="96"/>
        <v>0</v>
      </c>
      <c r="BO121" s="211"/>
      <c r="BP121" s="8">
        <f t="shared" si="127"/>
        <v>0</v>
      </c>
      <c r="BQ121" s="6">
        <f>SUMIF('Eredeti fejléccel'!$B:$B,'Felosztás eredménykim'!$B121,'Eredeti fejléccel'!$N:$N)</f>
        <v>0</v>
      </c>
      <c r="BR121" s="6">
        <f>SUMIF('Eredeti fejléccel'!$B:$B,'Felosztás eredménykim'!$B121,'Eredeti fejléccel'!$S:$S)</f>
        <v>0</v>
      </c>
      <c r="BS121" s="210"/>
      <c r="BT121" s="6">
        <f>SUMIF('Eredeti fejléccel'!$B:$B,'Felosztás eredménykim'!$B121,'Eredeti fejléccel'!$AR:$AR)</f>
        <v>0</v>
      </c>
      <c r="BU121" s="6">
        <f>SUMIF('Eredeti fejléccel'!$B:$B,'Felosztás eredménykim'!$B121,'Eredeti fejléccel'!$AU:$AU)</f>
        <v>0</v>
      </c>
      <c r="BV121" s="6">
        <f>SUMIF('Eredeti fejléccel'!$B:$B,'Felosztás eredménykim'!$B121,'Eredeti fejléccel'!$AV:$AV)</f>
        <v>0</v>
      </c>
      <c r="BW121" s="6">
        <f>SUMIF('Eredeti fejléccel'!$B:$B,'Felosztás eredménykim'!$B121,'Eredeti fejléccel'!$AW:$AW)</f>
        <v>0</v>
      </c>
      <c r="BX121" s="6">
        <f>SUMIF('Eredeti fejléccel'!$B:$B,'Felosztás eredménykim'!$B121,'Eredeti fejléccel'!$AX:$AX)</f>
        <v>0</v>
      </c>
      <c r="BY121" s="6">
        <f>SUMIF('Eredeti fejléccel'!$B:$B,'Felosztás eredménykim'!$B121,'Eredeti fejléccel'!$AY:$AY)</f>
        <v>0</v>
      </c>
      <c r="BZ121" s="6">
        <f>SUMIF('Eredeti fejléccel'!$B:$B,'Felosztás eredménykim'!$B121,'Eredeti fejléccel'!$AZ:$AZ)</f>
        <v>0</v>
      </c>
      <c r="CA121" s="6">
        <f>SUMIF('Eredeti fejléccel'!$B:$B,'Felosztás eredménykim'!$B121,'Eredeti fejléccel'!$BA:$BA)</f>
        <v>0</v>
      </c>
      <c r="CB121" s="210">
        <f t="shared" si="114"/>
        <v>0</v>
      </c>
      <c r="CC121" s="36">
        <f t="shared" si="143"/>
        <v>0</v>
      </c>
      <c r="CD121" s="8">
        <f t="shared" si="98"/>
        <v>0</v>
      </c>
      <c r="CE121" s="6">
        <f>SUMIF('Eredeti fejléccel'!$B:$B,'Felosztás eredménykim'!$B121,'Eredeti fejléccel'!$BC:$BC)</f>
        <v>0</v>
      </c>
      <c r="CF121" s="211">
        <f t="shared" si="135"/>
        <v>0</v>
      </c>
      <c r="CG121" s="6">
        <f>SUMIF('Eredeti fejléccel'!$B:$B,'Felosztás eredménykim'!$B121,'Eredeti fejléccel'!$H:$H)</f>
        <v>0</v>
      </c>
      <c r="CH121" s="6">
        <f>SUMIF('Eredeti fejléccel'!$B:$B,'Felosztás eredménykim'!$B121,'Eredeti fejléccel'!$BE:$BE)</f>
        <v>0</v>
      </c>
      <c r="CI121" s="210">
        <f t="shared" si="75"/>
        <v>0</v>
      </c>
      <c r="CJ121" s="36">
        <f t="shared" si="144"/>
        <v>0</v>
      </c>
      <c r="CK121" s="211">
        <f t="shared" si="100"/>
        <v>0</v>
      </c>
      <c r="CL121" s="211">
        <f t="shared" si="136"/>
        <v>0</v>
      </c>
      <c r="CM121" s="6">
        <f>SUMIF('Eredeti fejléccel'!$B:$B,'Felosztás eredménykim'!$B121,'Eredeti fejléccel'!$BD:$BD)</f>
        <v>0</v>
      </c>
      <c r="CN121" s="211">
        <f t="shared" si="76"/>
        <v>0</v>
      </c>
      <c r="CO121" s="211">
        <f t="shared" si="115"/>
        <v>0</v>
      </c>
      <c r="CP121" s="211"/>
      <c r="CQ121" s="211"/>
      <c r="CR121" s="212">
        <f t="shared" si="101"/>
        <v>0</v>
      </c>
      <c r="CS121" s="6">
        <f>SUMIF('Eredeti fejléccel'!$B:$B,'Felosztás eredménykim'!$B121,'Eredeti fejléccel'!$I:$I)</f>
        <v>0</v>
      </c>
      <c r="CT121" s="6">
        <f>SUMIF('Eredeti fejléccel'!$B:$B,'Felosztás eredménykim'!$B121,'Eredeti fejléccel'!$BG:$BG)</f>
        <v>0</v>
      </c>
      <c r="CU121" s="6">
        <f>SUMIF('Eredeti fejléccel'!$B:$B,'Felosztás eredménykim'!$B121,'Eredeti fejléccel'!$BH:$BH)</f>
        <v>0</v>
      </c>
      <c r="CV121" s="6">
        <f>SUMIF('Eredeti fejléccel'!$B:$B,'Felosztás eredménykim'!$B121,'Eredeti fejléccel'!$BI:$BI)</f>
        <v>0</v>
      </c>
      <c r="CW121" s="6">
        <f>SUMIF('Eredeti fejléccel'!$B:$B,'Felosztás eredménykim'!$B121,'Eredeti fejléccel'!$BL:$BL)</f>
        <v>0</v>
      </c>
      <c r="CX121" s="210">
        <f t="shared" si="77"/>
        <v>0</v>
      </c>
      <c r="CY121" s="6">
        <f>SUMIF('Eredeti fejléccel'!$B:$B,'Felosztás eredménykim'!$B121,'Eredeti fejléccel'!$BJ:$BJ)</f>
        <v>0</v>
      </c>
      <c r="CZ121" s="6">
        <f>SUMIF('Eredeti fejléccel'!$B:$B,'Felosztás eredménykim'!$B121,'Eredeti fejléccel'!$BK:$BK)</f>
        <v>0</v>
      </c>
      <c r="DA121" s="99">
        <f t="shared" si="116"/>
        <v>0</v>
      </c>
      <c r="DB121" s="215"/>
      <c r="DC121" s="212">
        <f t="shared" si="102"/>
        <v>0</v>
      </c>
      <c r="DD121" s="6">
        <f>SUMIF('Eredeti fejléccel'!$B:$B,'Felosztás eredménykim'!$B121,'Eredeti fejléccel'!$J:$J)</f>
        <v>0</v>
      </c>
      <c r="DE121" s="6">
        <f>SUMIF('Eredeti fejléccel'!$B:$B,'Felosztás eredménykim'!$B121,'Eredeti fejléccel'!$BM:$BM)</f>
        <v>0</v>
      </c>
      <c r="DF121" s="6">
        <f t="shared" si="128"/>
        <v>0</v>
      </c>
      <c r="DG121" s="211">
        <f t="shared" si="117"/>
        <v>0</v>
      </c>
      <c r="DH121" s="8">
        <f t="shared" si="129"/>
        <v>0</v>
      </c>
      <c r="DI121" s="211"/>
      <c r="DJ121" s="6">
        <f>SUMIF('Eredeti fejléccel'!$B:$B,'Felosztás eredménykim'!$B121,'Eredeti fejléccel'!$BN:$BN)</f>
        <v>0</v>
      </c>
      <c r="DK121" s="6">
        <f>SUMIF('Eredeti fejléccel'!$B:$B,'Felosztás eredménykim'!$B121,'Eredeti fejléccel'!$BZ:$BZ)</f>
        <v>0</v>
      </c>
      <c r="DL121" s="8">
        <f t="shared" si="130"/>
        <v>0</v>
      </c>
      <c r="DM121" s="6">
        <f>SUMIF('Eredeti fejléccel'!$B:$B,'Felosztás eredménykim'!$B121,'Eredeti fejléccel'!$BR:$BR)</f>
        <v>0</v>
      </c>
      <c r="DN121" s="6">
        <f>SUMIF('Eredeti fejléccel'!$B:$B,'Felosztás eredménykim'!$B121,'Eredeti fejléccel'!$BS:$BS)</f>
        <v>0</v>
      </c>
      <c r="DO121" s="6">
        <f>SUMIF('Eredeti fejléccel'!$B:$B,'Felosztás eredménykim'!$B121,'Eredeti fejléccel'!$BO:$BO)</f>
        <v>0</v>
      </c>
      <c r="DP121" s="6">
        <f>SUMIF('Eredeti fejléccel'!$B:$B,'Felosztás eredménykim'!$B121,'Eredeti fejléccel'!$BP:$BP)</f>
        <v>0</v>
      </c>
      <c r="DQ121" s="6">
        <f>SUMIF('Eredeti fejléccel'!$B:$B,'Felosztás eredménykim'!$B121,'Eredeti fejléccel'!$BQ:$BQ)</f>
        <v>0</v>
      </c>
      <c r="DR121" s="210"/>
      <c r="DS121" s="211"/>
      <c r="DT121" s="210"/>
      <c r="DU121" s="6">
        <f>SUMIF('Eredeti fejléccel'!$B:$B,'Felosztás eredménykim'!$B121,'Eredeti fejléccel'!$BT:$BT)</f>
        <v>0</v>
      </c>
      <c r="DV121" s="6">
        <f>SUMIF('Eredeti fejléccel'!$B:$B,'Felosztás eredménykim'!$B121,'Eredeti fejléccel'!$BU:$BU)</f>
        <v>0</v>
      </c>
      <c r="DW121" s="6">
        <f>SUMIF('Eredeti fejléccel'!$B:$B,'Felosztás eredménykim'!$B121,'Eredeti fejléccel'!$BV:$BV)</f>
        <v>0</v>
      </c>
      <c r="DX121" s="6">
        <f>SUMIF('Eredeti fejléccel'!$B:$B,'Felosztás eredménykim'!$B121,'Eredeti fejléccel'!$BW:$BW)</f>
        <v>0</v>
      </c>
      <c r="DY121" s="6">
        <f>SUMIF('Eredeti fejléccel'!$B:$B,'Felosztás eredménykim'!$B121,'Eredeti fejléccel'!$BX:$BX)</f>
        <v>0</v>
      </c>
      <c r="DZ121" s="6"/>
      <c r="EA121" s="6"/>
      <c r="EB121" s="6"/>
      <c r="EC121" s="6"/>
      <c r="ED121" s="6"/>
      <c r="EE121" s="6">
        <f>SUMIF('Eredeti fejléccel'!$B:$B,'Felosztás eredménykim'!$B121,'Eredeti fejléccel'!$CA:$CA)</f>
        <v>0</v>
      </c>
      <c r="EF121" s="6">
        <f>SUMIF('Eredeti fejléccel'!$B:$B,'Felosztás eredménykim'!$B121,'Eredeti fejléccel'!$CB:$CB)</f>
        <v>0</v>
      </c>
      <c r="EG121" s="6">
        <f>SUMIF('Eredeti fejléccel'!$B:$B,'Felosztás eredménykim'!$B121,'Eredeti fejléccel'!$CC:$CC)</f>
        <v>0</v>
      </c>
      <c r="EH121" s="6">
        <f>SUMIF('Eredeti fejléccel'!$B:$B,'Felosztás eredménykim'!$B121,'Eredeti fejléccel'!$CD:$CD)</f>
        <v>0</v>
      </c>
      <c r="EI121" s="210"/>
      <c r="EJ121" s="211"/>
      <c r="EK121" s="6">
        <f>SUMIF('Eredeti fejléccel'!$B:$B,'Felosztás eredménykim'!$B121,'Eredeti fejléccel'!$CE:$CE)</f>
        <v>0</v>
      </c>
      <c r="EL121" s="211"/>
      <c r="EM121" s="210"/>
      <c r="EN121" s="6">
        <f>SUMIF('Eredeti fejléccel'!$B:$B,'Felosztás eredménykim'!$B121,'Eredeti fejléccel'!$CF:$CF)</f>
        <v>0</v>
      </c>
      <c r="EO121" s="210"/>
      <c r="EP121" s="6">
        <f>SUMIF('Eredeti fejléccel'!$B:$B,'Felosztás eredménykim'!$B121,'Eredeti fejléccel'!$CG:$CG)</f>
        <v>0</v>
      </c>
      <c r="EQ121" s="210"/>
      <c r="ER121" s="211"/>
      <c r="ES121" s="6">
        <f>SUMIF('Eredeti fejléccel'!$B:$B,'Felosztás eredménykim'!$B121,'Eredeti fejléccel'!$CH:$CH)</f>
        <v>0</v>
      </c>
      <c r="ET121" s="6">
        <f>SUMIF('Eredeti fejléccel'!$B:$B,'Felosztás eredménykim'!$B121,'Eredeti fejléccel'!$CI:$CI)</f>
        <v>0</v>
      </c>
      <c r="EU121" s="210"/>
      <c r="EV121" s="211"/>
      <c r="EW121" s="211">
        <f t="shared" si="118"/>
        <v>0</v>
      </c>
      <c r="EX121" s="211">
        <f t="shared" si="78"/>
        <v>0</v>
      </c>
      <c r="EY121" s="211">
        <f t="shared" si="119"/>
        <v>0</v>
      </c>
      <c r="EZ121" s="211">
        <f t="shared" si="120"/>
        <v>0</v>
      </c>
      <c r="FA121" s="211">
        <f t="shared" si="121"/>
        <v>0</v>
      </c>
      <c r="FB121" s="211"/>
      <c r="FC121" s="6">
        <f>SUMIF('Eredeti fejléccel'!$B:$B,'Felosztás eredménykim'!$B121,'Eredeti fejléccel'!$L:$L)</f>
        <v>0</v>
      </c>
      <c r="FD121" s="6">
        <f>SUMIF('Eredeti fejléccel'!$B:$B,'Felosztás eredménykim'!$B121,'Eredeti fejléccel'!$CJ:$CJ)</f>
        <v>0</v>
      </c>
      <c r="FE121" s="6">
        <f>SUMIF('Eredeti fejléccel'!$B:$B,'Felosztás eredménykim'!$B121,'Eredeti fejléccel'!$CL:$CL)</f>
        <v>0</v>
      </c>
      <c r="FF121" s="213"/>
      <c r="FG121" s="214">
        <f t="shared" si="79"/>
        <v>0</v>
      </c>
      <c r="FH121" s="6">
        <f>SUMIF('Eredeti fejléccel'!$B:$B,'Felosztás eredménykim'!$B121,'Eredeti fejléccel'!$CK:$CK)</f>
        <v>0</v>
      </c>
      <c r="FI121" s="36">
        <f t="shared" si="145"/>
        <v>0</v>
      </c>
      <c r="FJ121" s="216">
        <f t="shared" si="104"/>
        <v>0</v>
      </c>
      <c r="FK121" s="6">
        <f>SUMIF('Eredeti fejléccel'!$B:$B,'Felosztás eredménykim'!$B121,'Eredeti fejléccel'!$CM:$CM)</f>
        <v>0</v>
      </c>
      <c r="FL121" s="6">
        <f>SUMIF('Eredeti fejléccel'!$B:$B,'Felosztás eredménykim'!$B121,'Eredeti fejléccel'!$CN:$CN)</f>
        <v>0</v>
      </c>
      <c r="FM121" s="211">
        <f t="shared" si="80"/>
        <v>0</v>
      </c>
      <c r="FN121" s="36">
        <f t="shared" si="146"/>
        <v>0</v>
      </c>
      <c r="FO121" s="216">
        <f t="shared" si="106"/>
        <v>0</v>
      </c>
      <c r="FP121" s="6">
        <f>SUMIF('Eredeti fejléccel'!$B:$B,'Felosztás eredménykim'!$B121,'Eredeti fejléccel'!$CO:$CO)</f>
        <v>0</v>
      </c>
      <c r="FQ121" s="6">
        <f>'Eredeti fejléccel'!CP121</f>
        <v>0</v>
      </c>
      <c r="FR121" s="6">
        <f>'Eredeti fejléccel'!CQ121</f>
        <v>0</v>
      </c>
      <c r="FS121" s="103">
        <f t="shared" si="122"/>
        <v>0</v>
      </c>
      <c r="FT121" s="36">
        <f t="shared" si="147"/>
        <v>0</v>
      </c>
      <c r="FU121" s="216">
        <f t="shared" si="108"/>
        <v>0</v>
      </c>
      <c r="FV121" s="216"/>
      <c r="FW121" s="6">
        <f>SUMIF('Eredeti fejléccel'!$B:$B,'Felosztás eredménykim'!$B121,'Eredeti fejléccel'!$CR:$CR)</f>
        <v>0</v>
      </c>
      <c r="FX121" s="6">
        <f>SUMIF('Eredeti fejléccel'!$B:$B,'Felosztás eredménykim'!$B121,'Eredeti fejléccel'!$CS:$CS)</f>
        <v>0</v>
      </c>
      <c r="FY121" s="6">
        <f>SUMIF('Eredeti fejléccel'!$B:$B,'Felosztás eredménykim'!$B121,'Eredeti fejléccel'!$CT:$CT)</f>
        <v>0</v>
      </c>
      <c r="FZ121" s="6">
        <f>SUMIF('Eredeti fejléccel'!$B:$B,'Felosztás eredménykim'!$B121,'Eredeti fejléccel'!$CU:$CU)</f>
        <v>0</v>
      </c>
      <c r="GA121" s="217">
        <f t="shared" si="81"/>
        <v>0</v>
      </c>
      <c r="GB121" s="36">
        <f t="shared" si="148"/>
        <v>0</v>
      </c>
      <c r="GC121" s="216">
        <f t="shared" si="110"/>
        <v>0</v>
      </c>
      <c r="GD121" s="210">
        <f>SUMIF('Eredeti fejléccel'!$B:$B,'Felosztás eredménykim'!$B121,'Eredeti fejléccel'!$CV:$CV)</f>
        <v>0</v>
      </c>
      <c r="GE121" s="6">
        <f>SUMIF('Eredeti fejléccel'!$B:$B,'Felosztás eredménykim'!$B121,'Eredeti fejléccel'!$CW:$CW)</f>
        <v>0</v>
      </c>
      <c r="GF121" s="217">
        <f t="shared" si="82"/>
        <v>0</v>
      </c>
      <c r="GG121" s="212">
        <f t="shared" si="111"/>
        <v>0</v>
      </c>
      <c r="GH121" s="210"/>
      <c r="GI121" s="211"/>
      <c r="GJ121" s="210"/>
      <c r="GK121" s="211"/>
      <c r="GL121" s="210"/>
      <c r="GM121" s="6">
        <f>SUMIF('Eredeti fejléccel'!$B:$B,'Felosztás eredménykim'!$B121,'Eredeti fejléccel'!$CX:$CX)</f>
        <v>0</v>
      </c>
      <c r="GN121" s="6">
        <f>SUMIF('Eredeti fejléccel'!$B:$B,'Felosztás eredménykim'!$B121,'Eredeti fejléccel'!$CY:$CY)</f>
        <v>0</v>
      </c>
      <c r="GO121" s="6">
        <f>SUMIF('Eredeti fejléccel'!$B:$B,'Felosztás eredménykim'!$B121,'Eredeti fejléccel'!$CZ:$CZ)</f>
        <v>0</v>
      </c>
      <c r="GP121" s="6">
        <f>SUMIF('Eredeti fejléccel'!$B:$B,'Felosztás eredménykim'!$B121,'Eredeti fejléccel'!$DA:$DA)</f>
        <v>0</v>
      </c>
      <c r="GQ121" s="6">
        <f>SUMIF('Eredeti fejléccel'!$B:$B,'Felosztás eredménykim'!$B121,'Eredeti fejléccel'!$DB:$DB)</f>
        <v>0</v>
      </c>
      <c r="GR121" s="217">
        <f t="shared" si="83"/>
        <v>0</v>
      </c>
      <c r="GS121" s="211"/>
      <c r="GT121" s="211"/>
      <c r="GU121" s="211"/>
      <c r="GV121" s="211"/>
      <c r="GW121" s="212">
        <f t="shared" si="112"/>
        <v>0</v>
      </c>
      <c r="GX121" s="6">
        <f>SUMIF('Eredeti fejléccel'!$B:$B,'Felosztás eredménykim'!$B121,'Eredeti fejléccel'!$M:$M)</f>
        <v>0</v>
      </c>
      <c r="GY121" s="6">
        <f>SUMIF('Eredeti fejléccel'!$B:$B,'Felosztás eredménykim'!$B121,'Eredeti fejléccel'!$DC:$DC)</f>
        <v>0</v>
      </c>
      <c r="GZ121" s="6">
        <f>SUMIF('Eredeti fejléccel'!$B:$B,'Felosztás eredménykim'!$B121,'Eredeti fejléccel'!$DD:$DD)</f>
        <v>0</v>
      </c>
      <c r="HA121" s="6">
        <f>SUMIF('Eredeti fejléccel'!$B:$B,'Felosztás eredménykim'!$B121,'Eredeti fejléccel'!$DE:$DE)</f>
        <v>0</v>
      </c>
      <c r="HB121" s="217">
        <f t="shared" si="84"/>
        <v>0</v>
      </c>
      <c r="HC121" s="211"/>
      <c r="HD121" s="218">
        <f>SUM(D121:HA121)-W121-X121-AD121-AE121-AF121-AG121-AK121-AL121-AM121-AS121-AT121-AU121-BE121-BF121-BG121-BL121-BM121-BN121-CB121-CC121-CD121-CI121-CJ121-CK121-CN121-CO121-CP121-CR121-CX121-DA121-DC121-DG121-DH121-DL121-EW121-EX121-EY121-EZ121-FA121-FF121-FG121-FI121-FJ121-FM121-FN121-FO121-FS121-FT121-FU121-GA121-GB121-GC121-GF121-GG121-GR121-GS121-GT121-GU121-GW121</f>
        <v>0</v>
      </c>
      <c r="HE121" s="9"/>
      <c r="HF121" s="476"/>
      <c r="HG121" s="219"/>
      <c r="HH121" s="220">
        <f t="shared" si="85"/>
        <v>0</v>
      </c>
      <c r="HI121" s="219"/>
      <c r="HJ121" s="219"/>
      <c r="HK121" s="219"/>
      <c r="HL121" s="219"/>
      <c r="HM121" s="219"/>
      <c r="HN121" s="219"/>
      <c r="HO121" s="219"/>
      <c r="HP121" s="219"/>
      <c r="HQ121" s="219"/>
      <c r="HR121" s="219"/>
      <c r="HS121" s="219"/>
      <c r="HT121" s="219"/>
      <c r="HU121" s="219"/>
      <c r="HV121" s="219"/>
      <c r="HW121" s="219"/>
      <c r="HX121" s="219"/>
    </row>
    <row r="122" spans="1:232" s="209" customFormat="1" x14ac:dyDescent="0.25">
      <c r="A122" s="4" t="s">
        <v>238</v>
      </c>
      <c r="B122" s="208" t="s">
        <v>238</v>
      </c>
      <c r="C122" s="209" t="s">
        <v>239</v>
      </c>
      <c r="D122" s="6">
        <f>SUMIF('Eredeti fejléccel'!$B:$B,'Felosztás eredménykim'!$B122,'Eredeti fejléccel'!$D:$D)</f>
        <v>0</v>
      </c>
      <c r="E122" s="6">
        <f>SUMIF('Eredeti fejléccel'!$B:$B,'Felosztás eredménykim'!$B122,'Eredeti fejléccel'!$E:$E)</f>
        <v>0</v>
      </c>
      <c r="F122" s="6">
        <f>SUMIF('Eredeti fejléccel'!$B:$B,'Felosztás eredménykim'!$B122,'Eredeti fejléccel'!$F:$F)</f>
        <v>0</v>
      </c>
      <c r="G122" s="6">
        <f>SUMIF('Eredeti fejléccel'!$B:$B,'Felosztás eredménykim'!$B122,'Eredeti fejléccel'!$G:$G)</f>
        <v>0</v>
      </c>
      <c r="H122" s="6"/>
      <c r="I122" s="6">
        <f>SUMIF('Eredeti fejléccel'!$B:$B,'Felosztás eredménykim'!$B122,'Eredeti fejléccel'!$O:$O)</f>
        <v>0</v>
      </c>
      <c r="J122" s="6">
        <f>SUMIF('Eredeti fejléccel'!$B:$B,'Felosztás eredménykim'!$B122,'Eredeti fejléccel'!$P:$P)</f>
        <v>0</v>
      </c>
      <c r="K122" s="6">
        <f>SUMIF('Eredeti fejléccel'!$B:$B,'Felosztás eredménykim'!$B122,'Eredeti fejléccel'!$Q:$Q)</f>
        <v>0</v>
      </c>
      <c r="L122" s="6">
        <f>SUMIF('Eredeti fejléccel'!$B:$B,'Felosztás eredménykim'!$B122,'Eredeti fejléccel'!$R:$R)</f>
        <v>0</v>
      </c>
      <c r="M122" s="6">
        <f>SUMIF('Eredeti fejléccel'!$B:$B,'Felosztás eredménykim'!$B122,'Eredeti fejléccel'!$T:$T)</f>
        <v>0</v>
      </c>
      <c r="N122" s="6">
        <f>SUMIF('Eredeti fejléccel'!$B:$B,'Felosztás eredménykim'!$B122,'Eredeti fejléccel'!$U:$U)</f>
        <v>0</v>
      </c>
      <c r="O122" s="6">
        <f>SUMIF('Eredeti fejléccel'!$B:$B,'Felosztás eredménykim'!$B122,'Eredeti fejléccel'!$V:$V)</f>
        <v>0</v>
      </c>
      <c r="P122" s="6">
        <f>SUMIF('Eredeti fejléccel'!$B:$B,'Felosztás eredménykim'!$B122,'Eredeti fejléccel'!$W:$W)</f>
        <v>0</v>
      </c>
      <c r="Q122" s="6">
        <f>SUMIF('Eredeti fejléccel'!$B:$B,'Felosztás eredménykim'!$B122,'Eredeti fejléccel'!$X:$X)</f>
        <v>0</v>
      </c>
      <c r="R122" s="6">
        <f>SUMIF('Eredeti fejléccel'!$B:$B,'Felosztás eredménykim'!$B122,'Eredeti fejléccel'!$Y:$Y)</f>
        <v>0</v>
      </c>
      <c r="S122" s="6">
        <f>SUMIF('Eredeti fejléccel'!$B:$B,'Felosztás eredménykim'!$B122,'Eredeti fejléccel'!$Z:$Z)</f>
        <v>0</v>
      </c>
      <c r="T122" s="6">
        <f>SUMIF('Eredeti fejléccel'!$B:$B,'Felosztás eredménykim'!$B122,'Eredeti fejléccel'!$AA:$AA)</f>
        <v>0</v>
      </c>
      <c r="U122" s="6">
        <f>SUMIF('Eredeti fejléccel'!$B:$B,'Felosztás eredménykim'!$B122,'Eredeti fejléccel'!$D:$D)</f>
        <v>0</v>
      </c>
      <c r="V122" s="6">
        <f>SUMIF('Eredeti fejléccel'!$B:$B,'Felosztás eredménykim'!$B122,'Eredeti fejléccel'!$AT:$AT)</f>
        <v>0</v>
      </c>
      <c r="W122" s="212"/>
      <c r="X122" s="212">
        <f t="shared" si="86"/>
        <v>0</v>
      </c>
      <c r="Y122" s="212"/>
      <c r="Z122" s="6">
        <f>SUMIF('Eredeti fejléccel'!$B:$B,'Felosztás eredménykim'!$B122,'Eredeti fejléccel'!$K:$K)</f>
        <v>0</v>
      </c>
      <c r="AA122" s="210"/>
      <c r="AB122" s="6">
        <f>SUMIF('Eredeti fejléccel'!$B:$B,'Felosztás eredménykim'!$B122,'Eredeti fejléccel'!$AB:$AB)</f>
        <v>0</v>
      </c>
      <c r="AC122" s="6">
        <f>SUMIF('Eredeti fejléccel'!$B:$B,'Felosztás eredménykim'!$B122,'Eredeti fejléccel'!$AQ:$AQ)</f>
        <v>0</v>
      </c>
      <c r="AD122" s="213"/>
      <c r="AE122" s="73">
        <f t="shared" si="131"/>
        <v>0</v>
      </c>
      <c r="AF122" s="36">
        <f t="shared" si="138"/>
        <v>0</v>
      </c>
      <c r="AG122" s="8">
        <f t="shared" si="88"/>
        <v>0</v>
      </c>
      <c r="AH122" s="6"/>
      <c r="AI122" s="6">
        <f>SUMIF('Eredeti fejléccel'!$B:$B,'Felosztás eredménykim'!$B122,'Eredeti fejléccel'!$BB:$BB)</f>
        <v>0</v>
      </c>
      <c r="AJ122" s="6">
        <f>SUMIF('Eredeti fejléccel'!$B:$B,'Felosztás eredménykim'!$B122,'Eredeti fejléccel'!$AF:$AF)</f>
        <v>0</v>
      </c>
      <c r="AK122" s="211">
        <f t="shared" si="73"/>
        <v>0</v>
      </c>
      <c r="AL122" s="36">
        <f t="shared" si="139"/>
        <v>0</v>
      </c>
      <c r="AM122" s="8">
        <f t="shared" si="90"/>
        <v>0</v>
      </c>
      <c r="AN122" s="6">
        <f t="shared" si="123"/>
        <v>0</v>
      </c>
      <c r="AO122" s="6">
        <f>SUMIF('Eredeti fejléccel'!$B:$B,'Felosztás eredménykim'!$B122,'Eredeti fejléccel'!$AC:$AC)</f>
        <v>0</v>
      </c>
      <c r="AP122" s="6">
        <f>SUMIF('Eredeti fejléccel'!$B:$B,'Felosztás eredménykim'!$B122,'Eredeti fejléccel'!$AD:$AD)</f>
        <v>0</v>
      </c>
      <c r="AQ122" s="6">
        <f>SUMIF('Eredeti fejléccel'!$B:$B,'Felosztás eredménykim'!$B122,'Eredeti fejléccel'!$AE:$AE)</f>
        <v>0</v>
      </c>
      <c r="AR122" s="6">
        <f>SUMIF('Eredeti fejléccel'!$B:$B,'Felosztás eredménykim'!$B122,'Eredeti fejléccel'!$AG:$AG)</f>
        <v>0</v>
      </c>
      <c r="AS122" s="6">
        <f t="shared" si="124"/>
        <v>0</v>
      </c>
      <c r="AT122" s="36">
        <f t="shared" si="140"/>
        <v>0</v>
      </c>
      <c r="AU122" s="8">
        <f t="shared" si="92"/>
        <v>0</v>
      </c>
      <c r="AV122" s="6">
        <f>SUMIF('Eredeti fejléccel'!$B:$B,'Felosztás eredménykim'!$B122,'Eredeti fejléccel'!$AI:$AI)</f>
        <v>0</v>
      </c>
      <c r="AW122" s="6">
        <f>SUMIF('Eredeti fejléccel'!$B:$B,'Felosztás eredménykim'!$B122,'Eredeti fejléccel'!$AJ:$AJ)</f>
        <v>0</v>
      </c>
      <c r="AX122" s="6">
        <f>SUMIF('Eredeti fejléccel'!$B:$B,'Felosztás eredménykim'!$B122,'Eredeti fejléccel'!$AK:$AK)</f>
        <v>0</v>
      </c>
      <c r="AY122" s="6">
        <f>SUMIF('Eredeti fejléccel'!$B:$B,'Felosztás eredménykim'!$B122,'Eredeti fejléccel'!$AL:$AL)</f>
        <v>0</v>
      </c>
      <c r="AZ122" s="6">
        <f>SUMIF('Eredeti fejléccel'!$B:$B,'Felosztás eredménykim'!$B122,'Eredeti fejléccel'!$AM:$AM)</f>
        <v>0</v>
      </c>
      <c r="BA122" s="6">
        <f>SUMIF('Eredeti fejléccel'!$B:$B,'Felosztás eredménykim'!$B122,'Eredeti fejléccel'!$AN:$AN)</f>
        <v>0</v>
      </c>
      <c r="BB122" s="6">
        <f>SUMIF('Eredeti fejléccel'!$B:$B,'Felosztás eredménykim'!$B122,'Eredeti fejléccel'!$AP:$AP)</f>
        <v>0</v>
      </c>
      <c r="BC122" s="210"/>
      <c r="BD122" s="6">
        <f>SUMIF('Eredeti fejléccel'!$B:$B,'Felosztás eredménykim'!$B122,'Eredeti fejléccel'!$AS:$AS)</f>
        <v>0</v>
      </c>
      <c r="BE122" s="211">
        <f t="shared" si="74"/>
        <v>0</v>
      </c>
      <c r="BF122" s="36">
        <f t="shared" si="141"/>
        <v>0</v>
      </c>
      <c r="BG122" s="8">
        <f t="shared" si="94"/>
        <v>0</v>
      </c>
      <c r="BH122" s="6">
        <f t="shared" si="125"/>
        <v>0</v>
      </c>
      <c r="BI122" s="6">
        <f>SUMIF('Eredeti fejléccel'!$B:$B,'Felosztás eredménykim'!$B122,'Eredeti fejléccel'!$AH:$AH)</f>
        <v>0</v>
      </c>
      <c r="BJ122" s="6">
        <f>SUMIF('Eredeti fejléccel'!$B:$B,'Felosztás eredménykim'!$B122,'Eredeti fejléccel'!$AO:$AO)</f>
        <v>0</v>
      </c>
      <c r="BK122" s="6">
        <f>SUMIF('Eredeti fejléccel'!$B:$B,'Felosztás eredménykim'!$B122,'Eredeti fejléccel'!$BF:$BF)</f>
        <v>0</v>
      </c>
      <c r="BL122" s="8">
        <f t="shared" si="126"/>
        <v>0</v>
      </c>
      <c r="BM122" s="36">
        <f t="shared" si="142"/>
        <v>0</v>
      </c>
      <c r="BN122" s="8">
        <f t="shared" si="96"/>
        <v>0</v>
      </c>
      <c r="BO122" s="211"/>
      <c r="BP122" s="8">
        <f t="shared" si="127"/>
        <v>0</v>
      </c>
      <c r="BQ122" s="6">
        <f>SUMIF('Eredeti fejléccel'!$B:$B,'Felosztás eredménykim'!$B122,'Eredeti fejléccel'!$N:$N)</f>
        <v>0</v>
      </c>
      <c r="BR122" s="6">
        <f>SUMIF('Eredeti fejléccel'!$B:$B,'Felosztás eredménykim'!$B122,'Eredeti fejléccel'!$S:$S)</f>
        <v>0</v>
      </c>
      <c r="BS122" s="210"/>
      <c r="BT122" s="6">
        <f>SUMIF('Eredeti fejléccel'!$B:$B,'Felosztás eredménykim'!$B122,'Eredeti fejléccel'!$AR:$AR)</f>
        <v>0</v>
      </c>
      <c r="BU122" s="6">
        <f>SUMIF('Eredeti fejléccel'!$B:$B,'Felosztás eredménykim'!$B122,'Eredeti fejléccel'!$AU:$AU)</f>
        <v>0</v>
      </c>
      <c r="BV122" s="6">
        <f>SUMIF('Eredeti fejléccel'!$B:$B,'Felosztás eredménykim'!$B122,'Eredeti fejléccel'!$AV:$AV)</f>
        <v>0</v>
      </c>
      <c r="BW122" s="6">
        <f>SUMIF('Eredeti fejléccel'!$B:$B,'Felosztás eredménykim'!$B122,'Eredeti fejléccel'!$AW:$AW)</f>
        <v>0</v>
      </c>
      <c r="BX122" s="6">
        <f>SUMIF('Eredeti fejléccel'!$B:$B,'Felosztás eredménykim'!$B122,'Eredeti fejléccel'!$AX:$AX)</f>
        <v>0</v>
      </c>
      <c r="BY122" s="6">
        <f>SUMIF('Eredeti fejléccel'!$B:$B,'Felosztás eredménykim'!$B122,'Eredeti fejléccel'!$AY:$AY)</f>
        <v>0</v>
      </c>
      <c r="BZ122" s="6">
        <f>SUMIF('Eredeti fejléccel'!$B:$B,'Felosztás eredménykim'!$B122,'Eredeti fejléccel'!$AZ:$AZ)</f>
        <v>0</v>
      </c>
      <c r="CA122" s="6">
        <f>SUMIF('Eredeti fejléccel'!$B:$B,'Felosztás eredménykim'!$B122,'Eredeti fejléccel'!$BA:$BA)</f>
        <v>0</v>
      </c>
      <c r="CB122" s="210">
        <f t="shared" si="114"/>
        <v>0</v>
      </c>
      <c r="CC122" s="36">
        <f t="shared" si="143"/>
        <v>0</v>
      </c>
      <c r="CD122" s="8">
        <f t="shared" si="98"/>
        <v>0</v>
      </c>
      <c r="CE122" s="6">
        <f>SUMIF('Eredeti fejléccel'!$B:$B,'Felosztás eredménykim'!$B122,'Eredeti fejléccel'!$BC:$BC)</f>
        <v>0</v>
      </c>
      <c r="CF122" s="211">
        <f t="shared" si="135"/>
        <v>0</v>
      </c>
      <c r="CG122" s="6">
        <f>SUMIF('Eredeti fejléccel'!$B:$B,'Felosztás eredménykim'!$B122,'Eredeti fejléccel'!$H:$H)</f>
        <v>0</v>
      </c>
      <c r="CH122" s="6">
        <f>SUMIF('Eredeti fejléccel'!$B:$B,'Felosztás eredménykim'!$B122,'Eredeti fejléccel'!$BE:$BE)</f>
        <v>0</v>
      </c>
      <c r="CI122" s="210">
        <f t="shared" si="75"/>
        <v>0</v>
      </c>
      <c r="CJ122" s="36">
        <f t="shared" si="144"/>
        <v>0</v>
      </c>
      <c r="CK122" s="211">
        <f t="shared" si="100"/>
        <v>0</v>
      </c>
      <c r="CL122" s="211">
        <f t="shared" si="136"/>
        <v>0</v>
      </c>
      <c r="CM122" s="6">
        <f>SUMIF('Eredeti fejléccel'!$B:$B,'Felosztás eredménykim'!$B122,'Eredeti fejléccel'!$BD:$BD)</f>
        <v>0</v>
      </c>
      <c r="CN122" s="211">
        <f t="shared" si="76"/>
        <v>0</v>
      </c>
      <c r="CO122" s="211">
        <f t="shared" si="115"/>
        <v>0</v>
      </c>
      <c r="CP122" s="211"/>
      <c r="CQ122" s="211"/>
      <c r="CR122" s="212">
        <f t="shared" si="101"/>
        <v>0</v>
      </c>
      <c r="CS122" s="6">
        <f>SUMIF('Eredeti fejléccel'!$B:$B,'Felosztás eredménykim'!$B122,'Eredeti fejléccel'!$I:$I)</f>
        <v>0</v>
      </c>
      <c r="CT122" s="6">
        <f>SUMIF('Eredeti fejléccel'!$B:$B,'Felosztás eredménykim'!$B122,'Eredeti fejléccel'!$BG:$BG)</f>
        <v>0</v>
      </c>
      <c r="CU122" s="6">
        <f>SUMIF('Eredeti fejléccel'!$B:$B,'Felosztás eredménykim'!$B122,'Eredeti fejléccel'!$BH:$BH)</f>
        <v>0</v>
      </c>
      <c r="CV122" s="6">
        <f>SUMIF('Eredeti fejléccel'!$B:$B,'Felosztás eredménykim'!$B122,'Eredeti fejléccel'!$BI:$BI)</f>
        <v>0</v>
      </c>
      <c r="CW122" s="6">
        <f>SUMIF('Eredeti fejléccel'!$B:$B,'Felosztás eredménykim'!$B122,'Eredeti fejléccel'!$BL:$BL)</f>
        <v>0</v>
      </c>
      <c r="CX122" s="210">
        <f t="shared" si="77"/>
        <v>0</v>
      </c>
      <c r="CY122" s="6">
        <f>SUMIF('Eredeti fejléccel'!$B:$B,'Felosztás eredménykim'!$B122,'Eredeti fejléccel'!$BJ:$BJ)</f>
        <v>0</v>
      </c>
      <c r="CZ122" s="6">
        <f>SUMIF('Eredeti fejléccel'!$B:$B,'Felosztás eredménykim'!$B122,'Eredeti fejléccel'!$BK:$BK)</f>
        <v>0</v>
      </c>
      <c r="DA122" s="99">
        <f t="shared" si="116"/>
        <v>0</v>
      </c>
      <c r="DB122" s="215"/>
      <c r="DC122" s="212">
        <f t="shared" si="102"/>
        <v>0</v>
      </c>
      <c r="DD122" s="6">
        <f>SUMIF('Eredeti fejléccel'!$B:$B,'Felosztás eredménykim'!$B122,'Eredeti fejléccel'!$J:$J)</f>
        <v>0</v>
      </c>
      <c r="DE122" s="6">
        <f>SUMIF('Eredeti fejléccel'!$B:$B,'Felosztás eredménykim'!$B122,'Eredeti fejléccel'!$BM:$BM)</f>
        <v>0</v>
      </c>
      <c r="DF122" s="6">
        <f t="shared" si="128"/>
        <v>0</v>
      </c>
      <c r="DG122" s="211">
        <f t="shared" si="117"/>
        <v>0</v>
      </c>
      <c r="DH122" s="8">
        <f t="shared" si="129"/>
        <v>0</v>
      </c>
      <c r="DI122" s="211"/>
      <c r="DJ122" s="6">
        <f>SUMIF('Eredeti fejléccel'!$B:$B,'Felosztás eredménykim'!$B122,'Eredeti fejléccel'!$BN:$BN)</f>
        <v>0</v>
      </c>
      <c r="DK122" s="6">
        <f>SUMIF('Eredeti fejléccel'!$B:$B,'Felosztás eredménykim'!$B122,'Eredeti fejléccel'!$BZ:$BZ)</f>
        <v>0</v>
      </c>
      <c r="DL122" s="8">
        <f t="shared" si="130"/>
        <v>0</v>
      </c>
      <c r="DM122" s="6">
        <f>SUMIF('Eredeti fejléccel'!$B:$B,'Felosztás eredménykim'!$B122,'Eredeti fejléccel'!$BR:$BR)</f>
        <v>0</v>
      </c>
      <c r="DN122" s="6">
        <f>SUMIF('Eredeti fejléccel'!$B:$B,'Felosztás eredménykim'!$B122,'Eredeti fejléccel'!$BS:$BS)</f>
        <v>0</v>
      </c>
      <c r="DO122" s="6">
        <f>SUMIF('Eredeti fejléccel'!$B:$B,'Felosztás eredménykim'!$B122,'Eredeti fejléccel'!$BO:$BO)</f>
        <v>0</v>
      </c>
      <c r="DP122" s="6">
        <f>SUMIF('Eredeti fejléccel'!$B:$B,'Felosztás eredménykim'!$B122,'Eredeti fejléccel'!$BP:$BP)</f>
        <v>0</v>
      </c>
      <c r="DQ122" s="6">
        <f>SUMIF('Eredeti fejléccel'!$B:$B,'Felosztás eredménykim'!$B122,'Eredeti fejléccel'!$BQ:$BQ)</f>
        <v>0</v>
      </c>
      <c r="DR122" s="210"/>
      <c r="DS122" s="211"/>
      <c r="DT122" s="210"/>
      <c r="DU122" s="6">
        <f>SUMIF('Eredeti fejléccel'!$B:$B,'Felosztás eredménykim'!$B122,'Eredeti fejléccel'!$BT:$BT)</f>
        <v>0</v>
      </c>
      <c r="DV122" s="6">
        <f>SUMIF('Eredeti fejléccel'!$B:$B,'Felosztás eredménykim'!$B122,'Eredeti fejléccel'!$BU:$BU)</f>
        <v>0</v>
      </c>
      <c r="DW122" s="6">
        <f>SUMIF('Eredeti fejléccel'!$B:$B,'Felosztás eredménykim'!$B122,'Eredeti fejléccel'!$BV:$BV)</f>
        <v>0</v>
      </c>
      <c r="DX122" s="6">
        <f>SUMIF('Eredeti fejléccel'!$B:$B,'Felosztás eredménykim'!$B122,'Eredeti fejléccel'!$BW:$BW)</f>
        <v>0</v>
      </c>
      <c r="DY122" s="6">
        <f>SUMIF('Eredeti fejléccel'!$B:$B,'Felosztás eredménykim'!$B122,'Eredeti fejléccel'!$BX:$BX)</f>
        <v>0</v>
      </c>
      <c r="DZ122" s="6"/>
      <c r="EA122" s="6"/>
      <c r="EB122" s="6"/>
      <c r="EC122" s="6"/>
      <c r="ED122" s="6"/>
      <c r="EE122" s="6">
        <f>SUMIF('Eredeti fejléccel'!$B:$B,'Felosztás eredménykim'!$B122,'Eredeti fejléccel'!$CA:$CA)</f>
        <v>0</v>
      </c>
      <c r="EF122" s="6">
        <f>SUMIF('Eredeti fejléccel'!$B:$B,'Felosztás eredménykim'!$B122,'Eredeti fejléccel'!$CB:$CB)</f>
        <v>0</v>
      </c>
      <c r="EG122" s="6">
        <f>SUMIF('Eredeti fejléccel'!$B:$B,'Felosztás eredménykim'!$B122,'Eredeti fejléccel'!$CC:$CC)</f>
        <v>0</v>
      </c>
      <c r="EH122" s="6">
        <f>SUMIF('Eredeti fejléccel'!$B:$B,'Felosztás eredménykim'!$B122,'Eredeti fejléccel'!$CD:$CD)</f>
        <v>0</v>
      </c>
      <c r="EI122" s="210"/>
      <c r="EJ122" s="211"/>
      <c r="EK122" s="6">
        <f>SUMIF('Eredeti fejléccel'!$B:$B,'Felosztás eredménykim'!$B122,'Eredeti fejléccel'!$CE:$CE)</f>
        <v>0</v>
      </c>
      <c r="EL122" s="211"/>
      <c r="EM122" s="210"/>
      <c r="EN122" s="6">
        <f>SUMIF('Eredeti fejléccel'!$B:$B,'Felosztás eredménykim'!$B122,'Eredeti fejléccel'!$CF:$CF)</f>
        <v>0</v>
      </c>
      <c r="EO122" s="210"/>
      <c r="EP122" s="6">
        <f>SUMIF('Eredeti fejléccel'!$B:$B,'Felosztás eredménykim'!$B122,'Eredeti fejléccel'!$CG:$CG)</f>
        <v>0</v>
      </c>
      <c r="EQ122" s="210"/>
      <c r="ER122" s="211"/>
      <c r="ES122" s="6">
        <f>SUMIF('Eredeti fejléccel'!$B:$B,'Felosztás eredménykim'!$B122,'Eredeti fejléccel'!$CH:$CH)</f>
        <v>0</v>
      </c>
      <c r="ET122" s="6">
        <f>SUMIF('Eredeti fejléccel'!$B:$B,'Felosztás eredménykim'!$B122,'Eredeti fejléccel'!$CI:$CI)</f>
        <v>0</v>
      </c>
      <c r="EU122" s="210"/>
      <c r="EV122" s="211"/>
      <c r="EW122" s="211">
        <f t="shared" si="118"/>
        <v>0</v>
      </c>
      <c r="EX122" s="211">
        <f t="shared" si="78"/>
        <v>0</v>
      </c>
      <c r="EY122" s="211">
        <f t="shared" si="119"/>
        <v>0</v>
      </c>
      <c r="EZ122" s="211">
        <f t="shared" si="120"/>
        <v>0</v>
      </c>
      <c r="FA122" s="211">
        <f t="shared" si="121"/>
        <v>0</v>
      </c>
      <c r="FB122" s="211"/>
      <c r="FC122" s="6">
        <f>SUMIF('Eredeti fejléccel'!$B:$B,'Felosztás eredménykim'!$B122,'Eredeti fejléccel'!$L:$L)</f>
        <v>0</v>
      </c>
      <c r="FD122" s="6">
        <f>SUMIF('Eredeti fejléccel'!$B:$B,'Felosztás eredménykim'!$B122,'Eredeti fejléccel'!$CJ:$CJ)</f>
        <v>0</v>
      </c>
      <c r="FE122" s="6">
        <f>SUMIF('Eredeti fejléccel'!$B:$B,'Felosztás eredménykim'!$B122,'Eredeti fejléccel'!$CL:$CL)</f>
        <v>0</v>
      </c>
      <c r="FF122" s="213"/>
      <c r="FG122" s="214">
        <f t="shared" si="79"/>
        <v>0</v>
      </c>
      <c r="FH122" s="6">
        <f>SUMIF('Eredeti fejléccel'!$B:$B,'Felosztás eredménykim'!$B122,'Eredeti fejléccel'!$CK:$CK)</f>
        <v>0</v>
      </c>
      <c r="FI122" s="36">
        <f t="shared" si="145"/>
        <v>0</v>
      </c>
      <c r="FJ122" s="216">
        <f t="shared" si="104"/>
        <v>0</v>
      </c>
      <c r="FK122" s="6">
        <f>SUMIF('Eredeti fejléccel'!$B:$B,'Felosztás eredménykim'!$B122,'Eredeti fejléccel'!$CM:$CM)</f>
        <v>0</v>
      </c>
      <c r="FL122" s="6">
        <f>SUMIF('Eredeti fejléccel'!$B:$B,'Felosztás eredménykim'!$B122,'Eredeti fejléccel'!$CN:$CN)</f>
        <v>0</v>
      </c>
      <c r="FM122" s="211">
        <f t="shared" si="80"/>
        <v>0</v>
      </c>
      <c r="FN122" s="36">
        <f t="shared" si="146"/>
        <v>0</v>
      </c>
      <c r="FO122" s="216">
        <f t="shared" si="106"/>
        <v>0</v>
      </c>
      <c r="FP122" s="6">
        <f>SUMIF('Eredeti fejléccel'!$B:$B,'Felosztás eredménykim'!$B122,'Eredeti fejléccel'!$CO:$CO)</f>
        <v>0</v>
      </c>
      <c r="FQ122" s="6">
        <f>'Eredeti fejléccel'!CP122</f>
        <v>0</v>
      </c>
      <c r="FR122" s="6">
        <f>'Eredeti fejléccel'!CQ122</f>
        <v>0</v>
      </c>
      <c r="FS122" s="103">
        <f t="shared" si="122"/>
        <v>0</v>
      </c>
      <c r="FT122" s="36">
        <f t="shared" si="147"/>
        <v>0</v>
      </c>
      <c r="FU122" s="216">
        <f t="shared" si="108"/>
        <v>0</v>
      </c>
      <c r="FV122" s="216"/>
      <c r="FW122" s="6">
        <f>SUMIF('Eredeti fejléccel'!$B:$B,'Felosztás eredménykim'!$B122,'Eredeti fejléccel'!$CR:$CR)</f>
        <v>0</v>
      </c>
      <c r="FX122" s="6">
        <f>SUMIF('Eredeti fejléccel'!$B:$B,'Felosztás eredménykim'!$B122,'Eredeti fejléccel'!$CS:$CS)</f>
        <v>0</v>
      </c>
      <c r="FY122" s="6">
        <f>SUMIF('Eredeti fejléccel'!$B:$B,'Felosztás eredménykim'!$B122,'Eredeti fejléccel'!$CT:$CT)</f>
        <v>0</v>
      </c>
      <c r="FZ122" s="6">
        <f>SUMIF('Eredeti fejléccel'!$B:$B,'Felosztás eredménykim'!$B122,'Eredeti fejléccel'!$CU:$CU)</f>
        <v>0</v>
      </c>
      <c r="GA122" s="217">
        <f t="shared" si="81"/>
        <v>0</v>
      </c>
      <c r="GB122" s="36">
        <f t="shared" si="148"/>
        <v>0</v>
      </c>
      <c r="GC122" s="216">
        <f t="shared" si="110"/>
        <v>0</v>
      </c>
      <c r="GD122" s="210">
        <f>SUMIF('Eredeti fejléccel'!$B:$B,'Felosztás eredménykim'!$B122,'Eredeti fejléccel'!$CV:$CV)</f>
        <v>0</v>
      </c>
      <c r="GE122" s="6">
        <f>SUMIF('Eredeti fejléccel'!$B:$B,'Felosztás eredménykim'!$B122,'Eredeti fejléccel'!$CW:$CW)</f>
        <v>0</v>
      </c>
      <c r="GF122" s="217">
        <f t="shared" si="82"/>
        <v>0</v>
      </c>
      <c r="GG122" s="212">
        <f t="shared" si="111"/>
        <v>0</v>
      </c>
      <c r="GH122" s="210"/>
      <c r="GI122" s="211"/>
      <c r="GJ122" s="210"/>
      <c r="GK122" s="211"/>
      <c r="GL122" s="210"/>
      <c r="GM122" s="6">
        <f>SUMIF('Eredeti fejléccel'!$B:$B,'Felosztás eredménykim'!$B122,'Eredeti fejléccel'!$CX:$CX)</f>
        <v>0</v>
      </c>
      <c r="GN122" s="6">
        <f>SUMIF('Eredeti fejléccel'!$B:$B,'Felosztás eredménykim'!$B122,'Eredeti fejléccel'!$CY:$CY)</f>
        <v>0</v>
      </c>
      <c r="GO122" s="6">
        <f>SUMIF('Eredeti fejléccel'!$B:$B,'Felosztás eredménykim'!$B122,'Eredeti fejléccel'!$CZ:$CZ)</f>
        <v>0</v>
      </c>
      <c r="GP122" s="6">
        <f>SUMIF('Eredeti fejléccel'!$B:$B,'Felosztás eredménykim'!$B122,'Eredeti fejléccel'!$DA:$DA)</f>
        <v>0</v>
      </c>
      <c r="GQ122" s="6">
        <f>SUMIF('Eredeti fejléccel'!$B:$B,'Felosztás eredménykim'!$B122,'Eredeti fejléccel'!$DB:$DB)</f>
        <v>0</v>
      </c>
      <c r="GR122" s="217">
        <f t="shared" si="83"/>
        <v>0</v>
      </c>
      <c r="GS122" s="211"/>
      <c r="GT122" s="211"/>
      <c r="GU122" s="211"/>
      <c r="GV122" s="211"/>
      <c r="GW122" s="212">
        <f t="shared" si="112"/>
        <v>0</v>
      </c>
      <c r="GX122" s="6">
        <f>SUMIF('Eredeti fejléccel'!$B:$B,'Felosztás eredménykim'!$B122,'Eredeti fejléccel'!$M:$M)</f>
        <v>0</v>
      </c>
      <c r="GY122" s="6">
        <f>SUMIF('Eredeti fejléccel'!$B:$B,'Felosztás eredménykim'!$B122,'Eredeti fejléccel'!$DC:$DC)</f>
        <v>0</v>
      </c>
      <c r="GZ122" s="6">
        <f>SUMIF('Eredeti fejléccel'!$B:$B,'Felosztás eredménykim'!$B122,'Eredeti fejléccel'!$DD:$DD)</f>
        <v>0</v>
      </c>
      <c r="HA122" s="6">
        <f>SUMIF('Eredeti fejléccel'!$B:$B,'Felosztás eredménykim'!$B122,'Eredeti fejléccel'!$DE:$DE)</f>
        <v>0</v>
      </c>
      <c r="HB122" s="217">
        <f t="shared" si="84"/>
        <v>0</v>
      </c>
      <c r="HC122" s="211"/>
      <c r="HD122" s="218">
        <f>SUM(D122:HA122)-W122-X122-AD122-AE122-AF122-AG122-AK122-AL122-AM122-AS122-AT122-AU122-BE122-BF122-BG122-BL122-BM122-BN122-CB122-CC122-CD122-CI122-CJ122-CK122-CN122-CO122-CP122-CR122-CX122-DA122-DC122-DG122-DH122-DL122-EW122-EX122-EY122-EZ122-FA122-FF122-FG122-FI122-FJ122-FM122-FN122-FO122-FS122-FT122-FU122-GA122-GB122-GC122-GF122-GG122-GR122-GS122-GT122-GU122-GW122</f>
        <v>0</v>
      </c>
      <c r="HE122" s="9"/>
      <c r="HF122" s="476"/>
      <c r="HG122" s="219"/>
      <c r="HH122" s="220">
        <f t="shared" si="85"/>
        <v>0</v>
      </c>
      <c r="HI122" s="219"/>
      <c r="HJ122" s="219"/>
      <c r="HK122" s="219"/>
      <c r="HL122" s="219"/>
      <c r="HM122" s="219"/>
      <c r="HN122" s="219"/>
      <c r="HO122" s="219"/>
      <c r="HP122" s="219"/>
      <c r="HQ122" s="219"/>
      <c r="HR122" s="219"/>
      <c r="HS122" s="219"/>
      <c r="HT122" s="219"/>
      <c r="HU122" s="219"/>
      <c r="HV122" s="219"/>
      <c r="HW122" s="219"/>
      <c r="HX122" s="219"/>
    </row>
    <row r="123" spans="1:232" x14ac:dyDescent="0.25">
      <c r="A123" s="4" t="s">
        <v>240</v>
      </c>
      <c r="B123" s="4" t="s">
        <v>240</v>
      </c>
      <c r="C123" s="1" t="s">
        <v>241</v>
      </c>
      <c r="D123" s="6">
        <f>SUMIF('Eredeti fejléccel'!$B:$B,'Felosztás eredménykim'!$B123,'Eredeti fejléccel'!$D:$D)</f>
        <v>0</v>
      </c>
      <c r="E123" s="6">
        <f>SUMIF('Eredeti fejléccel'!$B:$B,'Felosztás eredménykim'!$B123,'Eredeti fejléccel'!$E:$E)</f>
        <v>0</v>
      </c>
      <c r="F123" s="6">
        <f>SUMIF('Eredeti fejléccel'!$B:$B,'Felosztás eredménykim'!$B123,'Eredeti fejléccel'!$F:$F)</f>
        <v>0</v>
      </c>
      <c r="G123" s="6">
        <f>SUMIF('Eredeti fejléccel'!$B:$B,'Felosztás eredménykim'!$B123,'Eredeti fejléccel'!$G:$G)</f>
        <v>0</v>
      </c>
      <c r="H123" s="6"/>
      <c r="I123" s="6">
        <f>SUMIF('Eredeti fejléccel'!$B:$B,'Felosztás eredménykim'!$B123,'Eredeti fejléccel'!$O:$O)</f>
        <v>0</v>
      </c>
      <c r="J123" s="6">
        <f>SUMIF('Eredeti fejléccel'!$B:$B,'Felosztás eredménykim'!$B123,'Eredeti fejléccel'!$P:$P)</f>
        <v>0</v>
      </c>
      <c r="K123" s="6">
        <f>SUMIF('Eredeti fejléccel'!$B:$B,'Felosztás eredménykim'!$B123,'Eredeti fejléccel'!$Q:$Q)</f>
        <v>0</v>
      </c>
      <c r="L123" s="6">
        <f>SUMIF('Eredeti fejléccel'!$B:$B,'Felosztás eredménykim'!$B123,'Eredeti fejléccel'!$R:$R)</f>
        <v>0</v>
      </c>
      <c r="M123" s="6">
        <f>SUMIF('Eredeti fejléccel'!$B:$B,'Felosztás eredménykim'!$B123,'Eredeti fejléccel'!$T:$T)</f>
        <v>0</v>
      </c>
      <c r="N123" s="6">
        <f>SUMIF('Eredeti fejléccel'!$B:$B,'Felosztás eredménykim'!$B123,'Eredeti fejléccel'!$U:$U)</f>
        <v>0</v>
      </c>
      <c r="O123" s="6">
        <f>SUMIF('Eredeti fejléccel'!$B:$B,'Felosztás eredménykim'!$B123,'Eredeti fejléccel'!$V:$V)</f>
        <v>60000</v>
      </c>
      <c r="P123" s="6">
        <f>SUMIF('Eredeti fejléccel'!$B:$B,'Felosztás eredménykim'!$B123,'Eredeti fejléccel'!$W:$W)</f>
        <v>0</v>
      </c>
      <c r="Q123" s="6">
        <f>SUMIF('Eredeti fejléccel'!$B:$B,'Felosztás eredménykim'!$B123,'Eredeti fejléccel'!$X:$X)</f>
        <v>60000</v>
      </c>
      <c r="R123" s="6">
        <f>SUMIF('Eredeti fejléccel'!$B:$B,'Felosztás eredménykim'!$B123,'Eredeti fejléccel'!$Y:$Y)</f>
        <v>0</v>
      </c>
      <c r="S123" s="6">
        <f>SUMIF('Eredeti fejléccel'!$B:$B,'Felosztás eredménykim'!$B123,'Eredeti fejléccel'!$Z:$Z)</f>
        <v>30000</v>
      </c>
      <c r="T123" s="6">
        <f>SUMIF('Eredeti fejléccel'!$B:$B,'Felosztás eredménykim'!$B123,'Eredeti fejléccel'!$AA:$AA)</f>
        <v>0</v>
      </c>
      <c r="U123" s="6">
        <v>0</v>
      </c>
      <c r="V123" s="6">
        <f>SUMIF('Eredeti fejléccel'!$B:$B,'Felosztás eredménykim'!$B123,'Eredeti fejléccel'!$AT:$AT)</f>
        <v>60000</v>
      </c>
      <c r="X123" s="36">
        <f t="shared" si="86"/>
        <v>210000</v>
      </c>
      <c r="Z123" s="6">
        <f>SUMIF('Eredeti fejléccel'!$B:$B,'Felosztás eredménykim'!$B123,'Eredeti fejléccel'!$K:$K)</f>
        <v>0</v>
      </c>
      <c r="AB123" s="6">
        <f>SUMIF('Eredeti fejléccel'!$B:$B,'Felosztás eredménykim'!$B123,'Eredeti fejléccel'!$AB:$AB)</f>
        <v>0</v>
      </c>
      <c r="AC123" s="6">
        <f>SUMIF('Eredeti fejléccel'!$B:$B,'Felosztás eredménykim'!$B123,'Eredeti fejléccel'!$AQ:$AQ)</f>
        <v>0</v>
      </c>
      <c r="AE123" s="73">
        <f t="shared" si="131"/>
        <v>0</v>
      </c>
      <c r="AF123" s="36">
        <f t="shared" si="138"/>
        <v>25051.87472216372</v>
      </c>
      <c r="AG123" s="8">
        <f t="shared" si="88"/>
        <v>0</v>
      </c>
      <c r="AI123" s="6">
        <f>SUMIF('Eredeti fejléccel'!$B:$B,'Felosztás eredménykim'!$B123,'Eredeti fejléccel'!$BB:$BB)</f>
        <v>0</v>
      </c>
      <c r="AJ123" s="6">
        <f>SUMIF('Eredeti fejléccel'!$B:$B,'Felosztás eredménykim'!$B123,'Eredeti fejléccel'!$AF:$AF)</f>
        <v>0</v>
      </c>
      <c r="AK123" s="8">
        <f t="shared" si="73"/>
        <v>0</v>
      </c>
      <c r="AL123" s="36">
        <f t="shared" si="139"/>
        <v>9950.4781505144001</v>
      </c>
      <c r="AM123" s="8">
        <f t="shared" si="90"/>
        <v>0</v>
      </c>
      <c r="AN123" s="6">
        <f t="shared" si="123"/>
        <v>0</v>
      </c>
      <c r="AO123" s="6">
        <f>SUMIF('Eredeti fejléccel'!$B:$B,'Felosztás eredménykim'!$B123,'Eredeti fejléccel'!$AC:$AC)</f>
        <v>0</v>
      </c>
      <c r="AP123" s="6">
        <f>SUMIF('Eredeti fejléccel'!$B:$B,'Felosztás eredménykim'!$B123,'Eredeti fejléccel'!$AD:$AD)</f>
        <v>0</v>
      </c>
      <c r="AQ123" s="6">
        <f>SUMIF('Eredeti fejléccel'!$B:$B,'Felosztás eredménykim'!$B123,'Eredeti fejléccel'!$AE:$AE)</f>
        <v>0</v>
      </c>
      <c r="AR123" s="6">
        <f>SUMIF('Eredeti fejléccel'!$B:$B,'Felosztás eredménykim'!$B123,'Eredeti fejléccel'!$AG:$AG)</f>
        <v>82329</v>
      </c>
      <c r="AS123" s="6">
        <f t="shared" si="124"/>
        <v>82329</v>
      </c>
      <c r="AT123" s="36">
        <f t="shared" si="140"/>
        <v>16162.499820750791</v>
      </c>
      <c r="AU123" s="8">
        <f t="shared" si="92"/>
        <v>0</v>
      </c>
      <c r="AV123" s="6">
        <f>SUMIF('Eredeti fejléccel'!$B:$B,'Felosztás eredménykim'!$B123,'Eredeti fejléccel'!$AI:$AI)</f>
        <v>0</v>
      </c>
      <c r="AW123" s="6">
        <f>SUMIF('Eredeti fejléccel'!$B:$B,'Felosztás eredménykim'!$B123,'Eredeti fejléccel'!$AJ:$AJ)</f>
        <v>30000</v>
      </c>
      <c r="AX123" s="6">
        <f>SUMIF('Eredeti fejléccel'!$B:$B,'Felosztás eredménykim'!$B123,'Eredeti fejléccel'!$AK:$AK)</f>
        <v>0</v>
      </c>
      <c r="AY123" s="6">
        <f>SUMIF('Eredeti fejléccel'!$B:$B,'Felosztás eredménykim'!$B123,'Eredeti fejléccel'!$AL:$AL)</f>
        <v>90000</v>
      </c>
      <c r="AZ123" s="6">
        <f>SUMIF('Eredeti fejléccel'!$B:$B,'Felosztás eredménykim'!$B123,'Eredeti fejléccel'!$AM:$AM)</f>
        <v>0</v>
      </c>
      <c r="BA123" s="6">
        <f>SUMIF('Eredeti fejléccel'!$B:$B,'Felosztás eredménykim'!$B123,'Eredeti fejléccel'!$AN:$AN)</f>
        <v>0</v>
      </c>
      <c r="BB123" s="6">
        <f>SUMIF('Eredeti fejléccel'!$B:$B,'Felosztás eredménykim'!$B123,'Eredeti fejléccel'!$AP:$AP)</f>
        <v>0</v>
      </c>
      <c r="BD123" s="6">
        <f>SUMIF('Eredeti fejléccel'!$B:$B,'Felosztás eredménykim'!$B123,'Eredeti fejléccel'!$AS:$AS)</f>
        <v>0</v>
      </c>
      <c r="BE123" s="8">
        <f t="shared" si="74"/>
        <v>120000</v>
      </c>
      <c r="BF123" s="36">
        <f t="shared" si="141"/>
        <v>4216.3043010654228</v>
      </c>
      <c r="BG123" s="8">
        <f t="shared" si="94"/>
        <v>0</v>
      </c>
      <c r="BH123" s="6">
        <f t="shared" si="125"/>
        <v>0</v>
      </c>
      <c r="BI123" s="6">
        <f>SUMIF('Eredeti fejléccel'!$B:$B,'Felosztás eredménykim'!$B123,'Eredeti fejléccel'!$AH:$AH)</f>
        <v>50000</v>
      </c>
      <c r="BJ123" s="6">
        <f>SUMIF('Eredeti fejléccel'!$B:$B,'Felosztás eredménykim'!$B123,'Eredeti fejléccel'!$AO:$AO)</f>
        <v>0</v>
      </c>
      <c r="BK123" s="6">
        <f>SUMIF('Eredeti fejléccel'!$B:$B,'Felosztás eredménykim'!$B123,'Eredeti fejléccel'!$BF:$BF)</f>
        <v>0</v>
      </c>
      <c r="BL123" s="8">
        <f t="shared" si="126"/>
        <v>50000</v>
      </c>
      <c r="BM123" s="36">
        <f t="shared" si="142"/>
        <v>15797.086781325121</v>
      </c>
      <c r="BN123" s="8">
        <f t="shared" si="96"/>
        <v>0</v>
      </c>
      <c r="BP123" s="8">
        <f t="shared" si="127"/>
        <v>0</v>
      </c>
      <c r="BQ123" s="6">
        <f>SUMIF('Eredeti fejléccel'!$B:$B,'Felosztás eredménykim'!$B123,'Eredeti fejléccel'!$N:$N)</f>
        <v>0</v>
      </c>
      <c r="BR123" s="6">
        <f>SUMIF('Eredeti fejléccel'!$B:$B,'Felosztás eredménykim'!$B123,'Eredeti fejléccel'!$S:$S)</f>
        <v>0</v>
      </c>
      <c r="BT123" s="6">
        <f>SUMIF('Eredeti fejléccel'!$B:$B,'Felosztás eredménykim'!$B123,'Eredeti fejléccel'!$AR:$AR)</f>
        <v>0</v>
      </c>
      <c r="BU123" s="6">
        <f>SUMIF('Eredeti fejléccel'!$B:$B,'Felosztás eredménykim'!$B123,'Eredeti fejléccel'!$AU:$AU)</f>
        <v>0</v>
      </c>
      <c r="BV123" s="6">
        <f>SUMIF('Eredeti fejléccel'!$B:$B,'Felosztás eredménykim'!$B123,'Eredeti fejléccel'!$AV:$AV)</f>
        <v>0</v>
      </c>
      <c r="BW123" s="6">
        <f>SUMIF('Eredeti fejléccel'!$B:$B,'Felosztás eredménykim'!$B123,'Eredeti fejléccel'!$AW:$AW)</f>
        <v>0</v>
      </c>
      <c r="BX123" s="6">
        <f>SUMIF('Eredeti fejléccel'!$B:$B,'Felosztás eredménykim'!$B123,'Eredeti fejléccel'!$AX:$AX)</f>
        <v>0</v>
      </c>
      <c r="BY123" s="6">
        <f>SUMIF('Eredeti fejléccel'!$B:$B,'Felosztás eredménykim'!$B123,'Eredeti fejléccel'!$AY:$AY)</f>
        <v>0</v>
      </c>
      <c r="BZ123" s="6">
        <f>SUMIF('Eredeti fejléccel'!$B:$B,'Felosztás eredménykim'!$B123,'Eredeti fejléccel'!$AZ:$AZ)</f>
        <v>0</v>
      </c>
      <c r="CA123" s="6">
        <f>SUMIF('Eredeti fejléccel'!$B:$B,'Felosztás eredménykim'!$B123,'Eredeti fejléccel'!$BA:$BA)</f>
        <v>60000</v>
      </c>
      <c r="CB123" s="6">
        <f t="shared" si="114"/>
        <v>60000</v>
      </c>
      <c r="CC123" s="36">
        <f t="shared" si="143"/>
        <v>4300.6303870867314</v>
      </c>
      <c r="CD123" s="8">
        <f t="shared" si="98"/>
        <v>0</v>
      </c>
      <c r="CE123" s="6">
        <f>SUMIF('Eredeti fejléccel'!$B:$B,'Felosztás eredménykim'!$B123,'Eredeti fejléccel'!$BC:$BC)</f>
        <v>0</v>
      </c>
      <c r="CF123" s="8">
        <f t="shared" si="135"/>
        <v>0</v>
      </c>
      <c r="CG123" s="6">
        <f>SUMIF('Eredeti fejléccel'!$B:$B,'Felosztás eredménykim'!$B123,'Eredeti fejléccel'!$H:$H)</f>
        <v>0</v>
      </c>
      <c r="CH123" s="6">
        <f>SUMIF('Eredeti fejléccel'!$B:$B,'Felosztás eredménykim'!$B123,'Eredeti fejléccel'!$BE:$BE)</f>
        <v>30000</v>
      </c>
      <c r="CI123" s="6">
        <f t="shared" si="75"/>
        <v>30000</v>
      </c>
      <c r="CJ123" s="36">
        <f t="shared" si="144"/>
        <v>3091.9564874479779</v>
      </c>
      <c r="CK123" s="8">
        <f t="shared" si="100"/>
        <v>0</v>
      </c>
      <c r="CL123" s="8">
        <f t="shared" si="136"/>
        <v>0</v>
      </c>
      <c r="CM123" s="6">
        <f>SUMIF('Eredeti fejléccel'!$B:$B,'Felosztás eredménykim'!$B123,'Eredeti fejléccel'!$BD:$BD)</f>
        <v>0</v>
      </c>
      <c r="CN123" s="8">
        <f t="shared" si="76"/>
        <v>0</v>
      </c>
      <c r="CO123" s="8">
        <f t="shared" si="115"/>
        <v>420899.83065035415</v>
      </c>
      <c r="CR123" s="36">
        <f t="shared" si="101"/>
        <v>18572.762395363814</v>
      </c>
      <c r="CS123" s="6">
        <f>SUMIF('Eredeti fejléccel'!$B:$B,'Felosztás eredménykim'!$B123,'Eredeti fejléccel'!$I:$I)</f>
        <v>0</v>
      </c>
      <c r="CT123" s="6">
        <f>SUMIF('Eredeti fejléccel'!$B:$B,'Felosztás eredménykim'!$B123,'Eredeti fejléccel'!$BG:$BG)</f>
        <v>0</v>
      </c>
      <c r="CU123" s="6">
        <f>SUMIF('Eredeti fejléccel'!$B:$B,'Felosztás eredménykim'!$B123,'Eredeti fejléccel'!$BH:$BH)</f>
        <v>0</v>
      </c>
      <c r="CV123" s="6">
        <f>SUMIF('Eredeti fejléccel'!$B:$B,'Felosztás eredménykim'!$B123,'Eredeti fejléccel'!$BI:$BI)</f>
        <v>27349</v>
      </c>
      <c r="CW123" s="6">
        <f>SUMIF('Eredeti fejléccel'!$B:$B,'Felosztás eredménykim'!$B123,'Eredeti fejléccel'!$BL:$BL)</f>
        <v>104400</v>
      </c>
      <c r="CX123" s="6">
        <f t="shared" si="77"/>
        <v>131749</v>
      </c>
      <c r="CY123" s="6">
        <f>SUMIF('Eredeti fejléccel'!$B:$B,'Felosztás eredménykim'!$B123,'Eredeti fejléccel'!$BJ:$BJ)</f>
        <v>15600</v>
      </c>
      <c r="CZ123" s="6">
        <f>SUMIF('Eredeti fejléccel'!$B:$B,'Felosztás eredménykim'!$B123,'Eredeti fejléccel'!$BK:$BK)</f>
        <v>0</v>
      </c>
      <c r="DA123" s="99">
        <f t="shared" si="116"/>
        <v>147349</v>
      </c>
      <c r="DC123" s="36">
        <f t="shared" si="102"/>
        <v>16267.224726336128</v>
      </c>
      <c r="DD123" s="6">
        <f>SUMIF('Eredeti fejléccel'!$B:$B,'Felosztás eredménykim'!$B123,'Eredeti fejléccel'!$J:$J)</f>
        <v>0</v>
      </c>
      <c r="DE123" s="6">
        <f>SUMIF('Eredeti fejléccel'!$B:$B,'Felosztás eredménykim'!$B123,'Eredeti fejléccel'!$BM:$BM)</f>
        <v>0</v>
      </c>
      <c r="DF123" s="6">
        <f t="shared" si="128"/>
        <v>0</v>
      </c>
      <c r="DG123" s="8">
        <f t="shared" si="117"/>
        <v>0</v>
      </c>
      <c r="DH123" s="8">
        <f t="shared" si="129"/>
        <v>0</v>
      </c>
      <c r="DJ123" s="6">
        <f>SUMIF('Eredeti fejléccel'!$B:$B,'Felosztás eredménykim'!$B123,'Eredeti fejléccel'!$BN:$BN)</f>
        <v>0</v>
      </c>
      <c r="DK123" s="6">
        <f>SUMIF('Eredeti fejléccel'!$B:$B,'Felosztás eredménykim'!$B123,'Eredeti fejléccel'!$BZ:$BZ)</f>
        <v>0</v>
      </c>
      <c r="DL123" s="8">
        <f t="shared" si="130"/>
        <v>0</v>
      </c>
      <c r="DM123" s="6">
        <f>SUMIF('Eredeti fejléccel'!$B:$B,'Felosztás eredménykim'!$B123,'Eredeti fejléccel'!$BR:$BR)</f>
        <v>0</v>
      </c>
      <c r="DN123" s="6">
        <f>SUMIF('Eredeti fejléccel'!$B:$B,'Felosztás eredménykim'!$B123,'Eredeti fejléccel'!$BS:$BS)</f>
        <v>0</v>
      </c>
      <c r="DO123" s="6">
        <f>SUMIF('Eredeti fejléccel'!$B:$B,'Felosztás eredménykim'!$B123,'Eredeti fejléccel'!$BO:$BO)</f>
        <v>0</v>
      </c>
      <c r="DP123" s="6">
        <f>SUMIF('Eredeti fejléccel'!$B:$B,'Felosztás eredménykim'!$B123,'Eredeti fejléccel'!$BP:$BP)</f>
        <v>0</v>
      </c>
      <c r="DQ123" s="6">
        <f>SUMIF('Eredeti fejléccel'!$B:$B,'Felosztás eredménykim'!$B123,'Eredeti fejléccel'!$BQ:$BQ)</f>
        <v>0</v>
      </c>
      <c r="DS123" s="8"/>
      <c r="DU123" s="6">
        <f>SUMIF('Eredeti fejléccel'!$B:$B,'Felosztás eredménykim'!$B123,'Eredeti fejléccel'!$BT:$BT)</f>
        <v>0</v>
      </c>
      <c r="DV123" s="6">
        <f>SUMIF('Eredeti fejléccel'!$B:$B,'Felosztás eredménykim'!$B123,'Eredeti fejléccel'!$BU:$BU)</f>
        <v>0</v>
      </c>
      <c r="DW123" s="6">
        <f>SUMIF('Eredeti fejléccel'!$B:$B,'Felosztás eredménykim'!$B123,'Eredeti fejléccel'!$BV:$BV)</f>
        <v>0</v>
      </c>
      <c r="DX123" s="6">
        <f>SUMIF('Eredeti fejléccel'!$B:$B,'Felosztás eredménykim'!$B123,'Eredeti fejléccel'!$BW:$BW)</f>
        <v>0</v>
      </c>
      <c r="DY123" s="6">
        <f>SUMIF('Eredeti fejléccel'!$B:$B,'Felosztás eredménykim'!$B123,'Eredeti fejléccel'!$BX:$BX)</f>
        <v>0</v>
      </c>
      <c r="EA123" s="6"/>
      <c r="EC123" s="6"/>
      <c r="EE123" s="6">
        <f>SUMIF('Eredeti fejléccel'!$B:$B,'Felosztás eredménykim'!$B123,'Eredeti fejléccel'!$CA:$CA)</f>
        <v>0</v>
      </c>
      <c r="EF123" s="6">
        <f>SUMIF('Eredeti fejléccel'!$B:$B,'Felosztás eredménykim'!$B123,'Eredeti fejléccel'!$CB:$CB)</f>
        <v>0</v>
      </c>
      <c r="EG123" s="6">
        <f>SUMIF('Eredeti fejléccel'!$B:$B,'Felosztás eredménykim'!$B123,'Eredeti fejléccel'!$CC:$CC)</f>
        <v>0</v>
      </c>
      <c r="EH123" s="6">
        <f>SUMIF('Eredeti fejléccel'!$B:$B,'Felosztás eredménykim'!$B123,'Eredeti fejléccel'!$CD:$CD)</f>
        <v>0</v>
      </c>
      <c r="EK123" s="6">
        <f>SUMIF('Eredeti fejléccel'!$B:$B,'Felosztás eredménykim'!$B123,'Eredeti fejléccel'!$CE:$CE)</f>
        <v>0</v>
      </c>
      <c r="EN123" s="6">
        <f>SUMIF('Eredeti fejléccel'!$B:$B,'Felosztás eredménykim'!$B123,'Eredeti fejléccel'!$CF:$CF)</f>
        <v>0</v>
      </c>
      <c r="EP123" s="6">
        <f>SUMIF('Eredeti fejléccel'!$B:$B,'Felosztás eredménykim'!$B123,'Eredeti fejléccel'!$CG:$CG)</f>
        <v>0</v>
      </c>
      <c r="ES123" s="6">
        <f>SUMIF('Eredeti fejléccel'!$B:$B,'Felosztás eredménykim'!$B123,'Eredeti fejléccel'!$CH:$CH)</f>
        <v>0</v>
      </c>
      <c r="ET123" s="6">
        <f>SUMIF('Eredeti fejléccel'!$B:$B,'Felosztás eredménykim'!$B123,'Eredeti fejléccel'!$CI:$CI)</f>
        <v>0</v>
      </c>
      <c r="EW123" s="8">
        <f t="shared" si="118"/>
        <v>0</v>
      </c>
      <c r="EX123" s="8">
        <f t="shared" si="78"/>
        <v>0</v>
      </c>
      <c r="EY123" s="8">
        <f t="shared" si="119"/>
        <v>0</v>
      </c>
      <c r="EZ123" s="8">
        <f t="shared" si="120"/>
        <v>0</v>
      </c>
      <c r="FA123" s="8">
        <f t="shared" si="121"/>
        <v>0</v>
      </c>
      <c r="FC123" s="6">
        <f>SUMIF('Eredeti fejléccel'!$B:$B,'Felosztás eredménykim'!$B123,'Eredeti fejléccel'!$L:$L)</f>
        <v>0</v>
      </c>
      <c r="FD123" s="6">
        <f>SUMIF('Eredeti fejléccel'!$B:$B,'Felosztás eredménykim'!$B123,'Eredeti fejléccel'!$CJ:$CJ)</f>
        <v>60000</v>
      </c>
      <c r="FE123" s="6">
        <f>SUMIF('Eredeti fejléccel'!$B:$B,'Felosztás eredménykim'!$B123,'Eredeti fejléccel'!$CL:$CL)</f>
        <v>0</v>
      </c>
      <c r="FG123" s="99">
        <f t="shared" si="79"/>
        <v>60000</v>
      </c>
      <c r="FH123" s="6">
        <f>SUMIF('Eredeti fejléccel'!$B:$B,'Felosztás eredménykim'!$B123,'Eredeti fejléccel'!$CK:$CK)</f>
        <v>0</v>
      </c>
      <c r="FI123" s="36">
        <f t="shared" si="145"/>
        <v>19139.420820057254</v>
      </c>
      <c r="FJ123" s="101">
        <f t="shared" si="104"/>
        <v>13304.769603880355</v>
      </c>
      <c r="FK123" s="6">
        <f>SUMIF('Eredeti fejléccel'!$B:$B,'Felosztás eredménykim'!$B123,'Eredeti fejléccel'!$CM:$CM)</f>
        <v>0</v>
      </c>
      <c r="FL123" s="6">
        <f>SUMIF('Eredeti fejléccel'!$B:$B,'Felosztás eredménykim'!$B123,'Eredeti fejléccel'!$CN:$CN)</f>
        <v>0</v>
      </c>
      <c r="FM123" s="8">
        <f t="shared" si="80"/>
        <v>13304.769603880355</v>
      </c>
      <c r="FN123" s="36">
        <f t="shared" si="146"/>
        <v>16271.647594740618</v>
      </c>
      <c r="FO123" s="101">
        <f t="shared" si="106"/>
        <v>11311.236863379143</v>
      </c>
      <c r="FP123" s="6">
        <f>SUMIF('Eredeti fejléccel'!$B:$B,'Felosztás eredménykim'!$B123,'Eredeti fejléccel'!$CO:$CO)</f>
        <v>0</v>
      </c>
      <c r="FQ123" s="6">
        <f>'Eredeti fejléccel'!CP123</f>
        <v>0</v>
      </c>
      <c r="FR123" s="6">
        <f>'Eredeti fejléccel'!CQ123</f>
        <v>0</v>
      </c>
      <c r="FS123" s="103">
        <f t="shared" si="122"/>
        <v>11311.236863379143</v>
      </c>
      <c r="FT123" s="36">
        <f t="shared" si="147"/>
        <v>44914.492095774171</v>
      </c>
      <c r="FU123" s="101">
        <f t="shared" si="108"/>
        <v>31222.312045270821</v>
      </c>
      <c r="FV123" s="101"/>
      <c r="FW123" s="6">
        <f>SUMIF('Eredeti fejléccel'!$B:$B,'Felosztás eredménykim'!$B123,'Eredeti fejléccel'!$CR:$CR)</f>
        <v>0</v>
      </c>
      <c r="FX123" s="6">
        <f>SUMIF('Eredeti fejléccel'!$B:$B,'Felosztás eredménykim'!$B123,'Eredeti fejléccel'!$CS:$CS)</f>
        <v>0</v>
      </c>
      <c r="FY123" s="6">
        <f>SUMIF('Eredeti fejléccel'!$B:$B,'Felosztás eredménykim'!$B123,'Eredeti fejléccel'!$CT:$CT)</f>
        <v>0</v>
      </c>
      <c r="FZ123" s="6">
        <f>SUMIF('Eredeti fejléccel'!$B:$B,'Felosztás eredménykim'!$B123,'Eredeti fejléccel'!$CU:$CU)</f>
        <v>0</v>
      </c>
      <c r="GA123" s="103">
        <f t="shared" si="81"/>
        <v>31222.312045270821</v>
      </c>
      <c r="GB123" s="36">
        <f t="shared" si="148"/>
        <v>5986.7382659894729</v>
      </c>
      <c r="GC123" s="101">
        <f t="shared" si="110"/>
        <v>4161.6814874696847</v>
      </c>
      <c r="GD123" s="6">
        <f>SUMIF('Eredeti fejléccel'!$B:$B,'Felosztás eredménykim'!$B123,'Eredeti fejléccel'!$CV:$CV)</f>
        <v>0</v>
      </c>
      <c r="GE123" s="6">
        <f>SUMIF('Eredeti fejléccel'!$B:$B,'Felosztás eredménykim'!$B123,'Eredeti fejléccel'!$CW:$CW)</f>
        <v>0</v>
      </c>
      <c r="GF123" s="103">
        <f t="shared" si="82"/>
        <v>4161.6814874696847</v>
      </c>
      <c r="GG123" s="36">
        <f t="shared" si="111"/>
        <v>0</v>
      </c>
      <c r="GM123" s="6">
        <f>SUMIF('Eredeti fejléccel'!$B:$B,'Felosztás eredménykim'!$B123,'Eredeti fejléccel'!$CX:$CX)</f>
        <v>0</v>
      </c>
      <c r="GN123" s="6">
        <f>SUMIF('Eredeti fejléccel'!$B:$B,'Felosztás eredménykim'!$B123,'Eredeti fejléccel'!$CY:$CY)</f>
        <v>0</v>
      </c>
      <c r="GO123" s="6">
        <f>SUMIF('Eredeti fejléccel'!$B:$B,'Felosztás eredménykim'!$B123,'Eredeti fejléccel'!$CZ:$CZ)</f>
        <v>0</v>
      </c>
      <c r="GP123" s="6">
        <f>SUMIF('Eredeti fejléccel'!$B:$B,'Felosztás eredménykim'!$B123,'Eredeti fejléccel'!$DA:$DA)</f>
        <v>0</v>
      </c>
      <c r="GQ123" s="6">
        <f>SUMIF('Eredeti fejléccel'!$B:$B,'Felosztás eredménykim'!$B123,'Eredeti fejléccel'!$DB:$DB)</f>
        <v>0</v>
      </c>
      <c r="GR123" s="103">
        <f t="shared" si="83"/>
        <v>0</v>
      </c>
      <c r="GW123" s="36">
        <f t="shared" si="112"/>
        <v>10276.883451384419</v>
      </c>
      <c r="GX123" s="6">
        <f>SUMIF('Eredeti fejléccel'!$B:$B,'Felosztás eredménykim'!$B123,'Eredeti fejléccel'!$M:$M)</f>
        <v>0</v>
      </c>
      <c r="GY123" s="6">
        <f>SUMIF('Eredeti fejléccel'!$B:$B,'Felosztás eredménykim'!$B123,'Eredeti fejléccel'!$DC:$DC)</f>
        <v>0</v>
      </c>
      <c r="GZ123" s="6">
        <f>SUMIF('Eredeti fejléccel'!$B:$B,'Felosztás eredménykim'!$B123,'Eredeti fejléccel'!$DD:$DD)</f>
        <v>0</v>
      </c>
      <c r="HA123" s="6">
        <f>SUMIF('Eredeti fejléccel'!$B:$B,'Felosztás eredménykim'!$B123,'Eredeti fejléccel'!$DE:$DE)</f>
        <v>0</v>
      </c>
      <c r="HB123" s="103">
        <f t="shared" si="84"/>
        <v>0</v>
      </c>
      <c r="HD123" s="9">
        <f>SUM(D123:HA123)-W123-X123-AD123-AE123-AF123-AG123-AK123-AL123-AM123-AS123-AT123-AU123-BE123-BF123-BG123-BL123-BM123-BN123-CB123-CC123-CD123-CI123-CJ123-CK123-CN123-CO123-CP123-CR123-CX123-DA123-DC123-DG123-DH123-DL123-EW123-EX123-EY123-EZ123-FA123-FF123-FG123-FI123-FJ123-FM123-FN123-FO123-FS123-FT123-FU123-GA123-GB123-GC123-GF123-GG123-GR123-GS123-GT123-GU123-GW123</f>
        <v>759678</v>
      </c>
      <c r="HE123" s="9">
        <v>759678</v>
      </c>
      <c r="HF123" s="476"/>
      <c r="HH123" s="34">
        <f t="shared" si="85"/>
        <v>0</v>
      </c>
    </row>
    <row r="124" spans="1:232" s="209" customFormat="1" x14ac:dyDescent="0.25">
      <c r="A124" s="4" t="s">
        <v>242</v>
      </c>
      <c r="B124" s="208" t="s">
        <v>242</v>
      </c>
      <c r="C124" s="209" t="s">
        <v>243</v>
      </c>
      <c r="D124" s="6">
        <f>SUMIF('Eredeti fejléccel'!$B:$B,'Felosztás eredménykim'!$B124,'Eredeti fejléccel'!$D:$D)</f>
        <v>0</v>
      </c>
      <c r="E124" s="6">
        <f>SUMIF('Eredeti fejléccel'!$B:$B,'Felosztás eredménykim'!$B124,'Eredeti fejléccel'!$E:$E)</f>
        <v>0</v>
      </c>
      <c r="F124" s="6">
        <f>SUMIF('Eredeti fejléccel'!$B:$B,'Felosztás eredménykim'!$B124,'Eredeti fejléccel'!$F:$F)</f>
        <v>0</v>
      </c>
      <c r="G124" s="6">
        <f>SUMIF('Eredeti fejléccel'!$B:$B,'Felosztás eredménykim'!$B124,'Eredeti fejléccel'!$G:$G)</f>
        <v>0</v>
      </c>
      <c r="H124" s="6"/>
      <c r="I124" s="6">
        <f>SUMIF('Eredeti fejléccel'!$B:$B,'Felosztás eredménykim'!$B124,'Eredeti fejléccel'!$O:$O)</f>
        <v>0</v>
      </c>
      <c r="J124" s="6">
        <f>SUMIF('Eredeti fejléccel'!$B:$B,'Felosztás eredménykim'!$B124,'Eredeti fejléccel'!$P:$P)</f>
        <v>0</v>
      </c>
      <c r="K124" s="6">
        <f>SUMIF('Eredeti fejléccel'!$B:$B,'Felosztás eredménykim'!$B124,'Eredeti fejléccel'!$Q:$Q)</f>
        <v>0</v>
      </c>
      <c r="L124" s="6">
        <f>SUMIF('Eredeti fejléccel'!$B:$B,'Felosztás eredménykim'!$B124,'Eredeti fejléccel'!$R:$R)</f>
        <v>0</v>
      </c>
      <c r="M124" s="6">
        <f>SUMIF('Eredeti fejléccel'!$B:$B,'Felosztás eredménykim'!$B124,'Eredeti fejléccel'!$T:$T)</f>
        <v>0</v>
      </c>
      <c r="N124" s="6">
        <f>SUMIF('Eredeti fejléccel'!$B:$B,'Felosztás eredménykim'!$B124,'Eredeti fejléccel'!$U:$U)</f>
        <v>0</v>
      </c>
      <c r="O124" s="6">
        <f>SUMIF('Eredeti fejléccel'!$B:$B,'Felosztás eredménykim'!$B124,'Eredeti fejléccel'!$V:$V)</f>
        <v>0</v>
      </c>
      <c r="P124" s="6">
        <f>SUMIF('Eredeti fejléccel'!$B:$B,'Felosztás eredménykim'!$B124,'Eredeti fejléccel'!$W:$W)</f>
        <v>0</v>
      </c>
      <c r="Q124" s="6">
        <f>SUMIF('Eredeti fejléccel'!$B:$B,'Felosztás eredménykim'!$B124,'Eredeti fejléccel'!$X:$X)</f>
        <v>0</v>
      </c>
      <c r="R124" s="6">
        <f>SUMIF('Eredeti fejléccel'!$B:$B,'Felosztás eredménykim'!$B124,'Eredeti fejléccel'!$Y:$Y)</f>
        <v>0</v>
      </c>
      <c r="S124" s="6">
        <f>SUMIF('Eredeti fejléccel'!$B:$B,'Felosztás eredménykim'!$B124,'Eredeti fejléccel'!$Z:$Z)</f>
        <v>0</v>
      </c>
      <c r="T124" s="6">
        <f>SUMIF('Eredeti fejléccel'!$B:$B,'Felosztás eredménykim'!$B124,'Eredeti fejléccel'!$AA:$AA)</f>
        <v>0</v>
      </c>
      <c r="U124" s="6">
        <f>SUMIF('Eredeti fejléccel'!$B:$B,'Felosztás eredménykim'!$B124,'Eredeti fejléccel'!$D:$D)</f>
        <v>0</v>
      </c>
      <c r="V124" s="6">
        <f>SUMIF('Eredeti fejléccel'!$B:$B,'Felosztás eredménykim'!$B124,'Eredeti fejléccel'!$AT:$AT)</f>
        <v>0</v>
      </c>
      <c r="W124" s="212"/>
      <c r="X124" s="212">
        <f t="shared" si="86"/>
        <v>0</v>
      </c>
      <c r="Y124" s="212"/>
      <c r="Z124" s="6">
        <f>SUMIF('Eredeti fejléccel'!$B:$B,'Felosztás eredménykim'!$B124,'Eredeti fejléccel'!$K:$K)</f>
        <v>0</v>
      </c>
      <c r="AA124" s="210"/>
      <c r="AB124" s="6">
        <f>SUMIF('Eredeti fejléccel'!$B:$B,'Felosztás eredménykim'!$B124,'Eredeti fejléccel'!$AB:$AB)</f>
        <v>0</v>
      </c>
      <c r="AC124" s="6">
        <f>SUMIF('Eredeti fejléccel'!$B:$B,'Felosztás eredménykim'!$B124,'Eredeti fejléccel'!$AQ:$AQ)</f>
        <v>0</v>
      </c>
      <c r="AD124" s="213"/>
      <c r="AE124" s="73">
        <f t="shared" si="131"/>
        <v>0</v>
      </c>
      <c r="AF124" s="36">
        <f t="shared" si="138"/>
        <v>0</v>
      </c>
      <c r="AG124" s="8">
        <f t="shared" si="88"/>
        <v>0</v>
      </c>
      <c r="AH124" s="6"/>
      <c r="AI124" s="6">
        <f>SUMIF('Eredeti fejléccel'!$B:$B,'Felosztás eredménykim'!$B124,'Eredeti fejléccel'!$BB:$BB)</f>
        <v>0</v>
      </c>
      <c r="AJ124" s="6">
        <f>SUMIF('Eredeti fejléccel'!$B:$B,'Felosztás eredménykim'!$B124,'Eredeti fejléccel'!$AF:$AF)</f>
        <v>0</v>
      </c>
      <c r="AK124" s="211">
        <f t="shared" si="73"/>
        <v>0</v>
      </c>
      <c r="AL124" s="36">
        <f t="shared" si="139"/>
        <v>0</v>
      </c>
      <c r="AM124" s="8">
        <f t="shared" si="90"/>
        <v>0</v>
      </c>
      <c r="AN124" s="6">
        <f t="shared" si="123"/>
        <v>0</v>
      </c>
      <c r="AO124" s="6">
        <f>SUMIF('Eredeti fejléccel'!$B:$B,'Felosztás eredménykim'!$B124,'Eredeti fejléccel'!$AC:$AC)</f>
        <v>0</v>
      </c>
      <c r="AP124" s="6">
        <f>SUMIF('Eredeti fejléccel'!$B:$B,'Felosztás eredménykim'!$B124,'Eredeti fejléccel'!$AD:$AD)</f>
        <v>0</v>
      </c>
      <c r="AQ124" s="6">
        <f>SUMIF('Eredeti fejléccel'!$B:$B,'Felosztás eredménykim'!$B124,'Eredeti fejléccel'!$AE:$AE)</f>
        <v>0</v>
      </c>
      <c r="AR124" s="6">
        <f>SUMIF('Eredeti fejléccel'!$B:$B,'Felosztás eredménykim'!$B124,'Eredeti fejléccel'!$AG:$AG)</f>
        <v>0</v>
      </c>
      <c r="AS124" s="6">
        <f t="shared" si="124"/>
        <v>0</v>
      </c>
      <c r="AT124" s="36">
        <f t="shared" si="140"/>
        <v>0</v>
      </c>
      <c r="AU124" s="8">
        <f t="shared" si="92"/>
        <v>0</v>
      </c>
      <c r="AV124" s="6">
        <f>SUMIF('Eredeti fejléccel'!$B:$B,'Felosztás eredménykim'!$B124,'Eredeti fejléccel'!$AI:$AI)</f>
        <v>0</v>
      </c>
      <c r="AW124" s="6">
        <f>SUMIF('Eredeti fejléccel'!$B:$B,'Felosztás eredménykim'!$B124,'Eredeti fejléccel'!$AJ:$AJ)</f>
        <v>0</v>
      </c>
      <c r="AX124" s="6">
        <f>SUMIF('Eredeti fejléccel'!$B:$B,'Felosztás eredménykim'!$B124,'Eredeti fejléccel'!$AK:$AK)</f>
        <v>0</v>
      </c>
      <c r="AY124" s="6">
        <f>SUMIF('Eredeti fejléccel'!$B:$B,'Felosztás eredménykim'!$B124,'Eredeti fejléccel'!$AL:$AL)</f>
        <v>0</v>
      </c>
      <c r="AZ124" s="6">
        <f>SUMIF('Eredeti fejléccel'!$B:$B,'Felosztás eredménykim'!$B124,'Eredeti fejléccel'!$AM:$AM)</f>
        <v>0</v>
      </c>
      <c r="BA124" s="6">
        <f>SUMIF('Eredeti fejléccel'!$B:$B,'Felosztás eredménykim'!$B124,'Eredeti fejléccel'!$AN:$AN)</f>
        <v>0</v>
      </c>
      <c r="BB124" s="6">
        <f>SUMIF('Eredeti fejléccel'!$B:$B,'Felosztás eredménykim'!$B124,'Eredeti fejléccel'!$AP:$AP)</f>
        <v>0</v>
      </c>
      <c r="BC124" s="210"/>
      <c r="BD124" s="6">
        <f>SUMIF('Eredeti fejléccel'!$B:$B,'Felosztás eredménykim'!$B124,'Eredeti fejléccel'!$AS:$AS)</f>
        <v>0</v>
      </c>
      <c r="BE124" s="211">
        <f t="shared" si="74"/>
        <v>0</v>
      </c>
      <c r="BF124" s="36">
        <f t="shared" si="141"/>
        <v>0</v>
      </c>
      <c r="BG124" s="8">
        <f t="shared" si="94"/>
        <v>0</v>
      </c>
      <c r="BH124" s="6">
        <f t="shared" si="125"/>
        <v>0</v>
      </c>
      <c r="BI124" s="6">
        <f>SUMIF('Eredeti fejléccel'!$B:$B,'Felosztás eredménykim'!$B124,'Eredeti fejléccel'!$AH:$AH)</f>
        <v>0</v>
      </c>
      <c r="BJ124" s="6">
        <f>SUMIF('Eredeti fejléccel'!$B:$B,'Felosztás eredménykim'!$B124,'Eredeti fejléccel'!$AO:$AO)</f>
        <v>0</v>
      </c>
      <c r="BK124" s="6">
        <f>SUMIF('Eredeti fejléccel'!$B:$B,'Felosztás eredménykim'!$B124,'Eredeti fejléccel'!$BF:$BF)</f>
        <v>0</v>
      </c>
      <c r="BL124" s="8">
        <f t="shared" si="126"/>
        <v>0</v>
      </c>
      <c r="BM124" s="36">
        <f t="shared" si="142"/>
        <v>0</v>
      </c>
      <c r="BN124" s="8">
        <f t="shared" si="96"/>
        <v>0</v>
      </c>
      <c r="BO124" s="211"/>
      <c r="BP124" s="8">
        <f t="shared" si="127"/>
        <v>0</v>
      </c>
      <c r="BQ124" s="6">
        <f>SUMIF('Eredeti fejléccel'!$B:$B,'Felosztás eredménykim'!$B124,'Eredeti fejléccel'!$N:$N)</f>
        <v>0</v>
      </c>
      <c r="BR124" s="6">
        <f>SUMIF('Eredeti fejléccel'!$B:$B,'Felosztás eredménykim'!$B124,'Eredeti fejléccel'!$S:$S)</f>
        <v>0</v>
      </c>
      <c r="BS124" s="210"/>
      <c r="BT124" s="6">
        <f>SUMIF('Eredeti fejléccel'!$B:$B,'Felosztás eredménykim'!$B124,'Eredeti fejléccel'!$AR:$AR)</f>
        <v>0</v>
      </c>
      <c r="BU124" s="6">
        <f>SUMIF('Eredeti fejléccel'!$B:$B,'Felosztás eredménykim'!$B124,'Eredeti fejléccel'!$AU:$AU)</f>
        <v>0</v>
      </c>
      <c r="BV124" s="6">
        <f>SUMIF('Eredeti fejléccel'!$B:$B,'Felosztás eredménykim'!$B124,'Eredeti fejléccel'!$AV:$AV)</f>
        <v>0</v>
      </c>
      <c r="BW124" s="6">
        <f>SUMIF('Eredeti fejléccel'!$B:$B,'Felosztás eredménykim'!$B124,'Eredeti fejléccel'!$AW:$AW)</f>
        <v>0</v>
      </c>
      <c r="BX124" s="6">
        <f>SUMIF('Eredeti fejléccel'!$B:$B,'Felosztás eredménykim'!$B124,'Eredeti fejléccel'!$AX:$AX)</f>
        <v>0</v>
      </c>
      <c r="BY124" s="6">
        <f>SUMIF('Eredeti fejléccel'!$B:$B,'Felosztás eredménykim'!$B124,'Eredeti fejléccel'!$AY:$AY)</f>
        <v>0</v>
      </c>
      <c r="BZ124" s="6">
        <f>SUMIF('Eredeti fejléccel'!$B:$B,'Felosztás eredménykim'!$B124,'Eredeti fejléccel'!$AZ:$AZ)</f>
        <v>0</v>
      </c>
      <c r="CA124" s="6">
        <f>SUMIF('Eredeti fejléccel'!$B:$B,'Felosztás eredménykim'!$B124,'Eredeti fejléccel'!$BA:$BA)</f>
        <v>0</v>
      </c>
      <c r="CB124" s="210">
        <f t="shared" si="114"/>
        <v>0</v>
      </c>
      <c r="CC124" s="36">
        <f t="shared" si="143"/>
        <v>0</v>
      </c>
      <c r="CD124" s="8">
        <f t="shared" si="98"/>
        <v>0</v>
      </c>
      <c r="CE124" s="6">
        <f>SUMIF('Eredeti fejléccel'!$B:$B,'Felosztás eredménykim'!$B124,'Eredeti fejléccel'!$BC:$BC)</f>
        <v>0</v>
      </c>
      <c r="CF124" s="211">
        <f t="shared" si="135"/>
        <v>0</v>
      </c>
      <c r="CG124" s="6">
        <f>SUMIF('Eredeti fejléccel'!$B:$B,'Felosztás eredménykim'!$B124,'Eredeti fejléccel'!$H:$H)</f>
        <v>0</v>
      </c>
      <c r="CH124" s="6">
        <f>SUMIF('Eredeti fejléccel'!$B:$B,'Felosztás eredménykim'!$B124,'Eredeti fejléccel'!$BE:$BE)</f>
        <v>0</v>
      </c>
      <c r="CI124" s="210">
        <f t="shared" si="75"/>
        <v>0</v>
      </c>
      <c r="CJ124" s="36">
        <f t="shared" si="144"/>
        <v>0</v>
      </c>
      <c r="CK124" s="211">
        <f t="shared" si="100"/>
        <v>0</v>
      </c>
      <c r="CL124" s="211">
        <f t="shared" si="136"/>
        <v>0</v>
      </c>
      <c r="CM124" s="6">
        <f>SUMIF('Eredeti fejléccel'!$B:$B,'Felosztás eredménykim'!$B124,'Eredeti fejléccel'!$BD:$BD)</f>
        <v>0</v>
      </c>
      <c r="CN124" s="211">
        <f t="shared" si="76"/>
        <v>0</v>
      </c>
      <c r="CO124" s="211">
        <f t="shared" si="115"/>
        <v>0</v>
      </c>
      <c r="CP124" s="211"/>
      <c r="CQ124" s="211"/>
      <c r="CR124" s="212">
        <f t="shared" si="101"/>
        <v>0</v>
      </c>
      <c r="CS124" s="6">
        <f>SUMIF('Eredeti fejléccel'!$B:$B,'Felosztás eredménykim'!$B124,'Eredeti fejléccel'!$I:$I)</f>
        <v>0</v>
      </c>
      <c r="CT124" s="6">
        <f>SUMIF('Eredeti fejléccel'!$B:$B,'Felosztás eredménykim'!$B124,'Eredeti fejléccel'!$BG:$BG)</f>
        <v>0</v>
      </c>
      <c r="CU124" s="6">
        <f>SUMIF('Eredeti fejléccel'!$B:$B,'Felosztás eredménykim'!$B124,'Eredeti fejléccel'!$BH:$BH)</f>
        <v>0</v>
      </c>
      <c r="CV124" s="6">
        <f>SUMIF('Eredeti fejléccel'!$B:$B,'Felosztás eredménykim'!$B124,'Eredeti fejléccel'!$BI:$BI)</f>
        <v>0</v>
      </c>
      <c r="CW124" s="6">
        <f>SUMIF('Eredeti fejléccel'!$B:$B,'Felosztás eredménykim'!$B124,'Eredeti fejléccel'!$BL:$BL)</f>
        <v>0</v>
      </c>
      <c r="CX124" s="210">
        <f t="shared" si="77"/>
        <v>0</v>
      </c>
      <c r="CY124" s="6">
        <f>SUMIF('Eredeti fejléccel'!$B:$B,'Felosztás eredménykim'!$B124,'Eredeti fejléccel'!$BJ:$BJ)</f>
        <v>0</v>
      </c>
      <c r="CZ124" s="6">
        <f>SUMIF('Eredeti fejléccel'!$B:$B,'Felosztás eredménykim'!$B124,'Eredeti fejléccel'!$BK:$BK)</f>
        <v>0</v>
      </c>
      <c r="DA124" s="99">
        <f t="shared" si="116"/>
        <v>0</v>
      </c>
      <c r="DB124" s="215"/>
      <c r="DC124" s="212">
        <f t="shared" si="102"/>
        <v>0</v>
      </c>
      <c r="DD124" s="6">
        <f>SUMIF('Eredeti fejléccel'!$B:$B,'Felosztás eredménykim'!$B124,'Eredeti fejléccel'!$J:$J)</f>
        <v>0</v>
      </c>
      <c r="DE124" s="6">
        <f>SUMIF('Eredeti fejléccel'!$B:$B,'Felosztás eredménykim'!$B124,'Eredeti fejléccel'!$BM:$BM)</f>
        <v>0</v>
      </c>
      <c r="DF124" s="6">
        <f t="shared" si="128"/>
        <v>0</v>
      </c>
      <c r="DG124" s="211">
        <f t="shared" si="117"/>
        <v>0</v>
      </c>
      <c r="DH124" s="8">
        <f t="shared" si="129"/>
        <v>0</v>
      </c>
      <c r="DI124" s="211"/>
      <c r="DJ124" s="6">
        <f>SUMIF('Eredeti fejléccel'!$B:$B,'Felosztás eredménykim'!$B124,'Eredeti fejléccel'!$BN:$BN)</f>
        <v>0</v>
      </c>
      <c r="DK124" s="6">
        <f>SUMIF('Eredeti fejléccel'!$B:$B,'Felosztás eredménykim'!$B124,'Eredeti fejléccel'!$BZ:$BZ)</f>
        <v>0</v>
      </c>
      <c r="DL124" s="8">
        <f t="shared" si="130"/>
        <v>0</v>
      </c>
      <c r="DM124" s="6">
        <f>SUMIF('Eredeti fejléccel'!$B:$B,'Felosztás eredménykim'!$B124,'Eredeti fejléccel'!$BR:$BR)</f>
        <v>0</v>
      </c>
      <c r="DN124" s="6">
        <f>SUMIF('Eredeti fejléccel'!$B:$B,'Felosztás eredménykim'!$B124,'Eredeti fejléccel'!$BS:$BS)</f>
        <v>0</v>
      </c>
      <c r="DO124" s="6">
        <f>SUMIF('Eredeti fejléccel'!$B:$B,'Felosztás eredménykim'!$B124,'Eredeti fejléccel'!$BO:$BO)</f>
        <v>0</v>
      </c>
      <c r="DP124" s="6">
        <f>SUMIF('Eredeti fejléccel'!$B:$B,'Felosztás eredménykim'!$B124,'Eredeti fejléccel'!$BP:$BP)</f>
        <v>0</v>
      </c>
      <c r="DQ124" s="6">
        <f>SUMIF('Eredeti fejléccel'!$B:$B,'Felosztás eredménykim'!$B124,'Eredeti fejléccel'!$BQ:$BQ)</f>
        <v>0</v>
      </c>
      <c r="DR124" s="210"/>
      <c r="DS124" s="211"/>
      <c r="DT124" s="210"/>
      <c r="DU124" s="6">
        <f>SUMIF('Eredeti fejléccel'!$B:$B,'Felosztás eredménykim'!$B124,'Eredeti fejléccel'!$BT:$BT)</f>
        <v>0</v>
      </c>
      <c r="DV124" s="6">
        <f>SUMIF('Eredeti fejléccel'!$B:$B,'Felosztás eredménykim'!$B124,'Eredeti fejléccel'!$BU:$BU)</f>
        <v>0</v>
      </c>
      <c r="DW124" s="6">
        <f>SUMIF('Eredeti fejléccel'!$B:$B,'Felosztás eredménykim'!$B124,'Eredeti fejléccel'!$BV:$BV)</f>
        <v>0</v>
      </c>
      <c r="DX124" s="6">
        <f>SUMIF('Eredeti fejléccel'!$B:$B,'Felosztás eredménykim'!$B124,'Eredeti fejléccel'!$BW:$BW)</f>
        <v>0</v>
      </c>
      <c r="DY124" s="6">
        <f>SUMIF('Eredeti fejléccel'!$B:$B,'Felosztás eredménykim'!$B124,'Eredeti fejléccel'!$BX:$BX)</f>
        <v>0</v>
      </c>
      <c r="DZ124" s="6"/>
      <c r="EA124" s="6"/>
      <c r="EB124" s="6"/>
      <c r="EC124" s="6"/>
      <c r="ED124" s="6"/>
      <c r="EE124" s="6">
        <f>SUMIF('Eredeti fejléccel'!$B:$B,'Felosztás eredménykim'!$B124,'Eredeti fejléccel'!$CA:$CA)</f>
        <v>0</v>
      </c>
      <c r="EF124" s="6">
        <f>SUMIF('Eredeti fejléccel'!$B:$B,'Felosztás eredménykim'!$B124,'Eredeti fejléccel'!$CB:$CB)</f>
        <v>0</v>
      </c>
      <c r="EG124" s="6">
        <f>SUMIF('Eredeti fejléccel'!$B:$B,'Felosztás eredménykim'!$B124,'Eredeti fejléccel'!$CC:$CC)</f>
        <v>0</v>
      </c>
      <c r="EH124" s="6">
        <f>SUMIF('Eredeti fejléccel'!$B:$B,'Felosztás eredménykim'!$B124,'Eredeti fejléccel'!$CD:$CD)</f>
        <v>0</v>
      </c>
      <c r="EI124" s="210"/>
      <c r="EJ124" s="211"/>
      <c r="EK124" s="6">
        <f>SUMIF('Eredeti fejléccel'!$B:$B,'Felosztás eredménykim'!$B124,'Eredeti fejléccel'!$CE:$CE)</f>
        <v>0</v>
      </c>
      <c r="EL124" s="211"/>
      <c r="EM124" s="210"/>
      <c r="EN124" s="6">
        <f>SUMIF('Eredeti fejléccel'!$B:$B,'Felosztás eredménykim'!$B124,'Eredeti fejléccel'!$CF:$CF)</f>
        <v>0</v>
      </c>
      <c r="EO124" s="210"/>
      <c r="EP124" s="6">
        <f>SUMIF('Eredeti fejléccel'!$B:$B,'Felosztás eredménykim'!$B124,'Eredeti fejléccel'!$CG:$CG)</f>
        <v>0</v>
      </c>
      <c r="EQ124" s="210"/>
      <c r="ER124" s="211"/>
      <c r="ES124" s="6">
        <f>SUMIF('Eredeti fejléccel'!$B:$B,'Felosztás eredménykim'!$B124,'Eredeti fejléccel'!$CH:$CH)</f>
        <v>0</v>
      </c>
      <c r="ET124" s="6">
        <f>SUMIF('Eredeti fejléccel'!$B:$B,'Felosztás eredménykim'!$B124,'Eredeti fejléccel'!$CI:$CI)</f>
        <v>0</v>
      </c>
      <c r="EU124" s="210"/>
      <c r="EV124" s="211"/>
      <c r="EW124" s="211">
        <f t="shared" si="118"/>
        <v>0</v>
      </c>
      <c r="EX124" s="211">
        <f t="shared" si="78"/>
        <v>0</v>
      </c>
      <c r="EY124" s="211">
        <f t="shared" si="119"/>
        <v>0</v>
      </c>
      <c r="EZ124" s="211">
        <f t="shared" si="120"/>
        <v>0</v>
      </c>
      <c r="FA124" s="211">
        <f t="shared" si="121"/>
        <v>0</v>
      </c>
      <c r="FB124" s="211"/>
      <c r="FC124" s="6">
        <f>SUMIF('Eredeti fejléccel'!$B:$B,'Felosztás eredménykim'!$B124,'Eredeti fejléccel'!$L:$L)</f>
        <v>0</v>
      </c>
      <c r="FD124" s="6">
        <f>SUMIF('Eredeti fejléccel'!$B:$B,'Felosztás eredménykim'!$B124,'Eredeti fejléccel'!$CJ:$CJ)</f>
        <v>0</v>
      </c>
      <c r="FE124" s="6">
        <f>SUMIF('Eredeti fejléccel'!$B:$B,'Felosztás eredménykim'!$B124,'Eredeti fejléccel'!$CL:$CL)</f>
        <v>0</v>
      </c>
      <c r="FF124" s="213"/>
      <c r="FG124" s="214">
        <f t="shared" si="79"/>
        <v>0</v>
      </c>
      <c r="FH124" s="6">
        <f>SUMIF('Eredeti fejléccel'!$B:$B,'Felosztás eredménykim'!$B124,'Eredeti fejléccel'!$CK:$CK)</f>
        <v>0</v>
      </c>
      <c r="FI124" s="36">
        <f t="shared" si="145"/>
        <v>0</v>
      </c>
      <c r="FJ124" s="216">
        <f t="shared" si="104"/>
        <v>0</v>
      </c>
      <c r="FK124" s="6">
        <f>SUMIF('Eredeti fejléccel'!$B:$B,'Felosztás eredménykim'!$B124,'Eredeti fejléccel'!$CM:$CM)</f>
        <v>0</v>
      </c>
      <c r="FL124" s="6">
        <f>SUMIF('Eredeti fejléccel'!$B:$B,'Felosztás eredménykim'!$B124,'Eredeti fejléccel'!$CN:$CN)</f>
        <v>0</v>
      </c>
      <c r="FM124" s="211">
        <f t="shared" si="80"/>
        <v>0</v>
      </c>
      <c r="FN124" s="36">
        <f t="shared" si="146"/>
        <v>0</v>
      </c>
      <c r="FO124" s="216">
        <f t="shared" si="106"/>
        <v>0</v>
      </c>
      <c r="FP124" s="6">
        <f>SUMIF('Eredeti fejléccel'!$B:$B,'Felosztás eredménykim'!$B124,'Eredeti fejléccel'!$CO:$CO)</f>
        <v>0</v>
      </c>
      <c r="FQ124" s="6">
        <f>'Eredeti fejléccel'!CP124</f>
        <v>0</v>
      </c>
      <c r="FR124" s="6">
        <f>'Eredeti fejléccel'!CQ124</f>
        <v>0</v>
      </c>
      <c r="FS124" s="103">
        <f t="shared" si="122"/>
        <v>0</v>
      </c>
      <c r="FT124" s="36">
        <f t="shared" si="147"/>
        <v>0</v>
      </c>
      <c r="FU124" s="216">
        <f t="shared" si="108"/>
        <v>0</v>
      </c>
      <c r="FV124" s="216"/>
      <c r="FW124" s="6">
        <f>SUMIF('Eredeti fejléccel'!$B:$B,'Felosztás eredménykim'!$B124,'Eredeti fejléccel'!$CR:$CR)</f>
        <v>0</v>
      </c>
      <c r="FX124" s="6">
        <f>SUMIF('Eredeti fejléccel'!$B:$B,'Felosztás eredménykim'!$B124,'Eredeti fejléccel'!$CS:$CS)</f>
        <v>0</v>
      </c>
      <c r="FY124" s="6">
        <f>SUMIF('Eredeti fejléccel'!$B:$B,'Felosztás eredménykim'!$B124,'Eredeti fejléccel'!$CT:$CT)</f>
        <v>0</v>
      </c>
      <c r="FZ124" s="6">
        <f>SUMIF('Eredeti fejléccel'!$B:$B,'Felosztás eredménykim'!$B124,'Eredeti fejléccel'!$CU:$CU)</f>
        <v>0</v>
      </c>
      <c r="GA124" s="217">
        <f t="shared" si="81"/>
        <v>0</v>
      </c>
      <c r="GB124" s="36">
        <f t="shared" si="148"/>
        <v>0</v>
      </c>
      <c r="GC124" s="216">
        <f t="shared" si="110"/>
        <v>0</v>
      </c>
      <c r="GD124" s="210">
        <f>SUMIF('Eredeti fejléccel'!$B:$B,'Felosztás eredménykim'!$B124,'Eredeti fejléccel'!$CV:$CV)</f>
        <v>0</v>
      </c>
      <c r="GE124" s="6">
        <f>SUMIF('Eredeti fejléccel'!$B:$B,'Felosztás eredménykim'!$B124,'Eredeti fejléccel'!$CW:$CW)</f>
        <v>0</v>
      </c>
      <c r="GF124" s="217">
        <f t="shared" si="82"/>
        <v>0</v>
      </c>
      <c r="GG124" s="212">
        <f t="shared" si="111"/>
        <v>0</v>
      </c>
      <c r="GH124" s="210"/>
      <c r="GI124" s="211"/>
      <c r="GJ124" s="210"/>
      <c r="GK124" s="211"/>
      <c r="GL124" s="210"/>
      <c r="GM124" s="6">
        <f>SUMIF('Eredeti fejléccel'!$B:$B,'Felosztás eredménykim'!$B124,'Eredeti fejléccel'!$CX:$CX)</f>
        <v>0</v>
      </c>
      <c r="GN124" s="6">
        <f>SUMIF('Eredeti fejléccel'!$B:$B,'Felosztás eredménykim'!$B124,'Eredeti fejléccel'!$CY:$CY)</f>
        <v>0</v>
      </c>
      <c r="GO124" s="6">
        <f>SUMIF('Eredeti fejléccel'!$B:$B,'Felosztás eredménykim'!$B124,'Eredeti fejléccel'!$CZ:$CZ)</f>
        <v>0</v>
      </c>
      <c r="GP124" s="6">
        <f>SUMIF('Eredeti fejléccel'!$B:$B,'Felosztás eredménykim'!$B124,'Eredeti fejléccel'!$DA:$DA)</f>
        <v>0</v>
      </c>
      <c r="GQ124" s="6">
        <f>SUMIF('Eredeti fejléccel'!$B:$B,'Felosztás eredménykim'!$B124,'Eredeti fejléccel'!$DB:$DB)</f>
        <v>0</v>
      </c>
      <c r="GR124" s="217">
        <f t="shared" si="83"/>
        <v>0</v>
      </c>
      <c r="GS124" s="211"/>
      <c r="GT124" s="211"/>
      <c r="GU124" s="211"/>
      <c r="GV124" s="211"/>
      <c r="GW124" s="212">
        <f t="shared" si="112"/>
        <v>0</v>
      </c>
      <c r="GX124" s="6">
        <f>SUMIF('Eredeti fejléccel'!$B:$B,'Felosztás eredménykim'!$B124,'Eredeti fejléccel'!$M:$M)</f>
        <v>0</v>
      </c>
      <c r="GY124" s="6">
        <f>SUMIF('Eredeti fejléccel'!$B:$B,'Felosztás eredménykim'!$B124,'Eredeti fejléccel'!$DC:$DC)</f>
        <v>0</v>
      </c>
      <c r="GZ124" s="6">
        <f>SUMIF('Eredeti fejléccel'!$B:$B,'Felosztás eredménykim'!$B124,'Eredeti fejléccel'!$DD:$DD)</f>
        <v>0</v>
      </c>
      <c r="HA124" s="6">
        <f>SUMIF('Eredeti fejléccel'!$B:$B,'Felosztás eredménykim'!$B124,'Eredeti fejléccel'!$DE:$DE)</f>
        <v>0</v>
      </c>
      <c r="HB124" s="217">
        <f t="shared" si="84"/>
        <v>0</v>
      </c>
      <c r="HC124" s="211"/>
      <c r="HD124" s="218">
        <f>SUM(D124:HA124)-W124-X124-AD124-AE124-AF124-AG124-AK124-AL124-AM124-AS124-AT124-AU124-BE124-BF124-BG124-BL124-BM124-BN124-BO124-CB124-CC124-CD124-CI124-CJ124-CK124-CN124-CO124-CP124-CR124-CX124-DA124-DC124-DG124-DH124-DL124-EW124-EX124-EY124-EZ124-FA124-FF124-FG124-FI124-FJ124-FM124-FN124-FO124-FS124-FT124-FU124-GA124-GB124-GC124-GF124-GG124-GR124-GS124-GT124-GU124-GW124</f>
        <v>0</v>
      </c>
      <c r="HE124" s="9"/>
      <c r="HF124" s="476"/>
      <c r="HG124" s="219"/>
      <c r="HH124" s="220">
        <f t="shared" si="85"/>
        <v>0</v>
      </c>
      <c r="HI124" s="219"/>
      <c r="HJ124" s="219"/>
      <c r="HK124" s="219"/>
      <c r="HL124" s="219"/>
      <c r="HM124" s="219"/>
      <c r="HN124" s="219"/>
      <c r="HO124" s="219"/>
      <c r="HP124" s="219"/>
      <c r="HQ124" s="219"/>
      <c r="HR124" s="219"/>
      <c r="HS124" s="219"/>
      <c r="HT124" s="219"/>
      <c r="HU124" s="219"/>
      <c r="HV124" s="219"/>
      <c r="HW124" s="219"/>
      <c r="HX124" s="219"/>
    </row>
    <row r="125" spans="1:232" s="209" customFormat="1" x14ac:dyDescent="0.25">
      <c r="A125" s="4" t="s">
        <v>244</v>
      </c>
      <c r="B125" s="208" t="s">
        <v>244</v>
      </c>
      <c r="C125" s="209" t="s">
        <v>245</v>
      </c>
      <c r="D125" s="6">
        <f>SUMIF('Eredeti fejléccel'!$B:$B,'Felosztás eredménykim'!$B125,'Eredeti fejléccel'!$D:$D)</f>
        <v>0</v>
      </c>
      <c r="E125" s="6">
        <f>SUMIF('Eredeti fejléccel'!$B:$B,'Felosztás eredménykim'!$B125,'Eredeti fejléccel'!$E:$E)</f>
        <v>121738</v>
      </c>
      <c r="F125" s="6">
        <f>SUMIF('Eredeti fejléccel'!$B:$B,'Felosztás eredménykim'!$B125,'Eredeti fejléccel'!$F:$F)</f>
        <v>0</v>
      </c>
      <c r="G125" s="6">
        <f>SUMIF('Eredeti fejléccel'!$B:$B,'Felosztás eredménykim'!$B125,'Eredeti fejléccel'!$G:$G)</f>
        <v>0</v>
      </c>
      <c r="H125" s="6"/>
      <c r="I125" s="6">
        <f>SUMIF('Eredeti fejléccel'!$B:$B,'Felosztás eredménykim'!$B125,'Eredeti fejléccel'!$O:$O)</f>
        <v>84865</v>
      </c>
      <c r="J125" s="6">
        <f>SUMIF('Eredeti fejléccel'!$B:$B,'Felosztás eredménykim'!$B125,'Eredeti fejléccel'!$P:$P)</f>
        <v>0</v>
      </c>
      <c r="K125" s="6">
        <f>SUMIF('Eredeti fejléccel'!$B:$B,'Felosztás eredménykim'!$B125,'Eredeti fejléccel'!$Q:$Q)</f>
        <v>0</v>
      </c>
      <c r="L125" s="6">
        <f>SUMIF('Eredeti fejléccel'!$B:$B,'Felosztás eredménykim'!$B125,'Eredeti fejléccel'!$R:$R)</f>
        <v>101554</v>
      </c>
      <c r="M125" s="6">
        <f>SUMIF('Eredeti fejléccel'!$B:$B,'Felosztás eredménykim'!$B125,'Eredeti fejléccel'!$T:$T)</f>
        <v>0</v>
      </c>
      <c r="N125" s="6">
        <f>SUMIF('Eredeti fejléccel'!$B:$B,'Felosztás eredménykim'!$B125,'Eredeti fejléccel'!$U:$U)</f>
        <v>0</v>
      </c>
      <c r="O125" s="6">
        <f>SUMIF('Eredeti fejléccel'!$B:$B,'Felosztás eredménykim'!$B125,'Eredeti fejléccel'!$V:$V)</f>
        <v>152801</v>
      </c>
      <c r="P125" s="6">
        <f>SUMIF('Eredeti fejléccel'!$B:$B,'Felosztás eredménykim'!$B125,'Eredeti fejléccel'!$W:$W)</f>
        <v>96891</v>
      </c>
      <c r="Q125" s="6">
        <f>SUMIF('Eredeti fejléccel'!$B:$B,'Felosztás eredménykim'!$B125,'Eredeti fejléccel'!$X:$X)</f>
        <v>258895</v>
      </c>
      <c r="R125" s="6">
        <f>SUMIF('Eredeti fejléccel'!$B:$B,'Felosztás eredménykim'!$B125,'Eredeti fejléccel'!$Y:$Y)</f>
        <v>78907</v>
      </c>
      <c r="S125" s="6">
        <f>SUMIF('Eredeti fejléccel'!$B:$B,'Felosztás eredménykim'!$B125,'Eredeti fejléccel'!$Z:$Z)</f>
        <v>62274</v>
      </c>
      <c r="T125" s="6">
        <f>SUMIF('Eredeti fejléccel'!$B:$B,'Felosztás eredménykim'!$B125,'Eredeti fejléccel'!$AA:$AA)</f>
        <v>0</v>
      </c>
      <c r="U125" s="6">
        <f>SUMIF('Eredeti fejléccel'!$B:$B,'Felosztás eredménykim'!$B125,'Eredeti fejléccel'!$D:$D)</f>
        <v>0</v>
      </c>
      <c r="V125" s="6">
        <f>SUMIF('Eredeti fejléccel'!$B:$B,'Felosztás eredménykim'!$B125,'Eredeti fejléccel'!$AT:$AT)</f>
        <v>144538</v>
      </c>
      <c r="W125" s="556"/>
      <c r="X125" s="212">
        <f t="shared" si="86"/>
        <v>1102463</v>
      </c>
      <c r="Y125" s="212"/>
      <c r="Z125" s="6">
        <f>SUMIF('Eredeti fejléccel'!$B:$B,'Felosztás eredménykim'!$B125,'Eredeti fejléccel'!$K:$K)</f>
        <v>136538</v>
      </c>
      <c r="AA125" s="210"/>
      <c r="AB125" s="6">
        <f>SUMIF('Eredeti fejléccel'!$B:$B,'Felosztás eredménykim'!$B125,'Eredeti fejléccel'!$AB:$AB)</f>
        <v>0</v>
      </c>
      <c r="AC125" s="6">
        <f>SUMIF('Eredeti fejléccel'!$B:$B,'Felosztás eredménykim'!$B125,'Eredeti fejléccel'!$AQ:$AQ)</f>
        <v>0</v>
      </c>
      <c r="AD125" s="213"/>
      <c r="AE125" s="73">
        <f t="shared" si="131"/>
        <v>136538</v>
      </c>
      <c r="AF125" s="36">
        <f t="shared" si="138"/>
        <v>131517.92838962277</v>
      </c>
      <c r="AG125" s="8">
        <f t="shared" si="88"/>
        <v>43534.386011984614</v>
      </c>
      <c r="AH125" s="6"/>
      <c r="AI125" s="6">
        <f>SUMIF('Eredeti fejléccel'!$B:$B,'Felosztás eredménykim'!$B125,'Eredeti fejléccel'!$BB:$BB)</f>
        <v>317057</v>
      </c>
      <c r="AJ125" s="6">
        <f>SUMIF('Eredeti fejléccel'!$B:$B,'Felosztás eredménykim'!$B125,'Eredeti fejléccel'!$AF:$AF)</f>
        <v>0</v>
      </c>
      <c r="AK125" s="211">
        <f t="shared" si="73"/>
        <v>360591.38601198461</v>
      </c>
      <c r="AL125" s="36">
        <f t="shared" si="139"/>
        <v>52238.257110716935</v>
      </c>
      <c r="AM125" s="8">
        <f t="shared" si="90"/>
        <v>17291.638314998658</v>
      </c>
      <c r="AN125" s="6">
        <f t="shared" si="123"/>
        <v>0</v>
      </c>
      <c r="AO125" s="6">
        <f>SUMIF('Eredeti fejléccel'!$B:$B,'Felosztás eredménykim'!$B125,'Eredeti fejléccel'!$AC:$AC)</f>
        <v>0</v>
      </c>
      <c r="AP125" s="6">
        <f>SUMIF('Eredeti fejléccel'!$B:$B,'Felosztás eredménykim'!$B125,'Eredeti fejléccel'!$AD:$AD)</f>
        <v>0</v>
      </c>
      <c r="AQ125" s="6">
        <f>SUMIF('Eredeti fejléccel'!$B:$B,'Felosztás eredménykim'!$B125,'Eredeti fejléccel'!$AE:$AE)</f>
        <v>0</v>
      </c>
      <c r="AR125" s="6">
        <f>SUMIF('Eredeti fejléccel'!$B:$B,'Felosztás eredménykim'!$B125,'Eredeti fejléccel'!$AG:$AG)</f>
        <v>296084</v>
      </c>
      <c r="AS125" s="6">
        <f t="shared" si="124"/>
        <v>313375.63831499865</v>
      </c>
      <c r="AT125" s="36">
        <f t="shared" si="140"/>
        <v>84850.276380401803</v>
      </c>
      <c r="AU125" s="8">
        <f t="shared" si="92"/>
        <v>28086.700652893298</v>
      </c>
      <c r="AV125" s="6">
        <f>SUMIF('Eredeti fejléccel'!$B:$B,'Felosztás eredménykim'!$B125,'Eredeti fejléccel'!$AI:$AI)</f>
        <v>0</v>
      </c>
      <c r="AW125" s="6">
        <f>SUMIF('Eredeti fejléccel'!$B:$B,'Felosztás eredménykim'!$B125,'Eredeti fejléccel'!$AJ:$AJ)</f>
        <v>38671</v>
      </c>
      <c r="AX125" s="6">
        <f>SUMIF('Eredeti fejléccel'!$B:$B,'Felosztás eredménykim'!$B125,'Eredeti fejléccel'!$AK:$AK)</f>
        <v>208205</v>
      </c>
      <c r="AY125" s="6">
        <f>SUMIF('Eredeti fejléccel'!$B:$B,'Felosztás eredménykim'!$B125,'Eredeti fejléccel'!$AL:$AL)</f>
        <v>89288</v>
      </c>
      <c r="AZ125" s="6">
        <f>SUMIF('Eredeti fejléccel'!$B:$B,'Felosztás eredménykim'!$B125,'Eredeti fejléccel'!$AM:$AM)</f>
        <v>107509</v>
      </c>
      <c r="BA125" s="6">
        <f>SUMIF('Eredeti fejléccel'!$B:$B,'Felosztás eredménykim'!$B125,'Eredeti fejléccel'!$AN:$AN)</f>
        <v>0</v>
      </c>
      <c r="BB125" s="6">
        <f>SUMIF('Eredeti fejléccel'!$B:$B,'Felosztás eredménykim'!$B125,'Eredeti fejléccel'!$AP:$AP)</f>
        <v>47425</v>
      </c>
      <c r="BC125" s="210"/>
      <c r="BD125" s="6">
        <f>SUMIF('Eredeti fejléccel'!$B:$B,'Felosztás eredménykim'!$B125,'Eredeti fejléccel'!$AS:$AS)</f>
        <v>0</v>
      </c>
      <c r="BE125" s="211">
        <f t="shared" si="74"/>
        <v>519184.70065289328</v>
      </c>
      <c r="BF125" s="36">
        <f t="shared" si="141"/>
        <v>22134.854707930903</v>
      </c>
      <c r="BG125" s="8">
        <f t="shared" si="94"/>
        <v>7326.965387711296</v>
      </c>
      <c r="BH125" s="6">
        <f t="shared" si="125"/>
        <v>0</v>
      </c>
      <c r="BI125" s="6">
        <f>SUMIF('Eredeti fejléccel'!$B:$B,'Felosztás eredménykim'!$B125,'Eredeti fejléccel'!$AH:$AH)</f>
        <v>122005</v>
      </c>
      <c r="BJ125" s="6">
        <f>SUMIF('Eredeti fejléccel'!$B:$B,'Felosztás eredménykim'!$B125,'Eredeti fejléccel'!$AO:$AO)</f>
        <v>0</v>
      </c>
      <c r="BK125" s="6">
        <f>SUMIF('Eredeti fejléccel'!$B:$B,'Felosztás eredménykim'!$B125,'Eredeti fejléccel'!$BF:$BF)</f>
        <v>0</v>
      </c>
      <c r="BL125" s="8">
        <f t="shared" si="126"/>
        <v>129331.9653877113</v>
      </c>
      <c r="BM125" s="36">
        <f t="shared" si="142"/>
        <v>82931.922305714455</v>
      </c>
      <c r="BN125" s="8">
        <f t="shared" si="96"/>
        <v>27451.696985958322</v>
      </c>
      <c r="BO125" s="211">
        <f>38671/2</f>
        <v>19335.5</v>
      </c>
      <c r="BP125" s="8">
        <f t="shared" si="127"/>
        <v>0</v>
      </c>
      <c r="BQ125" s="6">
        <f>SUMIF('Eredeti fejléccel'!$B:$B,'Felosztás eredménykim'!$B125,'Eredeti fejléccel'!$N:$N)</f>
        <v>0</v>
      </c>
      <c r="BR125" s="6">
        <f>SUMIF('Eredeti fejléccel'!$B:$B,'Felosztás eredménykim'!$B125,'Eredeti fejléccel'!$S:$S)</f>
        <v>0</v>
      </c>
      <c r="BS125" s="210"/>
      <c r="BT125" s="6">
        <f>SUMIF('Eredeti fejléccel'!$B:$B,'Felosztás eredménykim'!$B125,'Eredeti fejléccel'!$AR:$AR)</f>
        <v>0</v>
      </c>
      <c r="BU125" s="6">
        <f>SUMIF('Eredeti fejléccel'!$B:$B,'Felosztás eredménykim'!$B125,'Eredeti fejléccel'!$AU:$AU)</f>
        <v>0</v>
      </c>
      <c r="BV125" s="6">
        <f>SUMIF('Eredeti fejléccel'!$B:$B,'Felosztás eredménykim'!$B125,'Eredeti fejléccel'!$AV:$AV)</f>
        <v>79696</v>
      </c>
      <c r="BW125" s="6">
        <f>SUMIF('Eredeti fejléccel'!$B:$B,'Felosztás eredménykim'!$B125,'Eredeti fejléccel'!$AW:$AW)</f>
        <v>0</v>
      </c>
      <c r="BX125" s="6">
        <f>SUMIF('Eredeti fejléccel'!$B:$B,'Felosztás eredménykim'!$B125,'Eredeti fejléccel'!$AX:$AX)</f>
        <v>0</v>
      </c>
      <c r="BY125" s="6">
        <f>SUMIF('Eredeti fejléccel'!$B:$B,'Felosztás eredménykim'!$B125,'Eredeti fejléccel'!$AY:$AY)</f>
        <v>0</v>
      </c>
      <c r="BZ125" s="6">
        <f>SUMIF('Eredeti fejléccel'!$B:$B,'Felosztás eredménykim'!$B125,'Eredeti fejléccel'!$AZ:$AZ)</f>
        <v>0</v>
      </c>
      <c r="CA125" s="6">
        <f>SUMIF('Eredeti fejléccel'!$B:$B,'Felosztás eredménykim'!$B125,'Eredeti fejléccel'!$BA:$BA)</f>
        <v>418279</v>
      </c>
      <c r="CB125" s="210">
        <f t="shared" si="114"/>
        <v>544762.19698595838</v>
      </c>
      <c r="CC125" s="36">
        <f t="shared" si="143"/>
        <v>22577.551802089522</v>
      </c>
      <c r="CD125" s="8">
        <f t="shared" si="98"/>
        <v>7473.5046954655218</v>
      </c>
      <c r="CE125" s="6">
        <f>SUMIF('Eredeti fejléccel'!$B:$B,'Felosztás eredménykim'!$B125,'Eredeti fejléccel'!$BC:$BC)</f>
        <v>31789</v>
      </c>
      <c r="CF125" s="211">
        <f t="shared" si="135"/>
        <v>-15894.5</v>
      </c>
      <c r="CG125" s="6">
        <f>SUMIF('Eredeti fejléccel'!$B:$B,'Felosztás eredménykim'!$B125,'Eredeti fejléccel'!$H:$H)</f>
        <v>0</v>
      </c>
      <c r="CH125" s="6">
        <f>SUMIF('Eredeti fejléccel'!$B:$B,'Felosztás eredménykim'!$B125,'Eredeti fejléccel'!$BE:$BE)</f>
        <v>140265</v>
      </c>
      <c r="CI125" s="210">
        <f t="shared" si="75"/>
        <v>163633.00469546553</v>
      </c>
      <c r="CJ125" s="36">
        <f t="shared" si="144"/>
        <v>16232.226785815998</v>
      </c>
      <c r="CK125" s="211">
        <f t="shared" si="100"/>
        <v>5373.1079509882838</v>
      </c>
      <c r="CL125" s="211">
        <f t="shared" si="136"/>
        <v>15894.5</v>
      </c>
      <c r="CM125" s="6">
        <f>SUMIF('Eredeti fejléccel'!$B:$B,'Felosztás eredménykim'!$B125,'Eredeti fejléccel'!$BD:$BD)</f>
        <v>90186</v>
      </c>
      <c r="CN125" s="211">
        <f t="shared" si="76"/>
        <v>111453.60795098828</v>
      </c>
      <c r="CO125" s="211">
        <f t="shared" si="115"/>
        <v>2554815.5174822919</v>
      </c>
      <c r="CP125" s="211"/>
      <c r="CQ125" s="211"/>
      <c r="CR125" s="212">
        <f t="shared" si="101"/>
        <v>97503.730231809401</v>
      </c>
      <c r="CS125" s="6">
        <f>SUMIF('Eredeti fejléccel'!$B:$B,'Felosztás eredménykim'!$B125,'Eredeti fejléccel'!$I:$I)</f>
        <v>78345</v>
      </c>
      <c r="CT125" s="6">
        <f>SUMIF('Eredeti fejléccel'!$B:$B,'Felosztás eredménykim'!$B125,'Eredeti fejléccel'!$BG:$BG)</f>
        <v>0</v>
      </c>
      <c r="CU125" s="6">
        <f>SUMIF('Eredeti fejléccel'!$B:$B,'Felosztás eredménykim'!$B125,'Eredeti fejléccel'!$BH:$BH)</f>
        <v>418870</v>
      </c>
      <c r="CV125" s="6">
        <f>SUMIF('Eredeti fejléccel'!$B:$B,'Felosztás eredménykim'!$B125,'Eredeti fejléccel'!$BI:$BI)</f>
        <v>100201</v>
      </c>
      <c r="CW125" s="6">
        <f>SUMIF('Eredeti fejléccel'!$B:$B,'Felosztás eredménykim'!$B125,'Eredeti fejléccel'!$BL:$BL)</f>
        <v>0</v>
      </c>
      <c r="CX125" s="210">
        <f t="shared" si="77"/>
        <v>597416</v>
      </c>
      <c r="CY125" s="6">
        <f>SUMIF('Eredeti fejléccel'!$B:$B,'Felosztás eredménykim'!$B125,'Eredeti fejléccel'!$BJ:$BJ)</f>
        <v>0</v>
      </c>
      <c r="CZ125" s="6">
        <f>SUMIF('Eredeti fejléccel'!$B:$B,'Felosztás eredménykim'!$B125,'Eredeti fejléccel'!$BK:$BK)</f>
        <v>0</v>
      </c>
      <c r="DA125" s="99">
        <f t="shared" si="116"/>
        <v>597416</v>
      </c>
      <c r="DB125" s="215"/>
      <c r="DC125" s="212">
        <f t="shared" si="102"/>
        <v>85400.063683193832</v>
      </c>
      <c r="DD125" s="6">
        <f>SUMIF('Eredeti fejléccel'!$B:$B,'Felosztás eredménykim'!$B125,'Eredeti fejléccel'!$J:$J)</f>
        <v>0</v>
      </c>
      <c r="DE125" s="6">
        <f>SUMIF('Eredeti fejléccel'!$B:$B,'Felosztás eredménykim'!$B125,'Eredeti fejléccel'!$BM:$BM)</f>
        <v>240172</v>
      </c>
      <c r="DF125" s="6">
        <f t="shared" si="128"/>
        <v>20510</v>
      </c>
      <c r="DG125" s="211">
        <f t="shared" si="117"/>
        <v>-19335.5</v>
      </c>
      <c r="DH125" s="8">
        <f t="shared" si="129"/>
        <v>241346.5</v>
      </c>
      <c r="DI125" s="211">
        <f>-20510</f>
        <v>-20510</v>
      </c>
      <c r="DJ125" s="6">
        <f>SUMIF('Eredeti fejléccel'!$B:$B,'Felosztás eredménykim'!$B125,'Eredeti fejléccel'!$BN:$BN)</f>
        <v>172277</v>
      </c>
      <c r="DK125" s="6">
        <f>SUMIF('Eredeti fejléccel'!$B:$B,'Felosztás eredménykim'!$B125,'Eredeti fejléccel'!$BZ:$BZ)</f>
        <v>0</v>
      </c>
      <c r="DL125" s="8">
        <f t="shared" si="130"/>
        <v>151767</v>
      </c>
      <c r="DM125" s="6">
        <f>SUMIF('Eredeti fejléccel'!$B:$B,'Felosztás eredménykim'!$B125,'Eredeti fejléccel'!$BR:$BR)</f>
        <v>0</v>
      </c>
      <c r="DN125" s="6">
        <f>SUMIF('Eredeti fejléccel'!$B:$B,'Felosztás eredménykim'!$B125,'Eredeti fejléccel'!$BS:$BS)</f>
        <v>0</v>
      </c>
      <c r="DO125" s="6">
        <f>SUMIF('Eredeti fejléccel'!$B:$B,'Felosztás eredménykim'!$B125,'Eredeti fejléccel'!$BO:$BO)</f>
        <v>0</v>
      </c>
      <c r="DP125" s="6">
        <f>SUMIF('Eredeti fejléccel'!$B:$B,'Felosztás eredménykim'!$B125,'Eredeti fejléccel'!$BP:$BP)</f>
        <v>0</v>
      </c>
      <c r="DQ125" s="6">
        <f>SUMIF('Eredeti fejléccel'!$B:$B,'Felosztás eredménykim'!$B125,'Eredeti fejléccel'!$BQ:$BQ)</f>
        <v>0</v>
      </c>
      <c r="DR125" s="210"/>
      <c r="DS125" s="211"/>
      <c r="DT125" s="210"/>
      <c r="DU125" s="6">
        <f>SUMIF('Eredeti fejléccel'!$B:$B,'Felosztás eredménykim'!$B125,'Eredeti fejléccel'!$BT:$BT)</f>
        <v>0</v>
      </c>
      <c r="DV125" s="6">
        <f>SUMIF('Eredeti fejléccel'!$B:$B,'Felosztás eredménykim'!$B125,'Eredeti fejléccel'!$BU:$BU)</f>
        <v>0</v>
      </c>
      <c r="DW125" s="6">
        <f>SUMIF('Eredeti fejléccel'!$B:$B,'Felosztás eredménykim'!$B125,'Eredeti fejléccel'!$BV:$BV)</f>
        <v>0</v>
      </c>
      <c r="DX125" s="6">
        <f>SUMIF('Eredeti fejléccel'!$B:$B,'Felosztás eredménykim'!$B125,'Eredeti fejléccel'!$BW:$BW)</f>
        <v>0</v>
      </c>
      <c r="DY125" s="6">
        <f>SUMIF('Eredeti fejléccel'!$B:$B,'Felosztás eredménykim'!$B125,'Eredeti fejléccel'!$BX:$BX)</f>
        <v>0</v>
      </c>
      <c r="DZ125" s="6"/>
      <c r="EA125" s="6"/>
      <c r="EB125" s="6"/>
      <c r="EC125" s="6"/>
      <c r="ED125" s="6"/>
      <c r="EE125" s="6">
        <f>SUMIF('Eredeti fejléccel'!$B:$B,'Felosztás eredménykim'!$B125,'Eredeti fejléccel'!$CA:$CA)</f>
        <v>0</v>
      </c>
      <c r="EF125" s="6">
        <f>SUMIF('Eredeti fejléccel'!$B:$B,'Felosztás eredménykim'!$B125,'Eredeti fejléccel'!$CB:$CB)</f>
        <v>0</v>
      </c>
      <c r="EG125" s="6">
        <f>SUMIF('Eredeti fejléccel'!$B:$B,'Felosztás eredménykim'!$B125,'Eredeti fejléccel'!$CC:$CC)</f>
        <v>0</v>
      </c>
      <c r="EH125" s="6">
        <f>SUMIF('Eredeti fejléccel'!$B:$B,'Felosztás eredménykim'!$B125,'Eredeti fejléccel'!$CD:$CD)</f>
        <v>0</v>
      </c>
      <c r="EI125" s="210"/>
      <c r="EJ125" s="211"/>
      <c r="EK125" s="6">
        <f>SUMIF('Eredeti fejléccel'!$B:$B,'Felosztás eredménykim'!$B125,'Eredeti fejléccel'!$CE:$CE)</f>
        <v>0</v>
      </c>
      <c r="EL125" s="211"/>
      <c r="EM125" s="210"/>
      <c r="EN125" s="6">
        <f>SUMIF('Eredeti fejléccel'!$B:$B,'Felosztás eredménykim'!$B125,'Eredeti fejléccel'!$CF:$CF)</f>
        <v>0</v>
      </c>
      <c r="EO125" s="210"/>
      <c r="EP125" s="6">
        <f>SUMIF('Eredeti fejléccel'!$B:$B,'Felosztás eredménykim'!$B125,'Eredeti fejléccel'!$CG:$CG)</f>
        <v>0</v>
      </c>
      <c r="EQ125" s="210"/>
      <c r="ER125" s="211"/>
      <c r="ES125" s="6">
        <f>SUMIF('Eredeti fejléccel'!$B:$B,'Felosztás eredménykim'!$B125,'Eredeti fejléccel'!$CH:$CH)</f>
        <v>0</v>
      </c>
      <c r="ET125" s="6">
        <f>SUMIF('Eredeti fejléccel'!$B:$B,'Felosztás eredménykim'!$B125,'Eredeti fejléccel'!$CI:$CI)</f>
        <v>0</v>
      </c>
      <c r="EU125" s="210"/>
      <c r="EV125" s="211"/>
      <c r="EW125" s="211">
        <f t="shared" si="118"/>
        <v>0</v>
      </c>
      <c r="EX125" s="211">
        <f t="shared" si="78"/>
        <v>0</v>
      </c>
      <c r="EY125" s="211">
        <f t="shared" si="119"/>
        <v>241346.5</v>
      </c>
      <c r="EZ125" s="211">
        <f t="shared" si="120"/>
        <v>393113.5</v>
      </c>
      <c r="FA125" s="211">
        <f t="shared" si="121"/>
        <v>241346.5</v>
      </c>
      <c r="FB125" s="211"/>
      <c r="FC125" s="6">
        <f>SUMIF('Eredeti fejléccel'!$B:$B,'Felosztás eredménykim'!$B125,'Eredeti fejléccel'!$L:$L)</f>
        <v>0</v>
      </c>
      <c r="FD125" s="6">
        <f>SUMIF('Eredeti fejléccel'!$B:$B,'Felosztás eredménykim'!$B125,'Eredeti fejléccel'!$CJ:$CJ)</f>
        <v>116813</v>
      </c>
      <c r="FE125" s="6">
        <f>SUMIF('Eredeti fejléccel'!$B:$B,'Felosztás eredménykim'!$B125,'Eredeti fejléccel'!$CL:$CL)</f>
        <v>0</v>
      </c>
      <c r="FF125" s="213"/>
      <c r="FG125" s="214">
        <f t="shared" si="79"/>
        <v>116813</v>
      </c>
      <c r="FH125" s="6">
        <f>SUMIF('Eredeti fejléccel'!$B:$B,'Felosztás eredménykim'!$B125,'Eredeti fejléccel'!$CK:$CK)</f>
        <v>0</v>
      </c>
      <c r="FI125" s="36">
        <f t="shared" si="145"/>
        <v>100478.58712163227</v>
      </c>
      <c r="FJ125" s="216">
        <f t="shared" si="104"/>
        <v>25902.834195634598</v>
      </c>
      <c r="FK125" s="6">
        <f>SUMIF('Eredeti fejléccel'!$B:$B,'Felosztás eredménykim'!$B125,'Eredeti fejléccel'!$CM:$CM)</f>
        <v>582243</v>
      </c>
      <c r="FL125" s="6">
        <f>SUMIF('Eredeti fejléccel'!$B:$B,'Felosztás eredménykim'!$B125,'Eredeti fejléccel'!$CN:$CN)</f>
        <v>0</v>
      </c>
      <c r="FM125" s="211">
        <f t="shared" si="80"/>
        <v>608145.83419563458</v>
      </c>
      <c r="FN125" s="36">
        <f t="shared" si="146"/>
        <v>85423.282963050122</v>
      </c>
      <c r="FO125" s="216">
        <f t="shared" si="106"/>
        <v>22021.658528698463</v>
      </c>
      <c r="FP125" s="6">
        <f>SUMIF('Eredeti fejléccel'!$B:$B,'Felosztás eredménykim'!$B125,'Eredeti fejléccel'!$CO:$CO)</f>
        <v>242085</v>
      </c>
      <c r="FQ125" s="6">
        <f>'Eredeti fejléccel'!CP125</f>
        <v>193580</v>
      </c>
      <c r="FR125" s="6">
        <f>'Eredeti fejléccel'!CQ125</f>
        <v>0</v>
      </c>
      <c r="FS125" s="103">
        <f t="shared" si="122"/>
        <v>457686.65852869849</v>
      </c>
      <c r="FT125" s="36">
        <f t="shared" si="147"/>
        <v>235793.16999706416</v>
      </c>
      <c r="FU125" s="216">
        <f t="shared" si="108"/>
        <v>60786.198949070334</v>
      </c>
      <c r="FV125" s="216"/>
      <c r="FW125" s="6">
        <f>SUMIF('Eredeti fejléccel'!$B:$B,'Felosztás eredménykim'!$B125,'Eredeti fejléccel'!$CR:$CR)</f>
        <v>1205334</v>
      </c>
      <c r="FX125" s="6">
        <f>SUMIF('Eredeti fejléccel'!$B:$B,'Felosztás eredménykim'!$B125,'Eredeti fejléccel'!$CS:$CS)</f>
        <v>105192</v>
      </c>
      <c r="FY125" s="6">
        <f>SUMIF('Eredeti fejléccel'!$B:$B,'Felosztás eredménykim'!$B125,'Eredeti fejléccel'!$CT:$CT)</f>
        <v>55964</v>
      </c>
      <c r="FZ125" s="6">
        <f>SUMIF('Eredeti fejléccel'!$B:$B,'Felosztás eredménykim'!$B125,'Eredeti fejléccel'!$CU:$CU)</f>
        <v>0</v>
      </c>
      <c r="GA125" s="217">
        <f t="shared" si="81"/>
        <v>1427276.1989490704</v>
      </c>
      <c r="GB125" s="36">
        <f t="shared" si="148"/>
        <v>31429.321090178815</v>
      </c>
      <c r="GC125" s="216">
        <f t="shared" si="110"/>
        <v>8102.3083265966043</v>
      </c>
      <c r="GD125" s="210">
        <f>SUMIF('Eredeti fejléccel'!$B:$B,'Felosztás eredménykim'!$B125,'Eredeti fejléccel'!$CV:$CV)</f>
        <v>199827</v>
      </c>
      <c r="GE125" s="6">
        <f>SUMIF('Eredeti fejléccel'!$B:$B,'Felosztás eredménykim'!$B125,'Eredeti fejléccel'!$CW:$CW)</f>
        <v>0</v>
      </c>
      <c r="GF125" s="217">
        <f t="shared" si="82"/>
        <v>207929.3083265966</v>
      </c>
      <c r="GG125" s="212">
        <f t="shared" si="111"/>
        <v>0</v>
      </c>
      <c r="GH125" s="210"/>
      <c r="GI125" s="211"/>
      <c r="GJ125" s="210"/>
      <c r="GK125" s="211"/>
      <c r="GL125" s="210"/>
      <c r="GM125" s="6">
        <f>SUMIF('Eredeti fejléccel'!$B:$B,'Felosztás eredménykim'!$B125,'Eredeti fejléccel'!$CX:$CX)</f>
        <v>0</v>
      </c>
      <c r="GN125" s="6">
        <f>SUMIF('Eredeti fejléccel'!$B:$B,'Felosztás eredménykim'!$B125,'Eredeti fejléccel'!$CY:$CY)</f>
        <v>0</v>
      </c>
      <c r="GO125" s="6">
        <f>SUMIF('Eredeti fejléccel'!$B:$B,'Felosztás eredménykim'!$B125,'Eredeti fejléccel'!$CZ:$CZ)</f>
        <v>0</v>
      </c>
      <c r="GP125" s="6">
        <f>SUMIF('Eredeti fejléccel'!$B:$B,'Felosztás eredménykim'!$B125,'Eredeti fejléccel'!$DA:$DA)</f>
        <v>0</v>
      </c>
      <c r="GQ125" s="6">
        <f>SUMIF('Eredeti fejléccel'!$B:$B,'Felosztás eredménykim'!$B125,'Eredeti fejléccel'!$DB:$DB)</f>
        <v>0</v>
      </c>
      <c r="GR125" s="217">
        <f t="shared" si="83"/>
        <v>0</v>
      </c>
      <c r="GS125" s="211"/>
      <c r="GT125" s="211"/>
      <c r="GU125" s="211"/>
      <c r="GV125" s="211"/>
      <c r="GW125" s="212">
        <f t="shared" si="112"/>
        <v>53951.827430779136</v>
      </c>
      <c r="GX125" s="6">
        <f>SUMIF('Eredeti fejléccel'!$B:$B,'Felosztás eredménykim'!$B125,'Eredeti fejléccel'!$M:$M)</f>
        <v>0</v>
      </c>
      <c r="GY125" s="6">
        <f>SUMIF('Eredeti fejléccel'!$B:$B,'Felosztás eredménykim'!$B125,'Eredeti fejléccel'!$DC:$DC)</f>
        <v>100206</v>
      </c>
      <c r="GZ125" s="6">
        <f>SUMIF('Eredeti fejléccel'!$B:$B,'Felosztás eredménykim'!$B125,'Eredeti fejléccel'!$DD:$DD)</f>
        <v>0</v>
      </c>
      <c r="HA125" s="6">
        <f>SUMIF('Eredeti fejléccel'!$B:$B,'Felosztás eredménykim'!$B125,'Eredeti fejléccel'!$DE:$DE)</f>
        <v>221618</v>
      </c>
      <c r="HB125" s="217">
        <f t="shared" si="84"/>
        <v>321824</v>
      </c>
      <c r="HC125" s="211"/>
      <c r="HD125" s="218">
        <f>SUM(D125:HA125)-W125-X125-AD125-AE125-AF125-AG125-AK125-AL125-AM125-AS125-AT125-AU125-BE125-BF125-BG125-BL125-BM125-BN125-BO125-CB125-CC125-CD125-CI125-CJ125-CK125-CN125-CO125-CP125-CR125-CX125-DA125-DC125-DG125-DH125-DL125-EW125-EX125-EY125-EZ125-FA125-FF125-FG125-FI125-FJ125-FM125-FN125-FO125-FS125-FT125-FU125-GA125-GB125-GC125-GF125-GG125-GR125-GS125-GT125-GU125-GW125</f>
        <v>7258187</v>
      </c>
      <c r="HE125" s="9">
        <v>7258187</v>
      </c>
      <c r="HF125" s="476"/>
      <c r="HG125" s="219"/>
      <c r="HH125" s="602">
        <f t="shared" si="85"/>
        <v>0</v>
      </c>
      <c r="HI125" s="219"/>
      <c r="HJ125" s="219"/>
      <c r="HK125" s="219"/>
      <c r="HL125" s="219"/>
      <c r="HM125" s="219"/>
      <c r="HN125" s="219"/>
      <c r="HO125" s="219"/>
      <c r="HP125" s="219"/>
      <c r="HQ125" s="219"/>
      <c r="HR125" s="219"/>
      <c r="HS125" s="219"/>
      <c r="HT125" s="219"/>
      <c r="HU125" s="219"/>
      <c r="HV125" s="219"/>
      <c r="HW125" s="219"/>
      <c r="HX125" s="219"/>
    </row>
    <row r="126" spans="1:232" x14ac:dyDescent="0.25">
      <c r="A126" s="4" t="s">
        <v>246</v>
      </c>
      <c r="B126" s="4" t="s">
        <v>246</v>
      </c>
      <c r="C126" s="1" t="s">
        <v>247</v>
      </c>
      <c r="D126" s="6">
        <f>SUMIF('Eredeti fejléccel'!$B:$B,'Felosztás eredménykim'!$B126,'Eredeti fejléccel'!$D:$D)</f>
        <v>0</v>
      </c>
      <c r="E126" s="6">
        <f>SUMIF('Eredeti fejléccel'!$B:$B,'Felosztás eredménykim'!$B126,'Eredeti fejléccel'!$E:$E)</f>
        <v>1455932</v>
      </c>
      <c r="F126" s="6">
        <f>SUMIF('Eredeti fejléccel'!$B:$B,'Felosztás eredménykim'!$B126,'Eredeti fejléccel'!$F:$F)</f>
        <v>0</v>
      </c>
      <c r="G126" s="6">
        <f>SUMIF('Eredeti fejléccel'!$B:$B,'Felosztás eredménykim'!$B126,'Eredeti fejléccel'!$G:$G)</f>
        <v>0</v>
      </c>
      <c r="H126" s="6"/>
      <c r="I126" s="6">
        <f>SUMIF('Eredeti fejléccel'!$B:$B,'Felosztás eredménykim'!$B126,'Eredeti fejléccel'!$O:$O)</f>
        <v>0</v>
      </c>
      <c r="J126" s="6">
        <f>SUMIF('Eredeti fejléccel'!$B:$B,'Felosztás eredménykim'!$B126,'Eredeti fejléccel'!$P:$P)</f>
        <v>0</v>
      </c>
      <c r="K126" s="6">
        <f>SUMIF('Eredeti fejléccel'!$B:$B,'Felosztás eredménykim'!$B126,'Eredeti fejléccel'!$Q:$Q)</f>
        <v>0</v>
      </c>
      <c r="L126" s="6">
        <f>SUMIF('Eredeti fejléccel'!$B:$B,'Felosztás eredménykim'!$B126,'Eredeti fejléccel'!$R:$R)</f>
        <v>0</v>
      </c>
      <c r="M126" s="6">
        <f>SUMIF('Eredeti fejléccel'!$B:$B,'Felosztás eredménykim'!$B126,'Eredeti fejléccel'!$T:$T)</f>
        <v>0</v>
      </c>
      <c r="N126" s="6">
        <f>SUMIF('Eredeti fejléccel'!$B:$B,'Felosztás eredménykim'!$B126,'Eredeti fejléccel'!$U:$U)</f>
        <v>0</v>
      </c>
      <c r="O126" s="6">
        <f>SUMIF('Eredeti fejléccel'!$B:$B,'Felosztás eredménykim'!$B126,'Eredeti fejléccel'!$V:$V)</f>
        <v>0</v>
      </c>
      <c r="P126" s="6">
        <f>SUMIF('Eredeti fejléccel'!$B:$B,'Felosztás eredménykim'!$B126,'Eredeti fejléccel'!$W:$W)</f>
        <v>0</v>
      </c>
      <c r="Q126" s="6">
        <f>SUMIF('Eredeti fejléccel'!$B:$B,'Felosztás eredménykim'!$B126,'Eredeti fejléccel'!$X:$X)</f>
        <v>0</v>
      </c>
      <c r="R126" s="6">
        <f>SUMIF('Eredeti fejléccel'!$B:$B,'Felosztás eredménykim'!$B126,'Eredeti fejléccel'!$Y:$Y)</f>
        <v>0</v>
      </c>
      <c r="S126" s="6">
        <f>SUMIF('Eredeti fejléccel'!$B:$B,'Felosztás eredménykim'!$B126,'Eredeti fejléccel'!$Z:$Z)</f>
        <v>0</v>
      </c>
      <c r="T126" s="6">
        <f>SUMIF('Eredeti fejléccel'!$B:$B,'Felosztás eredménykim'!$B126,'Eredeti fejléccel'!$AA:$AA)</f>
        <v>0</v>
      </c>
      <c r="U126" s="6">
        <f>SUMIF('Eredeti fejléccel'!$B:$B,'Felosztás eredménykim'!$B126,'Eredeti fejléccel'!$D:$D)</f>
        <v>0</v>
      </c>
      <c r="V126" s="6">
        <f>SUMIF('Eredeti fejléccel'!$B:$B,'Felosztás eredménykim'!$B126,'Eredeti fejléccel'!$AT:$AT)</f>
        <v>0</v>
      </c>
      <c r="X126" s="36">
        <f t="shared" si="86"/>
        <v>1455932</v>
      </c>
      <c r="Z126" s="6">
        <f>SUMIF('Eredeti fejléccel'!$B:$B,'Felosztás eredménykim'!$B126,'Eredeti fejléccel'!$K:$K)</f>
        <v>0</v>
      </c>
      <c r="AB126" s="6">
        <f>SUMIF('Eredeti fejléccel'!$B:$B,'Felosztás eredménykim'!$B126,'Eredeti fejléccel'!$AB:$AB)</f>
        <v>0</v>
      </c>
      <c r="AC126" s="6">
        <f>SUMIF('Eredeti fejléccel'!$B:$B,'Felosztás eredménykim'!$B126,'Eredeti fejléccel'!$AQ:$AQ)</f>
        <v>0</v>
      </c>
      <c r="AE126" s="73">
        <f t="shared" si="131"/>
        <v>0</v>
      </c>
      <c r="AF126" s="36">
        <f t="shared" si="138"/>
        <v>173684.88603804415</v>
      </c>
      <c r="AG126" s="8">
        <f t="shared" si="88"/>
        <v>0</v>
      </c>
      <c r="AI126" s="6">
        <f>SUMIF('Eredeti fejléccel'!$B:$B,'Felosztás eredménykim'!$B126,'Eredeti fejléccel'!$BB:$BB)</f>
        <v>0</v>
      </c>
      <c r="AJ126" s="6">
        <f>SUMIF('Eredeti fejléccel'!$B:$B,'Felosztás eredménykim'!$B126,'Eredeti fejléccel'!$AF:$AF)</f>
        <v>0</v>
      </c>
      <c r="AK126" s="8">
        <f t="shared" si="73"/>
        <v>0</v>
      </c>
      <c r="AL126" s="36">
        <f t="shared" si="139"/>
        <v>68986.759783974907</v>
      </c>
      <c r="AM126" s="8">
        <f t="shared" si="90"/>
        <v>0</v>
      </c>
      <c r="AN126" s="6">
        <f t="shared" si="123"/>
        <v>0</v>
      </c>
      <c r="AO126" s="6">
        <f>SUMIF('Eredeti fejléccel'!$B:$B,'Felosztás eredménykim'!$B126,'Eredeti fejléccel'!$AC:$AC)</f>
        <v>0</v>
      </c>
      <c r="AP126" s="6">
        <f>SUMIF('Eredeti fejléccel'!$B:$B,'Felosztás eredménykim'!$B126,'Eredeti fejléccel'!$AD:$AD)</f>
        <v>0</v>
      </c>
      <c r="AQ126" s="6">
        <f>SUMIF('Eredeti fejléccel'!$B:$B,'Felosztás eredménykim'!$B126,'Eredeti fejléccel'!$AE:$AE)</f>
        <v>0</v>
      </c>
      <c r="AR126" s="6">
        <f>SUMIF('Eredeti fejléccel'!$B:$B,'Felosztás eredménykim'!$B126,'Eredeti fejléccel'!$AG:$AG)</f>
        <v>0</v>
      </c>
      <c r="AS126" s="6">
        <f t="shared" si="124"/>
        <v>0</v>
      </c>
      <c r="AT126" s="36">
        <f t="shared" si="140"/>
        <v>112054.76518583496</v>
      </c>
      <c r="AU126" s="8">
        <f t="shared" si="92"/>
        <v>0</v>
      </c>
      <c r="AV126" s="6">
        <f>SUMIF('Eredeti fejléccel'!$B:$B,'Felosztás eredménykim'!$B126,'Eredeti fejléccel'!$AI:$AI)</f>
        <v>0</v>
      </c>
      <c r="AW126" s="6">
        <f>SUMIF('Eredeti fejléccel'!$B:$B,'Felosztás eredménykim'!$B126,'Eredeti fejléccel'!$AJ:$AJ)</f>
        <v>0</v>
      </c>
      <c r="AX126" s="6">
        <f>SUMIF('Eredeti fejléccel'!$B:$B,'Felosztás eredménykim'!$B126,'Eredeti fejléccel'!$AK:$AK)</f>
        <v>0</v>
      </c>
      <c r="AY126" s="6">
        <f>SUMIF('Eredeti fejléccel'!$B:$B,'Felosztás eredménykim'!$B126,'Eredeti fejléccel'!$AL:$AL)</f>
        <v>0</v>
      </c>
      <c r="AZ126" s="6">
        <f>SUMIF('Eredeti fejléccel'!$B:$B,'Felosztás eredménykim'!$B126,'Eredeti fejléccel'!$AM:$AM)</f>
        <v>0</v>
      </c>
      <c r="BA126" s="6">
        <f>SUMIF('Eredeti fejléccel'!$B:$B,'Felosztás eredménykim'!$B126,'Eredeti fejléccel'!$AN:$AN)</f>
        <v>0</v>
      </c>
      <c r="BB126" s="6">
        <f>SUMIF('Eredeti fejléccel'!$B:$B,'Felosztás eredménykim'!$B126,'Eredeti fejléccel'!$AP:$AP)</f>
        <v>0</v>
      </c>
      <c r="BD126" s="6">
        <f>SUMIF('Eredeti fejléccel'!$B:$B,'Felosztás eredménykim'!$B126,'Eredeti fejléccel'!$AS:$AS)</f>
        <v>0</v>
      </c>
      <c r="BE126" s="8">
        <f t="shared" si="74"/>
        <v>0</v>
      </c>
      <c r="BF126" s="36">
        <f t="shared" si="141"/>
        <v>29231.677874565637</v>
      </c>
      <c r="BG126" s="8">
        <f t="shared" si="94"/>
        <v>0</v>
      </c>
      <c r="BH126" s="6">
        <f t="shared" si="125"/>
        <v>0</v>
      </c>
      <c r="BI126" s="6">
        <f>SUMIF('Eredeti fejléccel'!$B:$B,'Felosztás eredménykim'!$B126,'Eredeti fejléccel'!$AH:$AH)</f>
        <v>0</v>
      </c>
      <c r="BJ126" s="6">
        <f>SUMIF('Eredeti fejléccel'!$B:$B,'Felosztás eredménykim'!$B126,'Eredeti fejléccel'!$AO:$AO)</f>
        <v>0</v>
      </c>
      <c r="BK126" s="6">
        <f>SUMIF('Eredeti fejléccel'!$B:$B,'Felosztás eredménykim'!$B126,'Eredeti fejléccel'!$BF:$BF)</f>
        <v>0</v>
      </c>
      <c r="BL126" s="8">
        <f t="shared" si="126"/>
        <v>0</v>
      </c>
      <c r="BM126" s="36">
        <f t="shared" si="142"/>
        <v>109521.3531033726</v>
      </c>
      <c r="BN126" s="8">
        <f t="shared" si="96"/>
        <v>0</v>
      </c>
      <c r="BP126" s="8">
        <f t="shared" si="127"/>
        <v>0</v>
      </c>
      <c r="BQ126" s="6">
        <f>SUMIF('Eredeti fejléccel'!$B:$B,'Felosztás eredménykim'!$B126,'Eredeti fejléccel'!$N:$N)</f>
        <v>0</v>
      </c>
      <c r="BR126" s="6">
        <f>SUMIF('Eredeti fejléccel'!$B:$B,'Felosztás eredménykim'!$B126,'Eredeti fejléccel'!$S:$S)</f>
        <v>0</v>
      </c>
      <c r="BT126" s="6">
        <f>SUMIF('Eredeti fejléccel'!$B:$B,'Felosztás eredménykim'!$B126,'Eredeti fejléccel'!$AR:$AR)</f>
        <v>0</v>
      </c>
      <c r="BU126" s="6">
        <f>SUMIF('Eredeti fejléccel'!$B:$B,'Felosztás eredménykim'!$B126,'Eredeti fejléccel'!$AU:$AU)</f>
        <v>0</v>
      </c>
      <c r="BV126" s="6">
        <f>SUMIF('Eredeti fejléccel'!$B:$B,'Felosztás eredménykim'!$B126,'Eredeti fejléccel'!$AV:$AV)</f>
        <v>0</v>
      </c>
      <c r="BW126" s="6">
        <f>SUMIF('Eredeti fejléccel'!$B:$B,'Felosztás eredménykim'!$B126,'Eredeti fejléccel'!$AW:$AW)</f>
        <v>0</v>
      </c>
      <c r="BX126" s="6">
        <f>SUMIF('Eredeti fejléccel'!$B:$B,'Felosztás eredménykim'!$B126,'Eredeti fejléccel'!$AX:$AX)</f>
        <v>0</v>
      </c>
      <c r="BY126" s="6">
        <f>SUMIF('Eredeti fejléccel'!$B:$B,'Felosztás eredménykim'!$B126,'Eredeti fejléccel'!$AY:$AY)</f>
        <v>0</v>
      </c>
      <c r="BZ126" s="6">
        <f>SUMIF('Eredeti fejléccel'!$B:$B,'Felosztás eredménykim'!$B126,'Eredeti fejléccel'!$AZ:$AZ)</f>
        <v>0</v>
      </c>
      <c r="CA126" s="6">
        <f>SUMIF('Eredeti fejléccel'!$B:$B,'Felosztás eredménykim'!$B126,'Eredeti fejléccel'!$BA:$BA)</f>
        <v>0</v>
      </c>
      <c r="CB126" s="6">
        <f t="shared" si="114"/>
        <v>0</v>
      </c>
      <c r="CC126" s="36">
        <f t="shared" si="143"/>
        <v>29816.311432056951</v>
      </c>
      <c r="CD126" s="8">
        <f t="shared" si="98"/>
        <v>0</v>
      </c>
      <c r="CE126" s="6">
        <f>SUMIF('Eredeti fejléccel'!$B:$B,'Felosztás eredménykim'!$B126,'Eredeti fejléccel'!$BC:$BC)</f>
        <v>0</v>
      </c>
      <c r="CF126" s="8">
        <f t="shared" si="135"/>
        <v>0</v>
      </c>
      <c r="CG126" s="6">
        <f>SUMIF('Eredeti fejléccel'!$B:$B,'Felosztás eredménykim'!$B126,'Eredeti fejléccel'!$H:$H)</f>
        <v>0</v>
      </c>
      <c r="CH126" s="6">
        <f>SUMIF('Eredeti fejléccel'!$B:$B,'Felosztás eredménykim'!$B126,'Eredeti fejléccel'!$BE:$BE)</f>
        <v>0</v>
      </c>
      <c r="CI126" s="6">
        <f t="shared" si="75"/>
        <v>0</v>
      </c>
      <c r="CJ126" s="36">
        <f t="shared" si="144"/>
        <v>21436.563774681472</v>
      </c>
      <c r="CK126" s="8">
        <f t="shared" si="100"/>
        <v>0</v>
      </c>
      <c r="CL126" s="8">
        <f t="shared" si="136"/>
        <v>0</v>
      </c>
      <c r="CM126" s="6">
        <f>SUMIF('Eredeti fejléccel'!$B:$B,'Felosztás eredménykim'!$B126,'Eredeti fejléccel'!$BD:$BD)</f>
        <v>0</v>
      </c>
      <c r="CN126" s="8">
        <f t="shared" si="76"/>
        <v>0</v>
      </c>
      <c r="CO126" s="8">
        <f t="shared" si="115"/>
        <v>544732.31719253073</v>
      </c>
      <c r="CR126" s="36">
        <f t="shared" si="101"/>
        <v>128765.1385705087</v>
      </c>
      <c r="CS126" s="6">
        <f>SUMIF('Eredeti fejléccel'!$B:$B,'Felosztás eredménykim'!$B126,'Eredeti fejléccel'!$I:$I)</f>
        <v>0</v>
      </c>
      <c r="CT126" s="6">
        <f>SUMIF('Eredeti fejléccel'!$B:$B,'Felosztás eredménykim'!$B126,'Eredeti fejléccel'!$BG:$BG)</f>
        <v>0</v>
      </c>
      <c r="CU126" s="6">
        <f>SUMIF('Eredeti fejléccel'!$B:$B,'Felosztás eredménykim'!$B126,'Eredeti fejléccel'!$BH:$BH)</f>
        <v>0</v>
      </c>
      <c r="CV126" s="6">
        <f>SUMIF('Eredeti fejléccel'!$B:$B,'Felosztás eredménykim'!$B126,'Eredeti fejléccel'!$BI:$BI)</f>
        <v>0</v>
      </c>
      <c r="CW126" s="6">
        <f>SUMIF('Eredeti fejléccel'!$B:$B,'Felosztás eredménykim'!$B126,'Eredeti fejléccel'!$BL:$BL)</f>
        <v>0</v>
      </c>
      <c r="CX126" s="6">
        <f t="shared" si="77"/>
        <v>0</v>
      </c>
      <c r="CY126" s="6">
        <f>SUMIF('Eredeti fejléccel'!$B:$B,'Felosztás eredménykim'!$B126,'Eredeti fejléccel'!$BJ:$BJ)</f>
        <v>0</v>
      </c>
      <c r="CZ126" s="6">
        <f>SUMIF('Eredeti fejléccel'!$B:$B,'Felosztás eredménykim'!$B126,'Eredeti fejléccel'!$BK:$BK)</f>
        <v>0</v>
      </c>
      <c r="DA126" s="99">
        <f t="shared" si="116"/>
        <v>0</v>
      </c>
      <c r="DC126" s="36">
        <f t="shared" si="102"/>
        <v>112780.82395363814</v>
      </c>
      <c r="DD126" s="6">
        <f>SUMIF('Eredeti fejléccel'!$B:$B,'Felosztás eredménykim'!$B126,'Eredeti fejléccel'!$J:$J)</f>
        <v>0</v>
      </c>
      <c r="DE126" s="6">
        <f>SUMIF('Eredeti fejléccel'!$B:$B,'Felosztás eredménykim'!$B126,'Eredeti fejléccel'!$BM:$BM)</f>
        <v>0</v>
      </c>
      <c r="DF126" s="6">
        <f t="shared" si="128"/>
        <v>0</v>
      </c>
      <c r="DG126" s="8">
        <f t="shared" si="117"/>
        <v>0</v>
      </c>
      <c r="DH126" s="8">
        <f t="shared" si="129"/>
        <v>0</v>
      </c>
      <c r="DJ126" s="6">
        <f>SUMIF('Eredeti fejléccel'!$B:$B,'Felosztás eredménykim'!$B126,'Eredeti fejléccel'!$BN:$BN)</f>
        <v>0</v>
      </c>
      <c r="DK126" s="6">
        <f>SUMIF('Eredeti fejléccel'!$B:$B,'Felosztás eredménykim'!$B126,'Eredeti fejléccel'!$BZ:$BZ)</f>
        <v>0</v>
      </c>
      <c r="DL126" s="8">
        <f t="shared" si="130"/>
        <v>0</v>
      </c>
      <c r="DM126" s="6">
        <f>SUMIF('Eredeti fejléccel'!$B:$B,'Felosztás eredménykim'!$B126,'Eredeti fejléccel'!$BR:$BR)</f>
        <v>0</v>
      </c>
      <c r="DN126" s="6">
        <f>SUMIF('Eredeti fejléccel'!$B:$B,'Felosztás eredménykim'!$B126,'Eredeti fejléccel'!$BS:$BS)</f>
        <v>0</v>
      </c>
      <c r="DO126" s="6">
        <f>SUMIF('Eredeti fejléccel'!$B:$B,'Felosztás eredménykim'!$B126,'Eredeti fejléccel'!$BO:$BO)</f>
        <v>0</v>
      </c>
      <c r="DP126" s="6">
        <f>SUMIF('Eredeti fejléccel'!$B:$B,'Felosztás eredménykim'!$B126,'Eredeti fejléccel'!$BP:$BP)</f>
        <v>0</v>
      </c>
      <c r="DQ126" s="6">
        <f>SUMIF('Eredeti fejléccel'!$B:$B,'Felosztás eredménykim'!$B126,'Eredeti fejléccel'!$BQ:$BQ)</f>
        <v>0</v>
      </c>
      <c r="DS126" s="8"/>
      <c r="DU126" s="6">
        <f>SUMIF('Eredeti fejléccel'!$B:$B,'Felosztás eredménykim'!$B126,'Eredeti fejléccel'!$BT:$BT)</f>
        <v>0</v>
      </c>
      <c r="DV126" s="6">
        <f>SUMIF('Eredeti fejléccel'!$B:$B,'Felosztás eredménykim'!$B126,'Eredeti fejléccel'!$BU:$BU)</f>
        <v>0</v>
      </c>
      <c r="DW126" s="6">
        <f>SUMIF('Eredeti fejléccel'!$B:$B,'Felosztás eredménykim'!$B126,'Eredeti fejléccel'!$BV:$BV)</f>
        <v>0</v>
      </c>
      <c r="DX126" s="6">
        <f>SUMIF('Eredeti fejléccel'!$B:$B,'Felosztás eredménykim'!$B126,'Eredeti fejléccel'!$BW:$BW)</f>
        <v>0</v>
      </c>
      <c r="DY126" s="6">
        <f>SUMIF('Eredeti fejléccel'!$B:$B,'Felosztás eredménykim'!$B126,'Eredeti fejléccel'!$BX:$BX)</f>
        <v>0</v>
      </c>
      <c r="EA126" s="6"/>
      <c r="EC126" s="6"/>
      <c r="EE126" s="6">
        <f>SUMIF('Eredeti fejléccel'!$B:$B,'Felosztás eredménykim'!$B126,'Eredeti fejléccel'!$CA:$CA)</f>
        <v>0</v>
      </c>
      <c r="EF126" s="6">
        <f>SUMIF('Eredeti fejléccel'!$B:$B,'Felosztás eredménykim'!$B126,'Eredeti fejléccel'!$CB:$CB)</f>
        <v>0</v>
      </c>
      <c r="EG126" s="6">
        <f>SUMIF('Eredeti fejléccel'!$B:$B,'Felosztás eredménykim'!$B126,'Eredeti fejléccel'!$CC:$CC)</f>
        <v>0</v>
      </c>
      <c r="EH126" s="6">
        <f>SUMIF('Eredeti fejléccel'!$B:$B,'Felosztás eredménykim'!$B126,'Eredeti fejléccel'!$CD:$CD)</f>
        <v>0</v>
      </c>
      <c r="EK126" s="6">
        <f>SUMIF('Eredeti fejléccel'!$B:$B,'Felosztás eredménykim'!$B126,'Eredeti fejléccel'!$CE:$CE)</f>
        <v>0</v>
      </c>
      <c r="EN126" s="6">
        <f>SUMIF('Eredeti fejléccel'!$B:$B,'Felosztás eredménykim'!$B126,'Eredeti fejléccel'!$CF:$CF)</f>
        <v>0</v>
      </c>
      <c r="EP126" s="6">
        <f>SUMIF('Eredeti fejléccel'!$B:$B,'Felosztás eredménykim'!$B126,'Eredeti fejléccel'!$CG:$CG)</f>
        <v>0</v>
      </c>
      <c r="ES126" s="6">
        <f>SUMIF('Eredeti fejléccel'!$B:$B,'Felosztás eredménykim'!$B126,'Eredeti fejléccel'!$CH:$CH)</f>
        <v>0</v>
      </c>
      <c r="ET126" s="6">
        <f>SUMIF('Eredeti fejléccel'!$B:$B,'Felosztás eredménykim'!$B126,'Eredeti fejléccel'!$CI:$CI)</f>
        <v>0</v>
      </c>
      <c r="EW126" s="8">
        <f t="shared" si="118"/>
        <v>0</v>
      </c>
      <c r="EX126" s="8">
        <f t="shared" si="78"/>
        <v>0</v>
      </c>
      <c r="EY126" s="8">
        <f t="shared" si="119"/>
        <v>0</v>
      </c>
      <c r="EZ126" s="8">
        <f t="shared" si="120"/>
        <v>0</v>
      </c>
      <c r="FA126" s="8">
        <f t="shared" si="121"/>
        <v>0</v>
      </c>
      <c r="FC126" s="6">
        <f>SUMIF('Eredeti fejléccel'!$B:$B,'Felosztás eredménykim'!$B126,'Eredeti fejléccel'!$L:$L)</f>
        <v>0</v>
      </c>
      <c r="FD126" s="6">
        <f>SUMIF('Eredeti fejléccel'!$B:$B,'Felosztás eredménykim'!$B126,'Eredeti fejléccel'!$CJ:$CJ)</f>
        <v>0</v>
      </c>
      <c r="FE126" s="6">
        <f>SUMIF('Eredeti fejléccel'!$B:$B,'Felosztás eredménykim'!$B126,'Eredeti fejléccel'!$CL:$CL)</f>
        <v>0</v>
      </c>
      <c r="FG126" s="99">
        <f t="shared" si="79"/>
        <v>0</v>
      </c>
      <c r="FH126" s="6">
        <f>SUMIF('Eredeti fejléccel'!$B:$B,'Felosztás eredménykim'!$B126,'Eredeti fejléccel'!$CK:$CK)</f>
        <v>0</v>
      </c>
      <c r="FI126" s="36">
        <f t="shared" si="145"/>
        <v>132693.7868256552</v>
      </c>
      <c r="FJ126" s="101">
        <f t="shared" si="104"/>
        <v>0</v>
      </c>
      <c r="FK126" s="6">
        <f>SUMIF('Eredeti fejléccel'!$B:$B,'Felosztás eredménykim'!$B126,'Eredeti fejléccel'!$CM:$CM)</f>
        <v>0</v>
      </c>
      <c r="FL126" s="6">
        <f>SUMIF('Eredeti fejléccel'!$B:$B,'Felosztás eredménykim'!$B126,'Eredeti fejléccel'!$CN:$CN)</f>
        <v>0</v>
      </c>
      <c r="FM126" s="8">
        <f t="shared" si="80"/>
        <v>0</v>
      </c>
      <c r="FN126" s="36">
        <f t="shared" si="146"/>
        <v>112811.48774240904</v>
      </c>
      <c r="FO126" s="101">
        <f t="shared" si="106"/>
        <v>0</v>
      </c>
      <c r="FP126" s="6">
        <f>SUMIF('Eredeti fejléccel'!$B:$B,'Felosztás eredménykim'!$B126,'Eredeti fejléccel'!$CO:$CO)</f>
        <v>0</v>
      </c>
      <c r="FQ126" s="6">
        <f>'Eredeti fejléccel'!CP126</f>
        <v>0</v>
      </c>
      <c r="FR126" s="6">
        <f>'Eredeti fejléccel'!CQ126</f>
        <v>0</v>
      </c>
      <c r="FS126" s="103">
        <f t="shared" si="122"/>
        <v>0</v>
      </c>
      <c r="FT126" s="36">
        <f t="shared" si="147"/>
        <v>311392.60145706992</v>
      </c>
      <c r="FU126" s="101">
        <f t="shared" si="108"/>
        <v>0</v>
      </c>
      <c r="FV126" s="101"/>
      <c r="FW126" s="6">
        <f>SUMIF('Eredeti fejléccel'!$B:$B,'Felosztás eredménykim'!$B126,'Eredeti fejléccel'!$CR:$CR)</f>
        <v>0</v>
      </c>
      <c r="FX126" s="6">
        <f>SUMIF('Eredeti fejléccel'!$B:$B,'Felosztás eredménykim'!$B126,'Eredeti fejléccel'!$CS:$CS)</f>
        <v>0</v>
      </c>
      <c r="FY126" s="6">
        <f>SUMIF('Eredeti fejléccel'!$B:$B,'Felosztás eredménykim'!$B126,'Eredeti fejléccel'!$CT:$CT)</f>
        <v>0</v>
      </c>
      <c r="FZ126" s="6">
        <f>SUMIF('Eredeti fejléccel'!$B:$B,'Felosztás eredménykim'!$B126,'Eredeti fejléccel'!$CU:$CU)</f>
        <v>0</v>
      </c>
      <c r="GA126" s="103">
        <f t="shared" si="81"/>
        <v>0</v>
      </c>
      <c r="GB126" s="36">
        <f t="shared" si="148"/>
        <v>41506.113414659929</v>
      </c>
      <c r="GC126" s="101">
        <f t="shared" si="110"/>
        <v>0</v>
      </c>
      <c r="GD126" s="6">
        <f>SUMIF('Eredeti fejléccel'!$B:$B,'Felosztás eredménykim'!$B126,'Eredeti fejléccel'!$CV:$CV)</f>
        <v>0</v>
      </c>
      <c r="GE126" s="6">
        <f>SUMIF('Eredeti fejléccel'!$B:$B,'Felosztás eredménykim'!$B126,'Eredeti fejléccel'!$CW:$CW)</f>
        <v>0</v>
      </c>
      <c r="GF126" s="103">
        <f t="shared" si="82"/>
        <v>0</v>
      </c>
      <c r="GG126" s="36">
        <f t="shared" si="111"/>
        <v>0</v>
      </c>
      <c r="GM126" s="6">
        <f>SUMIF('Eredeti fejléccel'!$B:$B,'Felosztás eredménykim'!$B126,'Eredeti fejléccel'!$CX:$CX)</f>
        <v>0</v>
      </c>
      <c r="GN126" s="6">
        <f>SUMIF('Eredeti fejléccel'!$B:$B,'Felosztás eredménykim'!$B126,'Eredeti fejléccel'!$CY:$CY)</f>
        <v>0</v>
      </c>
      <c r="GO126" s="6">
        <f>SUMIF('Eredeti fejléccel'!$B:$B,'Felosztás eredménykim'!$B126,'Eredeti fejléccel'!$CZ:$CZ)</f>
        <v>0</v>
      </c>
      <c r="GP126" s="6">
        <f>SUMIF('Eredeti fejléccel'!$B:$B,'Felosztás eredménykim'!$B126,'Eredeti fejléccel'!$DA:$DA)</f>
        <v>0</v>
      </c>
      <c r="GQ126" s="6">
        <f>SUMIF('Eredeti fejléccel'!$B:$B,'Felosztás eredménykim'!$B126,'Eredeti fejléccel'!$DB:$DB)</f>
        <v>0</v>
      </c>
      <c r="GR126" s="103">
        <f t="shared" si="83"/>
        <v>0</v>
      </c>
      <c r="GW126" s="36">
        <f t="shared" si="112"/>
        <v>71249.730843528669</v>
      </c>
      <c r="GX126" s="6">
        <f>SUMIF('Eredeti fejléccel'!$B:$B,'Felosztás eredménykim'!$B126,'Eredeti fejléccel'!$M:$M)</f>
        <v>0</v>
      </c>
      <c r="GY126" s="6">
        <f>SUMIF('Eredeti fejléccel'!$B:$B,'Felosztás eredménykim'!$B126,'Eredeti fejléccel'!$DC:$DC)</f>
        <v>0</v>
      </c>
      <c r="GZ126" s="6">
        <f>SUMIF('Eredeti fejléccel'!$B:$B,'Felosztás eredménykim'!$B126,'Eredeti fejléccel'!$DD:$DD)</f>
        <v>0</v>
      </c>
      <c r="HA126" s="6">
        <f>SUMIF('Eredeti fejléccel'!$B:$B,'Felosztás eredménykim'!$B126,'Eredeti fejléccel'!$DE:$DE)</f>
        <v>0</v>
      </c>
      <c r="HB126" s="103">
        <f t="shared" si="84"/>
        <v>0</v>
      </c>
      <c r="HD126" s="9">
        <f>SUM(D126:HA126)-W126-X126-AD126-AE126-AF126-AG126-AK126-AL126-AM126-AS126-AT126-AU126-BE126-BF126-BG126-BL126-BM126-BN126-CB126-CC126-CD126-CI126-CJ126-CK126-CN126-CO126-CP126-CR126-CX126-DA126-DC126-DG126-DH126-DL126-EW126-EX126-EY126-EZ126-FA126-FF126-FG126-FI126-FJ126-FM126-FN126-FO126-FS126-FT126-FU126-GA126-GB126-GC126-GF126-GG126-GR126-GS126-GT126-GU126-GW126</f>
        <v>1455931.9999999998</v>
      </c>
      <c r="HE126" s="9">
        <v>1455932</v>
      </c>
      <c r="HF126" s="476"/>
      <c r="HH126" s="34">
        <f t="shared" si="85"/>
        <v>0</v>
      </c>
    </row>
    <row r="127" spans="1:232" x14ac:dyDescent="0.25">
      <c r="A127" s="4" t="s">
        <v>248</v>
      </c>
      <c r="B127" s="4" t="s">
        <v>248</v>
      </c>
      <c r="C127" s="1" t="s">
        <v>249</v>
      </c>
      <c r="D127" s="6">
        <f>SUMIF('Eredeti fejléccel'!$B:$B,'Felosztás eredménykim'!$B127,'Eredeti fejléccel'!$D:$D)</f>
        <v>0</v>
      </c>
      <c r="E127" s="6">
        <f>SUMIF('Eredeti fejléccel'!$B:$B,'Felosztás eredménykim'!$B127,'Eredeti fejléccel'!$E:$E)</f>
        <v>124474</v>
      </c>
      <c r="F127" s="6">
        <f>SUMIF('Eredeti fejléccel'!$B:$B,'Felosztás eredménykim'!$B127,'Eredeti fejléccel'!$F:$F)</f>
        <v>0</v>
      </c>
      <c r="G127" s="6">
        <f>SUMIF('Eredeti fejléccel'!$B:$B,'Felosztás eredménykim'!$B127,'Eredeti fejléccel'!$G:$G)</f>
        <v>0</v>
      </c>
      <c r="H127" s="6"/>
      <c r="I127" s="6">
        <f>SUMIF('Eredeti fejléccel'!$B:$B,'Felosztás eredménykim'!$B127,'Eredeti fejléccel'!$O:$O)</f>
        <v>0</v>
      </c>
      <c r="J127" s="6">
        <f>SUMIF('Eredeti fejléccel'!$B:$B,'Felosztás eredménykim'!$B127,'Eredeti fejléccel'!$P:$P)</f>
        <v>0</v>
      </c>
      <c r="K127" s="6">
        <f>SUMIF('Eredeti fejléccel'!$B:$B,'Felosztás eredménykim'!$B127,'Eredeti fejléccel'!$Q:$Q)</f>
        <v>0</v>
      </c>
      <c r="L127" s="6">
        <f>SUMIF('Eredeti fejléccel'!$B:$B,'Felosztás eredménykim'!$B127,'Eredeti fejléccel'!$R:$R)</f>
        <v>0</v>
      </c>
      <c r="M127" s="6">
        <f>SUMIF('Eredeti fejléccel'!$B:$B,'Felosztás eredménykim'!$B127,'Eredeti fejléccel'!$T:$T)</f>
        <v>0</v>
      </c>
      <c r="N127" s="6">
        <f>SUMIF('Eredeti fejléccel'!$B:$B,'Felosztás eredménykim'!$B127,'Eredeti fejléccel'!$U:$U)</f>
        <v>0</v>
      </c>
      <c r="O127" s="6">
        <f>SUMIF('Eredeti fejléccel'!$B:$B,'Felosztás eredménykim'!$B127,'Eredeti fejléccel'!$V:$V)</f>
        <v>0</v>
      </c>
      <c r="P127" s="6">
        <f>SUMIF('Eredeti fejléccel'!$B:$B,'Felosztás eredménykim'!$B127,'Eredeti fejléccel'!$W:$W)</f>
        <v>0</v>
      </c>
      <c r="Q127" s="6">
        <f>SUMIF('Eredeti fejléccel'!$B:$B,'Felosztás eredménykim'!$B127,'Eredeti fejléccel'!$X:$X)</f>
        <v>0</v>
      </c>
      <c r="R127" s="6">
        <f>SUMIF('Eredeti fejléccel'!$B:$B,'Felosztás eredménykim'!$B127,'Eredeti fejléccel'!$Y:$Y)</f>
        <v>0</v>
      </c>
      <c r="S127" s="6">
        <f>SUMIF('Eredeti fejléccel'!$B:$B,'Felosztás eredménykim'!$B127,'Eredeti fejléccel'!$Z:$Z)</f>
        <v>0</v>
      </c>
      <c r="T127" s="6">
        <f>SUMIF('Eredeti fejléccel'!$B:$B,'Felosztás eredménykim'!$B127,'Eredeti fejléccel'!$AA:$AA)</f>
        <v>0</v>
      </c>
      <c r="U127" s="6">
        <f>SUMIF('Eredeti fejléccel'!$B:$B,'Felosztás eredménykim'!$B127,'Eredeti fejléccel'!$D:$D)</f>
        <v>0</v>
      </c>
      <c r="V127" s="6">
        <f>SUMIF('Eredeti fejléccel'!$B:$B,'Felosztás eredménykim'!$B127,'Eredeti fejléccel'!$AT:$AT)</f>
        <v>0</v>
      </c>
      <c r="X127" s="36">
        <f t="shared" si="86"/>
        <v>124474</v>
      </c>
      <c r="Z127" s="6">
        <f>SUMIF('Eredeti fejléccel'!$B:$B,'Felosztás eredménykim'!$B127,'Eredeti fejléccel'!$K:$K)</f>
        <v>0</v>
      </c>
      <c r="AB127" s="6">
        <f>SUMIF('Eredeti fejléccel'!$B:$B,'Felosztás eredménykim'!$B127,'Eredeti fejléccel'!$AB:$AB)</f>
        <v>0</v>
      </c>
      <c r="AC127" s="6">
        <f>SUMIF('Eredeti fejléccel'!$B:$B,'Felosztás eredménykim'!$B127,'Eredeti fejléccel'!$AQ:$AQ)</f>
        <v>0</v>
      </c>
      <c r="AE127" s="73">
        <f t="shared" si="131"/>
        <v>0</v>
      </c>
      <c r="AF127" s="36">
        <f t="shared" si="138"/>
        <v>14849.081210317176</v>
      </c>
      <c r="AG127" s="8">
        <f t="shared" si="88"/>
        <v>0</v>
      </c>
      <c r="AI127" s="6">
        <f>SUMIF('Eredeti fejléccel'!$B:$B,'Felosztás eredménykim'!$B127,'Eredeti fejléccel'!$BB:$BB)</f>
        <v>0</v>
      </c>
      <c r="AJ127" s="6">
        <f>SUMIF('Eredeti fejléccel'!$B:$B,'Felosztás eredménykim'!$B127,'Eredeti fejléccel'!$AF:$AF)</f>
        <v>0</v>
      </c>
      <c r="AK127" s="8">
        <f t="shared" si="73"/>
        <v>0</v>
      </c>
      <c r="AL127" s="36">
        <f t="shared" si="139"/>
        <v>5897.9800824149015</v>
      </c>
      <c r="AM127" s="8">
        <f t="shared" si="90"/>
        <v>0</v>
      </c>
      <c r="AN127" s="6">
        <f t="shared" si="123"/>
        <v>0</v>
      </c>
      <c r="AO127" s="6">
        <f>SUMIF('Eredeti fejléccel'!$B:$B,'Felosztás eredménykim'!$B127,'Eredeti fejléccel'!$AC:$AC)</f>
        <v>0</v>
      </c>
      <c r="AP127" s="6">
        <f>SUMIF('Eredeti fejléccel'!$B:$B,'Felosztás eredménykim'!$B127,'Eredeti fejléccel'!$AD:$AD)</f>
        <v>0</v>
      </c>
      <c r="AQ127" s="6">
        <f>SUMIF('Eredeti fejléccel'!$B:$B,'Felosztás eredménykim'!$B127,'Eredeti fejléccel'!$AE:$AE)</f>
        <v>0</v>
      </c>
      <c r="AR127" s="6">
        <f>SUMIF('Eredeti fejléccel'!$B:$B,'Felosztás eredménykim'!$B127,'Eredeti fejléccel'!$AG:$AG)</f>
        <v>0</v>
      </c>
      <c r="AS127" s="6">
        <f t="shared" si="124"/>
        <v>0</v>
      </c>
      <c r="AT127" s="36">
        <f t="shared" si="140"/>
        <v>9580.0523937530179</v>
      </c>
      <c r="AU127" s="8">
        <f t="shared" si="92"/>
        <v>0</v>
      </c>
      <c r="AV127" s="6">
        <f>SUMIF('Eredeti fejléccel'!$B:$B,'Felosztás eredménykim'!$B127,'Eredeti fejléccel'!$AI:$AI)</f>
        <v>0</v>
      </c>
      <c r="AW127" s="6">
        <f>SUMIF('Eredeti fejléccel'!$B:$B,'Felosztás eredménykim'!$B127,'Eredeti fejléccel'!$AJ:$AJ)</f>
        <v>0</v>
      </c>
      <c r="AX127" s="6">
        <f>SUMIF('Eredeti fejléccel'!$B:$B,'Felosztás eredménykim'!$B127,'Eredeti fejléccel'!$AK:$AK)</f>
        <v>0</v>
      </c>
      <c r="AY127" s="6">
        <f>SUMIF('Eredeti fejléccel'!$B:$B,'Felosztás eredménykim'!$B127,'Eredeti fejléccel'!$AL:$AL)</f>
        <v>0</v>
      </c>
      <c r="AZ127" s="6">
        <f>SUMIF('Eredeti fejléccel'!$B:$B,'Felosztás eredménykim'!$B127,'Eredeti fejléccel'!$AM:$AM)</f>
        <v>0</v>
      </c>
      <c r="BA127" s="6">
        <f>SUMIF('Eredeti fejléccel'!$B:$B,'Felosztás eredménykim'!$B127,'Eredeti fejléccel'!$AN:$AN)</f>
        <v>0</v>
      </c>
      <c r="BB127" s="6">
        <f>SUMIF('Eredeti fejléccel'!$B:$B,'Felosztás eredménykim'!$B127,'Eredeti fejléccel'!$AP:$AP)</f>
        <v>0</v>
      </c>
      <c r="BD127" s="6">
        <f>SUMIF('Eredeti fejléccel'!$B:$B,'Felosztás eredménykim'!$B127,'Eredeti fejléccel'!$AS:$AS)</f>
        <v>0</v>
      </c>
      <c r="BE127" s="8">
        <f t="shared" si="74"/>
        <v>0</v>
      </c>
      <c r="BF127" s="36">
        <f t="shared" si="141"/>
        <v>2499.1441027181781</v>
      </c>
      <c r="BG127" s="8">
        <f t="shared" si="94"/>
        <v>0</v>
      </c>
      <c r="BH127" s="6">
        <f t="shared" si="125"/>
        <v>0</v>
      </c>
      <c r="BI127" s="6">
        <f>SUMIF('Eredeti fejléccel'!$B:$B,'Felosztás eredménykim'!$B127,'Eredeti fejléccel'!$AH:$AH)</f>
        <v>0</v>
      </c>
      <c r="BJ127" s="6">
        <f>SUMIF('Eredeti fejléccel'!$B:$B,'Felosztás eredménykim'!$B127,'Eredeti fejléccel'!$AO:$AO)</f>
        <v>0</v>
      </c>
      <c r="BK127" s="6">
        <f>SUMIF('Eredeti fejléccel'!$B:$B,'Felosztás eredménykim'!$B127,'Eredeti fejléccel'!$BF:$BF)</f>
        <v>0</v>
      </c>
      <c r="BL127" s="8">
        <f t="shared" si="126"/>
        <v>0</v>
      </c>
      <c r="BM127" s="36">
        <f t="shared" si="142"/>
        <v>9363.4599048507753</v>
      </c>
      <c r="BN127" s="8">
        <f t="shared" si="96"/>
        <v>0</v>
      </c>
      <c r="BP127" s="8">
        <f t="shared" si="127"/>
        <v>0</v>
      </c>
      <c r="BQ127" s="6">
        <f>SUMIF('Eredeti fejléccel'!$B:$B,'Felosztás eredménykim'!$B127,'Eredeti fejléccel'!$N:$N)</f>
        <v>0</v>
      </c>
      <c r="BR127" s="6">
        <f>SUMIF('Eredeti fejléccel'!$B:$B,'Felosztás eredménykim'!$B127,'Eredeti fejléccel'!$S:$S)</f>
        <v>0</v>
      </c>
      <c r="BT127" s="6">
        <f>SUMIF('Eredeti fejléccel'!$B:$B,'Felosztás eredménykim'!$B127,'Eredeti fejléccel'!$AR:$AR)</f>
        <v>0</v>
      </c>
      <c r="BU127" s="6">
        <f>SUMIF('Eredeti fejléccel'!$B:$B,'Felosztás eredménykim'!$B127,'Eredeti fejléccel'!$AU:$AU)</f>
        <v>0</v>
      </c>
      <c r="BV127" s="6">
        <f>SUMIF('Eredeti fejléccel'!$B:$B,'Felosztás eredménykim'!$B127,'Eredeti fejléccel'!$AV:$AV)</f>
        <v>0</v>
      </c>
      <c r="BW127" s="6">
        <f>SUMIF('Eredeti fejléccel'!$B:$B,'Felosztás eredménykim'!$B127,'Eredeti fejléccel'!$AW:$AW)</f>
        <v>0</v>
      </c>
      <c r="BX127" s="6">
        <f>SUMIF('Eredeti fejléccel'!$B:$B,'Felosztás eredménykim'!$B127,'Eredeti fejléccel'!$AX:$AX)</f>
        <v>0</v>
      </c>
      <c r="BY127" s="6">
        <f>SUMIF('Eredeti fejléccel'!$B:$B,'Felosztás eredménykim'!$B127,'Eredeti fejléccel'!$AY:$AY)</f>
        <v>0</v>
      </c>
      <c r="BZ127" s="6">
        <f>SUMIF('Eredeti fejléccel'!$B:$B,'Felosztás eredménykim'!$B127,'Eredeti fejléccel'!$AZ:$AZ)</f>
        <v>0</v>
      </c>
      <c r="CA127" s="6">
        <f>SUMIF('Eredeti fejléccel'!$B:$B,'Felosztás eredménykim'!$B127,'Eredeti fejléccel'!$BA:$BA)</f>
        <v>0</v>
      </c>
      <c r="CB127" s="6">
        <f t="shared" si="114"/>
        <v>0</v>
      </c>
      <c r="CC127" s="36">
        <f t="shared" si="143"/>
        <v>2549.1269847725421</v>
      </c>
      <c r="CD127" s="8">
        <f t="shared" si="98"/>
        <v>0</v>
      </c>
      <c r="CE127" s="6">
        <f>SUMIF('Eredeti fejléccel'!$B:$B,'Felosztás eredménykim'!$B127,'Eredeti fejléccel'!$BC:$BC)</f>
        <v>0</v>
      </c>
      <c r="CF127" s="8">
        <f t="shared" si="135"/>
        <v>0</v>
      </c>
      <c r="CG127" s="6">
        <f>SUMIF('Eredeti fejléccel'!$B:$B,'Felosztás eredménykim'!$B127,'Eredeti fejléccel'!$H:$H)</f>
        <v>0</v>
      </c>
      <c r="CH127" s="6">
        <f>SUMIF('Eredeti fejléccel'!$B:$B,'Felosztás eredménykim'!$B127,'Eredeti fejléccel'!$BE:$BE)</f>
        <v>0</v>
      </c>
      <c r="CI127" s="6">
        <f t="shared" si="75"/>
        <v>0</v>
      </c>
      <c r="CJ127" s="36">
        <f t="shared" si="144"/>
        <v>1832.7056753266645</v>
      </c>
      <c r="CK127" s="8">
        <f t="shared" si="100"/>
        <v>0</v>
      </c>
      <c r="CL127" s="8">
        <f t="shared" si="136"/>
        <v>0</v>
      </c>
      <c r="CM127" s="6">
        <f>SUMIF('Eredeti fejléccel'!$B:$B,'Felosztás eredménykim'!$B127,'Eredeti fejléccel'!$BD:$BD)</f>
        <v>0</v>
      </c>
      <c r="CN127" s="8">
        <f t="shared" si="76"/>
        <v>0</v>
      </c>
      <c r="CO127" s="8">
        <f t="shared" si="115"/>
        <v>46571.550354153253</v>
      </c>
      <c r="CR127" s="36">
        <f t="shared" si="101"/>
        <v>11008.695363811978</v>
      </c>
      <c r="CS127" s="6">
        <f>SUMIF('Eredeti fejléccel'!$B:$B,'Felosztás eredménykim'!$B127,'Eredeti fejléccel'!$I:$I)</f>
        <v>0</v>
      </c>
      <c r="CT127" s="6">
        <f>SUMIF('Eredeti fejléccel'!$B:$B,'Felosztás eredménykim'!$B127,'Eredeti fejléccel'!$BG:$BG)</f>
        <v>0</v>
      </c>
      <c r="CU127" s="6">
        <f>SUMIF('Eredeti fejléccel'!$B:$B,'Felosztás eredménykim'!$B127,'Eredeti fejléccel'!$BH:$BH)</f>
        <v>0</v>
      </c>
      <c r="CV127" s="6">
        <f>SUMIF('Eredeti fejléccel'!$B:$B,'Felosztás eredménykim'!$B127,'Eredeti fejléccel'!$BI:$BI)</f>
        <v>0</v>
      </c>
      <c r="CW127" s="6">
        <f>SUMIF('Eredeti fejléccel'!$B:$B,'Felosztás eredménykim'!$B127,'Eredeti fejléccel'!$BL:$BL)</f>
        <v>0</v>
      </c>
      <c r="CX127" s="6">
        <f t="shared" si="77"/>
        <v>0</v>
      </c>
      <c r="CY127" s="6">
        <f>SUMIF('Eredeti fejléccel'!$B:$B,'Felosztás eredménykim'!$B127,'Eredeti fejléccel'!$BJ:$BJ)</f>
        <v>0</v>
      </c>
      <c r="CZ127" s="6">
        <f>SUMIF('Eredeti fejléccel'!$B:$B,'Felosztás eredménykim'!$B127,'Eredeti fejléccel'!$BK:$BK)</f>
        <v>0</v>
      </c>
      <c r="DA127" s="99">
        <f t="shared" si="116"/>
        <v>0</v>
      </c>
      <c r="DC127" s="36">
        <f t="shared" si="102"/>
        <v>9642.1263361236324</v>
      </c>
      <c r="DD127" s="6">
        <f>SUMIF('Eredeti fejléccel'!$B:$B,'Felosztás eredménykim'!$B127,'Eredeti fejléccel'!$J:$J)</f>
        <v>0</v>
      </c>
      <c r="DE127" s="6">
        <f>SUMIF('Eredeti fejléccel'!$B:$B,'Felosztás eredménykim'!$B127,'Eredeti fejléccel'!$BM:$BM)</f>
        <v>0</v>
      </c>
      <c r="DF127" s="6">
        <f t="shared" si="128"/>
        <v>0</v>
      </c>
      <c r="DG127" s="8">
        <f t="shared" si="117"/>
        <v>0</v>
      </c>
      <c r="DH127" s="8">
        <f t="shared" si="129"/>
        <v>0</v>
      </c>
      <c r="DJ127" s="6">
        <f>SUMIF('Eredeti fejléccel'!$B:$B,'Felosztás eredménykim'!$B127,'Eredeti fejléccel'!$BN:$BN)</f>
        <v>0</v>
      </c>
      <c r="DK127" s="6">
        <f>SUMIF('Eredeti fejléccel'!$B:$B,'Felosztás eredménykim'!$B127,'Eredeti fejléccel'!$BZ:$BZ)</f>
        <v>0</v>
      </c>
      <c r="DL127" s="8">
        <f t="shared" si="130"/>
        <v>0</v>
      </c>
      <c r="DM127" s="6">
        <f>SUMIF('Eredeti fejléccel'!$B:$B,'Felosztás eredménykim'!$B127,'Eredeti fejléccel'!$BR:$BR)</f>
        <v>0</v>
      </c>
      <c r="DN127" s="6">
        <f>SUMIF('Eredeti fejléccel'!$B:$B,'Felosztás eredménykim'!$B127,'Eredeti fejléccel'!$BS:$BS)</f>
        <v>0</v>
      </c>
      <c r="DO127" s="6">
        <f>SUMIF('Eredeti fejléccel'!$B:$B,'Felosztás eredménykim'!$B127,'Eredeti fejléccel'!$BO:$BO)</f>
        <v>0</v>
      </c>
      <c r="DP127" s="6">
        <f>SUMIF('Eredeti fejléccel'!$B:$B,'Felosztás eredménykim'!$B127,'Eredeti fejléccel'!$BP:$BP)</f>
        <v>0</v>
      </c>
      <c r="DQ127" s="6">
        <f>SUMIF('Eredeti fejléccel'!$B:$B,'Felosztás eredménykim'!$B127,'Eredeti fejléccel'!$BQ:$BQ)</f>
        <v>0</v>
      </c>
      <c r="DS127" s="8"/>
      <c r="DU127" s="6">
        <f>SUMIF('Eredeti fejléccel'!$B:$B,'Felosztás eredménykim'!$B127,'Eredeti fejléccel'!$BT:$BT)</f>
        <v>0</v>
      </c>
      <c r="DV127" s="6">
        <f>SUMIF('Eredeti fejléccel'!$B:$B,'Felosztás eredménykim'!$B127,'Eredeti fejléccel'!$BU:$BU)</f>
        <v>0</v>
      </c>
      <c r="DW127" s="6">
        <f>SUMIF('Eredeti fejléccel'!$B:$B,'Felosztás eredménykim'!$B127,'Eredeti fejléccel'!$BV:$BV)</f>
        <v>0</v>
      </c>
      <c r="DX127" s="6">
        <f>SUMIF('Eredeti fejléccel'!$B:$B,'Felosztás eredménykim'!$B127,'Eredeti fejléccel'!$BW:$BW)</f>
        <v>0</v>
      </c>
      <c r="DY127" s="6">
        <f>SUMIF('Eredeti fejléccel'!$B:$B,'Felosztás eredménykim'!$B127,'Eredeti fejléccel'!$BX:$BX)</f>
        <v>0</v>
      </c>
      <c r="EA127" s="6"/>
      <c r="EC127" s="6"/>
      <c r="EE127" s="6">
        <f>SUMIF('Eredeti fejléccel'!$B:$B,'Felosztás eredménykim'!$B127,'Eredeti fejléccel'!$CA:$CA)</f>
        <v>0</v>
      </c>
      <c r="EF127" s="6">
        <f>SUMIF('Eredeti fejléccel'!$B:$B,'Felosztás eredménykim'!$B127,'Eredeti fejléccel'!$CB:$CB)</f>
        <v>0</v>
      </c>
      <c r="EG127" s="6">
        <f>SUMIF('Eredeti fejléccel'!$B:$B,'Felosztás eredménykim'!$B127,'Eredeti fejléccel'!$CC:$CC)</f>
        <v>0</v>
      </c>
      <c r="EH127" s="6">
        <f>SUMIF('Eredeti fejléccel'!$B:$B,'Felosztás eredménykim'!$B127,'Eredeti fejléccel'!$CD:$CD)</f>
        <v>0</v>
      </c>
      <c r="EK127" s="6">
        <f>SUMIF('Eredeti fejléccel'!$B:$B,'Felosztás eredménykim'!$B127,'Eredeti fejléccel'!$CE:$CE)</f>
        <v>0</v>
      </c>
      <c r="EN127" s="6">
        <f>SUMIF('Eredeti fejléccel'!$B:$B,'Felosztás eredménykim'!$B127,'Eredeti fejléccel'!$CF:$CF)</f>
        <v>0</v>
      </c>
      <c r="EP127" s="6">
        <f>SUMIF('Eredeti fejléccel'!$B:$B,'Felosztás eredménykim'!$B127,'Eredeti fejléccel'!$CG:$CG)</f>
        <v>0</v>
      </c>
      <c r="ES127" s="6">
        <f>SUMIF('Eredeti fejléccel'!$B:$B,'Felosztás eredménykim'!$B127,'Eredeti fejléccel'!$CH:$CH)</f>
        <v>0</v>
      </c>
      <c r="ET127" s="6">
        <f>SUMIF('Eredeti fejléccel'!$B:$B,'Felosztás eredménykim'!$B127,'Eredeti fejléccel'!$CI:$CI)</f>
        <v>0</v>
      </c>
      <c r="EW127" s="8">
        <f t="shared" si="118"/>
        <v>0</v>
      </c>
      <c r="EX127" s="8">
        <f t="shared" si="78"/>
        <v>0</v>
      </c>
      <c r="EY127" s="8">
        <f t="shared" si="119"/>
        <v>0</v>
      </c>
      <c r="EZ127" s="8">
        <f t="shared" si="120"/>
        <v>0</v>
      </c>
      <c r="FA127" s="8">
        <f t="shared" si="121"/>
        <v>0</v>
      </c>
      <c r="FC127" s="6">
        <f>SUMIF('Eredeti fejléccel'!$B:$B,'Felosztás eredménykim'!$B127,'Eredeti fejléccel'!$L:$L)</f>
        <v>0</v>
      </c>
      <c r="FD127" s="6">
        <f>SUMIF('Eredeti fejléccel'!$B:$B,'Felosztás eredménykim'!$B127,'Eredeti fejléccel'!$CJ:$CJ)</f>
        <v>0</v>
      </c>
      <c r="FE127" s="6">
        <f>SUMIF('Eredeti fejléccel'!$B:$B,'Felosztás eredménykim'!$B127,'Eredeti fejléccel'!$CL:$CL)</f>
        <v>0</v>
      </c>
      <c r="FG127" s="99">
        <f t="shared" si="79"/>
        <v>0</v>
      </c>
      <c r="FH127" s="6">
        <f>SUMIF('Eredeti fejléccel'!$B:$B,'Felosztás eredménykim'!$B127,'Eredeti fejléccel'!$CK:$CK)</f>
        <v>0</v>
      </c>
      <c r="FI127" s="36">
        <f t="shared" si="145"/>
        <v>11344.572700741934</v>
      </c>
      <c r="FJ127" s="101">
        <f t="shared" si="104"/>
        <v>0</v>
      </c>
      <c r="FK127" s="6">
        <f>SUMIF('Eredeti fejléccel'!$B:$B,'Felosztás eredménykim'!$B127,'Eredeti fejléccel'!$CM:$CM)</f>
        <v>0</v>
      </c>
      <c r="FL127" s="6">
        <f>SUMIF('Eredeti fejléccel'!$B:$B,'Felosztás eredménykim'!$B127,'Eredeti fejléccel'!$CN:$CN)</f>
        <v>0</v>
      </c>
      <c r="FM127" s="8">
        <f t="shared" si="80"/>
        <v>0</v>
      </c>
      <c r="FN127" s="36">
        <f t="shared" si="146"/>
        <v>9644.7479176559209</v>
      </c>
      <c r="FO127" s="101">
        <f t="shared" si="106"/>
        <v>0</v>
      </c>
      <c r="FP127" s="6">
        <f>SUMIF('Eredeti fejléccel'!$B:$B,'Felosztás eredménykim'!$B127,'Eredeti fejléccel'!$CO:$CO)</f>
        <v>0</v>
      </c>
      <c r="FQ127" s="6">
        <f>'Eredeti fejléccel'!CP127</f>
        <v>0</v>
      </c>
      <c r="FR127" s="6">
        <f>'Eredeti fejléccel'!CQ127</f>
        <v>0</v>
      </c>
      <c r="FS127" s="103">
        <f t="shared" si="122"/>
        <v>0</v>
      </c>
      <c r="FT127" s="36">
        <f t="shared" si="147"/>
        <v>26622.316614901876</v>
      </c>
      <c r="FU127" s="101">
        <f t="shared" si="108"/>
        <v>0</v>
      </c>
      <c r="FV127" s="101"/>
      <c r="FW127" s="6">
        <f>SUMIF('Eredeti fejléccel'!$B:$B,'Felosztás eredménykim'!$B127,'Eredeti fejléccel'!$CR:$CR)</f>
        <v>0</v>
      </c>
      <c r="FX127" s="6">
        <f>SUMIF('Eredeti fejléccel'!$B:$B,'Felosztás eredménykim'!$B127,'Eredeti fejléccel'!$CS:$CS)</f>
        <v>0</v>
      </c>
      <c r="FY127" s="6">
        <f>SUMIF('Eredeti fejléccel'!$B:$B,'Felosztás eredménykim'!$B127,'Eredeti fejléccel'!$CT:$CT)</f>
        <v>0</v>
      </c>
      <c r="FZ127" s="6">
        <f>SUMIF('Eredeti fejléccel'!$B:$B,'Felosztás eredménykim'!$B127,'Eredeti fejléccel'!$CU:$CU)</f>
        <v>0</v>
      </c>
      <c r="GA127" s="103">
        <f t="shared" si="81"/>
        <v>0</v>
      </c>
      <c r="GB127" s="36">
        <f t="shared" si="148"/>
        <v>3548.5393281941597</v>
      </c>
      <c r="GC127" s="101">
        <f t="shared" si="110"/>
        <v>0</v>
      </c>
      <c r="GD127" s="6">
        <f>SUMIF('Eredeti fejléccel'!$B:$B,'Felosztás eredménykim'!$B127,'Eredeti fejléccel'!$CV:$CV)</f>
        <v>0</v>
      </c>
      <c r="GE127" s="6">
        <f>SUMIF('Eredeti fejléccel'!$B:$B,'Felosztás eredménykim'!$B127,'Eredeti fejléccel'!$CW:$CW)</f>
        <v>0</v>
      </c>
      <c r="GF127" s="103">
        <f t="shared" si="82"/>
        <v>0</v>
      </c>
      <c r="GG127" s="36">
        <f t="shared" si="111"/>
        <v>0</v>
      </c>
      <c r="GM127" s="6">
        <f>SUMIF('Eredeti fejléccel'!$B:$B,'Felosztás eredménykim'!$B127,'Eredeti fejléccel'!$CX:$CX)</f>
        <v>0</v>
      </c>
      <c r="GN127" s="6">
        <f>SUMIF('Eredeti fejléccel'!$B:$B,'Felosztás eredménykim'!$B127,'Eredeti fejléccel'!$CY:$CY)</f>
        <v>0</v>
      </c>
      <c r="GO127" s="6">
        <f>SUMIF('Eredeti fejléccel'!$B:$B,'Felosztás eredménykim'!$B127,'Eredeti fejléccel'!$CZ:$CZ)</f>
        <v>0</v>
      </c>
      <c r="GP127" s="6">
        <f>SUMIF('Eredeti fejléccel'!$B:$B,'Felosztás eredménykim'!$B127,'Eredeti fejléccel'!$DA:$DA)</f>
        <v>0</v>
      </c>
      <c r="GQ127" s="6">
        <f>SUMIF('Eredeti fejléccel'!$B:$B,'Felosztás eredménykim'!$B127,'Eredeti fejléccel'!$DB:$DB)</f>
        <v>0</v>
      </c>
      <c r="GR127" s="103">
        <f t="shared" si="83"/>
        <v>0</v>
      </c>
      <c r="GW127" s="36">
        <f t="shared" si="112"/>
        <v>6091.451384417257</v>
      </c>
      <c r="GX127" s="6">
        <f>SUMIF('Eredeti fejléccel'!$B:$B,'Felosztás eredménykim'!$B127,'Eredeti fejléccel'!$M:$M)</f>
        <v>0</v>
      </c>
      <c r="GY127" s="6">
        <f>SUMIF('Eredeti fejléccel'!$B:$B,'Felosztás eredménykim'!$B127,'Eredeti fejléccel'!$DC:$DC)</f>
        <v>0</v>
      </c>
      <c r="GZ127" s="6">
        <f>SUMIF('Eredeti fejléccel'!$B:$B,'Felosztás eredménykim'!$B127,'Eredeti fejléccel'!$DD:$DD)</f>
        <v>0</v>
      </c>
      <c r="HA127" s="6">
        <f>SUMIF('Eredeti fejléccel'!$B:$B,'Felosztás eredménykim'!$B127,'Eredeti fejléccel'!$DE:$DE)</f>
        <v>0</v>
      </c>
      <c r="HB127" s="103">
        <f t="shared" si="84"/>
        <v>0</v>
      </c>
      <c r="HD127" s="9">
        <f>SUM(D127:HA127)-W127-X127-AD127-AE127-AF127-AG127-AK127-AL127-AM127-AS127-AT127-AU127-BE127-BF127-BG127-BL127-BM127-BN127-CB127-CC127-CD127-CI127-CJ127-CK127-CN127-CO127-CP127-CR127-CX127-DA127-DC127-DG127-DH127-DL127-EW127-EX127-EY127-EZ127-FA127-FF127-FG127-FI127-FJ127-FM127-FN127-FO127-FS127-FT127-FU127-GA127-GB127-GC127-GF127-GG127-GR127-GS127-GT127-GU127-GW127</f>
        <v>124473.99999999999</v>
      </c>
      <c r="HE127" s="9">
        <v>124474</v>
      </c>
      <c r="HF127" s="476"/>
      <c r="HH127" s="34">
        <f t="shared" si="85"/>
        <v>0</v>
      </c>
    </row>
    <row r="128" spans="1:232" s="209" customFormat="1" x14ac:dyDescent="0.25">
      <c r="A128" s="4" t="s">
        <v>250</v>
      </c>
      <c r="B128" s="208" t="s">
        <v>250</v>
      </c>
      <c r="C128" s="209" t="s">
        <v>251</v>
      </c>
      <c r="D128" s="6">
        <f>SUMIF('Eredeti fejléccel'!$B:$B,'Felosztás eredménykim'!$B128,'Eredeti fejléccel'!$D:$D)</f>
        <v>0</v>
      </c>
      <c r="E128" s="6">
        <f>SUMIF('Eredeti fejléccel'!$B:$B,'Felosztás eredménykim'!$B128,'Eredeti fejléccel'!$E:$E)</f>
        <v>0</v>
      </c>
      <c r="F128" s="6">
        <f>SUMIF('Eredeti fejléccel'!$B:$B,'Felosztás eredménykim'!$B128,'Eredeti fejléccel'!$F:$F)</f>
        <v>0</v>
      </c>
      <c r="G128" s="6">
        <f>SUMIF('Eredeti fejléccel'!$B:$B,'Felosztás eredménykim'!$B128,'Eredeti fejléccel'!$G:$G)</f>
        <v>0</v>
      </c>
      <c r="H128" s="6"/>
      <c r="I128" s="6">
        <f>SUMIF('Eredeti fejléccel'!$B:$B,'Felosztás eredménykim'!$B128,'Eredeti fejléccel'!$O:$O)</f>
        <v>0</v>
      </c>
      <c r="J128" s="6">
        <f>SUMIF('Eredeti fejléccel'!$B:$B,'Felosztás eredménykim'!$B128,'Eredeti fejléccel'!$P:$P)</f>
        <v>0</v>
      </c>
      <c r="K128" s="6">
        <f>SUMIF('Eredeti fejléccel'!$B:$B,'Felosztás eredménykim'!$B128,'Eredeti fejléccel'!$Q:$Q)</f>
        <v>0</v>
      </c>
      <c r="L128" s="6">
        <f>SUMIF('Eredeti fejléccel'!$B:$B,'Felosztás eredménykim'!$B128,'Eredeti fejléccel'!$R:$R)</f>
        <v>0</v>
      </c>
      <c r="M128" s="6">
        <f>SUMIF('Eredeti fejléccel'!$B:$B,'Felosztás eredménykim'!$B128,'Eredeti fejléccel'!$T:$T)</f>
        <v>0</v>
      </c>
      <c r="N128" s="6">
        <f>SUMIF('Eredeti fejléccel'!$B:$B,'Felosztás eredménykim'!$B128,'Eredeti fejléccel'!$U:$U)</f>
        <v>0</v>
      </c>
      <c r="O128" s="6">
        <f>SUMIF('Eredeti fejléccel'!$B:$B,'Felosztás eredménykim'!$B128,'Eredeti fejléccel'!$V:$V)</f>
        <v>0</v>
      </c>
      <c r="P128" s="6">
        <f>SUMIF('Eredeti fejléccel'!$B:$B,'Felosztás eredménykim'!$B128,'Eredeti fejléccel'!$W:$W)</f>
        <v>0</v>
      </c>
      <c r="Q128" s="6">
        <f>SUMIF('Eredeti fejléccel'!$B:$B,'Felosztás eredménykim'!$B128,'Eredeti fejléccel'!$X:$X)</f>
        <v>0</v>
      </c>
      <c r="R128" s="6">
        <f>SUMIF('Eredeti fejléccel'!$B:$B,'Felosztás eredménykim'!$B128,'Eredeti fejléccel'!$Y:$Y)</f>
        <v>0</v>
      </c>
      <c r="S128" s="6">
        <f>SUMIF('Eredeti fejléccel'!$B:$B,'Felosztás eredménykim'!$B128,'Eredeti fejléccel'!$Z:$Z)</f>
        <v>0</v>
      </c>
      <c r="T128" s="6">
        <f>SUMIF('Eredeti fejléccel'!$B:$B,'Felosztás eredménykim'!$B128,'Eredeti fejléccel'!$AA:$AA)</f>
        <v>0</v>
      </c>
      <c r="U128" s="6">
        <f>SUMIF('Eredeti fejléccel'!$B:$B,'Felosztás eredménykim'!$B128,'Eredeti fejléccel'!$D:$D)</f>
        <v>0</v>
      </c>
      <c r="V128" s="6">
        <f>SUMIF('Eredeti fejléccel'!$B:$B,'Felosztás eredménykim'!$B128,'Eredeti fejléccel'!$AT:$AT)</f>
        <v>0</v>
      </c>
      <c r="W128" s="212"/>
      <c r="X128" s="212">
        <f t="shared" si="86"/>
        <v>0</v>
      </c>
      <c r="Y128" s="212"/>
      <c r="Z128" s="6">
        <f>SUMIF('Eredeti fejléccel'!$B:$B,'Felosztás eredménykim'!$B128,'Eredeti fejléccel'!$K:$K)</f>
        <v>0</v>
      </c>
      <c r="AA128" s="210"/>
      <c r="AB128" s="6">
        <f>SUMIF('Eredeti fejléccel'!$B:$B,'Felosztás eredménykim'!$B128,'Eredeti fejléccel'!$AB:$AB)</f>
        <v>0</v>
      </c>
      <c r="AC128" s="6">
        <f>SUMIF('Eredeti fejléccel'!$B:$B,'Felosztás eredménykim'!$B128,'Eredeti fejléccel'!$AQ:$AQ)</f>
        <v>0</v>
      </c>
      <c r="AD128" s="213"/>
      <c r="AE128" s="73">
        <f t="shared" si="131"/>
        <v>0</v>
      </c>
      <c r="AF128" s="36">
        <f t="shared" si="138"/>
        <v>0</v>
      </c>
      <c r="AG128" s="8">
        <f t="shared" si="88"/>
        <v>0</v>
      </c>
      <c r="AH128" s="6"/>
      <c r="AI128" s="6">
        <f>SUMIF('Eredeti fejléccel'!$B:$B,'Felosztás eredménykim'!$B128,'Eredeti fejléccel'!$BB:$BB)</f>
        <v>0</v>
      </c>
      <c r="AJ128" s="6">
        <f>SUMIF('Eredeti fejléccel'!$B:$B,'Felosztás eredménykim'!$B128,'Eredeti fejléccel'!$AF:$AF)</f>
        <v>0</v>
      </c>
      <c r="AK128" s="211">
        <f t="shared" si="73"/>
        <v>0</v>
      </c>
      <c r="AL128" s="36">
        <f t="shared" si="139"/>
        <v>0</v>
      </c>
      <c r="AM128" s="8">
        <f t="shared" si="90"/>
        <v>0</v>
      </c>
      <c r="AN128" s="6">
        <f t="shared" si="123"/>
        <v>0</v>
      </c>
      <c r="AO128" s="6">
        <f>SUMIF('Eredeti fejléccel'!$B:$B,'Felosztás eredménykim'!$B128,'Eredeti fejléccel'!$AC:$AC)</f>
        <v>0</v>
      </c>
      <c r="AP128" s="6">
        <f>SUMIF('Eredeti fejléccel'!$B:$B,'Felosztás eredménykim'!$B128,'Eredeti fejléccel'!$AD:$AD)</f>
        <v>0</v>
      </c>
      <c r="AQ128" s="6">
        <f>SUMIF('Eredeti fejléccel'!$B:$B,'Felosztás eredménykim'!$B128,'Eredeti fejléccel'!$AE:$AE)</f>
        <v>0</v>
      </c>
      <c r="AR128" s="6">
        <f>SUMIF('Eredeti fejléccel'!$B:$B,'Felosztás eredménykim'!$B128,'Eredeti fejléccel'!$AG:$AG)</f>
        <v>0</v>
      </c>
      <c r="AS128" s="6">
        <f t="shared" si="124"/>
        <v>0</v>
      </c>
      <c r="AT128" s="36">
        <f t="shared" si="140"/>
        <v>0</v>
      </c>
      <c r="AU128" s="8">
        <f t="shared" si="92"/>
        <v>0</v>
      </c>
      <c r="AV128" s="6">
        <f>SUMIF('Eredeti fejléccel'!$B:$B,'Felosztás eredménykim'!$B128,'Eredeti fejléccel'!$AI:$AI)</f>
        <v>0</v>
      </c>
      <c r="AW128" s="6">
        <f>SUMIF('Eredeti fejléccel'!$B:$B,'Felosztás eredménykim'!$B128,'Eredeti fejléccel'!$AJ:$AJ)</f>
        <v>0</v>
      </c>
      <c r="AX128" s="6">
        <f>SUMIF('Eredeti fejléccel'!$B:$B,'Felosztás eredménykim'!$B128,'Eredeti fejléccel'!$AK:$AK)</f>
        <v>0</v>
      </c>
      <c r="AY128" s="6">
        <f>SUMIF('Eredeti fejléccel'!$B:$B,'Felosztás eredménykim'!$B128,'Eredeti fejléccel'!$AL:$AL)</f>
        <v>0</v>
      </c>
      <c r="AZ128" s="6">
        <f>SUMIF('Eredeti fejléccel'!$B:$B,'Felosztás eredménykim'!$B128,'Eredeti fejléccel'!$AM:$AM)</f>
        <v>0</v>
      </c>
      <c r="BA128" s="6">
        <f>SUMIF('Eredeti fejléccel'!$B:$B,'Felosztás eredménykim'!$B128,'Eredeti fejléccel'!$AN:$AN)</f>
        <v>0</v>
      </c>
      <c r="BB128" s="6">
        <f>SUMIF('Eredeti fejléccel'!$B:$B,'Felosztás eredménykim'!$B128,'Eredeti fejléccel'!$AP:$AP)</f>
        <v>0</v>
      </c>
      <c r="BC128" s="210"/>
      <c r="BD128" s="6">
        <f>SUMIF('Eredeti fejléccel'!$B:$B,'Felosztás eredménykim'!$B128,'Eredeti fejléccel'!$AS:$AS)</f>
        <v>0</v>
      </c>
      <c r="BE128" s="211">
        <f t="shared" si="74"/>
        <v>0</v>
      </c>
      <c r="BF128" s="36">
        <f t="shared" si="141"/>
        <v>0</v>
      </c>
      <c r="BG128" s="8">
        <f t="shared" si="94"/>
        <v>0</v>
      </c>
      <c r="BH128" s="6">
        <f t="shared" si="125"/>
        <v>0</v>
      </c>
      <c r="BI128" s="6">
        <f>SUMIF('Eredeti fejléccel'!$B:$B,'Felosztás eredménykim'!$B128,'Eredeti fejléccel'!$AH:$AH)</f>
        <v>0</v>
      </c>
      <c r="BJ128" s="6">
        <f>SUMIF('Eredeti fejléccel'!$B:$B,'Felosztás eredménykim'!$B128,'Eredeti fejléccel'!$AO:$AO)</f>
        <v>0</v>
      </c>
      <c r="BK128" s="6">
        <f>SUMIF('Eredeti fejléccel'!$B:$B,'Felosztás eredménykim'!$B128,'Eredeti fejléccel'!$BF:$BF)</f>
        <v>0</v>
      </c>
      <c r="BL128" s="8">
        <f t="shared" si="126"/>
        <v>0</v>
      </c>
      <c r="BM128" s="36">
        <f t="shared" si="142"/>
        <v>0</v>
      </c>
      <c r="BN128" s="8">
        <f t="shared" si="96"/>
        <v>0</v>
      </c>
      <c r="BO128" s="211"/>
      <c r="BP128" s="8">
        <f t="shared" si="127"/>
        <v>0</v>
      </c>
      <c r="BQ128" s="6">
        <f>SUMIF('Eredeti fejléccel'!$B:$B,'Felosztás eredménykim'!$B128,'Eredeti fejléccel'!$N:$N)</f>
        <v>0</v>
      </c>
      <c r="BR128" s="6">
        <f>SUMIF('Eredeti fejléccel'!$B:$B,'Felosztás eredménykim'!$B128,'Eredeti fejléccel'!$S:$S)</f>
        <v>0</v>
      </c>
      <c r="BS128" s="210"/>
      <c r="BT128" s="6">
        <f>SUMIF('Eredeti fejléccel'!$B:$B,'Felosztás eredménykim'!$B128,'Eredeti fejléccel'!$AR:$AR)</f>
        <v>0</v>
      </c>
      <c r="BU128" s="6">
        <f>SUMIF('Eredeti fejléccel'!$B:$B,'Felosztás eredménykim'!$B128,'Eredeti fejléccel'!$AU:$AU)</f>
        <v>0</v>
      </c>
      <c r="BV128" s="6">
        <f>SUMIF('Eredeti fejléccel'!$B:$B,'Felosztás eredménykim'!$B128,'Eredeti fejléccel'!$AV:$AV)</f>
        <v>0</v>
      </c>
      <c r="BW128" s="6">
        <f>SUMIF('Eredeti fejléccel'!$B:$B,'Felosztás eredménykim'!$B128,'Eredeti fejléccel'!$AW:$AW)</f>
        <v>0</v>
      </c>
      <c r="BX128" s="6">
        <f>SUMIF('Eredeti fejléccel'!$B:$B,'Felosztás eredménykim'!$B128,'Eredeti fejléccel'!$AX:$AX)</f>
        <v>0</v>
      </c>
      <c r="BY128" s="6">
        <f>SUMIF('Eredeti fejléccel'!$B:$B,'Felosztás eredménykim'!$B128,'Eredeti fejléccel'!$AY:$AY)</f>
        <v>0</v>
      </c>
      <c r="BZ128" s="6">
        <f>SUMIF('Eredeti fejléccel'!$B:$B,'Felosztás eredménykim'!$B128,'Eredeti fejléccel'!$AZ:$AZ)</f>
        <v>0</v>
      </c>
      <c r="CA128" s="6">
        <f>SUMIF('Eredeti fejléccel'!$B:$B,'Felosztás eredménykim'!$B128,'Eredeti fejléccel'!$BA:$BA)</f>
        <v>0</v>
      </c>
      <c r="CB128" s="210">
        <f t="shared" si="114"/>
        <v>0</v>
      </c>
      <c r="CC128" s="36">
        <f t="shared" si="143"/>
        <v>0</v>
      </c>
      <c r="CD128" s="8">
        <f t="shared" si="98"/>
        <v>0</v>
      </c>
      <c r="CE128" s="6">
        <f>SUMIF('Eredeti fejléccel'!$B:$B,'Felosztás eredménykim'!$B128,'Eredeti fejléccel'!$BC:$BC)</f>
        <v>0</v>
      </c>
      <c r="CF128" s="211">
        <f t="shared" si="135"/>
        <v>0</v>
      </c>
      <c r="CG128" s="6">
        <f>SUMIF('Eredeti fejléccel'!$B:$B,'Felosztás eredménykim'!$B128,'Eredeti fejléccel'!$H:$H)</f>
        <v>0</v>
      </c>
      <c r="CH128" s="6">
        <f>SUMIF('Eredeti fejléccel'!$B:$B,'Felosztás eredménykim'!$B128,'Eredeti fejléccel'!$BE:$BE)</f>
        <v>0</v>
      </c>
      <c r="CI128" s="210">
        <f t="shared" si="75"/>
        <v>0</v>
      </c>
      <c r="CJ128" s="36">
        <f t="shared" si="144"/>
        <v>0</v>
      </c>
      <c r="CK128" s="211">
        <f t="shared" si="100"/>
        <v>0</v>
      </c>
      <c r="CL128" s="211">
        <f t="shared" si="136"/>
        <v>0</v>
      </c>
      <c r="CM128" s="6">
        <f>SUMIF('Eredeti fejléccel'!$B:$B,'Felosztás eredménykim'!$B128,'Eredeti fejléccel'!$BD:$BD)</f>
        <v>0</v>
      </c>
      <c r="CN128" s="211">
        <f t="shared" si="76"/>
        <v>0</v>
      </c>
      <c r="CO128" s="211">
        <f t="shared" si="115"/>
        <v>0</v>
      </c>
      <c r="CP128" s="211"/>
      <c r="CQ128" s="211"/>
      <c r="CR128" s="212">
        <f t="shared" si="101"/>
        <v>0</v>
      </c>
      <c r="CS128" s="6">
        <f>SUMIF('Eredeti fejléccel'!$B:$B,'Felosztás eredménykim'!$B128,'Eredeti fejléccel'!$I:$I)</f>
        <v>0</v>
      </c>
      <c r="CT128" s="6">
        <f>SUMIF('Eredeti fejléccel'!$B:$B,'Felosztás eredménykim'!$B128,'Eredeti fejléccel'!$BG:$BG)</f>
        <v>0</v>
      </c>
      <c r="CU128" s="6">
        <f>SUMIF('Eredeti fejléccel'!$B:$B,'Felosztás eredménykim'!$B128,'Eredeti fejléccel'!$BH:$BH)</f>
        <v>0</v>
      </c>
      <c r="CV128" s="6">
        <f>SUMIF('Eredeti fejléccel'!$B:$B,'Felosztás eredménykim'!$B128,'Eredeti fejléccel'!$BI:$BI)</f>
        <v>0</v>
      </c>
      <c r="CW128" s="6">
        <f>SUMIF('Eredeti fejléccel'!$B:$B,'Felosztás eredménykim'!$B128,'Eredeti fejléccel'!$BL:$BL)</f>
        <v>0</v>
      </c>
      <c r="CX128" s="210">
        <f t="shared" si="77"/>
        <v>0</v>
      </c>
      <c r="CY128" s="6">
        <f>SUMIF('Eredeti fejléccel'!$B:$B,'Felosztás eredménykim'!$B128,'Eredeti fejléccel'!$BJ:$BJ)</f>
        <v>0</v>
      </c>
      <c r="CZ128" s="6">
        <f>SUMIF('Eredeti fejléccel'!$B:$B,'Felosztás eredménykim'!$B128,'Eredeti fejléccel'!$BK:$BK)</f>
        <v>0</v>
      </c>
      <c r="DA128" s="99">
        <f t="shared" si="116"/>
        <v>0</v>
      </c>
      <c r="DB128" s="215"/>
      <c r="DC128" s="212">
        <f t="shared" si="102"/>
        <v>0</v>
      </c>
      <c r="DD128" s="6">
        <f>SUMIF('Eredeti fejléccel'!$B:$B,'Felosztás eredménykim'!$B128,'Eredeti fejléccel'!$J:$J)</f>
        <v>0</v>
      </c>
      <c r="DE128" s="6">
        <f>SUMIF('Eredeti fejléccel'!$B:$B,'Felosztás eredménykim'!$B128,'Eredeti fejléccel'!$BM:$BM)</f>
        <v>0</v>
      </c>
      <c r="DF128" s="6">
        <f t="shared" si="128"/>
        <v>0</v>
      </c>
      <c r="DG128" s="8">
        <f t="shared" si="117"/>
        <v>0</v>
      </c>
      <c r="DH128" s="8">
        <f t="shared" si="129"/>
        <v>0</v>
      </c>
      <c r="DI128" s="211"/>
      <c r="DJ128" s="6">
        <f>SUMIF('Eredeti fejléccel'!$B:$B,'Felosztás eredménykim'!$B128,'Eredeti fejléccel'!$BN:$BN)</f>
        <v>0</v>
      </c>
      <c r="DK128" s="6">
        <f>SUMIF('Eredeti fejléccel'!$B:$B,'Felosztás eredménykim'!$B128,'Eredeti fejléccel'!$BZ:$BZ)</f>
        <v>0</v>
      </c>
      <c r="DL128" s="8">
        <f t="shared" si="130"/>
        <v>0</v>
      </c>
      <c r="DM128" s="6">
        <f>SUMIF('Eredeti fejléccel'!$B:$B,'Felosztás eredménykim'!$B128,'Eredeti fejléccel'!$BR:$BR)</f>
        <v>0</v>
      </c>
      <c r="DN128" s="6">
        <f>SUMIF('Eredeti fejléccel'!$B:$B,'Felosztás eredménykim'!$B128,'Eredeti fejléccel'!$BS:$BS)</f>
        <v>0</v>
      </c>
      <c r="DO128" s="6">
        <f>SUMIF('Eredeti fejléccel'!$B:$B,'Felosztás eredménykim'!$B128,'Eredeti fejléccel'!$BO:$BO)</f>
        <v>0</v>
      </c>
      <c r="DP128" s="6">
        <f>SUMIF('Eredeti fejléccel'!$B:$B,'Felosztás eredménykim'!$B128,'Eredeti fejléccel'!$BP:$BP)</f>
        <v>0</v>
      </c>
      <c r="DQ128" s="6">
        <f>SUMIF('Eredeti fejléccel'!$B:$B,'Felosztás eredménykim'!$B128,'Eredeti fejléccel'!$BQ:$BQ)</f>
        <v>0</v>
      </c>
      <c r="DR128" s="210"/>
      <c r="DS128" s="211"/>
      <c r="DT128" s="210"/>
      <c r="DU128" s="6">
        <f>SUMIF('Eredeti fejléccel'!$B:$B,'Felosztás eredménykim'!$B128,'Eredeti fejléccel'!$BT:$BT)</f>
        <v>0</v>
      </c>
      <c r="DV128" s="6">
        <f>SUMIF('Eredeti fejléccel'!$B:$B,'Felosztás eredménykim'!$B128,'Eredeti fejléccel'!$BU:$BU)</f>
        <v>0</v>
      </c>
      <c r="DW128" s="6">
        <f>SUMIF('Eredeti fejléccel'!$B:$B,'Felosztás eredménykim'!$B128,'Eredeti fejléccel'!$BV:$BV)</f>
        <v>0</v>
      </c>
      <c r="DX128" s="6">
        <f>SUMIF('Eredeti fejléccel'!$B:$B,'Felosztás eredménykim'!$B128,'Eredeti fejléccel'!$BW:$BW)</f>
        <v>0</v>
      </c>
      <c r="DY128" s="6">
        <f>SUMIF('Eredeti fejléccel'!$B:$B,'Felosztás eredménykim'!$B128,'Eredeti fejléccel'!$BX:$BX)</f>
        <v>0</v>
      </c>
      <c r="DZ128" s="6"/>
      <c r="EA128" s="6"/>
      <c r="EB128" s="6"/>
      <c r="EC128" s="6"/>
      <c r="ED128" s="6"/>
      <c r="EE128" s="6">
        <f>SUMIF('Eredeti fejléccel'!$B:$B,'Felosztás eredménykim'!$B128,'Eredeti fejléccel'!$CA:$CA)</f>
        <v>0</v>
      </c>
      <c r="EF128" s="6">
        <f>SUMIF('Eredeti fejléccel'!$B:$B,'Felosztás eredménykim'!$B128,'Eredeti fejléccel'!$CB:$CB)</f>
        <v>0</v>
      </c>
      <c r="EG128" s="6">
        <f>SUMIF('Eredeti fejléccel'!$B:$B,'Felosztás eredménykim'!$B128,'Eredeti fejléccel'!$CC:$CC)</f>
        <v>0</v>
      </c>
      <c r="EH128" s="6">
        <f>SUMIF('Eredeti fejléccel'!$B:$B,'Felosztás eredménykim'!$B128,'Eredeti fejléccel'!$CD:$CD)</f>
        <v>0</v>
      </c>
      <c r="EI128" s="210"/>
      <c r="EJ128" s="211"/>
      <c r="EK128" s="6">
        <f>SUMIF('Eredeti fejléccel'!$B:$B,'Felosztás eredménykim'!$B128,'Eredeti fejléccel'!$CE:$CE)</f>
        <v>0</v>
      </c>
      <c r="EL128" s="211"/>
      <c r="EM128" s="210"/>
      <c r="EN128" s="6">
        <f>SUMIF('Eredeti fejléccel'!$B:$B,'Felosztás eredménykim'!$B128,'Eredeti fejléccel'!$CF:$CF)</f>
        <v>0</v>
      </c>
      <c r="EO128" s="210"/>
      <c r="EP128" s="6">
        <f>SUMIF('Eredeti fejléccel'!$B:$B,'Felosztás eredménykim'!$B128,'Eredeti fejléccel'!$CG:$CG)</f>
        <v>0</v>
      </c>
      <c r="EQ128" s="210"/>
      <c r="ER128" s="211"/>
      <c r="ES128" s="6">
        <f>SUMIF('Eredeti fejléccel'!$B:$B,'Felosztás eredménykim'!$B128,'Eredeti fejléccel'!$CH:$CH)</f>
        <v>0</v>
      </c>
      <c r="ET128" s="6">
        <f>SUMIF('Eredeti fejléccel'!$B:$B,'Felosztás eredménykim'!$B128,'Eredeti fejléccel'!$CI:$CI)</f>
        <v>0</v>
      </c>
      <c r="EU128" s="210"/>
      <c r="EV128" s="211"/>
      <c r="EW128" s="211">
        <f t="shared" si="118"/>
        <v>0</v>
      </c>
      <c r="EX128" s="211">
        <f t="shared" si="78"/>
        <v>0</v>
      </c>
      <c r="EY128" s="211">
        <f t="shared" si="119"/>
        <v>0</v>
      </c>
      <c r="EZ128" s="211">
        <f t="shared" si="120"/>
        <v>0</v>
      </c>
      <c r="FA128" s="211">
        <f t="shared" si="121"/>
        <v>0</v>
      </c>
      <c r="FB128" s="211"/>
      <c r="FC128" s="6">
        <f>SUMIF('Eredeti fejléccel'!$B:$B,'Felosztás eredménykim'!$B128,'Eredeti fejléccel'!$L:$L)</f>
        <v>0</v>
      </c>
      <c r="FD128" s="6">
        <f>SUMIF('Eredeti fejléccel'!$B:$B,'Felosztás eredménykim'!$B128,'Eredeti fejléccel'!$CJ:$CJ)</f>
        <v>0</v>
      </c>
      <c r="FE128" s="6">
        <f>SUMIF('Eredeti fejléccel'!$B:$B,'Felosztás eredménykim'!$B128,'Eredeti fejléccel'!$CL:$CL)</f>
        <v>0</v>
      </c>
      <c r="FF128" s="213"/>
      <c r="FG128" s="214">
        <f t="shared" si="79"/>
        <v>0</v>
      </c>
      <c r="FH128" s="6">
        <f>SUMIF('Eredeti fejléccel'!$B:$B,'Felosztás eredménykim'!$B128,'Eredeti fejléccel'!$CK:$CK)</f>
        <v>0</v>
      </c>
      <c r="FI128" s="36">
        <f t="shared" si="145"/>
        <v>0</v>
      </c>
      <c r="FJ128" s="216">
        <f t="shared" si="104"/>
        <v>0</v>
      </c>
      <c r="FK128" s="6">
        <f>SUMIF('Eredeti fejléccel'!$B:$B,'Felosztás eredménykim'!$B128,'Eredeti fejléccel'!$CM:$CM)</f>
        <v>0</v>
      </c>
      <c r="FL128" s="6">
        <f>SUMIF('Eredeti fejléccel'!$B:$B,'Felosztás eredménykim'!$B128,'Eredeti fejléccel'!$CN:$CN)</f>
        <v>0</v>
      </c>
      <c r="FM128" s="211">
        <f t="shared" si="80"/>
        <v>0</v>
      </c>
      <c r="FN128" s="36">
        <f t="shared" si="146"/>
        <v>0</v>
      </c>
      <c r="FO128" s="216">
        <f t="shared" si="106"/>
        <v>0</v>
      </c>
      <c r="FP128" s="6">
        <f>SUMIF('Eredeti fejléccel'!$B:$B,'Felosztás eredménykim'!$B128,'Eredeti fejléccel'!$CO:$CO)</f>
        <v>0</v>
      </c>
      <c r="FQ128" s="6">
        <f>'Eredeti fejléccel'!CP128</f>
        <v>0</v>
      </c>
      <c r="FR128" s="6">
        <f>'Eredeti fejléccel'!CQ128</f>
        <v>0</v>
      </c>
      <c r="FS128" s="103">
        <f t="shared" si="122"/>
        <v>0</v>
      </c>
      <c r="FT128" s="36">
        <f t="shared" si="147"/>
        <v>0</v>
      </c>
      <c r="FU128" s="216">
        <f t="shared" si="108"/>
        <v>0</v>
      </c>
      <c r="FV128" s="216"/>
      <c r="FW128" s="6">
        <f>SUMIF('Eredeti fejléccel'!$B:$B,'Felosztás eredménykim'!$B128,'Eredeti fejléccel'!$CR:$CR)</f>
        <v>0</v>
      </c>
      <c r="FX128" s="6">
        <f>SUMIF('Eredeti fejléccel'!$B:$B,'Felosztás eredménykim'!$B128,'Eredeti fejléccel'!$CS:$CS)</f>
        <v>0</v>
      </c>
      <c r="FY128" s="6">
        <f>SUMIF('Eredeti fejléccel'!$B:$B,'Felosztás eredménykim'!$B128,'Eredeti fejléccel'!$CT:$CT)</f>
        <v>0</v>
      </c>
      <c r="FZ128" s="6">
        <f>SUMIF('Eredeti fejléccel'!$B:$B,'Felosztás eredménykim'!$B128,'Eredeti fejléccel'!$CU:$CU)</f>
        <v>0</v>
      </c>
      <c r="GA128" s="217">
        <f t="shared" si="81"/>
        <v>0</v>
      </c>
      <c r="GB128" s="36">
        <f t="shared" si="148"/>
        <v>0</v>
      </c>
      <c r="GC128" s="216">
        <f t="shared" si="110"/>
        <v>0</v>
      </c>
      <c r="GD128" s="210">
        <f>SUMIF('Eredeti fejléccel'!$B:$B,'Felosztás eredménykim'!$B128,'Eredeti fejléccel'!$CV:$CV)</f>
        <v>0</v>
      </c>
      <c r="GE128" s="6">
        <f>SUMIF('Eredeti fejléccel'!$B:$B,'Felosztás eredménykim'!$B128,'Eredeti fejléccel'!$CW:$CW)</f>
        <v>0</v>
      </c>
      <c r="GF128" s="217">
        <f t="shared" si="82"/>
        <v>0</v>
      </c>
      <c r="GG128" s="212">
        <f t="shared" si="111"/>
        <v>0</v>
      </c>
      <c r="GH128" s="210"/>
      <c r="GI128" s="211"/>
      <c r="GJ128" s="210"/>
      <c r="GK128" s="211"/>
      <c r="GL128" s="210"/>
      <c r="GM128" s="6">
        <f>SUMIF('Eredeti fejléccel'!$B:$B,'Felosztás eredménykim'!$B128,'Eredeti fejléccel'!$CX:$CX)</f>
        <v>0</v>
      </c>
      <c r="GN128" s="6">
        <f>SUMIF('Eredeti fejléccel'!$B:$B,'Felosztás eredménykim'!$B128,'Eredeti fejléccel'!$CY:$CY)</f>
        <v>0</v>
      </c>
      <c r="GO128" s="6">
        <f>SUMIF('Eredeti fejléccel'!$B:$B,'Felosztás eredménykim'!$B128,'Eredeti fejléccel'!$CZ:$CZ)</f>
        <v>0</v>
      </c>
      <c r="GP128" s="6">
        <f>SUMIF('Eredeti fejléccel'!$B:$B,'Felosztás eredménykim'!$B128,'Eredeti fejléccel'!$DA:$DA)</f>
        <v>0</v>
      </c>
      <c r="GQ128" s="6">
        <f>SUMIF('Eredeti fejléccel'!$B:$B,'Felosztás eredménykim'!$B128,'Eredeti fejléccel'!$DB:$DB)</f>
        <v>0</v>
      </c>
      <c r="GR128" s="217">
        <f t="shared" si="83"/>
        <v>0</v>
      </c>
      <c r="GS128" s="211"/>
      <c r="GT128" s="211"/>
      <c r="GU128" s="211"/>
      <c r="GV128" s="211"/>
      <c r="GW128" s="212">
        <f t="shared" si="112"/>
        <v>0</v>
      </c>
      <c r="GX128" s="6">
        <f>SUMIF('Eredeti fejléccel'!$B:$B,'Felosztás eredménykim'!$B128,'Eredeti fejléccel'!$M:$M)</f>
        <v>0</v>
      </c>
      <c r="GY128" s="6">
        <f>SUMIF('Eredeti fejléccel'!$B:$B,'Felosztás eredménykim'!$B128,'Eredeti fejléccel'!$DC:$DC)</f>
        <v>0</v>
      </c>
      <c r="GZ128" s="6">
        <f>SUMIF('Eredeti fejléccel'!$B:$B,'Felosztás eredménykim'!$B128,'Eredeti fejléccel'!$DD:$DD)</f>
        <v>0</v>
      </c>
      <c r="HA128" s="6">
        <f>SUMIF('Eredeti fejléccel'!$B:$B,'Felosztás eredménykim'!$B128,'Eredeti fejléccel'!$DE:$DE)</f>
        <v>0</v>
      </c>
      <c r="HB128" s="217">
        <f t="shared" si="84"/>
        <v>0</v>
      </c>
      <c r="HC128" s="211"/>
      <c r="HD128" s="9">
        <f>SUM(D128:HA128)-W128-X128-AD128-AE128-AF128-AG128-AK128-AL128-AM128-AS128-AT128-AU128-BE128-BF128-BG128-BL128-BM128-BN128-CB128-CC128-CD128-CI128-CJ128-CK128-CN128-CO128-CP128-CR128-CX128-DA128-DC128-DG128-DH128-DL128-EW128-EX128-EY128-EZ128-FA128-FF128-FG128-FI128-FJ128-FM128-FN128-FO128-FS128-FT128-FU128-GA128-GB128-GC128-GF128-GG128-GR128-GS128-GT128-GU128-GW128</f>
        <v>0</v>
      </c>
      <c r="HE128" s="9"/>
      <c r="HF128" s="476"/>
      <c r="HG128" s="219"/>
      <c r="HH128" s="220">
        <f t="shared" si="85"/>
        <v>0</v>
      </c>
      <c r="HI128" s="219">
        <f>SUM(HD104:HD129)</f>
        <v>119459369</v>
      </c>
      <c r="HJ128" s="219">
        <f>SUM(HE104:HE129)</f>
        <v>119459369</v>
      </c>
      <c r="HK128" s="219"/>
      <c r="HL128" s="219"/>
      <c r="HM128" s="219"/>
      <c r="HN128" s="219"/>
      <c r="HO128" s="219"/>
      <c r="HP128" s="219"/>
      <c r="HQ128" s="219"/>
      <c r="HR128" s="219"/>
      <c r="HS128" s="219"/>
      <c r="HT128" s="219"/>
      <c r="HU128" s="219"/>
      <c r="HV128" s="219"/>
      <c r="HW128" s="219"/>
      <c r="HX128" s="219"/>
    </row>
    <row r="129" spans="1:232" x14ac:dyDescent="0.25">
      <c r="A129" s="208" t="s">
        <v>1760</v>
      </c>
      <c r="B129" s="208" t="s">
        <v>1760</v>
      </c>
      <c r="C129" s="209" t="s">
        <v>1761</v>
      </c>
      <c r="D129" s="6">
        <f>SUMIF('Eredeti fejléccel'!$B:$B,'Felosztás eredménykim'!$B129,'Eredeti fejléccel'!$D:$D)</f>
        <v>0</v>
      </c>
      <c r="E129" s="6">
        <f>SUMIF('Eredeti fejléccel'!$B:$B,'Felosztás eredménykim'!$B129,'Eredeti fejléccel'!$E:$E)</f>
        <v>0</v>
      </c>
      <c r="F129" s="6">
        <f>SUMIF('Eredeti fejléccel'!$B:$B,'Felosztás eredménykim'!$B129,'Eredeti fejléccel'!$F:$F)</f>
        <v>0</v>
      </c>
      <c r="G129" s="6">
        <f>SUMIF('Eredeti fejléccel'!$B:$B,'Felosztás eredménykim'!$B129,'Eredeti fejléccel'!$G:$G)</f>
        <v>0</v>
      </c>
      <c r="H129" s="6"/>
      <c r="I129" s="6">
        <f>SUMIF('Eredeti fejléccel'!$B:$B,'Felosztás eredménykim'!$B129,'Eredeti fejléccel'!$O:$O)</f>
        <v>0</v>
      </c>
      <c r="J129" s="6">
        <f>SUMIF('Eredeti fejléccel'!$B:$B,'Felosztás eredménykim'!$B129,'Eredeti fejléccel'!$P:$P)</f>
        <v>0</v>
      </c>
      <c r="K129" s="6">
        <f>SUMIF('Eredeti fejléccel'!$B:$B,'Felosztás eredménykim'!$B129,'Eredeti fejléccel'!$Q:$Q)</f>
        <v>0</v>
      </c>
      <c r="L129" s="6">
        <f>SUMIF('Eredeti fejléccel'!$B:$B,'Felosztás eredménykim'!$B129,'Eredeti fejléccel'!$R:$R)</f>
        <v>0</v>
      </c>
      <c r="M129" s="6">
        <f>SUMIF('Eredeti fejléccel'!$B:$B,'Felosztás eredménykim'!$B129,'Eredeti fejléccel'!$T:$T)</f>
        <v>0</v>
      </c>
      <c r="N129" s="6">
        <f>SUMIF('Eredeti fejléccel'!$B:$B,'Felosztás eredménykim'!$B129,'Eredeti fejléccel'!$U:$U)</f>
        <v>0</v>
      </c>
      <c r="O129" s="6">
        <f>SUMIF('Eredeti fejléccel'!$B:$B,'Felosztás eredménykim'!$B129,'Eredeti fejléccel'!$V:$V)</f>
        <v>0</v>
      </c>
      <c r="P129" s="6">
        <f>SUMIF('Eredeti fejléccel'!$B:$B,'Felosztás eredménykim'!$B129,'Eredeti fejléccel'!$W:$W)</f>
        <v>0</v>
      </c>
      <c r="Q129" s="6">
        <f>SUMIF('Eredeti fejléccel'!$B:$B,'Felosztás eredménykim'!$B129,'Eredeti fejléccel'!$X:$X)</f>
        <v>0</v>
      </c>
      <c r="R129" s="6">
        <f>SUMIF('Eredeti fejléccel'!$B:$B,'Felosztás eredménykim'!$B129,'Eredeti fejléccel'!$Y:$Y)</f>
        <v>0</v>
      </c>
      <c r="S129" s="6">
        <f>SUMIF('Eredeti fejléccel'!$B:$B,'Felosztás eredménykim'!$B129,'Eredeti fejléccel'!$Z:$Z)</f>
        <v>0</v>
      </c>
      <c r="T129" s="6">
        <f>SUMIF('Eredeti fejléccel'!$B:$B,'Felosztás eredménykim'!$B129,'Eredeti fejléccel'!$AA:$AA)</f>
        <v>0</v>
      </c>
      <c r="U129" s="6">
        <f>SUMIF('Eredeti fejléccel'!$B:$B,'Felosztás eredménykim'!$B129,'Eredeti fejléccel'!$D:$D)</f>
        <v>0</v>
      </c>
      <c r="V129" s="6">
        <f>SUMIF('Eredeti fejléccel'!$B:$B,'Felosztás eredménykim'!$B129,'Eredeti fejléccel'!$AT:$AT)</f>
        <v>0</v>
      </c>
      <c r="X129" s="212">
        <f t="shared" si="86"/>
        <v>0</v>
      </c>
      <c r="Z129" s="6">
        <f>SUMIF('Eredeti fejléccel'!$B:$B,'Felosztás eredménykim'!$B129,'Eredeti fejléccel'!$K:$K)</f>
        <v>0</v>
      </c>
      <c r="AB129" s="6">
        <f>SUMIF('Eredeti fejléccel'!$B:$B,'Felosztás eredménykim'!$B129,'Eredeti fejléccel'!$AB:$AB)</f>
        <v>0</v>
      </c>
      <c r="AC129" s="6">
        <f>SUMIF('Eredeti fejléccel'!$B:$B,'Felosztás eredménykim'!$B129,'Eredeti fejléccel'!$AQ:$AQ)</f>
        <v>0</v>
      </c>
      <c r="AE129" s="73">
        <f>SUM(Z129:AD129)</f>
        <v>0</v>
      </c>
      <c r="AF129" s="36">
        <f t="shared" si="138"/>
        <v>0</v>
      </c>
      <c r="AG129" s="8">
        <f t="shared" si="88"/>
        <v>0</v>
      </c>
      <c r="AI129" s="6">
        <f>SUMIF('Eredeti fejléccel'!$B:$B,'Felosztás eredménykim'!$B129,'Eredeti fejléccel'!$BB:$BB)</f>
        <v>0</v>
      </c>
      <c r="AJ129" s="6">
        <f>SUMIF('Eredeti fejléccel'!$B:$B,'Felosztás eredménykim'!$B129,'Eredeti fejléccel'!$AF:$AF)</f>
        <v>0</v>
      </c>
      <c r="AK129" s="8">
        <f>SUM(AG129:AJ129)</f>
        <v>0</v>
      </c>
      <c r="AL129" s="36">
        <f t="shared" si="139"/>
        <v>0</v>
      </c>
      <c r="AM129" s="8">
        <f t="shared" si="90"/>
        <v>0</v>
      </c>
      <c r="AN129" s="6">
        <f>-AO129/2</f>
        <v>0</v>
      </c>
      <c r="AO129" s="6">
        <f>SUMIF('Eredeti fejléccel'!$B:$B,'Felosztás eredménykim'!$B129,'Eredeti fejléccel'!$AC:$AC)</f>
        <v>0</v>
      </c>
      <c r="AP129" s="6">
        <f>SUMIF('Eredeti fejléccel'!$B:$B,'Felosztás eredménykim'!$B129,'Eredeti fejléccel'!$AD:$AD)</f>
        <v>0</v>
      </c>
      <c r="AQ129" s="6">
        <f>SUMIF('Eredeti fejléccel'!$B:$B,'Felosztás eredménykim'!$B129,'Eredeti fejléccel'!$AE:$AE)</f>
        <v>0</v>
      </c>
      <c r="AR129" s="6">
        <f>SUMIF('Eredeti fejléccel'!$B:$B,'Felosztás eredménykim'!$B129,'Eredeti fejléccel'!$AG:$AG)</f>
        <v>0</v>
      </c>
      <c r="AS129" s="6">
        <f>SUM(AM129:AR129)</f>
        <v>0</v>
      </c>
      <c r="AT129" s="36">
        <f t="shared" si="140"/>
        <v>0</v>
      </c>
      <c r="AU129" s="8">
        <f t="shared" si="92"/>
        <v>0</v>
      </c>
      <c r="AV129" s="6">
        <f>SUMIF('Eredeti fejléccel'!$B:$B,'Felosztás eredménykim'!$B129,'Eredeti fejléccel'!$AI:$AI)</f>
        <v>0</v>
      </c>
      <c r="AW129" s="6">
        <f>SUMIF('Eredeti fejléccel'!$B:$B,'Felosztás eredménykim'!$B129,'Eredeti fejléccel'!$AJ:$AJ)</f>
        <v>0</v>
      </c>
      <c r="AX129" s="6">
        <f>SUMIF('Eredeti fejléccel'!$B:$B,'Felosztás eredménykim'!$B129,'Eredeti fejléccel'!$AK:$AK)</f>
        <v>0</v>
      </c>
      <c r="AY129" s="6">
        <f>SUMIF('Eredeti fejléccel'!$B:$B,'Felosztás eredménykim'!$B129,'Eredeti fejléccel'!$AL:$AL)</f>
        <v>0</v>
      </c>
      <c r="AZ129" s="6">
        <f>SUMIF('Eredeti fejléccel'!$B:$B,'Felosztás eredménykim'!$B129,'Eredeti fejléccel'!$AM:$AM)</f>
        <v>0</v>
      </c>
      <c r="BA129" s="6">
        <f>SUMIF('Eredeti fejléccel'!$B:$B,'Felosztás eredménykim'!$B129,'Eredeti fejléccel'!$AN:$AN)</f>
        <v>0</v>
      </c>
      <c r="BB129" s="6">
        <f>SUMIF('Eredeti fejléccel'!$B:$B,'Felosztás eredménykim'!$B129,'Eredeti fejléccel'!$AP:$AP)</f>
        <v>0</v>
      </c>
      <c r="BD129" s="6">
        <f>SUMIF('Eredeti fejléccel'!$B:$B,'Felosztás eredménykim'!$B129,'Eredeti fejléccel'!$AS:$AS)</f>
        <v>0</v>
      </c>
      <c r="BE129" s="8">
        <f>SUM(AU129:BD129)</f>
        <v>0</v>
      </c>
      <c r="BF129" s="36">
        <f t="shared" si="141"/>
        <v>0</v>
      </c>
      <c r="BG129" s="8">
        <f t="shared" si="94"/>
        <v>0</v>
      </c>
      <c r="BH129" s="6">
        <f>AO129/2</f>
        <v>0</v>
      </c>
      <c r="BI129" s="6">
        <f>SUMIF('Eredeti fejléccel'!$B:$B,'Felosztás eredménykim'!$B129,'Eredeti fejléccel'!$AH:$AH)</f>
        <v>0</v>
      </c>
      <c r="BJ129" s="6">
        <f>SUMIF('Eredeti fejléccel'!$B:$B,'Felosztás eredménykim'!$B129,'Eredeti fejléccel'!$AO:$AO)</f>
        <v>0</v>
      </c>
      <c r="BK129" s="6">
        <f>SUMIF('Eredeti fejléccel'!$B:$B,'Felosztás eredménykim'!$B129,'Eredeti fejléccel'!$BF:$BF)</f>
        <v>0</v>
      </c>
      <c r="BL129" s="8">
        <f>SUM(BG129:BK129)</f>
        <v>0</v>
      </c>
      <c r="BM129" s="36">
        <f t="shared" si="142"/>
        <v>0</v>
      </c>
      <c r="BN129" s="8">
        <f t="shared" si="96"/>
        <v>0</v>
      </c>
      <c r="BP129" s="8">
        <f>-FV129</f>
        <v>0</v>
      </c>
      <c r="BQ129" s="6">
        <f>SUMIF('Eredeti fejléccel'!$B:$B,'Felosztás eredménykim'!$B129,'Eredeti fejléccel'!$N:$N)</f>
        <v>0</v>
      </c>
      <c r="BR129" s="6">
        <f>SUMIF('Eredeti fejléccel'!$B:$B,'Felosztás eredménykim'!$B129,'Eredeti fejléccel'!$S:$S)</f>
        <v>0</v>
      </c>
      <c r="BT129" s="6">
        <f>SUMIF('Eredeti fejléccel'!$B:$B,'Felosztás eredménykim'!$B129,'Eredeti fejléccel'!$AR:$AR)</f>
        <v>0</v>
      </c>
      <c r="BU129" s="6">
        <f>SUMIF('Eredeti fejléccel'!$B:$B,'Felosztás eredménykim'!$B129,'Eredeti fejléccel'!$AU:$AU)</f>
        <v>0</v>
      </c>
      <c r="BV129" s="6">
        <f>SUMIF('Eredeti fejléccel'!$B:$B,'Felosztás eredménykim'!$B129,'Eredeti fejléccel'!$AV:$AV)</f>
        <v>0</v>
      </c>
      <c r="BW129" s="6">
        <f>SUMIF('Eredeti fejléccel'!$B:$B,'Felosztás eredménykim'!$B129,'Eredeti fejléccel'!$AW:$AW)</f>
        <v>0</v>
      </c>
      <c r="BX129" s="6">
        <f>SUMIF('Eredeti fejléccel'!$B:$B,'Felosztás eredménykim'!$B129,'Eredeti fejléccel'!$AX:$AX)</f>
        <v>0</v>
      </c>
      <c r="BY129" s="6">
        <f>SUMIF('Eredeti fejléccel'!$B:$B,'Felosztás eredménykim'!$B129,'Eredeti fejléccel'!$AY:$AY)</f>
        <v>0</v>
      </c>
      <c r="BZ129" s="6">
        <f>SUMIF('Eredeti fejléccel'!$B:$B,'Felosztás eredménykim'!$B129,'Eredeti fejléccel'!$AZ:$AZ)</f>
        <v>0</v>
      </c>
      <c r="CA129" s="6">
        <f>SUMIF('Eredeti fejléccel'!$B:$B,'Felosztás eredménykim'!$B129,'Eredeti fejléccel'!$BA:$BA)</f>
        <v>27470.66</v>
      </c>
      <c r="CB129" s="6">
        <f t="shared" si="114"/>
        <v>27470.66</v>
      </c>
      <c r="CC129" s="36">
        <f t="shared" si="143"/>
        <v>0</v>
      </c>
      <c r="CD129" s="8">
        <f t="shared" si="98"/>
        <v>0</v>
      </c>
      <c r="CE129" s="6">
        <f>SUMIF('Eredeti fejléccel'!$B:$B,'Felosztás eredménykim'!$B129,'Eredeti fejléccel'!$BC:$BC)</f>
        <v>0</v>
      </c>
      <c r="CF129" s="8">
        <f>-CE129/2</f>
        <v>0</v>
      </c>
      <c r="CG129" s="6">
        <f>SUMIF('Eredeti fejléccel'!$B:$B,'Felosztás eredménykim'!$B129,'Eredeti fejléccel'!$H:$H)</f>
        <v>0</v>
      </c>
      <c r="CH129" s="6">
        <f>SUMIF('Eredeti fejléccel'!$B:$B,'Felosztás eredménykim'!$B129,'Eredeti fejléccel'!$BE:$BE)</f>
        <v>0</v>
      </c>
      <c r="CI129" s="6">
        <f>SUM(CD129:CH129)</f>
        <v>0</v>
      </c>
      <c r="CJ129" s="36">
        <f t="shared" si="144"/>
        <v>0</v>
      </c>
      <c r="CK129" s="8">
        <f t="shared" si="100"/>
        <v>0</v>
      </c>
      <c r="CL129" s="8">
        <f>CE129/2</f>
        <v>0</v>
      </c>
      <c r="CM129" s="6">
        <f>SUMIF('Eredeti fejléccel'!$B:$B,'Felosztás eredménykim'!$B129,'Eredeti fejléccel'!$BD:$BD)</f>
        <v>0</v>
      </c>
      <c r="CN129" s="8">
        <f>SUM(CK129:CM129)</f>
        <v>0</v>
      </c>
      <c r="CO129" s="8">
        <f t="shared" si="115"/>
        <v>27470.66</v>
      </c>
      <c r="CR129" s="36">
        <f t="shared" si="101"/>
        <v>0</v>
      </c>
      <c r="CS129" s="6">
        <f>SUMIF('Eredeti fejléccel'!$B:$B,'Felosztás eredménykim'!$B129,'Eredeti fejléccel'!$I:$I)</f>
        <v>0</v>
      </c>
      <c r="CT129" s="6">
        <f>SUMIF('Eredeti fejléccel'!$B:$B,'Felosztás eredménykim'!$B129,'Eredeti fejléccel'!$BG:$BG)</f>
        <v>0</v>
      </c>
      <c r="CU129" s="6">
        <f>SUMIF('Eredeti fejléccel'!$B:$B,'Felosztás eredménykim'!$B129,'Eredeti fejléccel'!$BH:$BH)</f>
        <v>0</v>
      </c>
      <c r="CV129" s="6">
        <f>SUMIF('Eredeti fejléccel'!$B:$B,'Felosztás eredménykim'!$B129,'Eredeti fejléccel'!$BI:$BI)</f>
        <v>0</v>
      </c>
      <c r="CW129" s="6">
        <f>SUMIF('Eredeti fejléccel'!$B:$B,'Felosztás eredménykim'!$B129,'Eredeti fejléccel'!$BL:$BL)</f>
        <v>4875.74</v>
      </c>
      <c r="CX129" s="6">
        <f>SUM(CS129:CW129)</f>
        <v>4875.74</v>
      </c>
      <c r="CY129" s="6">
        <f>SUMIF('Eredeti fejléccel'!$B:$B,'Felosztás eredménykim'!$B129,'Eredeti fejléccel'!$BJ:$BJ)</f>
        <v>337.07</v>
      </c>
      <c r="CZ129" s="6">
        <f>SUMIF('Eredeti fejléccel'!$B:$B,'Felosztás eredménykim'!$B129,'Eredeti fejléccel'!$BK:$BK)</f>
        <v>0</v>
      </c>
      <c r="DA129" s="99">
        <f t="shared" si="116"/>
        <v>5212.8099999999995</v>
      </c>
      <c r="DC129" s="36">
        <f t="shared" si="102"/>
        <v>0</v>
      </c>
      <c r="DD129" s="6">
        <f>SUMIF('Eredeti fejléccel'!$B:$B,'Felosztás eredménykim'!$B129,'Eredeti fejléccel'!$J:$J)</f>
        <v>0</v>
      </c>
      <c r="DE129" s="6">
        <f>SUMIF('Eredeti fejléccel'!$B:$B,'Felosztás eredménykim'!$B129,'Eredeti fejléccel'!$BM:$BM)</f>
        <v>69769.119999999995</v>
      </c>
      <c r="DF129" s="6">
        <f>-DI129</f>
        <v>0</v>
      </c>
      <c r="DG129" s="8">
        <f t="shared" si="117"/>
        <v>0</v>
      </c>
      <c r="DH129" s="8">
        <f>SUM(DD129:DG129)</f>
        <v>69769.119999999995</v>
      </c>
      <c r="DJ129" s="6">
        <f>SUMIF('Eredeti fejléccel'!$B:$B,'Felosztás eredménykim'!$B129,'Eredeti fejléccel'!$BN:$BN)</f>
        <v>0</v>
      </c>
      <c r="DK129" s="6">
        <f>SUMIF('Eredeti fejléccel'!$B:$B,'Felosztás eredménykim'!$B129,'Eredeti fejléccel'!$BZ:$BZ)</f>
        <v>0</v>
      </c>
      <c r="DL129" s="8">
        <f>SUM(DI129:DK129)</f>
        <v>0</v>
      </c>
      <c r="DM129" s="6">
        <f>SUMIF('Eredeti fejléccel'!$B:$B,'Felosztás eredménykim'!$B129,'Eredeti fejléccel'!$BR:$BR)</f>
        <v>0</v>
      </c>
      <c r="DN129" s="6">
        <f>SUMIF('Eredeti fejléccel'!$B:$B,'Felosztás eredménykim'!$B129,'Eredeti fejléccel'!$BS:$BS)</f>
        <v>0</v>
      </c>
      <c r="DO129" s="6">
        <f>SUMIF('Eredeti fejléccel'!$B:$B,'Felosztás eredménykim'!$B129,'Eredeti fejléccel'!$BO:$BO)</f>
        <v>0</v>
      </c>
      <c r="DP129" s="6">
        <f>SUMIF('Eredeti fejléccel'!$B:$B,'Felosztás eredménykim'!$B129,'Eredeti fejléccel'!$BP:$BP)</f>
        <v>0</v>
      </c>
      <c r="DQ129" s="6">
        <f>SUMIF('Eredeti fejléccel'!$B:$B,'Felosztás eredménykim'!$B129,'Eredeti fejléccel'!$BQ:$BQ)</f>
        <v>0</v>
      </c>
      <c r="DS129" s="8"/>
      <c r="DU129" s="6">
        <f>SUMIF('Eredeti fejléccel'!$B:$B,'Felosztás eredménykim'!$B129,'Eredeti fejléccel'!$BT:$BT)</f>
        <v>0</v>
      </c>
      <c r="DV129" s="6">
        <f>SUMIF('Eredeti fejléccel'!$B:$B,'Felosztás eredménykim'!$B129,'Eredeti fejléccel'!$BU:$BU)</f>
        <v>0</v>
      </c>
      <c r="DW129" s="6">
        <f>SUMIF('Eredeti fejléccel'!$B:$B,'Felosztás eredménykim'!$B129,'Eredeti fejléccel'!$BV:$BV)</f>
        <v>0</v>
      </c>
      <c r="DX129" s="6">
        <f>SUMIF('Eredeti fejléccel'!$B:$B,'Felosztás eredménykim'!$B129,'Eredeti fejléccel'!$BW:$BW)</f>
        <v>0</v>
      </c>
      <c r="DY129" s="6">
        <f>SUMIF('Eredeti fejléccel'!$B:$B,'Felosztás eredménykim'!$B129,'Eredeti fejléccel'!$BX:$BX)</f>
        <v>0</v>
      </c>
      <c r="EA129" s="6"/>
      <c r="EC129" s="6"/>
      <c r="EE129" s="6">
        <f>SUMIF('Eredeti fejléccel'!$B:$B,'Felosztás eredménykim'!$B129,'Eredeti fejléccel'!$CA:$CA)</f>
        <v>0</v>
      </c>
      <c r="EF129" s="6">
        <f>SUMIF('Eredeti fejléccel'!$B:$B,'Felosztás eredménykim'!$B129,'Eredeti fejléccel'!$CB:$CB)</f>
        <v>0</v>
      </c>
      <c r="EG129" s="6">
        <f>SUMIF('Eredeti fejléccel'!$B:$B,'Felosztás eredménykim'!$B129,'Eredeti fejléccel'!$CC:$CC)</f>
        <v>0</v>
      </c>
      <c r="EH129" s="6">
        <f>SUMIF('Eredeti fejléccel'!$B:$B,'Felosztás eredménykim'!$B129,'Eredeti fejléccel'!$CD:$CD)</f>
        <v>0</v>
      </c>
      <c r="EK129" s="6">
        <f>SUMIF('Eredeti fejléccel'!$B:$B,'Felosztás eredménykim'!$B129,'Eredeti fejléccel'!$CE:$CE)</f>
        <v>0</v>
      </c>
      <c r="EN129" s="6">
        <f>SUMIF('Eredeti fejléccel'!$B:$B,'Felosztás eredménykim'!$B129,'Eredeti fejléccel'!$CF:$CF)</f>
        <v>0</v>
      </c>
      <c r="EP129" s="6">
        <f>SUMIF('Eredeti fejléccel'!$B:$B,'Felosztás eredménykim'!$B129,'Eredeti fejléccel'!$CG:$CG)</f>
        <v>0</v>
      </c>
      <c r="ES129" s="6">
        <f>SUMIF('Eredeti fejléccel'!$B:$B,'Felosztás eredménykim'!$B129,'Eredeti fejléccel'!$CH:$CH)</f>
        <v>0</v>
      </c>
      <c r="ET129" s="6">
        <f>SUMIF('Eredeti fejléccel'!$B:$B,'Felosztás eredménykim'!$B129,'Eredeti fejléccel'!$CI:$CI)</f>
        <v>0</v>
      </c>
      <c r="EW129" s="8">
        <f>SUM(DR129:ED129)</f>
        <v>0</v>
      </c>
      <c r="EX129" s="8">
        <f>SUM(EE129:EV129)</f>
        <v>0</v>
      </c>
      <c r="EY129" s="8">
        <f t="shared" si="119"/>
        <v>69769.119999999995</v>
      </c>
      <c r="EZ129" s="8">
        <f>EY129+DL129+DM129+DN129+DO129+DP129+DQ129</f>
        <v>69769.119999999995</v>
      </c>
      <c r="FA129" s="8">
        <f>EZ129-DL129-DM129</f>
        <v>69769.119999999995</v>
      </c>
      <c r="FC129" s="6">
        <f>SUMIF('Eredeti fejléccel'!$B:$B,'Felosztás eredménykim'!$B129,'Eredeti fejléccel'!$L:$L)</f>
        <v>0</v>
      </c>
      <c r="FD129" s="6">
        <f>SUMIF('Eredeti fejléccel'!$B:$B,'Felosztás eredménykim'!$B129,'Eredeti fejléccel'!$CJ:$CJ)</f>
        <v>52197.22</v>
      </c>
      <c r="FE129" s="6">
        <f>SUMIF('Eredeti fejléccel'!$B:$B,'Felosztás eredménykim'!$B129,'Eredeti fejléccel'!$CL:$CL)</f>
        <v>0</v>
      </c>
      <c r="FG129" s="99">
        <f>SUM(FC129:FF129)</f>
        <v>52197.22</v>
      </c>
      <c r="FH129" s="6">
        <f>SUMIF('Eredeti fejléccel'!$B:$B,'Felosztás eredménykim'!$B129,'Eredeti fejléccel'!$CK:$CK)</f>
        <v>0</v>
      </c>
      <c r="FI129" s="36">
        <f t="shared" si="145"/>
        <v>0</v>
      </c>
      <c r="FJ129" s="101">
        <f t="shared" si="104"/>
        <v>11574.533101050931</v>
      </c>
      <c r="FK129" s="6">
        <f>SUMIF('Eredeti fejléccel'!$B:$B,'Felosztás eredménykim'!$B129,'Eredeti fejléccel'!$CM:$CM)</f>
        <v>0</v>
      </c>
      <c r="FL129" s="6">
        <f>SUMIF('Eredeti fejléccel'!$B:$B,'Felosztás eredménykim'!$B129,'Eredeti fejléccel'!$CN:$CN)</f>
        <v>0</v>
      </c>
      <c r="FM129" s="8">
        <f>SUM(FJ129:FL129)</f>
        <v>11574.533101050931</v>
      </c>
      <c r="FN129" s="36">
        <f t="shared" si="146"/>
        <v>0</v>
      </c>
      <c r="FO129" s="101">
        <f t="shared" si="106"/>
        <v>9840.2519838318512</v>
      </c>
      <c r="FP129" s="6">
        <f>SUMIF('Eredeti fejléccel'!$B:$B,'Felosztás eredménykim'!$B129,'Eredeti fejléccel'!$CO:$CO)</f>
        <v>27847.919999999998</v>
      </c>
      <c r="FQ129" s="6">
        <f>'Eredeti fejléccel'!CP129</f>
        <v>0</v>
      </c>
      <c r="FR129" s="6">
        <f>'Eredeti fejléccel'!CQ129</f>
        <v>0</v>
      </c>
      <c r="FS129" s="103">
        <f t="shared" si="122"/>
        <v>37688.171983831853</v>
      </c>
      <c r="FT129" s="36">
        <f t="shared" si="147"/>
        <v>0</v>
      </c>
      <c r="FU129" s="101">
        <f t="shared" si="108"/>
        <v>27161.964845594182</v>
      </c>
      <c r="FV129" s="101"/>
      <c r="FW129" s="6">
        <f>SUMIF('Eredeti fejléccel'!$B:$B,'Felosztás eredménykim'!$B129,'Eredeti fejléccel'!$CR:$CR)</f>
        <v>282024.55</v>
      </c>
      <c r="FX129" s="6">
        <f>SUMIF('Eredeti fejléccel'!$B:$B,'Felosztás eredménykim'!$B129,'Eredeti fejléccel'!$CS:$CS)</f>
        <v>0</v>
      </c>
      <c r="FY129" s="6">
        <f>SUMIF('Eredeti fejléccel'!$B:$B,'Felosztás eredménykim'!$B129,'Eredeti fejléccel'!$CT:$CT)</f>
        <v>0</v>
      </c>
      <c r="FZ129" s="6">
        <f>SUMIF('Eredeti fejléccel'!$B:$B,'Felosztás eredménykim'!$B129,'Eredeti fejléccel'!$CU:$CU)</f>
        <v>0</v>
      </c>
      <c r="GA129" s="103">
        <f>SUM(FU129:FZ129)</f>
        <v>309186.51484559418</v>
      </c>
      <c r="GB129" s="36">
        <f t="shared" si="148"/>
        <v>0</v>
      </c>
      <c r="GC129" s="101">
        <f t="shared" si="110"/>
        <v>3620.4700695230399</v>
      </c>
      <c r="GD129" s="6">
        <f>SUMIF('Eredeti fejléccel'!$B:$B,'Felosztás eredménykim'!$B129,'Eredeti fejléccel'!$CV:$CV)</f>
        <v>39877.22</v>
      </c>
      <c r="GE129" s="6">
        <f>SUMIF('Eredeti fejléccel'!$B:$B,'Felosztás eredménykim'!$B129,'Eredeti fejléccel'!$CW:$CW)</f>
        <v>0</v>
      </c>
      <c r="GF129" s="103">
        <f>SUM(GC129:GE129)</f>
        <v>43497.690069523043</v>
      </c>
      <c r="GG129" s="36">
        <f t="shared" si="111"/>
        <v>0</v>
      </c>
      <c r="GM129" s="6">
        <f>SUMIF('Eredeti fejléccel'!$B:$B,'Felosztás eredménykim'!$B129,'Eredeti fejléccel'!$CX:$CX)</f>
        <v>0</v>
      </c>
      <c r="GN129" s="6">
        <f>SUMIF('Eredeti fejléccel'!$B:$B,'Felosztás eredménykim'!$B129,'Eredeti fejléccel'!$CY:$CY)</f>
        <v>0</v>
      </c>
      <c r="GO129" s="6">
        <f>SUMIF('Eredeti fejléccel'!$B:$B,'Felosztás eredménykim'!$B129,'Eredeti fejléccel'!$CZ:$CZ)</f>
        <v>0</v>
      </c>
      <c r="GP129" s="6">
        <f>SUMIF('Eredeti fejléccel'!$B:$B,'Felosztás eredménykim'!$B129,'Eredeti fejléccel'!$DA:$DA)</f>
        <v>0</v>
      </c>
      <c r="GQ129" s="6">
        <f>SUMIF('Eredeti fejléccel'!$B:$B,'Felosztás eredménykim'!$B129,'Eredeti fejléccel'!$DB:$DB)</f>
        <v>0</v>
      </c>
      <c r="GR129" s="103">
        <f>SUM(GH129:GQ129)</f>
        <v>0</v>
      </c>
      <c r="GW129" s="36">
        <f t="shared" si="112"/>
        <v>0</v>
      </c>
      <c r="GX129" s="6">
        <f>SUMIF('Eredeti fejléccel'!$B:$B,'Felosztás eredménykim'!$B129,'Eredeti fejléccel'!$M:$M)</f>
        <v>0</v>
      </c>
      <c r="GY129" s="6">
        <f>SUMIF('Eredeti fejléccel'!$B:$B,'Felosztás eredménykim'!$B129,'Eredeti fejléccel'!$DC:$DC)</f>
        <v>0</v>
      </c>
      <c r="GZ129" s="6">
        <f>SUMIF('Eredeti fejléccel'!$B:$B,'Felosztás eredménykim'!$B129,'Eredeti fejléccel'!$DD:$DD)</f>
        <v>0</v>
      </c>
      <c r="HA129" s="6">
        <f>SUMIF('Eredeti fejléccel'!$B:$B,'Felosztás eredménykim'!$B129,'Eredeti fejléccel'!$DE:$DE)</f>
        <v>0</v>
      </c>
      <c r="HB129" s="103">
        <f>SUM(GX129:HA129)</f>
        <v>0</v>
      </c>
      <c r="HD129" s="9">
        <f>SUM(D129:HA129)-W129-X129-AD129-AE129-AF129-AG129-AK129-AL129-AM129-AS129-AT129-AU129-BE129-BF129-BG129-BL129-BM129-BN129-CB129-CC129-CD129-CI129-CJ129-CK129-CN129-CO129-CP129-CR129-CX129-DA129-DC129-DG129-DH129-DL129-EW129-EX129-EY129-EZ129-FA129-FF129-FG129-FI129-FJ129-FM129-FN129-FO129-FS129-FT129-FU129-GA129-GB129-GC129-GF129-GG129-GR129-GS129-GT129-GU129-GW129</f>
        <v>504399.49999999977</v>
      </c>
      <c r="HE129" s="9">
        <v>504399.5</v>
      </c>
      <c r="HF129" s="476"/>
      <c r="HH129" s="34">
        <f>+HD129-HE129</f>
        <v>0</v>
      </c>
    </row>
    <row r="130" spans="1:232" x14ac:dyDescent="0.25">
      <c r="A130" s="4" t="s">
        <v>252</v>
      </c>
      <c r="B130" s="4" t="s">
        <v>252</v>
      </c>
      <c r="C130" s="1" t="s">
        <v>253</v>
      </c>
      <c r="D130" s="6">
        <f>SUMIF('Eredeti fejléccel'!$B:$B,'Felosztás eredménykim'!$B130,'Eredeti fejléccel'!$D:$D)</f>
        <v>0</v>
      </c>
      <c r="E130" s="6">
        <f>SUMIF('Eredeti fejléccel'!$B:$B,'Felosztás eredménykim'!$B130,'Eredeti fejléccel'!$E:$E)</f>
        <v>4286584</v>
      </c>
      <c r="F130" s="6">
        <f>SUMIF('Eredeti fejléccel'!$B:$B,'Felosztás eredménykim'!$B130,'Eredeti fejléccel'!$F:$F)</f>
        <v>0</v>
      </c>
      <c r="G130" s="6">
        <f>SUMIF('Eredeti fejléccel'!$B:$B,'Felosztás eredménykim'!$B130,'Eredeti fejléccel'!$G:$G)</f>
        <v>0</v>
      </c>
      <c r="H130" s="6"/>
      <c r="I130" s="6">
        <f>SUMIF('Eredeti fejléccel'!$B:$B,'Felosztás eredménykim'!$B130,'Eredeti fejléccel'!$O:$O)</f>
        <v>2267693</v>
      </c>
      <c r="J130" s="6">
        <f>SUMIF('Eredeti fejléccel'!$B:$B,'Felosztás eredménykim'!$B130,'Eredeti fejléccel'!$P:$P)</f>
        <v>0</v>
      </c>
      <c r="K130" s="6">
        <f>SUMIF('Eredeti fejléccel'!$B:$B,'Felosztás eredménykim'!$B130,'Eredeti fejléccel'!$Q:$Q)</f>
        <v>0</v>
      </c>
      <c r="L130" s="6">
        <f>SUMIF('Eredeti fejléccel'!$B:$B,'Felosztás eredménykim'!$B130,'Eredeti fejléccel'!$R:$R)</f>
        <v>3645373</v>
      </c>
      <c r="M130" s="6">
        <f>SUMIF('Eredeti fejléccel'!$B:$B,'Felosztás eredménykim'!$B130,'Eredeti fejléccel'!$T:$T)</f>
        <v>0</v>
      </c>
      <c r="N130" s="6">
        <f>SUMIF('Eredeti fejléccel'!$B:$B,'Felosztás eredménykim'!$B130,'Eredeti fejléccel'!$U:$U)</f>
        <v>0</v>
      </c>
      <c r="O130" s="6">
        <f>SUMIF('Eredeti fejléccel'!$B:$B,'Felosztás eredménykim'!$B130,'Eredeti fejléccel'!$V:$V)</f>
        <v>4449894</v>
      </c>
      <c r="P130" s="6">
        <f>SUMIF('Eredeti fejléccel'!$B:$B,'Felosztás eredménykim'!$B130,'Eredeti fejléccel'!$W:$W)</f>
        <v>2700415</v>
      </c>
      <c r="Q130" s="6">
        <f>SUMIF('Eredeti fejléccel'!$B:$B,'Felosztás eredménykim'!$B130,'Eredeti fejléccel'!$X:$X)</f>
        <v>9188349</v>
      </c>
      <c r="R130" s="6">
        <f>SUMIF('Eredeti fejléccel'!$B:$B,'Felosztás eredménykim'!$B130,'Eredeti fejléccel'!$Y:$Y)</f>
        <v>2654002</v>
      </c>
      <c r="S130" s="6">
        <f>SUMIF('Eredeti fejléccel'!$B:$B,'Felosztás eredménykim'!$B130,'Eredeti fejléccel'!$Z:$Z)</f>
        <v>2182058</v>
      </c>
      <c r="T130" s="6">
        <f>SUMIF('Eredeti fejléccel'!$B:$B,'Felosztás eredménykim'!$B130,'Eredeti fejléccel'!$AA:$AA)</f>
        <v>0</v>
      </c>
      <c r="U130" s="6">
        <f>SUMIF('Eredeti fejléccel'!$B:$B,'Felosztás eredménykim'!$B130,'Eredeti fejléccel'!$D:$D)</f>
        <v>0</v>
      </c>
      <c r="V130" s="6">
        <f>SUMIF('Eredeti fejléccel'!$B:$B,'Felosztás eredménykim'!$B130,'Eredeti fejléccel'!$AT:$AT)</f>
        <v>5261208</v>
      </c>
      <c r="X130" s="36">
        <f t="shared" si="86"/>
        <v>36635576</v>
      </c>
      <c r="Z130" s="6">
        <f>SUMIF('Eredeti fejléccel'!$B:$B,'Felosztás eredménykim'!$B130,'Eredeti fejléccel'!$K:$K)</f>
        <v>4222277</v>
      </c>
      <c r="AB130" s="6">
        <f>SUMIF('Eredeti fejléccel'!$B:$B,'Felosztás eredménykim'!$B130,'Eredeti fejléccel'!$AB:$AB)</f>
        <v>0</v>
      </c>
      <c r="AC130" s="6">
        <f>SUMIF('Eredeti fejléccel'!$B:$B,'Felosztás eredménykim'!$B130,'Eredeti fejléccel'!$AQ:$AQ)</f>
        <v>0</v>
      </c>
      <c r="AE130" s="73">
        <f t="shared" si="131"/>
        <v>4222277</v>
      </c>
      <c r="AF130" s="36">
        <f t="shared" si="138"/>
        <v>4370427.9063157514</v>
      </c>
      <c r="AG130" s="8">
        <f t="shared" si="88"/>
        <v>1346249.6650567926</v>
      </c>
      <c r="AI130" s="6">
        <f>SUMIF('Eredeti fejléccel'!$B:$B,'Felosztás eredménykim'!$B130,'Eredeti fejléccel'!$BB:$BB)</f>
        <v>5682546</v>
      </c>
      <c r="AJ130" s="6">
        <f>SUMIF('Eredeti fejléccel'!$B:$B,'Felosztás eredménykim'!$B130,'Eredeti fejléccel'!$AF:$AF)</f>
        <v>0</v>
      </c>
      <c r="AK130" s="8">
        <f t="shared" si="73"/>
        <v>7028795.665056793</v>
      </c>
      <c r="AL130" s="36">
        <f t="shared" si="139"/>
        <v>1735911.8977119511</v>
      </c>
      <c r="AM130" s="8">
        <f t="shared" si="90"/>
        <v>534723.56962704577</v>
      </c>
      <c r="AN130" s="6">
        <f t="shared" si="123"/>
        <v>0</v>
      </c>
      <c r="AO130" s="6">
        <f>SUMIF('Eredeti fejléccel'!$B:$B,'Felosztás eredménykim'!$B130,'Eredeti fejléccel'!$AC:$AC)</f>
        <v>0</v>
      </c>
      <c r="AP130" s="6">
        <f>SUMIF('Eredeti fejléccel'!$B:$B,'Felosztás eredménykim'!$B130,'Eredeti fejléccel'!$AD:$AD)</f>
        <v>0</v>
      </c>
      <c r="AQ130" s="6">
        <f>SUMIF('Eredeti fejléccel'!$B:$B,'Felosztás eredménykim'!$B130,'Eredeti fejléccel'!$AE:$AE)</f>
        <v>0</v>
      </c>
      <c r="AR130" s="6">
        <f>SUMIF('Eredeti fejléccel'!$B:$B,'Felosztás eredménykim'!$B130,'Eredeti fejléccel'!$AG:$AG)</f>
        <v>9278135</v>
      </c>
      <c r="AS130" s="6">
        <f t="shared" si="124"/>
        <v>9812858.5696270466</v>
      </c>
      <c r="AT130" s="36">
        <f t="shared" si="140"/>
        <v>2819630.9073004853</v>
      </c>
      <c r="AU130" s="8">
        <f t="shared" si="92"/>
        <v>868548.17100438231</v>
      </c>
      <c r="AV130" s="6">
        <f>SUMIF('Eredeti fejléccel'!$B:$B,'Felosztás eredménykim'!$B130,'Eredeti fejléccel'!$AI:$AI)</f>
        <v>0</v>
      </c>
      <c r="AW130" s="6">
        <f>SUMIF('Eredeti fejléccel'!$B:$B,'Felosztás eredménykim'!$B130,'Eredeti fejléccel'!$AJ:$AJ)</f>
        <v>1095192</v>
      </c>
      <c r="AX130" s="6">
        <f>SUMIF('Eredeti fejléccel'!$B:$B,'Felosztás eredménykim'!$B130,'Eredeti fejléccel'!$AK:$AK)</f>
        <v>6380273</v>
      </c>
      <c r="AY130" s="6">
        <f>SUMIF('Eredeti fejléccel'!$B:$B,'Felosztás eredménykim'!$B130,'Eredeti fejléccel'!$AL:$AL)</f>
        <v>3083532</v>
      </c>
      <c r="AZ130" s="6">
        <f>SUMIF('Eredeti fejléccel'!$B:$B,'Felosztás eredménykim'!$B130,'Eredeti fejléccel'!$AM:$AM)</f>
        <v>3040589</v>
      </c>
      <c r="BA130" s="6">
        <f>SUMIF('Eredeti fejléccel'!$B:$B,'Felosztás eredménykim'!$B130,'Eredeti fejléccel'!$AN:$AN)</f>
        <v>0</v>
      </c>
      <c r="BB130" s="6">
        <f>SUMIF('Eredeti fejléccel'!$B:$B,'Felosztás eredménykim'!$B130,'Eredeti fejléccel'!$AP:$AP)</f>
        <v>1721400</v>
      </c>
      <c r="BD130" s="6">
        <f>SUMIF('Eredeti fejléccel'!$B:$B,'Felosztás eredménykim'!$B130,'Eredeti fejléccel'!$AS:$AS)</f>
        <v>0</v>
      </c>
      <c r="BE130" s="8">
        <f t="shared" si="74"/>
        <v>16189534.171004383</v>
      </c>
      <c r="BF130" s="36">
        <f t="shared" si="141"/>
        <v>735555.88886099611</v>
      </c>
      <c r="BG130" s="8">
        <f t="shared" si="94"/>
        <v>226577.78374027362</v>
      </c>
      <c r="BH130" s="6">
        <f t="shared" si="125"/>
        <v>0</v>
      </c>
      <c r="BI130" s="6">
        <f>SUMIF('Eredeti fejléccel'!$B:$B,'Felosztás eredménykim'!$B130,'Eredeti fejléccel'!$AH:$AH)</f>
        <v>4646800</v>
      </c>
      <c r="BJ130" s="6">
        <f>SUMIF('Eredeti fejléccel'!$B:$B,'Felosztás eredménykim'!$B130,'Eredeti fejléccel'!$AO:$AO)</f>
        <v>0</v>
      </c>
      <c r="BK130" s="6">
        <f>SUMIF('Eredeti fejléccel'!$B:$B,'Felosztás eredménykim'!$B130,'Eredeti fejléccel'!$BF:$BF)</f>
        <v>0</v>
      </c>
      <c r="BL130" s="8">
        <f t="shared" si="126"/>
        <v>4873377.7837402737</v>
      </c>
      <c r="BM130" s="36">
        <f t="shared" si="142"/>
        <v>2755882.7302658656</v>
      </c>
      <c r="BN130" s="8">
        <f t="shared" si="96"/>
        <v>848911.42974689184</v>
      </c>
      <c r="BO130" s="8">
        <f>1411904/2</f>
        <v>705952</v>
      </c>
      <c r="BP130" s="8">
        <f t="shared" si="127"/>
        <v>0</v>
      </c>
      <c r="BQ130" s="6">
        <f>SUMIF('Eredeti fejléccel'!$B:$B,'Felosztás eredménykim'!$B130,'Eredeti fejléccel'!$N:$N)</f>
        <v>0</v>
      </c>
      <c r="BR130" s="6">
        <f>SUMIF('Eredeti fejléccel'!$B:$B,'Felosztás eredménykim'!$B130,'Eredeti fejléccel'!$S:$S)</f>
        <v>0</v>
      </c>
      <c r="BT130" s="6">
        <f>SUMIF('Eredeti fejléccel'!$B:$B,'Felosztás eredménykim'!$B130,'Eredeti fejléccel'!$AR:$AR)</f>
        <v>0</v>
      </c>
      <c r="BU130" s="6">
        <f>SUMIF('Eredeti fejléccel'!$B:$B,'Felosztás eredménykim'!$B130,'Eredeti fejléccel'!$AU:$AU)</f>
        <v>0</v>
      </c>
      <c r="BV130" s="6">
        <f>SUMIF('Eredeti fejléccel'!$B:$B,'Felosztás eredménykim'!$B130,'Eredeti fejléccel'!$AV:$AV)</f>
        <v>1724615</v>
      </c>
      <c r="BW130" s="6">
        <f>SUMIF('Eredeti fejléccel'!$B:$B,'Felosztás eredménykim'!$B130,'Eredeti fejléccel'!$AW:$AW)</f>
        <v>0</v>
      </c>
      <c r="BX130" s="6">
        <f>SUMIF('Eredeti fejléccel'!$B:$B,'Felosztás eredménykim'!$B130,'Eredeti fejléccel'!$AX:$AX)</f>
        <v>38257</v>
      </c>
      <c r="BY130" s="6">
        <f>SUMIF('Eredeti fejléccel'!$B:$B,'Felosztás eredménykim'!$B130,'Eredeti fejléccel'!$AY:$AY)</f>
        <v>0</v>
      </c>
      <c r="BZ130" s="6">
        <f>SUMIF('Eredeti fejléccel'!$B:$B,'Felosztás eredménykim'!$B130,'Eredeti fejléccel'!$AZ:$AZ)</f>
        <v>0</v>
      </c>
      <c r="CA130" s="6">
        <f>SUMIF('Eredeti fejléccel'!$B:$B,'Felosztás eredménykim'!$B130,'Eredeti fejléccel'!$BA:$BA)</f>
        <v>13258230</v>
      </c>
      <c r="CB130" s="6">
        <f t="shared" si="114"/>
        <v>16575965.429746892</v>
      </c>
      <c r="CC130" s="36">
        <f t="shared" si="143"/>
        <v>750267.00663821609</v>
      </c>
      <c r="CD130" s="8">
        <f t="shared" si="98"/>
        <v>231109.3394150791</v>
      </c>
      <c r="CE130" s="6">
        <f>SUMIF('Eredeti fejléccel'!$B:$B,'Felosztás eredménykim'!$B130,'Eredeti fejléccel'!$BC:$BC)</f>
        <v>972864</v>
      </c>
      <c r="CF130" s="8">
        <f t="shared" si="135"/>
        <v>-486432</v>
      </c>
      <c r="CG130" s="6">
        <f>SUMIF('Eredeti fejléccel'!$B:$B,'Felosztás eredménykim'!$B130,'Eredeti fejléccel'!$H:$H)</f>
        <v>0</v>
      </c>
      <c r="CH130" s="6">
        <f>SUMIF('Eredeti fejléccel'!$B:$B,'Felosztás eredménykim'!$B130,'Eredeti fejléccel'!$BE:$BE)</f>
        <v>3767649</v>
      </c>
      <c r="CI130" s="6">
        <f t="shared" si="75"/>
        <v>4485190.339415079</v>
      </c>
      <c r="CJ130" s="36">
        <f t="shared" si="144"/>
        <v>539407.6518313972</v>
      </c>
      <c r="CK130" s="8">
        <f t="shared" si="100"/>
        <v>166157.04140953402</v>
      </c>
      <c r="CL130" s="8">
        <f t="shared" si="136"/>
        <v>486432</v>
      </c>
      <c r="CM130" s="6">
        <f>SUMIF('Eredeti fejléccel'!$B:$B,'Felosztás eredménykim'!$B130,'Eredeti fejléccel'!$BD:$BD)</f>
        <v>3185385</v>
      </c>
      <c r="CN130" s="8">
        <f t="shared" si="76"/>
        <v>3837974.0414095339</v>
      </c>
      <c r="CO130" s="8">
        <f t="shared" si="115"/>
        <v>76510779.988924667</v>
      </c>
      <c r="CR130" s="36">
        <f t="shared" si="101"/>
        <v>3240113.5631680619</v>
      </c>
      <c r="CS130" s="6">
        <f>SUMIF('Eredeti fejléccel'!$B:$B,'Felosztás eredménykim'!$B130,'Eredeti fejléccel'!$I:$I)</f>
        <v>2500610</v>
      </c>
      <c r="CT130" s="6">
        <f>SUMIF('Eredeti fejléccel'!$B:$B,'Felosztás eredménykim'!$B130,'Eredeti fejléccel'!$BG:$BG)</f>
        <v>0</v>
      </c>
      <c r="CU130" s="6">
        <f>SUMIF('Eredeti fejléccel'!$B:$B,'Felosztás eredménykim'!$B130,'Eredeti fejléccel'!$BH:$BH)</f>
        <v>11929744</v>
      </c>
      <c r="CV130" s="6">
        <f>SUMIF('Eredeti fejléccel'!$B:$B,'Felosztás eredménykim'!$B130,'Eredeti fejléccel'!$BI:$BI)</f>
        <v>2751965</v>
      </c>
      <c r="CW130" s="6">
        <f>SUMIF('Eredeti fejléccel'!$B:$B,'Felosztás eredménykim'!$B130,'Eredeti fejléccel'!$BL:$BL)</f>
        <v>-6531267</v>
      </c>
      <c r="CX130" s="6">
        <f t="shared" si="77"/>
        <v>10651052</v>
      </c>
      <c r="CY130" s="6">
        <f>SUMIF('Eredeti fejléccel'!$B:$B,'Felosztás eredménykim'!$B130,'Eredeti fejléccel'!$BJ:$BJ)</f>
        <v>6531267</v>
      </c>
      <c r="CZ130" s="6">
        <f>SUMIF('Eredeti fejléccel'!$B:$B,'Felosztás eredménykim'!$B130,'Eredeti fejléccel'!$BK:$BK)</f>
        <v>0</v>
      </c>
      <c r="DA130" s="99">
        <f t="shared" si="116"/>
        <v>17182319</v>
      </c>
      <c r="DC130" s="36">
        <f t="shared" si="102"/>
        <v>2837900.7036703159</v>
      </c>
      <c r="DD130" s="6">
        <f>SUMIF('Eredeti fejléccel'!$B:$B,'Felosztás eredménykim'!$B130,'Eredeti fejléccel'!$J:$J)</f>
        <v>0</v>
      </c>
      <c r="DE130" s="6">
        <f>SUMIF('Eredeti fejléccel'!$B:$B,'Felosztás eredménykim'!$B130,'Eredeti fejléccel'!$BM:$BM)</f>
        <v>7399263</v>
      </c>
      <c r="DF130" s="6">
        <f t="shared" si="128"/>
        <v>719776</v>
      </c>
      <c r="DG130" s="211">
        <f t="shared" si="117"/>
        <v>-705952</v>
      </c>
      <c r="DH130" s="8">
        <f t="shared" si="129"/>
        <v>7413087</v>
      </c>
      <c r="DI130" s="8">
        <f>-719776</f>
        <v>-719776</v>
      </c>
      <c r="DJ130" s="6">
        <f>SUMIF('Eredeti fejléccel'!$B:$B,'Felosztás eredménykim'!$B130,'Eredeti fejléccel'!$BN:$BN)</f>
        <v>3107191</v>
      </c>
      <c r="DK130" s="6">
        <f>SUMIF('Eredeti fejléccel'!$B:$B,'Felosztás eredménykim'!$B130,'Eredeti fejléccel'!$BZ:$BZ)</f>
        <v>0</v>
      </c>
      <c r="DL130" s="8">
        <f t="shared" si="130"/>
        <v>2387415</v>
      </c>
      <c r="DM130" s="6">
        <f>SUMIF('Eredeti fejléccel'!$B:$B,'Felosztás eredménykim'!$B130,'Eredeti fejléccel'!$BR:$BR)</f>
        <v>0</v>
      </c>
      <c r="DN130" s="6">
        <f>SUMIF('Eredeti fejléccel'!$B:$B,'Felosztás eredménykim'!$B130,'Eredeti fejléccel'!$BS:$BS)</f>
        <v>0</v>
      </c>
      <c r="DO130" s="6">
        <f>SUMIF('Eredeti fejléccel'!$B:$B,'Felosztás eredménykim'!$B130,'Eredeti fejléccel'!$BO:$BO)</f>
        <v>0</v>
      </c>
      <c r="DP130" s="6">
        <f>SUMIF('Eredeti fejléccel'!$B:$B,'Felosztás eredménykim'!$B130,'Eredeti fejléccel'!$BP:$BP)</f>
        <v>0</v>
      </c>
      <c r="DQ130" s="6">
        <f>SUMIF('Eredeti fejléccel'!$B:$B,'Felosztás eredménykim'!$B130,'Eredeti fejléccel'!$BQ:$BQ)</f>
        <v>0</v>
      </c>
      <c r="DS130" s="8"/>
      <c r="DU130" s="6">
        <f>SUMIF('Eredeti fejléccel'!$B:$B,'Felosztás eredménykim'!$B130,'Eredeti fejléccel'!$BT:$BT)</f>
        <v>0</v>
      </c>
      <c r="DV130" s="6">
        <f>SUMIF('Eredeti fejléccel'!$B:$B,'Felosztás eredménykim'!$B130,'Eredeti fejléccel'!$BU:$BU)</f>
        <v>0</v>
      </c>
      <c r="DW130" s="6">
        <f>SUMIF('Eredeti fejléccel'!$B:$B,'Felosztás eredménykim'!$B130,'Eredeti fejléccel'!$BV:$BV)</f>
        <v>0</v>
      </c>
      <c r="DX130" s="6">
        <f>SUMIF('Eredeti fejléccel'!$B:$B,'Felosztás eredménykim'!$B130,'Eredeti fejléccel'!$BW:$BW)</f>
        <v>0</v>
      </c>
      <c r="DY130" s="6">
        <f>SUMIF('Eredeti fejléccel'!$B:$B,'Felosztás eredménykim'!$B130,'Eredeti fejléccel'!$BX:$BX)</f>
        <v>0</v>
      </c>
      <c r="EA130" s="6"/>
      <c r="EC130" s="6"/>
      <c r="EE130" s="6">
        <f>SUMIF('Eredeti fejléccel'!$B:$B,'Felosztás eredménykim'!$B130,'Eredeti fejléccel'!$CA:$CA)</f>
        <v>0</v>
      </c>
      <c r="EF130" s="6">
        <f>SUMIF('Eredeti fejléccel'!$B:$B,'Felosztás eredménykim'!$B130,'Eredeti fejléccel'!$CB:$CB)</f>
        <v>0</v>
      </c>
      <c r="EG130" s="6">
        <f>SUMIF('Eredeti fejléccel'!$B:$B,'Felosztás eredménykim'!$B130,'Eredeti fejléccel'!$CC:$CC)</f>
        <v>0</v>
      </c>
      <c r="EH130" s="6">
        <f>SUMIF('Eredeti fejléccel'!$B:$B,'Felosztás eredménykim'!$B130,'Eredeti fejléccel'!$CD:$CD)</f>
        <v>0</v>
      </c>
      <c r="EK130" s="6">
        <f>SUMIF('Eredeti fejléccel'!$B:$B,'Felosztás eredménykim'!$B130,'Eredeti fejléccel'!$CE:$CE)</f>
        <v>0</v>
      </c>
      <c r="EN130" s="6">
        <f>SUMIF('Eredeti fejléccel'!$B:$B,'Felosztás eredménykim'!$B130,'Eredeti fejléccel'!$CF:$CF)</f>
        <v>0</v>
      </c>
      <c r="EP130" s="6">
        <f>SUMIF('Eredeti fejléccel'!$B:$B,'Felosztás eredménykim'!$B130,'Eredeti fejléccel'!$CG:$CG)</f>
        <v>0</v>
      </c>
      <c r="ES130" s="6">
        <f>SUMIF('Eredeti fejléccel'!$B:$B,'Felosztás eredménykim'!$B130,'Eredeti fejléccel'!$CH:$CH)</f>
        <v>0</v>
      </c>
      <c r="ET130" s="6">
        <f>SUMIF('Eredeti fejléccel'!$B:$B,'Felosztás eredménykim'!$B130,'Eredeti fejléccel'!$CI:$CI)</f>
        <v>0</v>
      </c>
      <c r="EW130" s="8">
        <f t="shared" si="118"/>
        <v>0</v>
      </c>
      <c r="EX130" s="8">
        <f t="shared" si="78"/>
        <v>0</v>
      </c>
      <c r="EY130" s="8">
        <f t="shared" si="119"/>
        <v>7413087</v>
      </c>
      <c r="EZ130" s="8">
        <f t="shared" si="120"/>
        <v>9800502</v>
      </c>
      <c r="FA130" s="8">
        <f t="shared" si="121"/>
        <v>7413087</v>
      </c>
      <c r="FC130" s="6">
        <f>SUMIF('Eredeti fejléccel'!$B:$B,'Felosztás eredménykim'!$B130,'Eredeti fejléccel'!$L:$L)</f>
        <v>0</v>
      </c>
      <c r="FD130" s="6">
        <f>SUMIF('Eredeti fejléccel'!$B:$B,'Felosztás eredménykim'!$B130,'Eredeti fejléccel'!$CJ:$CJ)</f>
        <v>3228321</v>
      </c>
      <c r="FE130" s="6">
        <f>SUMIF('Eredeti fejléccel'!$B:$B,'Felosztás eredménykim'!$B130,'Eredeti fejléccel'!$CL:$CL)</f>
        <v>0</v>
      </c>
      <c r="FG130" s="99">
        <f t="shared" si="79"/>
        <v>3228321</v>
      </c>
      <c r="FH130" s="6">
        <f>SUMIF('Eredeti fejléccel'!$B:$B,'Felosztás eredménykim'!$B130,'Eredeti fejléccel'!$CK:$CK)</f>
        <v>0</v>
      </c>
      <c r="FI130" s="36">
        <f t="shared" si="145"/>
        <v>3338970.0288056657</v>
      </c>
      <c r="FJ130" s="101">
        <f t="shared" si="104"/>
        <v>715867.78520614386</v>
      </c>
      <c r="FK130" s="6">
        <f>SUMIF('Eredeti fejléccel'!$B:$B,'Felosztás eredménykim'!$B130,'Eredeti fejléccel'!$CM:$CM)</f>
        <v>14741036</v>
      </c>
      <c r="FL130" s="6">
        <f>SUMIF('Eredeti fejléccel'!$B:$B,'Felosztás eredménykim'!$B130,'Eredeti fejléccel'!$CN:$CN)</f>
        <v>0</v>
      </c>
      <c r="FM130" s="8">
        <f t="shared" si="80"/>
        <v>15456903.785206145</v>
      </c>
      <c r="FN130" s="36">
        <f t="shared" si="146"/>
        <v>2838672.2957254145</v>
      </c>
      <c r="FO130" s="101">
        <f t="shared" si="106"/>
        <v>608605.05836701696</v>
      </c>
      <c r="FP130" s="6">
        <f>SUMIF('Eredeti fejléccel'!$B:$B,'Felosztás eredménykim'!$B130,'Eredeti fejléccel'!$CO:$CO)</f>
        <v>6391071</v>
      </c>
      <c r="FQ130" s="6">
        <f>'Eredeti fejléccel'!CP130</f>
        <v>4508429</v>
      </c>
      <c r="FR130" s="6">
        <f>'Eredeti fejléccel'!CQ130</f>
        <v>0</v>
      </c>
      <c r="FS130" s="103">
        <f t="shared" si="122"/>
        <v>11508105.058367018</v>
      </c>
      <c r="FT130" s="36">
        <f t="shared" si="147"/>
        <v>7835563.2794101611</v>
      </c>
      <c r="FU130" s="101">
        <f t="shared" si="108"/>
        <v>1679927.4274050121</v>
      </c>
      <c r="FV130" s="101"/>
      <c r="FW130" s="6">
        <f>SUMIF('Eredeti fejléccel'!$B:$B,'Felosztás eredménykim'!$B130,'Eredeti fejléccel'!$CR:$CR)</f>
        <v>23536572</v>
      </c>
      <c r="FX130" s="6">
        <f>SUMIF('Eredeti fejléccel'!$B:$B,'Felosztás eredménykim'!$B130,'Eredeti fejléccel'!$CS:$CS)</f>
        <v>1960989</v>
      </c>
      <c r="FY130" s="6">
        <f>SUMIF('Eredeti fejléccel'!$B:$B,'Felosztás eredménykim'!$B130,'Eredeti fejléccel'!$CT:$CT)</f>
        <v>1665160</v>
      </c>
      <c r="FZ130" s="6">
        <f>SUMIF('Eredeti fejléccel'!$B:$B,'Felosztás eredménykim'!$B130,'Eredeti fejléccel'!$CU:$CU)</f>
        <v>0</v>
      </c>
      <c r="GA130" s="103">
        <f t="shared" si="81"/>
        <v>28842648.427405011</v>
      </c>
      <c r="GB130" s="36">
        <f t="shared" si="148"/>
        <v>1044417.1654084072</v>
      </c>
      <c r="GC130" s="101">
        <f t="shared" si="110"/>
        <v>223920.72902182699</v>
      </c>
      <c r="GD130" s="6">
        <f>SUMIF('Eredeti fejléccel'!$B:$B,'Felosztás eredménykim'!$B130,'Eredeti fejléccel'!$CV:$CV)</f>
        <v>4066612</v>
      </c>
      <c r="GE130" s="6">
        <f>SUMIF('Eredeti fejléccel'!$B:$B,'Felosztás eredménykim'!$B130,'Eredeti fejléccel'!$CW:$CW)</f>
        <v>0</v>
      </c>
      <c r="GF130" s="103">
        <f t="shared" si="82"/>
        <v>4290532.7290218268</v>
      </c>
      <c r="GG130" s="36">
        <f t="shared" si="111"/>
        <v>0</v>
      </c>
      <c r="GM130" s="6">
        <f>SUMIF('Eredeti fejléccel'!$B:$B,'Felosztás eredménykim'!$B130,'Eredeti fejléccel'!$CX:$CX)</f>
        <v>0</v>
      </c>
      <c r="GN130" s="6">
        <f>SUMIF('Eredeti fejléccel'!$B:$B,'Felosztás eredménykim'!$B130,'Eredeti fejléccel'!$CY:$CY)</f>
        <v>0</v>
      </c>
      <c r="GO130" s="6">
        <f>SUMIF('Eredeti fejléccel'!$B:$B,'Felosztás eredménykim'!$B130,'Eredeti fejléccel'!$CZ:$CZ)</f>
        <v>0</v>
      </c>
      <c r="GP130" s="6">
        <f>SUMIF('Eredeti fejléccel'!$B:$B,'Felosztás eredménykim'!$B130,'Eredeti fejléccel'!$DA:$DA)</f>
        <v>0</v>
      </c>
      <c r="GQ130" s="6">
        <f>SUMIF('Eredeti fejléccel'!$B:$B,'Felosztás eredménykim'!$B130,'Eredeti fejléccel'!$DB:$DB)</f>
        <v>0</v>
      </c>
      <c r="GR130" s="103">
        <f t="shared" si="83"/>
        <v>0</v>
      </c>
      <c r="GW130" s="36">
        <f t="shared" si="112"/>
        <v>1792854.974887315</v>
      </c>
      <c r="GX130" s="6">
        <f>SUMIF('Eredeti fejléccel'!$B:$B,'Felosztás eredménykim'!$B130,'Eredeti fejléccel'!$M:$M)</f>
        <v>0</v>
      </c>
      <c r="GY130" s="6">
        <f>SUMIF('Eredeti fejléccel'!$B:$B,'Felosztás eredménykim'!$B130,'Eredeti fejléccel'!$DC:$DC)</f>
        <v>3135522</v>
      </c>
      <c r="GZ130" s="6">
        <f>SUMIF('Eredeti fejléccel'!$B:$B,'Felosztás eredménykim'!$B130,'Eredeti fejléccel'!$DD:$DD)</f>
        <v>0</v>
      </c>
      <c r="HA130" s="6">
        <f>SUMIF('Eredeti fejléccel'!$B:$B,'Felosztás eredménykim'!$B130,'Eredeti fejléccel'!$DE:$DE)</f>
        <v>4267529</v>
      </c>
      <c r="HB130" s="103">
        <f t="shared" si="84"/>
        <v>7403051</v>
      </c>
      <c r="HD130" s="9">
        <f>SUM(D130:HA130)-W130-X130-AD130-AE130-AF130-AG130-AK130-AL130-AM130-AS130-AT130-AU130-BE130-BF130-BG130-BL130-BM130-BN130-BO130-CB130-CC130-CD130-CI130-CJ130-CK130-CN130-CO130-CP130-CR130-CX130-DA130-DC130-DG130-DH130-DL130-EW130-EX130-EY130-EZ130-FA130-FF130-FG130-FI130-FJ130-FM130-FN130-FO130-FS130-FT130-FU130-GA130-GB130-GC130-GF130-GG130-GR130-GS130-GT130-GU130-GW130</f>
        <v>193923334.0000003</v>
      </c>
      <c r="HE130" s="9">
        <v>193923334</v>
      </c>
      <c r="HF130" s="476"/>
      <c r="HH130" s="34">
        <f t="shared" si="85"/>
        <v>2.9802322387695313E-7</v>
      </c>
    </row>
    <row r="131" spans="1:232" x14ac:dyDescent="0.25">
      <c r="A131" s="4" t="s">
        <v>772</v>
      </c>
      <c r="B131" s="4" t="s">
        <v>772</v>
      </c>
      <c r="C131" s="1" t="s">
        <v>773</v>
      </c>
      <c r="D131" s="6">
        <f>SUMIF('Eredeti fejléccel'!$B:$B,'Felosztás eredménykim'!$B131,'Eredeti fejléccel'!$D:$D)</f>
        <v>0</v>
      </c>
      <c r="E131" s="6">
        <f>SUMIF('Eredeti fejléccel'!$B:$B,'Felosztás eredménykim'!$B131,'Eredeti fejléccel'!$E:$E)</f>
        <v>0</v>
      </c>
      <c r="F131" s="6">
        <f>SUMIF('Eredeti fejléccel'!$B:$B,'Felosztás eredménykim'!$B131,'Eredeti fejléccel'!$F:$F)</f>
        <v>0</v>
      </c>
      <c r="G131" s="6">
        <f>SUMIF('Eredeti fejléccel'!$B:$B,'Felosztás eredménykim'!$B131,'Eredeti fejléccel'!$G:$G)</f>
        <v>0</v>
      </c>
      <c r="H131" s="6"/>
      <c r="I131" s="6">
        <f>SUMIF('Eredeti fejléccel'!$B:$B,'Felosztás eredménykim'!$B131,'Eredeti fejléccel'!$O:$O)</f>
        <v>0</v>
      </c>
      <c r="J131" s="6">
        <f>SUMIF('Eredeti fejléccel'!$B:$B,'Felosztás eredménykim'!$B131,'Eredeti fejléccel'!$P:$P)</f>
        <v>0</v>
      </c>
      <c r="K131" s="6">
        <f>SUMIF('Eredeti fejléccel'!$B:$B,'Felosztás eredménykim'!$B131,'Eredeti fejléccel'!$Q:$Q)</f>
        <v>0</v>
      </c>
      <c r="L131" s="6">
        <f>SUMIF('Eredeti fejléccel'!$B:$B,'Felosztás eredménykim'!$B131,'Eredeti fejléccel'!$R:$R)</f>
        <v>0</v>
      </c>
      <c r="M131" s="6">
        <f>SUMIF('Eredeti fejléccel'!$B:$B,'Felosztás eredménykim'!$B131,'Eredeti fejléccel'!$T:$T)</f>
        <v>0</v>
      </c>
      <c r="N131" s="6">
        <f>SUMIF('Eredeti fejléccel'!$B:$B,'Felosztás eredménykim'!$B131,'Eredeti fejléccel'!$U:$U)</f>
        <v>0</v>
      </c>
      <c r="O131" s="6">
        <f>SUMIF('Eredeti fejléccel'!$B:$B,'Felosztás eredménykim'!$B131,'Eredeti fejléccel'!$V:$V)</f>
        <v>0</v>
      </c>
      <c r="P131" s="6">
        <f>SUMIF('Eredeti fejléccel'!$B:$B,'Felosztás eredménykim'!$B131,'Eredeti fejléccel'!$W:$W)</f>
        <v>0</v>
      </c>
      <c r="Q131" s="6">
        <f>SUMIF('Eredeti fejléccel'!$B:$B,'Felosztás eredménykim'!$B131,'Eredeti fejléccel'!$X:$X)</f>
        <v>0</v>
      </c>
      <c r="R131" s="6">
        <f>SUMIF('Eredeti fejléccel'!$B:$B,'Felosztás eredménykim'!$B131,'Eredeti fejléccel'!$Y:$Y)</f>
        <v>0</v>
      </c>
      <c r="S131" s="6">
        <f>SUMIF('Eredeti fejléccel'!$B:$B,'Felosztás eredménykim'!$B131,'Eredeti fejléccel'!$Z:$Z)</f>
        <v>0</v>
      </c>
      <c r="T131" s="6">
        <f>SUMIF('Eredeti fejléccel'!$B:$B,'Felosztás eredménykim'!$B131,'Eredeti fejléccel'!$AA:$AA)</f>
        <v>0</v>
      </c>
      <c r="U131" s="6">
        <f>SUMIF('Eredeti fejléccel'!$B:$B,'Felosztás eredménykim'!$B131,'Eredeti fejléccel'!$D:$D)</f>
        <v>0</v>
      </c>
      <c r="V131" s="6">
        <f>SUMIF('Eredeti fejléccel'!$B:$B,'Felosztás eredménykim'!$B131,'Eredeti fejléccel'!$AT:$AT)</f>
        <v>0</v>
      </c>
      <c r="X131" s="36">
        <f t="shared" si="86"/>
        <v>0</v>
      </c>
      <c r="Z131" s="6">
        <f>SUMIF('Eredeti fejléccel'!$B:$B,'Felosztás eredménykim'!$B131,'Eredeti fejléccel'!$K:$K)</f>
        <v>0</v>
      </c>
      <c r="AB131" s="6">
        <f>SUMIF('Eredeti fejléccel'!$B:$B,'Felosztás eredménykim'!$B131,'Eredeti fejléccel'!$AB:$AB)</f>
        <v>0</v>
      </c>
      <c r="AC131" s="6">
        <f>SUMIF('Eredeti fejléccel'!$B:$B,'Felosztás eredménykim'!$B131,'Eredeti fejléccel'!$AQ:$AQ)</f>
        <v>0</v>
      </c>
      <c r="AE131" s="73">
        <f t="shared" si="131"/>
        <v>0</v>
      </c>
      <c r="AF131" s="36">
        <f t="shared" si="138"/>
        <v>0</v>
      </c>
      <c r="AG131" s="8">
        <f t="shared" si="88"/>
        <v>0</v>
      </c>
      <c r="AI131" s="6">
        <f>SUMIF('Eredeti fejléccel'!$B:$B,'Felosztás eredménykim'!$B131,'Eredeti fejléccel'!$BB:$BB)</f>
        <v>0</v>
      </c>
      <c r="AJ131" s="6">
        <f>SUMIF('Eredeti fejléccel'!$B:$B,'Felosztás eredménykim'!$B131,'Eredeti fejléccel'!$AF:$AF)</f>
        <v>0</v>
      </c>
      <c r="AK131" s="8">
        <f t="shared" ref="AK131:AK216" si="177">SUM(AG131:AJ131)</f>
        <v>0</v>
      </c>
      <c r="AL131" s="36">
        <f t="shared" si="139"/>
        <v>0</v>
      </c>
      <c r="AM131" s="8">
        <f t="shared" si="90"/>
        <v>0</v>
      </c>
      <c r="AN131" s="6">
        <f t="shared" si="123"/>
        <v>0</v>
      </c>
      <c r="AO131" s="6">
        <f>SUMIF('Eredeti fejléccel'!$B:$B,'Felosztás eredménykim'!$B131,'Eredeti fejléccel'!$AC:$AC)</f>
        <v>0</v>
      </c>
      <c r="AP131" s="6">
        <f>SUMIF('Eredeti fejléccel'!$B:$B,'Felosztás eredménykim'!$B131,'Eredeti fejléccel'!$AD:$AD)</f>
        <v>0</v>
      </c>
      <c r="AQ131" s="6">
        <f>SUMIF('Eredeti fejléccel'!$B:$B,'Felosztás eredménykim'!$B131,'Eredeti fejléccel'!$AE:$AE)</f>
        <v>0</v>
      </c>
      <c r="AR131" s="6">
        <f>SUMIF('Eredeti fejléccel'!$B:$B,'Felosztás eredménykim'!$B131,'Eredeti fejléccel'!$AG:$AG)</f>
        <v>0</v>
      </c>
      <c r="AS131" s="6">
        <f t="shared" si="124"/>
        <v>0</v>
      </c>
      <c r="AT131" s="36">
        <f t="shared" si="140"/>
        <v>0</v>
      </c>
      <c r="AU131" s="8">
        <f t="shared" si="92"/>
        <v>0</v>
      </c>
      <c r="AV131" s="6">
        <f>SUMIF('Eredeti fejléccel'!$B:$B,'Felosztás eredménykim'!$B131,'Eredeti fejléccel'!$AI:$AI)</f>
        <v>0</v>
      </c>
      <c r="AW131" s="6">
        <f>SUMIF('Eredeti fejléccel'!$B:$B,'Felosztás eredménykim'!$B131,'Eredeti fejléccel'!$AJ:$AJ)</f>
        <v>0</v>
      </c>
      <c r="AX131" s="6">
        <f>SUMIF('Eredeti fejléccel'!$B:$B,'Felosztás eredménykim'!$B131,'Eredeti fejléccel'!$AK:$AK)</f>
        <v>0</v>
      </c>
      <c r="AY131" s="6">
        <f>SUMIF('Eredeti fejléccel'!$B:$B,'Felosztás eredménykim'!$B131,'Eredeti fejléccel'!$AL:$AL)</f>
        <v>0</v>
      </c>
      <c r="AZ131" s="6">
        <f>SUMIF('Eredeti fejléccel'!$B:$B,'Felosztás eredménykim'!$B131,'Eredeti fejléccel'!$AM:$AM)</f>
        <v>0</v>
      </c>
      <c r="BA131" s="6">
        <f>SUMIF('Eredeti fejléccel'!$B:$B,'Felosztás eredménykim'!$B131,'Eredeti fejléccel'!$AN:$AN)</f>
        <v>0</v>
      </c>
      <c r="BB131" s="6">
        <f>SUMIF('Eredeti fejléccel'!$B:$B,'Felosztás eredménykim'!$B131,'Eredeti fejléccel'!$AP:$AP)</f>
        <v>0</v>
      </c>
      <c r="BD131" s="6">
        <f>SUMIF('Eredeti fejléccel'!$B:$B,'Felosztás eredménykim'!$B131,'Eredeti fejléccel'!$AS:$AS)</f>
        <v>0</v>
      </c>
      <c r="BE131" s="8">
        <f t="shared" si="74"/>
        <v>0</v>
      </c>
      <c r="BF131" s="36">
        <f t="shared" si="141"/>
        <v>0</v>
      </c>
      <c r="BG131" s="8">
        <f t="shared" si="94"/>
        <v>0</v>
      </c>
      <c r="BH131" s="6">
        <f t="shared" si="125"/>
        <v>0</v>
      </c>
      <c r="BI131" s="6">
        <f>SUMIF('Eredeti fejléccel'!$B:$B,'Felosztás eredménykim'!$B131,'Eredeti fejléccel'!$AH:$AH)</f>
        <v>0</v>
      </c>
      <c r="BJ131" s="6">
        <f>SUMIF('Eredeti fejléccel'!$B:$B,'Felosztás eredménykim'!$B131,'Eredeti fejléccel'!$AO:$AO)</f>
        <v>0</v>
      </c>
      <c r="BK131" s="6">
        <f>SUMIF('Eredeti fejléccel'!$B:$B,'Felosztás eredménykim'!$B131,'Eredeti fejléccel'!$BF:$BF)</f>
        <v>0</v>
      </c>
      <c r="BL131" s="8">
        <f t="shared" si="126"/>
        <v>0</v>
      </c>
      <c r="BM131" s="36">
        <f t="shared" si="142"/>
        <v>0</v>
      </c>
      <c r="BN131" s="8">
        <f t="shared" si="96"/>
        <v>0</v>
      </c>
      <c r="BP131" s="8">
        <f t="shared" si="127"/>
        <v>0</v>
      </c>
      <c r="BQ131" s="6">
        <f>SUMIF('Eredeti fejléccel'!$B:$B,'Felosztás eredménykim'!$B131,'Eredeti fejléccel'!$N:$N)</f>
        <v>0</v>
      </c>
      <c r="BR131" s="6">
        <f>SUMIF('Eredeti fejléccel'!$B:$B,'Felosztás eredménykim'!$B131,'Eredeti fejléccel'!$S:$S)</f>
        <v>0</v>
      </c>
      <c r="BT131" s="6">
        <f>SUMIF('Eredeti fejléccel'!$B:$B,'Felosztás eredménykim'!$B131,'Eredeti fejléccel'!$AR:$AR)</f>
        <v>0</v>
      </c>
      <c r="BU131" s="6">
        <f>SUMIF('Eredeti fejléccel'!$B:$B,'Felosztás eredménykim'!$B131,'Eredeti fejléccel'!$AU:$AU)</f>
        <v>0</v>
      </c>
      <c r="BV131" s="6">
        <f>SUMIF('Eredeti fejléccel'!$B:$B,'Felosztás eredménykim'!$B131,'Eredeti fejléccel'!$AV:$AV)</f>
        <v>0</v>
      </c>
      <c r="BW131" s="6">
        <f>SUMIF('Eredeti fejléccel'!$B:$B,'Felosztás eredménykim'!$B131,'Eredeti fejléccel'!$AW:$AW)</f>
        <v>0</v>
      </c>
      <c r="BX131" s="6">
        <f>SUMIF('Eredeti fejléccel'!$B:$B,'Felosztás eredménykim'!$B131,'Eredeti fejléccel'!$AX:$AX)</f>
        <v>0</v>
      </c>
      <c r="BY131" s="6">
        <f>SUMIF('Eredeti fejléccel'!$B:$B,'Felosztás eredménykim'!$B131,'Eredeti fejléccel'!$AY:$AY)</f>
        <v>0</v>
      </c>
      <c r="BZ131" s="6">
        <f>SUMIF('Eredeti fejléccel'!$B:$B,'Felosztás eredménykim'!$B131,'Eredeti fejléccel'!$AZ:$AZ)</f>
        <v>0</v>
      </c>
      <c r="CA131" s="6">
        <f>SUMIF('Eredeti fejléccel'!$B:$B,'Felosztás eredménykim'!$B131,'Eredeti fejléccel'!$BA:$BA)</f>
        <v>0</v>
      </c>
      <c r="CB131" s="6">
        <f t="shared" si="114"/>
        <v>0</v>
      </c>
      <c r="CC131" s="36">
        <f t="shared" si="143"/>
        <v>0</v>
      </c>
      <c r="CD131" s="8">
        <f t="shared" si="98"/>
        <v>0</v>
      </c>
      <c r="CE131" s="6">
        <f>SUMIF('Eredeti fejléccel'!$B:$B,'Felosztás eredménykim'!$B131,'Eredeti fejléccel'!$BC:$BC)</f>
        <v>0</v>
      </c>
      <c r="CF131" s="8">
        <f t="shared" si="135"/>
        <v>0</v>
      </c>
      <c r="CG131" s="6">
        <f>SUMIF('Eredeti fejléccel'!$B:$B,'Felosztás eredménykim'!$B131,'Eredeti fejléccel'!$H:$H)</f>
        <v>0</v>
      </c>
      <c r="CH131" s="6">
        <f>SUMIF('Eredeti fejléccel'!$B:$B,'Felosztás eredménykim'!$B131,'Eredeti fejléccel'!$BE:$BE)</f>
        <v>0</v>
      </c>
      <c r="CI131" s="6">
        <f t="shared" si="75"/>
        <v>0</v>
      </c>
      <c r="CJ131" s="36">
        <f t="shared" si="144"/>
        <v>0</v>
      </c>
      <c r="CK131" s="8">
        <f t="shared" si="100"/>
        <v>0</v>
      </c>
      <c r="CL131" s="8">
        <f t="shared" si="136"/>
        <v>0</v>
      </c>
      <c r="CM131" s="6">
        <f>SUMIF('Eredeti fejléccel'!$B:$B,'Felosztás eredménykim'!$B131,'Eredeti fejléccel'!$BD:$BD)</f>
        <v>0</v>
      </c>
      <c r="CN131" s="8">
        <f t="shared" si="76"/>
        <v>0</v>
      </c>
      <c r="CO131" s="8">
        <f t="shared" si="115"/>
        <v>0</v>
      </c>
      <c r="CR131" s="36">
        <f t="shared" si="101"/>
        <v>0</v>
      </c>
      <c r="CS131" s="6">
        <f>SUMIF('Eredeti fejléccel'!$B:$B,'Felosztás eredménykim'!$B131,'Eredeti fejléccel'!$I:$I)</f>
        <v>0</v>
      </c>
      <c r="CT131" s="6">
        <f>SUMIF('Eredeti fejléccel'!$B:$B,'Felosztás eredménykim'!$B131,'Eredeti fejléccel'!$BG:$BG)</f>
        <v>0</v>
      </c>
      <c r="CU131" s="6">
        <f>SUMIF('Eredeti fejléccel'!$B:$B,'Felosztás eredménykim'!$B131,'Eredeti fejléccel'!$BH:$BH)</f>
        <v>173000</v>
      </c>
      <c r="CV131" s="6">
        <f>SUMIF('Eredeti fejléccel'!$B:$B,'Felosztás eredménykim'!$B131,'Eredeti fejléccel'!$BI:$BI)</f>
        <v>0</v>
      </c>
      <c r="CW131" s="6">
        <f>SUMIF('Eredeti fejléccel'!$B:$B,'Felosztás eredménykim'!$B131,'Eredeti fejléccel'!$BL:$BL)</f>
        <v>0</v>
      </c>
      <c r="CX131" s="6">
        <f t="shared" si="77"/>
        <v>173000</v>
      </c>
      <c r="CY131" s="6">
        <f>SUMIF('Eredeti fejléccel'!$B:$B,'Felosztás eredménykim'!$B131,'Eredeti fejléccel'!$BJ:$BJ)</f>
        <v>0</v>
      </c>
      <c r="CZ131" s="6">
        <f>SUMIF('Eredeti fejléccel'!$B:$B,'Felosztás eredménykim'!$B131,'Eredeti fejléccel'!$BK:$BK)</f>
        <v>0</v>
      </c>
      <c r="DA131" s="99">
        <f t="shared" si="116"/>
        <v>173000</v>
      </c>
      <c r="DC131" s="36">
        <f t="shared" si="102"/>
        <v>0</v>
      </c>
      <c r="DD131" s="6">
        <f>SUMIF('Eredeti fejléccel'!$B:$B,'Felosztás eredménykim'!$B131,'Eredeti fejléccel'!$J:$J)</f>
        <v>0</v>
      </c>
      <c r="DE131" s="6">
        <f>SUMIF('Eredeti fejléccel'!$B:$B,'Felosztás eredménykim'!$B131,'Eredeti fejléccel'!$BM:$BM)</f>
        <v>0</v>
      </c>
      <c r="DF131" s="6">
        <f t="shared" si="128"/>
        <v>0</v>
      </c>
      <c r="DG131" s="8">
        <f t="shared" si="117"/>
        <v>0</v>
      </c>
      <c r="DH131" s="8">
        <f t="shared" si="129"/>
        <v>0</v>
      </c>
      <c r="DJ131" s="6">
        <f>SUMIF('Eredeti fejléccel'!$B:$B,'Felosztás eredménykim'!$B131,'Eredeti fejléccel'!$BN:$BN)</f>
        <v>0</v>
      </c>
      <c r="DK131" s="6">
        <f>SUMIF('Eredeti fejléccel'!$B:$B,'Felosztás eredménykim'!$B131,'Eredeti fejléccel'!$BZ:$BZ)</f>
        <v>0</v>
      </c>
      <c r="DL131" s="8">
        <f t="shared" si="130"/>
        <v>0</v>
      </c>
      <c r="DM131" s="6">
        <f>SUMIF('Eredeti fejléccel'!$B:$B,'Felosztás eredménykim'!$B131,'Eredeti fejléccel'!$BR:$BR)</f>
        <v>0</v>
      </c>
      <c r="DN131" s="6">
        <f>SUMIF('Eredeti fejléccel'!$B:$B,'Felosztás eredménykim'!$B131,'Eredeti fejléccel'!$BS:$BS)</f>
        <v>0</v>
      </c>
      <c r="DO131" s="6">
        <f>SUMIF('Eredeti fejléccel'!$B:$B,'Felosztás eredménykim'!$B131,'Eredeti fejléccel'!$BO:$BO)</f>
        <v>0</v>
      </c>
      <c r="DP131" s="6">
        <f>SUMIF('Eredeti fejléccel'!$B:$B,'Felosztás eredménykim'!$B131,'Eredeti fejléccel'!$BP:$BP)</f>
        <v>0</v>
      </c>
      <c r="DQ131" s="6">
        <f>SUMIF('Eredeti fejléccel'!$B:$B,'Felosztás eredménykim'!$B131,'Eredeti fejléccel'!$BQ:$BQ)</f>
        <v>0</v>
      </c>
      <c r="DS131" s="8"/>
      <c r="DU131" s="6">
        <f>SUMIF('Eredeti fejléccel'!$B:$B,'Felosztás eredménykim'!$B131,'Eredeti fejléccel'!$BT:$BT)</f>
        <v>0</v>
      </c>
      <c r="DV131" s="6">
        <f>SUMIF('Eredeti fejléccel'!$B:$B,'Felosztás eredménykim'!$B131,'Eredeti fejléccel'!$BU:$BU)</f>
        <v>0</v>
      </c>
      <c r="DW131" s="6">
        <f>SUMIF('Eredeti fejléccel'!$B:$B,'Felosztás eredménykim'!$B131,'Eredeti fejléccel'!$BV:$BV)</f>
        <v>0</v>
      </c>
      <c r="DX131" s="6">
        <f>SUMIF('Eredeti fejléccel'!$B:$B,'Felosztás eredménykim'!$B131,'Eredeti fejléccel'!$BW:$BW)</f>
        <v>0</v>
      </c>
      <c r="DY131" s="6">
        <f>SUMIF('Eredeti fejléccel'!$B:$B,'Felosztás eredménykim'!$B131,'Eredeti fejléccel'!$BX:$BX)</f>
        <v>0</v>
      </c>
      <c r="EA131" s="6"/>
      <c r="EC131" s="6"/>
      <c r="EE131" s="6">
        <f>SUMIF('Eredeti fejléccel'!$B:$B,'Felosztás eredménykim'!$B131,'Eredeti fejléccel'!$CA:$CA)</f>
        <v>0</v>
      </c>
      <c r="EF131" s="6">
        <f>SUMIF('Eredeti fejléccel'!$B:$B,'Felosztás eredménykim'!$B131,'Eredeti fejléccel'!$CB:$CB)</f>
        <v>0</v>
      </c>
      <c r="EG131" s="6">
        <f>SUMIF('Eredeti fejléccel'!$B:$B,'Felosztás eredménykim'!$B131,'Eredeti fejléccel'!$CC:$CC)</f>
        <v>0</v>
      </c>
      <c r="EH131" s="6">
        <f>SUMIF('Eredeti fejléccel'!$B:$B,'Felosztás eredménykim'!$B131,'Eredeti fejléccel'!$CD:$CD)</f>
        <v>0</v>
      </c>
      <c r="EK131" s="6">
        <f>SUMIF('Eredeti fejléccel'!$B:$B,'Felosztás eredménykim'!$B131,'Eredeti fejléccel'!$CE:$CE)</f>
        <v>0</v>
      </c>
      <c r="EN131" s="6">
        <f>SUMIF('Eredeti fejléccel'!$B:$B,'Felosztás eredménykim'!$B131,'Eredeti fejléccel'!$CF:$CF)</f>
        <v>0</v>
      </c>
      <c r="EP131" s="6">
        <f>SUMIF('Eredeti fejléccel'!$B:$B,'Felosztás eredménykim'!$B131,'Eredeti fejléccel'!$CG:$CG)</f>
        <v>0</v>
      </c>
      <c r="ES131" s="6">
        <f>SUMIF('Eredeti fejléccel'!$B:$B,'Felosztás eredménykim'!$B131,'Eredeti fejléccel'!$CH:$CH)</f>
        <v>0</v>
      </c>
      <c r="ET131" s="6">
        <f>SUMIF('Eredeti fejléccel'!$B:$B,'Felosztás eredménykim'!$B131,'Eredeti fejléccel'!$CI:$CI)</f>
        <v>0</v>
      </c>
      <c r="EW131" s="8">
        <f t="shared" si="118"/>
        <v>0</v>
      </c>
      <c r="EX131" s="8">
        <f t="shared" si="78"/>
        <v>0</v>
      </c>
      <c r="EY131" s="8">
        <f t="shared" si="119"/>
        <v>0</v>
      </c>
      <c r="EZ131" s="8">
        <f t="shared" si="120"/>
        <v>0</v>
      </c>
      <c r="FA131" s="8">
        <f t="shared" si="121"/>
        <v>0</v>
      </c>
      <c r="FC131" s="6">
        <f>SUMIF('Eredeti fejléccel'!$B:$B,'Felosztás eredménykim'!$B131,'Eredeti fejléccel'!$L:$L)</f>
        <v>0</v>
      </c>
      <c r="FD131" s="6">
        <f>SUMIF('Eredeti fejléccel'!$B:$B,'Felosztás eredménykim'!$B131,'Eredeti fejléccel'!$CJ:$CJ)</f>
        <v>0</v>
      </c>
      <c r="FE131" s="6">
        <f>SUMIF('Eredeti fejléccel'!$B:$B,'Felosztás eredménykim'!$B131,'Eredeti fejléccel'!$CL:$CL)</f>
        <v>0</v>
      </c>
      <c r="FG131" s="99">
        <f t="shared" si="79"/>
        <v>0</v>
      </c>
      <c r="FH131" s="6">
        <f>SUMIF('Eredeti fejléccel'!$B:$B,'Felosztás eredménykim'!$B131,'Eredeti fejléccel'!$CK:$CK)</f>
        <v>0</v>
      </c>
      <c r="FI131" s="36">
        <f t="shared" si="145"/>
        <v>0</v>
      </c>
      <c r="FJ131" s="101">
        <f t="shared" si="104"/>
        <v>0</v>
      </c>
      <c r="FK131" s="6">
        <f>SUMIF('Eredeti fejléccel'!$B:$B,'Felosztás eredménykim'!$B131,'Eredeti fejléccel'!$CM:$CM)</f>
        <v>0</v>
      </c>
      <c r="FL131" s="6">
        <f>SUMIF('Eredeti fejléccel'!$B:$B,'Felosztás eredménykim'!$B131,'Eredeti fejléccel'!$CN:$CN)</f>
        <v>0</v>
      </c>
      <c r="FM131" s="8">
        <f t="shared" si="80"/>
        <v>0</v>
      </c>
      <c r="FN131" s="36">
        <f t="shared" si="146"/>
        <v>0</v>
      </c>
      <c r="FO131" s="101">
        <f t="shared" si="106"/>
        <v>0</v>
      </c>
      <c r="FP131" s="6">
        <f>SUMIF('Eredeti fejléccel'!$B:$B,'Felosztás eredménykim'!$B131,'Eredeti fejléccel'!$CO:$CO)</f>
        <v>0</v>
      </c>
      <c r="FQ131" s="6">
        <f>'Eredeti fejléccel'!CP131</f>
        <v>22000</v>
      </c>
      <c r="FR131" s="6">
        <f>'Eredeti fejléccel'!CQ131</f>
        <v>0</v>
      </c>
      <c r="FS131" s="103">
        <f t="shared" si="122"/>
        <v>22000</v>
      </c>
      <c r="FT131" s="36">
        <f t="shared" si="147"/>
        <v>0</v>
      </c>
      <c r="FU131" s="101">
        <f t="shared" si="108"/>
        <v>0</v>
      </c>
      <c r="FV131" s="101"/>
      <c r="FW131" s="6">
        <f>SUMIF('Eredeti fejléccel'!$B:$B,'Felosztás eredménykim'!$B131,'Eredeti fejléccel'!$CR:$CR)</f>
        <v>3446000</v>
      </c>
      <c r="FX131" s="6">
        <f>SUMIF('Eredeti fejléccel'!$B:$B,'Felosztás eredménykim'!$B131,'Eredeti fejléccel'!$CS:$CS)</f>
        <v>0</v>
      </c>
      <c r="FY131" s="6">
        <f>SUMIF('Eredeti fejléccel'!$B:$B,'Felosztás eredménykim'!$B131,'Eredeti fejléccel'!$CT:$CT)</f>
        <v>0</v>
      </c>
      <c r="FZ131" s="6">
        <f>SUMIF('Eredeti fejléccel'!$B:$B,'Felosztás eredménykim'!$B131,'Eredeti fejléccel'!$CU:$CU)</f>
        <v>0</v>
      </c>
      <c r="GA131" s="103">
        <f t="shared" si="81"/>
        <v>3446000</v>
      </c>
      <c r="GB131" s="36">
        <f t="shared" si="148"/>
        <v>0</v>
      </c>
      <c r="GC131" s="101">
        <f t="shared" si="110"/>
        <v>0</v>
      </c>
      <c r="GD131" s="6">
        <f>SUMIF('Eredeti fejléccel'!$B:$B,'Felosztás eredménykim'!$B131,'Eredeti fejléccel'!$CV:$CV)</f>
        <v>0</v>
      </c>
      <c r="GE131" s="6">
        <f>SUMIF('Eredeti fejléccel'!$B:$B,'Felosztás eredménykim'!$B131,'Eredeti fejléccel'!$CW:$CW)</f>
        <v>0</v>
      </c>
      <c r="GF131" s="103">
        <f t="shared" si="82"/>
        <v>0</v>
      </c>
      <c r="GG131" s="36">
        <f t="shared" si="111"/>
        <v>0</v>
      </c>
      <c r="GM131" s="6">
        <f>SUMIF('Eredeti fejléccel'!$B:$B,'Felosztás eredménykim'!$B131,'Eredeti fejléccel'!$CX:$CX)</f>
        <v>0</v>
      </c>
      <c r="GN131" s="6">
        <f>SUMIF('Eredeti fejléccel'!$B:$B,'Felosztás eredménykim'!$B131,'Eredeti fejléccel'!$CY:$CY)</f>
        <v>0</v>
      </c>
      <c r="GO131" s="6">
        <f>SUMIF('Eredeti fejléccel'!$B:$B,'Felosztás eredménykim'!$B131,'Eredeti fejléccel'!$CZ:$CZ)</f>
        <v>0</v>
      </c>
      <c r="GP131" s="6">
        <f>SUMIF('Eredeti fejléccel'!$B:$B,'Felosztás eredménykim'!$B131,'Eredeti fejléccel'!$DA:$DA)</f>
        <v>0</v>
      </c>
      <c r="GQ131" s="6">
        <f>SUMIF('Eredeti fejléccel'!$B:$B,'Felosztás eredménykim'!$B131,'Eredeti fejléccel'!$DB:$DB)</f>
        <v>0</v>
      </c>
      <c r="GR131" s="103">
        <f t="shared" si="83"/>
        <v>0</v>
      </c>
      <c r="GW131" s="36">
        <f t="shared" si="112"/>
        <v>0</v>
      </c>
      <c r="GX131" s="6">
        <f>SUMIF('Eredeti fejléccel'!$B:$B,'Felosztás eredménykim'!$B131,'Eredeti fejléccel'!$M:$M)</f>
        <v>0</v>
      </c>
      <c r="GY131" s="6">
        <f>SUMIF('Eredeti fejléccel'!$B:$B,'Felosztás eredménykim'!$B131,'Eredeti fejléccel'!$DC:$DC)</f>
        <v>0</v>
      </c>
      <c r="GZ131" s="6">
        <f>SUMIF('Eredeti fejléccel'!$B:$B,'Felosztás eredménykim'!$B131,'Eredeti fejléccel'!$DD:$DD)</f>
        <v>0</v>
      </c>
      <c r="HA131" s="6">
        <f>SUMIF('Eredeti fejléccel'!$B:$B,'Felosztás eredménykim'!$B131,'Eredeti fejléccel'!$DE:$DE)</f>
        <v>112000</v>
      </c>
      <c r="HB131" s="103">
        <f t="shared" si="84"/>
        <v>112000</v>
      </c>
      <c r="HD131" s="9">
        <f>SUM(D131:HA131)-W131-X131-AD131-AE131-AF131-AG131-AK131-AL131-AM131-AS131-AT131-AU131-BE131-BF131-BG131-BL131-BM131-BN131-CB131-CC131-CD131-CI131-CJ131-CK131-CN131-CO131-CP131-CR131-CX131-DA131-DC131-DG131-DH131-DL131-EW131-EX131-EY131-EZ131-FA131-FF131-FG131-FI131-FJ131-FM131-FN131-FO131-FS131-FT131-FU131-GA131-GB131-GC131-GF131-GG131-GR131-GS131-GT131-GU131-GW131</f>
        <v>3753000</v>
      </c>
      <c r="HE131" s="9">
        <v>3753000</v>
      </c>
      <c r="HF131" s="476"/>
      <c r="HH131" s="34">
        <f t="shared" si="85"/>
        <v>0</v>
      </c>
    </row>
    <row r="132" spans="1:232" x14ac:dyDescent="0.25">
      <c r="A132" s="4" t="s">
        <v>1499</v>
      </c>
      <c r="B132" s="4" t="s">
        <v>1499</v>
      </c>
      <c r="C132" s="1" t="s">
        <v>1500</v>
      </c>
      <c r="D132" s="6">
        <f>SUMIF('Eredeti fejléccel'!$B:$B,'Felosztás eredménykim'!$B132,'Eredeti fejléccel'!$D:$D)</f>
        <v>0</v>
      </c>
      <c r="E132" s="6">
        <f>SUMIF('Eredeti fejléccel'!$B:$B,'Felosztás eredménykim'!$B132,'Eredeti fejléccel'!$E:$E)</f>
        <v>1369682</v>
      </c>
      <c r="F132" s="6">
        <f>SUMIF('Eredeti fejléccel'!$B:$B,'Felosztás eredménykim'!$B132,'Eredeti fejléccel'!$F:$F)</f>
        <v>0</v>
      </c>
      <c r="G132" s="6">
        <f>SUMIF('Eredeti fejléccel'!$B:$B,'Felosztás eredménykim'!$B132,'Eredeti fejléccel'!$G:$G)</f>
        <v>0</v>
      </c>
      <c r="H132" s="6"/>
      <c r="I132" s="6">
        <f>SUMIF('Eredeti fejléccel'!$B:$B,'Felosztás eredménykim'!$B132,'Eredeti fejléccel'!$O:$O)</f>
        <v>0</v>
      </c>
      <c r="J132" s="6">
        <f>SUMIF('Eredeti fejléccel'!$B:$B,'Felosztás eredménykim'!$B132,'Eredeti fejléccel'!$P:$P)</f>
        <v>0</v>
      </c>
      <c r="K132" s="6">
        <f>SUMIF('Eredeti fejléccel'!$B:$B,'Felosztás eredménykim'!$B132,'Eredeti fejléccel'!$Q:$Q)</f>
        <v>0</v>
      </c>
      <c r="L132" s="6">
        <f>SUMIF('Eredeti fejléccel'!$B:$B,'Felosztás eredménykim'!$B132,'Eredeti fejléccel'!$R:$R)</f>
        <v>0</v>
      </c>
      <c r="M132" s="6">
        <f>SUMIF('Eredeti fejléccel'!$B:$B,'Felosztás eredménykim'!$B132,'Eredeti fejléccel'!$T:$T)</f>
        <v>0</v>
      </c>
      <c r="N132" s="6">
        <f>SUMIF('Eredeti fejléccel'!$B:$B,'Felosztás eredménykim'!$B132,'Eredeti fejléccel'!$U:$U)</f>
        <v>0</v>
      </c>
      <c r="O132" s="6">
        <f>SUMIF('Eredeti fejléccel'!$B:$B,'Felosztás eredménykim'!$B132,'Eredeti fejléccel'!$V:$V)</f>
        <v>0</v>
      </c>
      <c r="P132" s="6">
        <f>SUMIF('Eredeti fejléccel'!$B:$B,'Felosztás eredménykim'!$B132,'Eredeti fejléccel'!$W:$W)</f>
        <v>0</v>
      </c>
      <c r="Q132" s="6">
        <f>SUMIF('Eredeti fejléccel'!$B:$B,'Felosztás eredménykim'!$B132,'Eredeti fejléccel'!$X:$X)</f>
        <v>0</v>
      </c>
      <c r="R132" s="6">
        <f>SUMIF('Eredeti fejléccel'!$B:$B,'Felosztás eredménykim'!$B132,'Eredeti fejléccel'!$Y:$Y)</f>
        <v>0</v>
      </c>
      <c r="S132" s="6">
        <f>SUMIF('Eredeti fejléccel'!$B:$B,'Felosztás eredménykim'!$B132,'Eredeti fejléccel'!$Z:$Z)</f>
        <v>0</v>
      </c>
      <c r="T132" s="6">
        <f>SUMIF('Eredeti fejléccel'!$B:$B,'Felosztás eredménykim'!$B132,'Eredeti fejléccel'!$AA:$AA)</f>
        <v>0</v>
      </c>
      <c r="U132" s="6">
        <f>SUMIF('Eredeti fejléccel'!$B:$B,'Felosztás eredménykim'!$B132,'Eredeti fejléccel'!$D:$D)</f>
        <v>0</v>
      </c>
      <c r="V132" s="6">
        <f>SUMIF('Eredeti fejléccel'!$B:$B,'Felosztás eredménykim'!$B132,'Eredeti fejléccel'!$AT:$AT)</f>
        <v>0</v>
      </c>
      <c r="X132" s="36">
        <f t="shared" si="86"/>
        <v>1369682</v>
      </c>
      <c r="Z132" s="6">
        <f>SUMIF('Eredeti fejléccel'!$B:$B,'Felosztás eredménykim'!$B132,'Eredeti fejléccel'!$K:$K)</f>
        <v>0</v>
      </c>
      <c r="AB132" s="6">
        <f>SUMIF('Eredeti fejléccel'!$B:$B,'Felosztás eredménykim'!$B132,'Eredeti fejléccel'!$AB:$AB)</f>
        <v>0</v>
      </c>
      <c r="AC132" s="6">
        <f>SUMIF('Eredeti fejléccel'!$B:$B,'Felosztás eredménykim'!$B132,'Eredeti fejléccel'!$AQ:$AQ)</f>
        <v>0</v>
      </c>
      <c r="AE132" s="73">
        <f>SUM(Z132:AD132)</f>
        <v>0</v>
      </c>
      <c r="AF132" s="36">
        <f t="shared" si="138"/>
        <v>163395.72320572691</v>
      </c>
      <c r="AG132" s="8">
        <f t="shared" si="88"/>
        <v>0</v>
      </c>
      <c r="AI132" s="6">
        <f>SUMIF('Eredeti fejléccel'!$B:$B,'Felosztás eredménykim'!$B132,'Eredeti fejléccel'!$BB:$BB)</f>
        <v>0</v>
      </c>
      <c r="AJ132" s="6">
        <f>SUMIF('Eredeti fejléccel'!$B:$B,'Felosztás eredménykim'!$B132,'Eredeti fejléccel'!$AF:$AF)</f>
        <v>0</v>
      </c>
      <c r="AK132" s="8">
        <f>SUM(AG132:AJ132)</f>
        <v>0</v>
      </c>
      <c r="AL132" s="36">
        <f t="shared" si="139"/>
        <v>64899.956257870777</v>
      </c>
      <c r="AM132" s="8">
        <f t="shared" si="90"/>
        <v>0</v>
      </c>
      <c r="AN132" s="6">
        <f>-AO132/2</f>
        <v>0</v>
      </c>
      <c r="AO132" s="6">
        <f>SUMIF('Eredeti fejléccel'!$B:$B,'Felosztás eredménykim'!$B132,'Eredeti fejléccel'!$AC:$AC)</f>
        <v>0</v>
      </c>
      <c r="AP132" s="6">
        <f>SUMIF('Eredeti fejléccel'!$B:$B,'Felosztás eredménykim'!$B132,'Eredeti fejléccel'!$AD:$AD)</f>
        <v>0</v>
      </c>
      <c r="AQ132" s="6">
        <f>SUMIF('Eredeti fejléccel'!$B:$B,'Felosztás eredménykim'!$B132,'Eredeti fejléccel'!$AE:$AE)</f>
        <v>0</v>
      </c>
      <c r="AR132" s="6">
        <f>SUMIF('Eredeti fejléccel'!$B:$B,'Felosztás eredménykim'!$B132,'Eredeti fejléccel'!$AG:$AG)</f>
        <v>0</v>
      </c>
      <c r="AS132" s="6">
        <f>SUM(AM132:AR132)</f>
        <v>0</v>
      </c>
      <c r="AT132" s="36">
        <f t="shared" si="140"/>
        <v>105416.59561659802</v>
      </c>
      <c r="AU132" s="8">
        <f t="shared" si="92"/>
        <v>0</v>
      </c>
      <c r="AV132" s="6">
        <f>SUMIF('Eredeti fejléccel'!$B:$B,'Felosztás eredménykim'!$B132,'Eredeti fejléccel'!$AI:$AI)</f>
        <v>0</v>
      </c>
      <c r="AW132" s="6">
        <f>SUMIF('Eredeti fejléccel'!$B:$B,'Felosztás eredménykim'!$B132,'Eredeti fejléccel'!$AJ:$AJ)</f>
        <v>0</v>
      </c>
      <c r="AX132" s="6">
        <f>SUMIF('Eredeti fejléccel'!$B:$B,'Felosztás eredménykim'!$B132,'Eredeti fejléccel'!$AK:$AK)</f>
        <v>0</v>
      </c>
      <c r="AY132" s="6">
        <f>SUMIF('Eredeti fejléccel'!$B:$B,'Felosztás eredménykim'!$B132,'Eredeti fejléccel'!$AL:$AL)</f>
        <v>0</v>
      </c>
      <c r="AZ132" s="6">
        <f>SUMIF('Eredeti fejléccel'!$B:$B,'Felosztás eredménykim'!$B132,'Eredeti fejléccel'!$AM:$AM)</f>
        <v>0</v>
      </c>
      <c r="BA132" s="6">
        <f>SUMIF('Eredeti fejléccel'!$B:$B,'Felosztás eredménykim'!$B132,'Eredeti fejléccel'!$AN:$AN)</f>
        <v>0</v>
      </c>
      <c r="BB132" s="6">
        <f>SUMIF('Eredeti fejléccel'!$B:$B,'Felosztás eredménykim'!$B132,'Eredeti fejléccel'!$AP:$AP)</f>
        <v>0</v>
      </c>
      <c r="BD132" s="6">
        <f>SUMIF('Eredeti fejléccel'!$B:$B,'Felosztás eredménykim'!$B132,'Eredeti fejléccel'!$AS:$AS)</f>
        <v>0</v>
      </c>
      <c r="BE132" s="8">
        <f>SUM(AU132:BD132)</f>
        <v>0</v>
      </c>
      <c r="BF132" s="36">
        <f t="shared" si="141"/>
        <v>27499.981465199478</v>
      </c>
      <c r="BG132" s="8">
        <f t="shared" si="94"/>
        <v>0</v>
      </c>
      <c r="BH132" s="6">
        <f>AO132/2</f>
        <v>0</v>
      </c>
      <c r="BI132" s="6">
        <f>SUMIF('Eredeti fejléccel'!$B:$B,'Felosztás eredménykim'!$B132,'Eredeti fejléccel'!$AH:$AH)</f>
        <v>0</v>
      </c>
      <c r="BJ132" s="6">
        <f>SUMIF('Eredeti fejléccel'!$B:$B,'Felosztás eredménykim'!$B132,'Eredeti fejléccel'!$AO:$AO)</f>
        <v>0</v>
      </c>
      <c r="BK132" s="6">
        <f>SUMIF('Eredeti fejléccel'!$B:$B,'Felosztás eredménykim'!$B132,'Eredeti fejléccel'!$BF:$BF)</f>
        <v>0</v>
      </c>
      <c r="BL132" s="8">
        <f>SUM(BG132:BK132)</f>
        <v>0</v>
      </c>
      <c r="BM132" s="36">
        <f t="shared" si="142"/>
        <v>103033.26388961406</v>
      </c>
      <c r="BN132" s="8">
        <f t="shared" si="96"/>
        <v>0</v>
      </c>
      <c r="BP132" s="8">
        <f>-FV132</f>
        <v>0</v>
      </c>
      <c r="BQ132" s="6">
        <f>SUMIF('Eredeti fejléccel'!$B:$B,'Felosztás eredménykim'!$B132,'Eredeti fejléccel'!$N:$N)</f>
        <v>0</v>
      </c>
      <c r="BR132" s="6">
        <f>SUMIF('Eredeti fejléccel'!$B:$B,'Felosztás eredménykim'!$B132,'Eredeti fejléccel'!$S:$S)</f>
        <v>0</v>
      </c>
      <c r="BT132" s="6">
        <f>SUMIF('Eredeti fejléccel'!$B:$B,'Felosztás eredménykim'!$B132,'Eredeti fejléccel'!$AR:$AR)</f>
        <v>0</v>
      </c>
      <c r="BU132" s="6">
        <f>SUMIF('Eredeti fejléccel'!$B:$B,'Felosztás eredménykim'!$B132,'Eredeti fejléccel'!$AU:$AU)</f>
        <v>0</v>
      </c>
      <c r="BV132" s="6">
        <f>SUMIF('Eredeti fejléccel'!$B:$B,'Felosztás eredménykim'!$B132,'Eredeti fejléccel'!$AV:$AV)</f>
        <v>0</v>
      </c>
      <c r="BW132" s="6">
        <f>SUMIF('Eredeti fejléccel'!$B:$B,'Felosztás eredménykim'!$B132,'Eredeti fejléccel'!$AW:$AW)</f>
        <v>0</v>
      </c>
      <c r="BX132" s="6">
        <f>SUMIF('Eredeti fejléccel'!$B:$B,'Felosztás eredménykim'!$B132,'Eredeti fejléccel'!$AX:$AX)</f>
        <v>0</v>
      </c>
      <c r="BY132" s="6">
        <f>SUMIF('Eredeti fejléccel'!$B:$B,'Felosztás eredménykim'!$B132,'Eredeti fejléccel'!$AY:$AY)</f>
        <v>0</v>
      </c>
      <c r="BZ132" s="6">
        <f>SUMIF('Eredeti fejléccel'!$B:$B,'Felosztás eredménykim'!$B132,'Eredeti fejléccel'!$AZ:$AZ)</f>
        <v>0</v>
      </c>
      <c r="CA132" s="6">
        <f>SUMIF('Eredeti fejléccel'!$B:$B,'Felosztás eredménykim'!$B132,'Eredeti fejléccel'!$BA:$BA)</f>
        <v>0</v>
      </c>
      <c r="CB132" s="6">
        <f t="shared" ref="CB132" si="178">SUM(BN132:CA132)</f>
        <v>0</v>
      </c>
      <c r="CC132" s="36">
        <f t="shared" si="143"/>
        <v>28049.98109450347</v>
      </c>
      <c r="CD132" s="8">
        <f t="shared" si="98"/>
        <v>0</v>
      </c>
      <c r="CE132" s="6">
        <f>SUMIF('Eredeti fejléccel'!$B:$B,'Felosztás eredménykim'!$B132,'Eredeti fejléccel'!$BC:$BC)</f>
        <v>0</v>
      </c>
      <c r="CF132" s="8">
        <f>-CE132/2</f>
        <v>0</v>
      </c>
      <c r="CG132" s="6">
        <f>SUMIF('Eredeti fejléccel'!$B:$B,'Felosztás eredménykim'!$B132,'Eredeti fejléccel'!$H:$H)</f>
        <v>0</v>
      </c>
      <c r="CH132" s="6">
        <f>SUMIF('Eredeti fejléccel'!$B:$B,'Felosztás eredménykim'!$B132,'Eredeti fejléccel'!$BE:$BE)</f>
        <v>0</v>
      </c>
      <c r="CI132" s="6">
        <f>SUM(CD132:CH132)</f>
        <v>0</v>
      </c>
      <c r="CJ132" s="36">
        <f t="shared" si="144"/>
        <v>20166.653074479622</v>
      </c>
      <c r="CK132" s="8">
        <f t="shared" si="100"/>
        <v>0</v>
      </c>
      <c r="CL132" s="8">
        <f>CE132/2</f>
        <v>0</v>
      </c>
      <c r="CM132" s="6">
        <f>SUMIF('Eredeti fejléccel'!$B:$B,'Felosztás eredménykim'!$B132,'Eredeti fejléccel'!$BD:$BD)</f>
        <v>0</v>
      </c>
      <c r="CN132" s="8">
        <f>SUM(CK132:CM132)</f>
        <v>0</v>
      </c>
      <c r="CO132" s="8">
        <f t="shared" ref="CO132" si="179">+AF132+AK132+AL132+AS132+AT132+BE132+BF132+BL132+BM132+CB132+CC132+CI132+CJ132+CN132</f>
        <v>512462.15460399236</v>
      </c>
      <c r="CR132" s="36">
        <f t="shared" si="101"/>
        <v>121137.0397295557</v>
      </c>
      <c r="CS132" s="6">
        <f>SUMIF('Eredeti fejléccel'!$B:$B,'Felosztás eredménykim'!$B132,'Eredeti fejléccel'!$I:$I)</f>
        <v>0</v>
      </c>
      <c r="CT132" s="6">
        <f>SUMIF('Eredeti fejléccel'!$B:$B,'Felosztás eredménykim'!$B132,'Eredeti fejléccel'!$BG:$BG)</f>
        <v>0</v>
      </c>
      <c r="CU132" s="6">
        <f>SUMIF('Eredeti fejléccel'!$B:$B,'Felosztás eredménykim'!$B132,'Eredeti fejléccel'!$BH:$BH)</f>
        <v>0</v>
      </c>
      <c r="CV132" s="6">
        <f>SUMIF('Eredeti fejléccel'!$B:$B,'Felosztás eredménykim'!$B132,'Eredeti fejléccel'!$BI:$BI)</f>
        <v>0</v>
      </c>
      <c r="CW132" s="6">
        <f>SUMIF('Eredeti fejléccel'!$B:$B,'Felosztás eredménykim'!$B132,'Eredeti fejléccel'!$BL:$BL)</f>
        <v>0</v>
      </c>
      <c r="CX132" s="6">
        <f>SUM(CS132:CW132)</f>
        <v>0</v>
      </c>
      <c r="CY132" s="6">
        <f>SUMIF('Eredeti fejléccel'!$B:$B,'Felosztás eredménykim'!$B132,'Eredeti fejléccel'!$BJ:$BJ)</f>
        <v>0</v>
      </c>
      <c r="CZ132" s="6">
        <f>SUMIF('Eredeti fejléccel'!$B:$B,'Felosztás eredménykim'!$B132,'Eredeti fejléccel'!$BK:$BK)</f>
        <v>0</v>
      </c>
      <c r="DA132" s="99">
        <f t="shared" si="116"/>
        <v>0</v>
      </c>
      <c r="DC132" s="36">
        <f t="shared" si="102"/>
        <v>106099.64236960723</v>
      </c>
      <c r="DD132" s="6">
        <f>SUMIF('Eredeti fejléccel'!$B:$B,'Felosztás eredménykim'!$B132,'Eredeti fejléccel'!$J:$J)</f>
        <v>0</v>
      </c>
      <c r="DE132" s="6">
        <f>SUMIF('Eredeti fejléccel'!$B:$B,'Felosztás eredménykim'!$B132,'Eredeti fejléccel'!$BM:$BM)</f>
        <v>0</v>
      </c>
      <c r="DF132" s="6">
        <f>-DI132</f>
        <v>0</v>
      </c>
      <c r="DG132" s="8">
        <f t="shared" ref="DG132" si="180">-BO132</f>
        <v>0</v>
      </c>
      <c r="DH132" s="8">
        <f>SUM(DD132:DG132)</f>
        <v>0</v>
      </c>
      <c r="DJ132" s="6">
        <f>SUMIF('Eredeti fejléccel'!$B:$B,'Felosztás eredménykim'!$B132,'Eredeti fejléccel'!$BN:$BN)</f>
        <v>0</v>
      </c>
      <c r="DK132" s="6">
        <f>SUMIF('Eredeti fejléccel'!$B:$B,'Felosztás eredménykim'!$B132,'Eredeti fejléccel'!$BZ:$BZ)</f>
        <v>0</v>
      </c>
      <c r="DL132" s="8">
        <f>SUM(DI132:DK132)</f>
        <v>0</v>
      </c>
      <c r="DM132" s="6">
        <f>SUMIF('Eredeti fejléccel'!$B:$B,'Felosztás eredménykim'!$B132,'Eredeti fejléccel'!$BR:$BR)</f>
        <v>0</v>
      </c>
      <c r="DN132" s="6">
        <f>SUMIF('Eredeti fejléccel'!$B:$B,'Felosztás eredménykim'!$B132,'Eredeti fejléccel'!$BS:$BS)</f>
        <v>0</v>
      </c>
      <c r="DO132" s="6">
        <f>SUMIF('Eredeti fejléccel'!$B:$B,'Felosztás eredménykim'!$B132,'Eredeti fejléccel'!$BO:$BO)</f>
        <v>0</v>
      </c>
      <c r="DP132" s="6">
        <f>SUMIF('Eredeti fejléccel'!$B:$B,'Felosztás eredménykim'!$B132,'Eredeti fejléccel'!$BP:$BP)</f>
        <v>0</v>
      </c>
      <c r="DQ132" s="6">
        <f>SUMIF('Eredeti fejléccel'!$B:$B,'Felosztás eredménykim'!$B132,'Eredeti fejléccel'!$BQ:$BQ)</f>
        <v>0</v>
      </c>
      <c r="DS132" s="8"/>
      <c r="DU132" s="6">
        <f>SUMIF('Eredeti fejléccel'!$B:$B,'Felosztás eredménykim'!$B132,'Eredeti fejléccel'!$BT:$BT)</f>
        <v>0</v>
      </c>
      <c r="DV132" s="6">
        <f>SUMIF('Eredeti fejléccel'!$B:$B,'Felosztás eredménykim'!$B132,'Eredeti fejléccel'!$BU:$BU)</f>
        <v>0</v>
      </c>
      <c r="DW132" s="6">
        <f>SUMIF('Eredeti fejléccel'!$B:$B,'Felosztás eredménykim'!$B132,'Eredeti fejléccel'!$BV:$BV)</f>
        <v>0</v>
      </c>
      <c r="DX132" s="6">
        <f>SUMIF('Eredeti fejléccel'!$B:$B,'Felosztás eredménykim'!$B132,'Eredeti fejléccel'!$BW:$BW)</f>
        <v>0</v>
      </c>
      <c r="DY132" s="6">
        <f>SUMIF('Eredeti fejléccel'!$B:$B,'Felosztás eredménykim'!$B132,'Eredeti fejléccel'!$BX:$BX)</f>
        <v>0</v>
      </c>
      <c r="EA132" s="6"/>
      <c r="EC132" s="6"/>
      <c r="EE132" s="6">
        <f>SUMIF('Eredeti fejléccel'!$B:$B,'Felosztás eredménykim'!$B132,'Eredeti fejléccel'!$CA:$CA)</f>
        <v>0</v>
      </c>
      <c r="EF132" s="6">
        <f>SUMIF('Eredeti fejléccel'!$B:$B,'Felosztás eredménykim'!$B132,'Eredeti fejléccel'!$CB:$CB)</f>
        <v>0</v>
      </c>
      <c r="EG132" s="6">
        <f>SUMIF('Eredeti fejléccel'!$B:$B,'Felosztás eredménykim'!$B132,'Eredeti fejléccel'!$CC:$CC)</f>
        <v>0</v>
      </c>
      <c r="EH132" s="6">
        <f>SUMIF('Eredeti fejléccel'!$B:$B,'Felosztás eredménykim'!$B132,'Eredeti fejléccel'!$CD:$CD)</f>
        <v>0</v>
      </c>
      <c r="EK132" s="6">
        <f>SUMIF('Eredeti fejléccel'!$B:$B,'Felosztás eredménykim'!$B132,'Eredeti fejléccel'!$CE:$CE)</f>
        <v>0</v>
      </c>
      <c r="EN132" s="6">
        <f>SUMIF('Eredeti fejléccel'!$B:$B,'Felosztás eredménykim'!$B132,'Eredeti fejléccel'!$CF:$CF)</f>
        <v>0</v>
      </c>
      <c r="EP132" s="6">
        <f>SUMIF('Eredeti fejléccel'!$B:$B,'Felosztás eredménykim'!$B132,'Eredeti fejléccel'!$CG:$CG)</f>
        <v>0</v>
      </c>
      <c r="ES132" s="6">
        <f>SUMIF('Eredeti fejléccel'!$B:$B,'Felosztás eredménykim'!$B132,'Eredeti fejléccel'!$CH:$CH)</f>
        <v>0</v>
      </c>
      <c r="ET132" s="6">
        <f>SUMIF('Eredeti fejléccel'!$B:$B,'Felosztás eredménykim'!$B132,'Eredeti fejléccel'!$CI:$CI)</f>
        <v>0</v>
      </c>
      <c r="EW132" s="8">
        <f>SUM(DR132:ED132)</f>
        <v>0</v>
      </c>
      <c r="EX132" s="8">
        <f>SUM(EE132:EV132)</f>
        <v>0</v>
      </c>
      <c r="EY132" s="8">
        <f t="shared" si="119"/>
        <v>0</v>
      </c>
      <c r="EZ132" s="8">
        <f>EY132+DL132+DM132+DN132+DO132+DP132+DQ132</f>
        <v>0</v>
      </c>
      <c r="FA132" s="8">
        <f>EZ132-DL132-DM132</f>
        <v>0</v>
      </c>
      <c r="FC132" s="6">
        <f>SUMIF('Eredeti fejléccel'!$B:$B,'Felosztás eredménykim'!$B132,'Eredeti fejléccel'!$L:$L)</f>
        <v>0</v>
      </c>
      <c r="FD132" s="6">
        <f>SUMIF('Eredeti fejléccel'!$B:$B,'Felosztás eredménykim'!$B132,'Eredeti fejléccel'!$CJ:$CJ)</f>
        <v>0</v>
      </c>
      <c r="FE132" s="6">
        <f>SUMIF('Eredeti fejléccel'!$B:$B,'Felosztás eredménykim'!$B132,'Eredeti fejléccel'!$CL:$CL)</f>
        <v>0</v>
      </c>
      <c r="FG132" s="99">
        <f>SUM(FC132:FF132)</f>
        <v>0</v>
      </c>
      <c r="FH132" s="6">
        <f>SUMIF('Eredeti fejléccel'!$B:$B,'Felosztás eredménykim'!$B132,'Eredeti fejléccel'!$CK:$CK)</f>
        <v>0</v>
      </c>
      <c r="FI132" s="36">
        <f t="shared" si="145"/>
        <v>124832.95327456026</v>
      </c>
      <c r="FJ132" s="101">
        <f t="shared" si="104"/>
        <v>0</v>
      </c>
      <c r="FK132" s="6">
        <f>SUMIF('Eredeti fejléccel'!$B:$B,'Felosztás eredménykim'!$B132,'Eredeti fejléccel'!$CM:$CM)</f>
        <v>0</v>
      </c>
      <c r="FL132" s="6">
        <f>SUMIF('Eredeti fejléccel'!$B:$B,'Felosztás eredménykim'!$B132,'Eredeti fejléccel'!$CN:$CN)</f>
        <v>0</v>
      </c>
      <c r="FM132" s="8">
        <f>SUM(FJ132:FL132)</f>
        <v>0</v>
      </c>
      <c r="FN132" s="36">
        <f t="shared" si="146"/>
        <v>106128.48962314057</v>
      </c>
      <c r="FO132" s="101">
        <f t="shared" si="106"/>
        <v>0</v>
      </c>
      <c r="FP132" s="6">
        <f>SUMIF('Eredeti fejléccel'!$B:$B,'Felosztás eredménykim'!$B132,'Eredeti fejléccel'!$CO:$CO)</f>
        <v>0</v>
      </c>
      <c r="FQ132" s="6">
        <f>'Eredeti fejléccel'!CP132</f>
        <v>0</v>
      </c>
      <c r="FR132" s="6">
        <f>'Eredeti fejléccel'!CQ132</f>
        <v>0</v>
      </c>
      <c r="FS132" s="103">
        <f t="shared" si="122"/>
        <v>0</v>
      </c>
      <c r="FT132" s="36">
        <f t="shared" si="147"/>
        <v>292945.5779177341</v>
      </c>
      <c r="FU132" s="101">
        <f t="shared" si="108"/>
        <v>0</v>
      </c>
      <c r="FV132" s="101"/>
      <c r="FW132" s="6">
        <f>SUMIF('Eredeti fejléccel'!$B:$B,'Felosztás eredménykim'!$B132,'Eredeti fejléccel'!$CR:$CR)</f>
        <v>0</v>
      </c>
      <c r="FX132" s="6">
        <f>SUMIF('Eredeti fejléccel'!$B:$B,'Felosztás eredménykim'!$B132,'Eredeti fejléccel'!$CS:$CS)</f>
        <v>0</v>
      </c>
      <c r="FY132" s="6">
        <f>SUMIF('Eredeti fejléccel'!$B:$B,'Felosztás eredménykim'!$B132,'Eredeti fejléccel'!$CT:$CT)</f>
        <v>0</v>
      </c>
      <c r="FZ132" s="6">
        <f>SUMIF('Eredeti fejléccel'!$B:$B,'Felosztás eredménykim'!$B132,'Eredeti fejléccel'!$CU:$CU)</f>
        <v>0</v>
      </c>
      <c r="GA132" s="103">
        <f>SUM(FU132:FZ132)</f>
        <v>0</v>
      </c>
      <c r="GB132" s="36">
        <f t="shared" si="148"/>
        <v>39047.274483985675</v>
      </c>
      <c r="GC132" s="101">
        <f t="shared" si="110"/>
        <v>0</v>
      </c>
      <c r="GD132" s="6">
        <f>SUMIF('Eredeti fejléccel'!$B:$B,'Felosztás eredménykim'!$B132,'Eredeti fejléccel'!$CV:$CV)</f>
        <v>0</v>
      </c>
      <c r="GE132" s="6">
        <f>SUMIF('Eredeti fejléccel'!$B:$B,'Felosztás eredménykim'!$B132,'Eredeti fejléccel'!$CW:$CW)</f>
        <v>0</v>
      </c>
      <c r="GF132" s="103">
        <f>SUM(GC132:GE132)</f>
        <v>0</v>
      </c>
      <c r="GG132" s="36">
        <f t="shared" si="111"/>
        <v>0</v>
      </c>
      <c r="GM132" s="6">
        <f>SUMIF('Eredeti fejléccel'!$B:$B,'Felosztás eredménykim'!$B132,'Eredeti fejléccel'!$CX:$CX)</f>
        <v>0</v>
      </c>
      <c r="GN132" s="6">
        <f>SUMIF('Eredeti fejléccel'!$B:$B,'Felosztás eredménykim'!$B132,'Eredeti fejléccel'!$CY:$CY)</f>
        <v>0</v>
      </c>
      <c r="GO132" s="6">
        <f>SUMIF('Eredeti fejléccel'!$B:$B,'Felosztás eredménykim'!$B132,'Eredeti fejléccel'!$CZ:$CZ)</f>
        <v>0</v>
      </c>
      <c r="GP132" s="6">
        <f>SUMIF('Eredeti fejléccel'!$B:$B,'Felosztás eredménykim'!$B132,'Eredeti fejléccel'!$DA:$DA)</f>
        <v>0</v>
      </c>
      <c r="GQ132" s="6">
        <f>SUMIF('Eredeti fejléccel'!$B:$B,'Felosztás eredménykim'!$B132,'Eredeti fejléccel'!$DB:$DB)</f>
        <v>0</v>
      </c>
      <c r="GR132" s="103">
        <f>SUM(GH132:GQ132)</f>
        <v>0</v>
      </c>
      <c r="GW132" s="36">
        <f t="shared" si="112"/>
        <v>67028.867997424342</v>
      </c>
      <c r="GX132" s="6">
        <f>SUMIF('Eredeti fejléccel'!$B:$B,'Felosztás eredménykim'!$B132,'Eredeti fejléccel'!$M:$M)</f>
        <v>0</v>
      </c>
      <c r="GY132" s="6">
        <f>SUMIF('Eredeti fejléccel'!$B:$B,'Felosztás eredménykim'!$B132,'Eredeti fejléccel'!$DC:$DC)</f>
        <v>0</v>
      </c>
      <c r="GZ132" s="6">
        <f>SUMIF('Eredeti fejléccel'!$B:$B,'Felosztás eredménykim'!$B132,'Eredeti fejléccel'!$DD:$DD)</f>
        <v>0</v>
      </c>
      <c r="HA132" s="6">
        <f>SUMIF('Eredeti fejléccel'!$B:$B,'Felosztás eredménykim'!$B132,'Eredeti fejléccel'!$DE:$DE)</f>
        <v>0</v>
      </c>
      <c r="HB132" s="103">
        <f>SUM(GX132:HA132)</f>
        <v>0</v>
      </c>
      <c r="HD132" s="9">
        <f>SUM(D132:HA132)-W132-X132-AD132-AE132-AF132-AG132-AK132-AL132-AM132-AS132-AT132-AU132-BE132-BF132-BG132-BL132-BM132-BN132-CB132-CC132-CD132-CI132-CJ132-CK132-CN132-CO132-CP132-CR132-CX132-DA132-DC132-DG132-DH132-DL132-EW132-EX132-EY132-EZ132-FA132-FF132-FG132-FI132-FJ132-FM132-FN132-FO132-FS132-FT132-FU132-GA132-GB132-GC132-GF132-GG132-GR132-GS132-GT132-GU132-GW132</f>
        <v>1369681.9999999995</v>
      </c>
      <c r="HE132" s="9">
        <v>1369682</v>
      </c>
      <c r="HF132" s="476"/>
      <c r="HH132" s="34">
        <f>+HD132-HE132</f>
        <v>0</v>
      </c>
    </row>
    <row r="133" spans="1:232" x14ac:dyDescent="0.25">
      <c r="A133" s="4" t="s">
        <v>1601</v>
      </c>
      <c r="B133" s="4" t="s">
        <v>1601</v>
      </c>
      <c r="C133" s="1" t="s">
        <v>1602</v>
      </c>
      <c r="D133" s="6">
        <f>SUMIF('Eredeti fejléccel'!$B:$B,'Felosztás eredménykim'!$B133,'Eredeti fejléccel'!$D:$D)</f>
        <v>0</v>
      </c>
      <c r="E133" s="6">
        <f>SUMIF('Eredeti fejléccel'!$B:$B,'Felosztás eredménykim'!$B133,'Eredeti fejléccel'!$E:$E)</f>
        <v>0</v>
      </c>
      <c r="F133" s="6">
        <f>SUMIF('Eredeti fejléccel'!$B:$B,'Felosztás eredménykim'!$B133,'Eredeti fejléccel'!$F:$F)</f>
        <v>0</v>
      </c>
      <c r="G133" s="6">
        <f>SUMIF('Eredeti fejléccel'!$B:$B,'Felosztás eredménykim'!$B133,'Eredeti fejléccel'!$G:$G)</f>
        <v>0</v>
      </c>
      <c r="H133" s="6"/>
      <c r="I133" s="6">
        <f>SUMIF('Eredeti fejléccel'!$B:$B,'Felosztás eredménykim'!$B133,'Eredeti fejléccel'!$O:$O)</f>
        <v>0</v>
      </c>
      <c r="J133" s="6">
        <f>SUMIF('Eredeti fejléccel'!$B:$B,'Felosztás eredménykim'!$B133,'Eredeti fejléccel'!$P:$P)</f>
        <v>0</v>
      </c>
      <c r="K133" s="6">
        <f>SUMIF('Eredeti fejléccel'!$B:$B,'Felosztás eredménykim'!$B133,'Eredeti fejléccel'!$Q:$Q)</f>
        <v>0</v>
      </c>
      <c r="L133" s="6">
        <f>SUMIF('Eredeti fejléccel'!$B:$B,'Felosztás eredménykim'!$B133,'Eredeti fejléccel'!$R:$R)</f>
        <v>0</v>
      </c>
      <c r="M133" s="6">
        <f>SUMIF('Eredeti fejléccel'!$B:$B,'Felosztás eredménykim'!$B133,'Eredeti fejléccel'!$T:$T)</f>
        <v>0</v>
      </c>
      <c r="N133" s="6">
        <f>SUMIF('Eredeti fejléccel'!$B:$B,'Felosztás eredménykim'!$B133,'Eredeti fejléccel'!$U:$U)</f>
        <v>0</v>
      </c>
      <c r="O133" s="6">
        <f>SUMIF('Eredeti fejléccel'!$B:$B,'Felosztás eredménykim'!$B133,'Eredeti fejléccel'!$V:$V)</f>
        <v>0</v>
      </c>
      <c r="P133" s="6">
        <f>SUMIF('Eredeti fejléccel'!$B:$B,'Felosztás eredménykim'!$B133,'Eredeti fejléccel'!$W:$W)</f>
        <v>0</v>
      </c>
      <c r="Q133" s="6">
        <f>SUMIF('Eredeti fejléccel'!$B:$B,'Felosztás eredménykim'!$B133,'Eredeti fejléccel'!$X:$X)</f>
        <v>0</v>
      </c>
      <c r="R133" s="6">
        <f>SUMIF('Eredeti fejléccel'!$B:$B,'Felosztás eredménykim'!$B133,'Eredeti fejléccel'!$Y:$Y)</f>
        <v>0</v>
      </c>
      <c r="S133" s="6">
        <f>SUMIF('Eredeti fejléccel'!$B:$B,'Felosztás eredménykim'!$B133,'Eredeti fejléccel'!$Z:$Z)</f>
        <v>0</v>
      </c>
      <c r="T133" s="6">
        <f>SUMIF('Eredeti fejléccel'!$B:$B,'Felosztás eredménykim'!$B133,'Eredeti fejléccel'!$AA:$AA)</f>
        <v>0</v>
      </c>
      <c r="U133" s="6">
        <f>SUMIF('Eredeti fejléccel'!$B:$B,'Felosztás eredménykim'!$B133,'Eredeti fejléccel'!$D:$D)</f>
        <v>0</v>
      </c>
      <c r="V133" s="6">
        <f>SUMIF('Eredeti fejléccel'!$B:$B,'Felosztás eredménykim'!$B133,'Eredeti fejléccel'!$AT:$AT)</f>
        <v>0</v>
      </c>
      <c r="X133" s="36">
        <f t="shared" si="86"/>
        <v>0</v>
      </c>
      <c r="Z133" s="6">
        <f>SUMIF('Eredeti fejléccel'!$B:$B,'Felosztás eredménykim'!$B133,'Eredeti fejléccel'!$K:$K)</f>
        <v>0</v>
      </c>
      <c r="AB133" s="6">
        <f>SUMIF('Eredeti fejléccel'!$B:$B,'Felosztás eredménykim'!$B133,'Eredeti fejléccel'!$AB:$AB)</f>
        <v>0</v>
      </c>
      <c r="AC133" s="6">
        <f>SUMIF('Eredeti fejléccel'!$B:$B,'Felosztás eredménykim'!$B133,'Eredeti fejléccel'!$AQ:$AQ)</f>
        <v>0</v>
      </c>
      <c r="AE133" s="73">
        <f t="shared" ref="AE133" si="181">SUM(Z133:AD133)</f>
        <v>0</v>
      </c>
      <c r="AF133" s="36">
        <f t="shared" si="138"/>
        <v>0</v>
      </c>
      <c r="AG133" s="8">
        <f t="shared" si="88"/>
        <v>0</v>
      </c>
      <c r="AI133" s="6">
        <f>SUMIF('Eredeti fejléccel'!$B:$B,'Felosztás eredménykim'!$B133,'Eredeti fejléccel'!$BB:$BB)</f>
        <v>308296</v>
      </c>
      <c r="AJ133" s="6">
        <f>SUMIF('Eredeti fejléccel'!$B:$B,'Felosztás eredménykim'!$B133,'Eredeti fejléccel'!$AF:$AF)</f>
        <v>0</v>
      </c>
      <c r="AK133" s="8">
        <f t="shared" ref="AK133" si="182">SUM(AG133:AJ133)</f>
        <v>308296</v>
      </c>
      <c r="AL133" s="36">
        <f t="shared" si="139"/>
        <v>0</v>
      </c>
      <c r="AM133" s="8">
        <f t="shared" si="90"/>
        <v>0</v>
      </c>
      <c r="AN133" s="6">
        <f t="shared" ref="AN133" si="183">-AO133/2</f>
        <v>0</v>
      </c>
      <c r="AO133" s="6">
        <f>SUMIF('Eredeti fejléccel'!$B:$B,'Felosztás eredménykim'!$B133,'Eredeti fejléccel'!$AC:$AC)</f>
        <v>0</v>
      </c>
      <c r="AP133" s="6">
        <f>SUMIF('Eredeti fejléccel'!$B:$B,'Felosztás eredménykim'!$B133,'Eredeti fejléccel'!$AD:$AD)</f>
        <v>0</v>
      </c>
      <c r="AQ133" s="6">
        <f>SUMIF('Eredeti fejléccel'!$B:$B,'Felosztás eredménykim'!$B133,'Eredeti fejléccel'!$AE:$AE)</f>
        <v>0</v>
      </c>
      <c r="AR133" s="6">
        <f>SUMIF('Eredeti fejléccel'!$B:$B,'Felosztás eredménykim'!$B133,'Eredeti fejléccel'!$AG:$AG)</f>
        <v>0</v>
      </c>
      <c r="AS133" s="6">
        <f t="shared" ref="AS133" si="184">SUM(AM133:AR133)</f>
        <v>0</v>
      </c>
      <c r="AT133" s="36">
        <f t="shared" si="140"/>
        <v>0</v>
      </c>
      <c r="AU133" s="8">
        <f t="shared" si="92"/>
        <v>0</v>
      </c>
      <c r="AV133" s="6">
        <f>SUMIF('Eredeti fejléccel'!$B:$B,'Felosztás eredménykim'!$B133,'Eredeti fejléccel'!$AI:$AI)</f>
        <v>0</v>
      </c>
      <c r="AW133" s="6">
        <f>SUMIF('Eredeti fejléccel'!$B:$B,'Felosztás eredménykim'!$B133,'Eredeti fejléccel'!$AJ:$AJ)</f>
        <v>0</v>
      </c>
      <c r="AX133" s="6">
        <f>SUMIF('Eredeti fejléccel'!$B:$B,'Felosztás eredménykim'!$B133,'Eredeti fejléccel'!$AK:$AK)</f>
        <v>0</v>
      </c>
      <c r="AY133" s="6">
        <f>SUMIF('Eredeti fejléccel'!$B:$B,'Felosztás eredménykim'!$B133,'Eredeti fejléccel'!$AL:$AL)</f>
        <v>0</v>
      </c>
      <c r="AZ133" s="6">
        <f>SUMIF('Eredeti fejléccel'!$B:$B,'Felosztás eredménykim'!$B133,'Eredeti fejléccel'!$AM:$AM)</f>
        <v>0</v>
      </c>
      <c r="BA133" s="6">
        <f>SUMIF('Eredeti fejléccel'!$B:$B,'Felosztás eredménykim'!$B133,'Eredeti fejléccel'!$AN:$AN)</f>
        <v>0</v>
      </c>
      <c r="BB133" s="6">
        <f>SUMIF('Eredeti fejléccel'!$B:$B,'Felosztás eredménykim'!$B133,'Eredeti fejléccel'!$AP:$AP)</f>
        <v>0</v>
      </c>
      <c r="BD133" s="6">
        <f>SUMIF('Eredeti fejléccel'!$B:$B,'Felosztás eredménykim'!$B133,'Eredeti fejléccel'!$AS:$AS)</f>
        <v>0</v>
      </c>
      <c r="BE133" s="8">
        <f t="shared" ref="BE133" si="185">SUM(AU133:BD133)</f>
        <v>0</v>
      </c>
      <c r="BF133" s="36">
        <f t="shared" si="141"/>
        <v>0</v>
      </c>
      <c r="BG133" s="8">
        <f t="shared" si="94"/>
        <v>0</v>
      </c>
      <c r="BH133" s="6">
        <f t="shared" ref="BH133" si="186">AO133/2</f>
        <v>0</v>
      </c>
      <c r="BI133" s="6">
        <f>SUMIF('Eredeti fejléccel'!$B:$B,'Felosztás eredménykim'!$B133,'Eredeti fejléccel'!$AH:$AH)</f>
        <v>0</v>
      </c>
      <c r="BJ133" s="6">
        <f>SUMIF('Eredeti fejléccel'!$B:$B,'Felosztás eredménykim'!$B133,'Eredeti fejléccel'!$AO:$AO)</f>
        <v>0</v>
      </c>
      <c r="BK133" s="6">
        <f>SUMIF('Eredeti fejléccel'!$B:$B,'Felosztás eredménykim'!$B133,'Eredeti fejléccel'!$BF:$BF)</f>
        <v>0</v>
      </c>
      <c r="BL133" s="8">
        <f t="shared" ref="BL133" si="187">SUM(BG133:BK133)</f>
        <v>0</v>
      </c>
      <c r="BM133" s="36">
        <f t="shared" si="142"/>
        <v>0</v>
      </c>
      <c r="BN133" s="8">
        <f t="shared" si="96"/>
        <v>0</v>
      </c>
      <c r="BP133" s="8">
        <f t="shared" ref="BP133" si="188">-FV133</f>
        <v>0</v>
      </c>
      <c r="BQ133" s="6">
        <f>SUMIF('Eredeti fejléccel'!$B:$B,'Felosztás eredménykim'!$B133,'Eredeti fejléccel'!$N:$N)</f>
        <v>0</v>
      </c>
      <c r="BR133" s="6">
        <f>SUMIF('Eredeti fejléccel'!$B:$B,'Felosztás eredménykim'!$B133,'Eredeti fejléccel'!$S:$S)</f>
        <v>0</v>
      </c>
      <c r="BT133" s="6">
        <f>SUMIF('Eredeti fejléccel'!$B:$B,'Felosztás eredménykim'!$B133,'Eredeti fejléccel'!$AR:$AR)</f>
        <v>0</v>
      </c>
      <c r="BU133" s="6">
        <f>SUMIF('Eredeti fejléccel'!$B:$B,'Felosztás eredménykim'!$B133,'Eredeti fejléccel'!$AU:$AU)</f>
        <v>0</v>
      </c>
      <c r="BV133" s="6">
        <f>SUMIF('Eredeti fejléccel'!$B:$B,'Felosztás eredménykim'!$B133,'Eredeti fejléccel'!$AV:$AV)</f>
        <v>0</v>
      </c>
      <c r="BW133" s="6">
        <f>SUMIF('Eredeti fejléccel'!$B:$B,'Felosztás eredménykim'!$B133,'Eredeti fejléccel'!$AW:$AW)</f>
        <v>0</v>
      </c>
      <c r="BX133" s="6">
        <f>SUMIF('Eredeti fejléccel'!$B:$B,'Felosztás eredménykim'!$B133,'Eredeti fejléccel'!$AX:$AX)</f>
        <v>0</v>
      </c>
      <c r="BY133" s="6">
        <f>SUMIF('Eredeti fejléccel'!$B:$B,'Felosztás eredménykim'!$B133,'Eredeti fejléccel'!$AY:$AY)</f>
        <v>0</v>
      </c>
      <c r="BZ133" s="6">
        <f>SUMIF('Eredeti fejléccel'!$B:$B,'Felosztás eredménykim'!$B133,'Eredeti fejléccel'!$AZ:$AZ)</f>
        <v>0</v>
      </c>
      <c r="CA133" s="6">
        <f>SUMIF('Eredeti fejléccel'!$B:$B,'Felosztás eredménykim'!$B133,'Eredeti fejléccel'!$BA:$BA)</f>
        <v>0</v>
      </c>
      <c r="CB133" s="6">
        <f t="shared" ref="CB133" si="189">SUM(BN133:CA133)</f>
        <v>0</v>
      </c>
      <c r="CC133" s="36">
        <f t="shared" si="143"/>
        <v>0</v>
      </c>
      <c r="CD133" s="8">
        <f t="shared" si="98"/>
        <v>0</v>
      </c>
      <c r="CE133" s="6">
        <f>SUMIF('Eredeti fejléccel'!$B:$B,'Felosztás eredménykim'!$B133,'Eredeti fejléccel'!$BC:$BC)</f>
        <v>0</v>
      </c>
      <c r="CF133" s="8">
        <f t="shared" ref="CF133" si="190">-CE133/2</f>
        <v>0</v>
      </c>
      <c r="CG133" s="6">
        <f>SUMIF('Eredeti fejléccel'!$B:$B,'Felosztás eredménykim'!$B133,'Eredeti fejléccel'!$H:$H)</f>
        <v>0</v>
      </c>
      <c r="CH133" s="6">
        <f>SUMIF('Eredeti fejléccel'!$B:$B,'Felosztás eredménykim'!$B133,'Eredeti fejléccel'!$BE:$BE)</f>
        <v>0</v>
      </c>
      <c r="CI133" s="6">
        <f t="shared" ref="CI133" si="191">SUM(CD133:CH133)</f>
        <v>0</v>
      </c>
      <c r="CJ133" s="36">
        <f t="shared" si="144"/>
        <v>0</v>
      </c>
      <c r="CK133" s="8">
        <f t="shared" si="100"/>
        <v>0</v>
      </c>
      <c r="CL133" s="8">
        <f t="shared" ref="CL133" si="192">CE133/2</f>
        <v>0</v>
      </c>
      <c r="CM133" s="6">
        <f>SUMIF('Eredeti fejléccel'!$B:$B,'Felosztás eredménykim'!$B133,'Eredeti fejléccel'!$BD:$BD)</f>
        <v>0</v>
      </c>
      <c r="CN133" s="8">
        <f t="shared" ref="CN133" si="193">SUM(CK133:CM133)</f>
        <v>0</v>
      </c>
      <c r="CO133" s="8">
        <f t="shared" ref="CO133" si="194">+AF133+AK133+AL133+AS133+AT133+BE133+BF133+BL133+BM133+CB133+CC133+CI133+CJ133+CN133</f>
        <v>308296</v>
      </c>
      <c r="CR133" s="36">
        <f t="shared" si="101"/>
        <v>0</v>
      </c>
      <c r="CS133" s="6">
        <f>SUMIF('Eredeti fejléccel'!$B:$B,'Felosztás eredménykim'!$B133,'Eredeti fejléccel'!$I:$I)</f>
        <v>0</v>
      </c>
      <c r="CT133" s="6">
        <f>SUMIF('Eredeti fejléccel'!$B:$B,'Felosztás eredménykim'!$B133,'Eredeti fejléccel'!$BG:$BG)</f>
        <v>0</v>
      </c>
      <c r="CU133" s="6">
        <f>SUMIF('Eredeti fejléccel'!$B:$B,'Felosztás eredménykim'!$B133,'Eredeti fejléccel'!$BH:$BH)</f>
        <v>0</v>
      </c>
      <c r="CV133" s="6">
        <f>SUMIF('Eredeti fejléccel'!$B:$B,'Felosztás eredménykim'!$B133,'Eredeti fejléccel'!$BI:$BI)</f>
        <v>0</v>
      </c>
      <c r="CW133" s="6">
        <f>SUMIF('Eredeti fejléccel'!$B:$B,'Felosztás eredménykim'!$B133,'Eredeti fejléccel'!$BL:$BL)</f>
        <v>0</v>
      </c>
      <c r="CX133" s="6">
        <f t="shared" ref="CX133" si="195">SUM(CS133:CW133)</f>
        <v>0</v>
      </c>
      <c r="CY133" s="6">
        <f>SUMIF('Eredeti fejléccel'!$B:$B,'Felosztás eredménykim'!$B133,'Eredeti fejléccel'!$BJ:$BJ)</f>
        <v>0</v>
      </c>
      <c r="CZ133" s="6">
        <f>SUMIF('Eredeti fejléccel'!$B:$B,'Felosztás eredménykim'!$B133,'Eredeti fejléccel'!$BK:$BK)</f>
        <v>0</v>
      </c>
      <c r="DA133" s="99">
        <f t="shared" si="116"/>
        <v>0</v>
      </c>
      <c r="DC133" s="36">
        <f t="shared" si="102"/>
        <v>0</v>
      </c>
      <c r="DD133" s="6">
        <f>SUMIF('Eredeti fejléccel'!$B:$B,'Felosztás eredménykim'!$B133,'Eredeti fejléccel'!$J:$J)</f>
        <v>0</v>
      </c>
      <c r="DE133" s="6">
        <f>SUMIF('Eredeti fejléccel'!$B:$B,'Felosztás eredménykim'!$B133,'Eredeti fejléccel'!$BM:$BM)</f>
        <v>0</v>
      </c>
      <c r="DF133" s="6">
        <f t="shared" ref="DF133" si="196">-DI133</f>
        <v>0</v>
      </c>
      <c r="DG133" s="8">
        <f t="shared" ref="DG133" si="197">-BO133</f>
        <v>0</v>
      </c>
      <c r="DH133" s="8">
        <f t="shared" ref="DH133" si="198">SUM(DD133:DG133)</f>
        <v>0</v>
      </c>
      <c r="DJ133" s="6">
        <f>SUMIF('Eredeti fejléccel'!$B:$B,'Felosztás eredménykim'!$B133,'Eredeti fejléccel'!$BN:$BN)</f>
        <v>6564</v>
      </c>
      <c r="DK133" s="6">
        <f>SUMIF('Eredeti fejléccel'!$B:$B,'Felosztás eredménykim'!$B133,'Eredeti fejléccel'!$BZ:$BZ)</f>
        <v>0</v>
      </c>
      <c r="DL133" s="8">
        <f t="shared" ref="DL133" si="199">SUM(DI133:DK133)</f>
        <v>6564</v>
      </c>
      <c r="DM133" s="6">
        <f>SUMIF('Eredeti fejléccel'!$B:$B,'Felosztás eredménykim'!$B133,'Eredeti fejléccel'!$BR:$BR)</f>
        <v>0</v>
      </c>
      <c r="DN133" s="6">
        <f>SUMIF('Eredeti fejléccel'!$B:$B,'Felosztás eredménykim'!$B133,'Eredeti fejléccel'!$BS:$BS)</f>
        <v>0</v>
      </c>
      <c r="DO133" s="6">
        <f>SUMIF('Eredeti fejléccel'!$B:$B,'Felosztás eredménykim'!$B133,'Eredeti fejléccel'!$BO:$BO)</f>
        <v>0</v>
      </c>
      <c r="DP133" s="6">
        <f>SUMIF('Eredeti fejléccel'!$B:$B,'Felosztás eredménykim'!$B133,'Eredeti fejléccel'!$BP:$BP)</f>
        <v>0</v>
      </c>
      <c r="DQ133" s="6">
        <f>SUMIF('Eredeti fejléccel'!$B:$B,'Felosztás eredménykim'!$B133,'Eredeti fejléccel'!$BQ:$BQ)</f>
        <v>0</v>
      </c>
      <c r="DS133" s="8"/>
      <c r="DU133" s="6">
        <f>SUMIF('Eredeti fejléccel'!$B:$B,'Felosztás eredménykim'!$B133,'Eredeti fejléccel'!$BT:$BT)</f>
        <v>0</v>
      </c>
      <c r="DV133" s="6">
        <f>SUMIF('Eredeti fejléccel'!$B:$B,'Felosztás eredménykim'!$B133,'Eredeti fejléccel'!$BU:$BU)</f>
        <v>0</v>
      </c>
      <c r="DW133" s="6">
        <f>SUMIF('Eredeti fejléccel'!$B:$B,'Felosztás eredménykim'!$B133,'Eredeti fejléccel'!$BV:$BV)</f>
        <v>0</v>
      </c>
      <c r="DX133" s="6">
        <f>SUMIF('Eredeti fejléccel'!$B:$B,'Felosztás eredménykim'!$B133,'Eredeti fejléccel'!$BW:$BW)</f>
        <v>0</v>
      </c>
      <c r="DY133" s="6">
        <f>SUMIF('Eredeti fejléccel'!$B:$B,'Felosztás eredménykim'!$B133,'Eredeti fejléccel'!$BX:$BX)</f>
        <v>0</v>
      </c>
      <c r="EA133" s="6"/>
      <c r="EC133" s="6"/>
      <c r="EE133" s="6">
        <f>SUMIF('Eredeti fejléccel'!$B:$B,'Felosztás eredménykim'!$B133,'Eredeti fejléccel'!$CA:$CA)</f>
        <v>0</v>
      </c>
      <c r="EF133" s="6">
        <f>SUMIF('Eredeti fejléccel'!$B:$B,'Felosztás eredménykim'!$B133,'Eredeti fejléccel'!$CB:$CB)</f>
        <v>0</v>
      </c>
      <c r="EG133" s="6">
        <f>SUMIF('Eredeti fejléccel'!$B:$B,'Felosztás eredménykim'!$B133,'Eredeti fejléccel'!$CC:$CC)</f>
        <v>0</v>
      </c>
      <c r="EH133" s="6">
        <f>SUMIF('Eredeti fejléccel'!$B:$B,'Felosztás eredménykim'!$B133,'Eredeti fejléccel'!$CD:$CD)</f>
        <v>0</v>
      </c>
      <c r="EK133" s="6">
        <f>SUMIF('Eredeti fejléccel'!$B:$B,'Felosztás eredménykim'!$B133,'Eredeti fejléccel'!$CE:$CE)</f>
        <v>0</v>
      </c>
      <c r="EN133" s="6">
        <f>SUMIF('Eredeti fejléccel'!$B:$B,'Felosztás eredménykim'!$B133,'Eredeti fejléccel'!$CF:$CF)</f>
        <v>0</v>
      </c>
      <c r="EP133" s="6">
        <f>SUMIF('Eredeti fejléccel'!$B:$B,'Felosztás eredménykim'!$B133,'Eredeti fejléccel'!$CG:$CG)</f>
        <v>0</v>
      </c>
      <c r="ES133" s="6">
        <f>SUMIF('Eredeti fejléccel'!$B:$B,'Felosztás eredménykim'!$B133,'Eredeti fejléccel'!$CH:$CH)</f>
        <v>0</v>
      </c>
      <c r="ET133" s="6">
        <f>SUMIF('Eredeti fejléccel'!$B:$B,'Felosztás eredménykim'!$B133,'Eredeti fejléccel'!$CI:$CI)</f>
        <v>0</v>
      </c>
      <c r="EW133" s="8">
        <f t="shared" ref="EW133" si="200">SUM(DR133:ED133)</f>
        <v>0</v>
      </c>
      <c r="EX133" s="8">
        <f t="shared" ref="EX133" si="201">SUM(EE133:EV133)</f>
        <v>0</v>
      </c>
      <c r="EY133" s="8">
        <f t="shared" si="119"/>
        <v>0</v>
      </c>
      <c r="EZ133" s="8">
        <f t="shared" ref="EZ133" si="202">EY133+DL133+DM133+DN133+DO133+DP133+DQ133</f>
        <v>6564</v>
      </c>
      <c r="FA133" s="8">
        <f t="shared" ref="FA133" si="203">EZ133-DL133-DM133</f>
        <v>0</v>
      </c>
      <c r="FC133" s="6">
        <f>SUMIF('Eredeti fejléccel'!$B:$B,'Felosztás eredménykim'!$B133,'Eredeti fejléccel'!$L:$L)</f>
        <v>0</v>
      </c>
      <c r="FD133" s="6">
        <f>SUMIF('Eredeti fejléccel'!$B:$B,'Felosztás eredménykim'!$B133,'Eredeti fejléccel'!$CJ:$CJ)</f>
        <v>0</v>
      </c>
      <c r="FE133" s="6">
        <f>SUMIF('Eredeti fejléccel'!$B:$B,'Felosztás eredménykim'!$B133,'Eredeti fejléccel'!$CL:$CL)</f>
        <v>0</v>
      </c>
      <c r="FG133" s="99">
        <f t="shared" ref="FG133" si="204">SUM(FC133:FF133)</f>
        <v>0</v>
      </c>
      <c r="FH133" s="6">
        <f>SUMIF('Eredeti fejléccel'!$B:$B,'Felosztás eredménykim'!$B133,'Eredeti fejléccel'!$CK:$CK)</f>
        <v>0</v>
      </c>
      <c r="FI133" s="36">
        <f t="shared" si="145"/>
        <v>0</v>
      </c>
      <c r="FJ133" s="101">
        <f t="shared" si="104"/>
        <v>0</v>
      </c>
      <c r="FK133" s="6">
        <f>SUMIF('Eredeti fejléccel'!$B:$B,'Felosztás eredménykim'!$B133,'Eredeti fejléccel'!$CM:$CM)</f>
        <v>0</v>
      </c>
      <c r="FL133" s="6">
        <f>SUMIF('Eredeti fejléccel'!$B:$B,'Felosztás eredménykim'!$B133,'Eredeti fejléccel'!$CN:$CN)</f>
        <v>0</v>
      </c>
      <c r="FM133" s="8">
        <f t="shared" ref="FM133" si="205">SUM(FJ133:FL133)</f>
        <v>0</v>
      </c>
      <c r="FN133" s="36">
        <f t="shared" si="146"/>
        <v>0</v>
      </c>
      <c r="FO133" s="101">
        <f t="shared" si="106"/>
        <v>0</v>
      </c>
      <c r="FP133" s="6">
        <f>SUMIF('Eredeti fejléccel'!$B:$B,'Felosztás eredménykim'!$B133,'Eredeti fejléccel'!$CO:$CO)</f>
        <v>0</v>
      </c>
      <c r="FQ133" s="6">
        <f>'Eredeti fejléccel'!CP133</f>
        <v>0</v>
      </c>
      <c r="FR133" s="6">
        <f>'Eredeti fejléccel'!CQ133</f>
        <v>0</v>
      </c>
      <c r="FS133" s="103">
        <f t="shared" si="122"/>
        <v>0</v>
      </c>
      <c r="FT133" s="36">
        <f t="shared" si="147"/>
        <v>0</v>
      </c>
      <c r="FU133" s="101">
        <f t="shared" si="108"/>
        <v>0</v>
      </c>
      <c r="FV133" s="101"/>
      <c r="FW133" s="6">
        <f>SUMIF('Eredeti fejléccel'!$B:$B,'Felosztás eredménykim'!$B133,'Eredeti fejléccel'!$CR:$CR)</f>
        <v>798</v>
      </c>
      <c r="FX133" s="6">
        <f>SUMIF('Eredeti fejléccel'!$B:$B,'Felosztás eredménykim'!$B133,'Eredeti fejléccel'!$CS:$CS)</f>
        <v>0</v>
      </c>
      <c r="FY133" s="6">
        <f>SUMIF('Eredeti fejléccel'!$B:$B,'Felosztás eredménykim'!$B133,'Eredeti fejléccel'!$CT:$CT)</f>
        <v>0</v>
      </c>
      <c r="FZ133" s="6">
        <f>SUMIF('Eredeti fejléccel'!$B:$B,'Felosztás eredménykim'!$B133,'Eredeti fejléccel'!$CU:$CU)</f>
        <v>0</v>
      </c>
      <c r="GA133" s="103">
        <f t="shared" ref="GA133" si="206">SUM(FU133:FZ133)</f>
        <v>798</v>
      </c>
      <c r="GB133" s="36">
        <f t="shared" si="148"/>
        <v>0</v>
      </c>
      <c r="GC133" s="101">
        <f t="shared" si="110"/>
        <v>0</v>
      </c>
      <c r="GD133" s="6">
        <f>SUMIF('Eredeti fejléccel'!$B:$B,'Felosztás eredménykim'!$B133,'Eredeti fejléccel'!$CV:$CV)</f>
        <v>0</v>
      </c>
      <c r="GE133" s="6">
        <f>SUMIF('Eredeti fejléccel'!$B:$B,'Felosztás eredménykim'!$B133,'Eredeti fejléccel'!$CW:$CW)</f>
        <v>0</v>
      </c>
      <c r="GF133" s="103">
        <f t="shared" ref="GF133" si="207">SUM(GC133:GE133)</f>
        <v>0</v>
      </c>
      <c r="GG133" s="36">
        <f t="shared" si="111"/>
        <v>0</v>
      </c>
      <c r="GM133" s="6">
        <f>SUMIF('Eredeti fejléccel'!$B:$B,'Felosztás eredménykim'!$B133,'Eredeti fejléccel'!$CX:$CX)</f>
        <v>0</v>
      </c>
      <c r="GN133" s="6">
        <f>SUMIF('Eredeti fejléccel'!$B:$B,'Felosztás eredménykim'!$B133,'Eredeti fejléccel'!$CY:$CY)</f>
        <v>0</v>
      </c>
      <c r="GO133" s="6">
        <f>SUMIF('Eredeti fejléccel'!$B:$B,'Felosztás eredménykim'!$B133,'Eredeti fejléccel'!$CZ:$CZ)</f>
        <v>0</v>
      </c>
      <c r="GP133" s="6">
        <f>SUMIF('Eredeti fejléccel'!$B:$B,'Felosztás eredménykim'!$B133,'Eredeti fejléccel'!$DA:$DA)</f>
        <v>0</v>
      </c>
      <c r="GQ133" s="6">
        <f>SUMIF('Eredeti fejléccel'!$B:$B,'Felosztás eredménykim'!$B133,'Eredeti fejléccel'!$DB:$DB)</f>
        <v>0</v>
      </c>
      <c r="GR133" s="103">
        <f t="shared" ref="GR133" si="208">SUM(GH133:GQ133)</f>
        <v>0</v>
      </c>
      <c r="GW133" s="36">
        <f t="shared" si="112"/>
        <v>0</v>
      </c>
      <c r="GX133" s="6">
        <f>SUMIF('Eredeti fejléccel'!$B:$B,'Felosztás eredménykim'!$B133,'Eredeti fejléccel'!$M:$M)</f>
        <v>0</v>
      </c>
      <c r="GY133" s="6">
        <f>SUMIF('Eredeti fejléccel'!$B:$B,'Felosztás eredménykim'!$B133,'Eredeti fejléccel'!$DC:$DC)</f>
        <v>0</v>
      </c>
      <c r="GZ133" s="6">
        <f>SUMIF('Eredeti fejléccel'!$B:$B,'Felosztás eredménykim'!$B133,'Eredeti fejléccel'!$DD:$DD)</f>
        <v>0</v>
      </c>
      <c r="HA133" s="6">
        <f>SUMIF('Eredeti fejléccel'!$B:$B,'Felosztás eredménykim'!$B133,'Eredeti fejléccel'!$DE:$DE)</f>
        <v>0</v>
      </c>
      <c r="HB133" s="103">
        <f t="shared" ref="HB133" si="209">SUM(GX133:HA133)</f>
        <v>0</v>
      </c>
      <c r="HD133" s="9">
        <f>SUM(D133:HA133)-W133-X133-AD133-AE133-AF133-AG133-AK133-AL133-AM133-AS133-AT133-AU133-BE133-BF133-BG133-BL133-BM133-BN133-CB133-CC133-CD133-CI133-CJ133-CK133-CN133-CO133-CP133-CR133-CX133-DA133-DC133-DG133-DH133-DL133-EW133-EX133-EY133-EZ133-FA133-FF133-FG133-FI133-FJ133-FM133-FN133-FO133-FS133-FT133-FU133-GA133-GB133-GC133-GF133-GG133-GR133-GS133-GT133-GU133-GW133</f>
        <v>315658</v>
      </c>
      <c r="HE133" s="9">
        <v>315658</v>
      </c>
      <c r="HF133" s="476"/>
      <c r="HH133" s="34">
        <f t="shared" ref="HH133" si="210">+HD133-HE133</f>
        <v>0</v>
      </c>
    </row>
    <row r="134" spans="1:232" x14ac:dyDescent="0.25">
      <c r="A134" s="4" t="s">
        <v>1603</v>
      </c>
      <c r="B134" s="4" t="s">
        <v>1603</v>
      </c>
      <c r="C134" s="1" t="s">
        <v>1604</v>
      </c>
      <c r="D134" s="6">
        <f>SUMIF('Eredeti fejléccel'!$B:$B,'Felosztás eredménykim'!$B134,'Eredeti fejléccel'!$D:$D)</f>
        <v>0</v>
      </c>
      <c r="E134" s="6">
        <f>SUMIF('Eredeti fejléccel'!$B:$B,'Felosztás eredménykim'!$B134,'Eredeti fejléccel'!$E:$E)</f>
        <v>0</v>
      </c>
      <c r="F134" s="6">
        <f>SUMIF('Eredeti fejléccel'!$B:$B,'Felosztás eredménykim'!$B134,'Eredeti fejléccel'!$F:$F)</f>
        <v>0</v>
      </c>
      <c r="G134" s="6">
        <f>SUMIF('Eredeti fejléccel'!$B:$B,'Felosztás eredménykim'!$B134,'Eredeti fejléccel'!$G:$G)</f>
        <v>0</v>
      </c>
      <c r="H134" s="6"/>
      <c r="I134" s="6">
        <f>SUMIF('Eredeti fejléccel'!$B:$B,'Felosztás eredménykim'!$B134,'Eredeti fejléccel'!$O:$O)</f>
        <v>0</v>
      </c>
      <c r="J134" s="6">
        <f>SUMIF('Eredeti fejléccel'!$B:$B,'Felosztás eredménykim'!$B134,'Eredeti fejléccel'!$P:$P)</f>
        <v>0</v>
      </c>
      <c r="K134" s="6">
        <f>SUMIF('Eredeti fejléccel'!$B:$B,'Felosztás eredménykim'!$B134,'Eredeti fejléccel'!$Q:$Q)</f>
        <v>0</v>
      </c>
      <c r="L134" s="6">
        <f>SUMIF('Eredeti fejléccel'!$B:$B,'Felosztás eredménykim'!$B134,'Eredeti fejléccel'!$R:$R)</f>
        <v>0</v>
      </c>
      <c r="M134" s="6">
        <f>SUMIF('Eredeti fejléccel'!$B:$B,'Felosztás eredménykim'!$B134,'Eredeti fejléccel'!$T:$T)</f>
        <v>0</v>
      </c>
      <c r="N134" s="6">
        <f>SUMIF('Eredeti fejléccel'!$B:$B,'Felosztás eredménykim'!$B134,'Eredeti fejléccel'!$U:$U)</f>
        <v>0</v>
      </c>
      <c r="O134" s="6">
        <f>SUMIF('Eredeti fejléccel'!$B:$B,'Felosztás eredménykim'!$B134,'Eredeti fejléccel'!$V:$V)</f>
        <v>0</v>
      </c>
      <c r="P134" s="6">
        <f>SUMIF('Eredeti fejléccel'!$B:$B,'Felosztás eredménykim'!$B134,'Eredeti fejléccel'!$W:$W)</f>
        <v>0</v>
      </c>
      <c r="Q134" s="6">
        <f>SUMIF('Eredeti fejléccel'!$B:$B,'Felosztás eredménykim'!$B134,'Eredeti fejléccel'!$X:$X)</f>
        <v>0</v>
      </c>
      <c r="R134" s="6">
        <f>SUMIF('Eredeti fejléccel'!$B:$B,'Felosztás eredménykim'!$B134,'Eredeti fejléccel'!$Y:$Y)</f>
        <v>0</v>
      </c>
      <c r="S134" s="6">
        <f>SUMIF('Eredeti fejléccel'!$B:$B,'Felosztás eredménykim'!$B134,'Eredeti fejléccel'!$Z:$Z)</f>
        <v>0</v>
      </c>
      <c r="T134" s="6">
        <f>SUMIF('Eredeti fejléccel'!$B:$B,'Felosztás eredménykim'!$B134,'Eredeti fejléccel'!$AA:$AA)</f>
        <v>0</v>
      </c>
      <c r="U134" s="6">
        <f>SUMIF('Eredeti fejléccel'!$B:$B,'Felosztás eredménykim'!$B134,'Eredeti fejléccel'!$D:$D)</f>
        <v>0</v>
      </c>
      <c r="V134" s="6">
        <f>SUMIF('Eredeti fejléccel'!$B:$B,'Felosztás eredménykim'!$B134,'Eredeti fejléccel'!$AT:$AT)</f>
        <v>0</v>
      </c>
      <c r="X134" s="36">
        <f t="shared" ref="X134:X198" si="211">SUM(D134:W134)</f>
        <v>0</v>
      </c>
      <c r="Z134" s="6">
        <f>SUMIF('Eredeti fejléccel'!$B:$B,'Felosztás eredménykim'!$B134,'Eredeti fejléccel'!$K:$K)</f>
        <v>0</v>
      </c>
      <c r="AB134" s="6">
        <f>SUMIF('Eredeti fejléccel'!$B:$B,'Felosztás eredménykim'!$B134,'Eredeti fejléccel'!$AB:$AB)</f>
        <v>0</v>
      </c>
      <c r="AC134" s="6">
        <f>SUMIF('Eredeti fejléccel'!$B:$B,'Felosztás eredménykim'!$B134,'Eredeti fejléccel'!$AQ:$AQ)</f>
        <v>0</v>
      </c>
      <c r="AE134" s="73">
        <f>SUM(Z134:AD134)</f>
        <v>0</v>
      </c>
      <c r="AF134" s="36">
        <f t="shared" ref="AF134:AF165" si="212">$X134/$HD$290*(AG$290+AG$291)</f>
        <v>0</v>
      </c>
      <c r="AG134" s="8">
        <f t="shared" ref="AG134:AG197" si="213">$AE134/$HD$291*AG$290</f>
        <v>0</v>
      </c>
      <c r="AI134" s="6">
        <f>SUMIF('Eredeti fejléccel'!$B:$B,'Felosztás eredménykim'!$B134,'Eredeti fejléccel'!$BB:$BB)</f>
        <v>438732</v>
      </c>
      <c r="AJ134" s="6">
        <f>SUMIF('Eredeti fejléccel'!$B:$B,'Felosztás eredménykim'!$B134,'Eredeti fejléccel'!$AF:$AF)</f>
        <v>0</v>
      </c>
      <c r="AK134" s="8">
        <f>SUM(AG134:AJ134)</f>
        <v>438732</v>
      </c>
      <c r="AL134" s="36">
        <f t="shared" ref="AL134:AL165" si="214">$X134/$HD$290*(AM$290+AM$291)</f>
        <v>0</v>
      </c>
      <c r="AM134" s="8">
        <f t="shared" ref="AM134:AM197" si="215">$AE134/$HD$291*AM$290</f>
        <v>0</v>
      </c>
      <c r="AN134" s="6">
        <f>-AO134/2</f>
        <v>0</v>
      </c>
      <c r="AO134" s="6">
        <f>SUMIF('Eredeti fejléccel'!$B:$B,'Felosztás eredménykim'!$B134,'Eredeti fejléccel'!$AC:$AC)</f>
        <v>0</v>
      </c>
      <c r="AP134" s="6">
        <f>SUMIF('Eredeti fejléccel'!$B:$B,'Felosztás eredménykim'!$B134,'Eredeti fejléccel'!$AD:$AD)</f>
        <v>0</v>
      </c>
      <c r="AQ134" s="6">
        <f>SUMIF('Eredeti fejléccel'!$B:$B,'Felosztás eredménykim'!$B134,'Eredeti fejléccel'!$AE:$AE)</f>
        <v>0</v>
      </c>
      <c r="AR134" s="6">
        <f>SUMIF('Eredeti fejléccel'!$B:$B,'Felosztás eredménykim'!$B134,'Eredeti fejléccel'!$AG:$AG)</f>
        <v>0</v>
      </c>
      <c r="AS134" s="6">
        <f>SUM(AM134:AR134)</f>
        <v>0</v>
      </c>
      <c r="AT134" s="36">
        <f t="shared" ref="AT134:AT165" si="216">$X134/$HD$290*(AU$290+AU$291)</f>
        <v>0</v>
      </c>
      <c r="AU134" s="8">
        <f t="shared" ref="AU134:AU197" si="217">$AE134/$HD$291*AU$290</f>
        <v>0</v>
      </c>
      <c r="AV134" s="6">
        <f>SUMIF('Eredeti fejléccel'!$B:$B,'Felosztás eredménykim'!$B134,'Eredeti fejléccel'!$AI:$AI)</f>
        <v>0</v>
      </c>
      <c r="AW134" s="6">
        <f>SUMIF('Eredeti fejléccel'!$B:$B,'Felosztás eredménykim'!$B134,'Eredeti fejléccel'!$AJ:$AJ)</f>
        <v>0</v>
      </c>
      <c r="AX134" s="6">
        <f>SUMIF('Eredeti fejléccel'!$B:$B,'Felosztás eredménykim'!$B134,'Eredeti fejléccel'!$AK:$AK)</f>
        <v>0</v>
      </c>
      <c r="AY134" s="6">
        <f>SUMIF('Eredeti fejléccel'!$B:$B,'Felosztás eredménykim'!$B134,'Eredeti fejléccel'!$AL:$AL)</f>
        <v>0</v>
      </c>
      <c r="AZ134" s="6">
        <f>SUMIF('Eredeti fejléccel'!$B:$B,'Felosztás eredménykim'!$B134,'Eredeti fejléccel'!$AM:$AM)</f>
        <v>0</v>
      </c>
      <c r="BA134" s="6">
        <f>SUMIF('Eredeti fejléccel'!$B:$B,'Felosztás eredménykim'!$B134,'Eredeti fejléccel'!$AN:$AN)</f>
        <v>0</v>
      </c>
      <c r="BB134" s="6">
        <f>SUMIF('Eredeti fejléccel'!$B:$B,'Felosztás eredménykim'!$B134,'Eredeti fejléccel'!$AP:$AP)</f>
        <v>0</v>
      </c>
      <c r="BD134" s="6">
        <f>SUMIF('Eredeti fejléccel'!$B:$B,'Felosztás eredménykim'!$B134,'Eredeti fejléccel'!$AS:$AS)</f>
        <v>0</v>
      </c>
      <c r="BE134" s="8">
        <f>SUM(AU134:BD134)</f>
        <v>0</v>
      </c>
      <c r="BF134" s="36">
        <f t="shared" ref="BF134:BF165" si="218">$X134/$HD$290*(BG$290+BG$291)</f>
        <v>0</v>
      </c>
      <c r="BG134" s="8">
        <f t="shared" ref="BG134:BG197" si="219">$AE134/$HD$291*BG$290</f>
        <v>0</v>
      </c>
      <c r="BH134" s="6">
        <f>AO134/2</f>
        <v>0</v>
      </c>
      <c r="BI134" s="6">
        <f>SUMIF('Eredeti fejléccel'!$B:$B,'Felosztás eredménykim'!$B134,'Eredeti fejléccel'!$AH:$AH)</f>
        <v>0</v>
      </c>
      <c r="BJ134" s="6">
        <f>SUMIF('Eredeti fejléccel'!$B:$B,'Felosztás eredménykim'!$B134,'Eredeti fejléccel'!$AO:$AO)</f>
        <v>0</v>
      </c>
      <c r="BK134" s="6">
        <f>SUMIF('Eredeti fejléccel'!$B:$B,'Felosztás eredménykim'!$B134,'Eredeti fejléccel'!$BF:$BF)</f>
        <v>0</v>
      </c>
      <c r="BL134" s="8">
        <f>SUM(BG134:BK134)</f>
        <v>0</v>
      </c>
      <c r="BM134" s="36">
        <f t="shared" ref="BM134:BM165" si="220">$X134/$HD$290*(BN$290+BN$291)</f>
        <v>0</v>
      </c>
      <c r="BN134" s="8">
        <f t="shared" ref="BN134:BN197" si="221">$AE134/$HD$291*BN$290</f>
        <v>0</v>
      </c>
      <c r="BP134" s="8">
        <f>-FV134</f>
        <v>0</v>
      </c>
      <c r="BQ134" s="6">
        <f>SUMIF('Eredeti fejléccel'!$B:$B,'Felosztás eredménykim'!$B134,'Eredeti fejléccel'!$N:$N)</f>
        <v>0</v>
      </c>
      <c r="BR134" s="6">
        <f>SUMIF('Eredeti fejléccel'!$B:$B,'Felosztás eredménykim'!$B134,'Eredeti fejléccel'!$S:$S)</f>
        <v>0</v>
      </c>
      <c r="BT134" s="6">
        <f>SUMIF('Eredeti fejléccel'!$B:$B,'Felosztás eredménykim'!$B134,'Eredeti fejléccel'!$AR:$AR)</f>
        <v>0</v>
      </c>
      <c r="BU134" s="6">
        <f>SUMIF('Eredeti fejléccel'!$B:$B,'Felosztás eredménykim'!$B134,'Eredeti fejléccel'!$AU:$AU)</f>
        <v>0</v>
      </c>
      <c r="BV134" s="6">
        <f>SUMIF('Eredeti fejléccel'!$B:$B,'Felosztás eredménykim'!$B134,'Eredeti fejléccel'!$AV:$AV)</f>
        <v>0</v>
      </c>
      <c r="BW134" s="6">
        <f>SUMIF('Eredeti fejléccel'!$B:$B,'Felosztás eredménykim'!$B134,'Eredeti fejléccel'!$AW:$AW)</f>
        <v>0</v>
      </c>
      <c r="BX134" s="6">
        <f>SUMIF('Eredeti fejléccel'!$B:$B,'Felosztás eredménykim'!$B134,'Eredeti fejléccel'!$AX:$AX)</f>
        <v>0</v>
      </c>
      <c r="BY134" s="6">
        <f>SUMIF('Eredeti fejléccel'!$B:$B,'Felosztás eredménykim'!$B134,'Eredeti fejléccel'!$AY:$AY)</f>
        <v>0</v>
      </c>
      <c r="BZ134" s="6">
        <f>SUMIF('Eredeti fejléccel'!$B:$B,'Felosztás eredménykim'!$B134,'Eredeti fejléccel'!$AZ:$AZ)</f>
        <v>0</v>
      </c>
      <c r="CA134" s="6">
        <f>SUMIF('Eredeti fejléccel'!$B:$B,'Felosztás eredménykim'!$B134,'Eredeti fejléccel'!$BA:$BA)</f>
        <v>0</v>
      </c>
      <c r="CB134" s="6">
        <f t="shared" si="114"/>
        <v>0</v>
      </c>
      <c r="CC134" s="36">
        <f t="shared" ref="CC134:CC165" si="222">$X134/$HD$290*(CD$290+CD$291)</f>
        <v>0</v>
      </c>
      <c r="CD134" s="8">
        <f t="shared" ref="CD134:CD197" si="223">$AE134/$HD$291*CD$290</f>
        <v>0</v>
      </c>
      <c r="CE134" s="6">
        <f>SUMIF('Eredeti fejléccel'!$B:$B,'Felosztás eredménykim'!$B134,'Eredeti fejléccel'!$BC:$BC)</f>
        <v>0</v>
      </c>
      <c r="CF134" s="8">
        <f>-CE134/2</f>
        <v>0</v>
      </c>
      <c r="CG134" s="6">
        <f>SUMIF('Eredeti fejléccel'!$B:$B,'Felosztás eredménykim'!$B134,'Eredeti fejléccel'!$H:$H)</f>
        <v>0</v>
      </c>
      <c r="CH134" s="6">
        <f>SUMIF('Eredeti fejléccel'!$B:$B,'Felosztás eredménykim'!$B134,'Eredeti fejléccel'!$BE:$BE)</f>
        <v>0</v>
      </c>
      <c r="CI134" s="6">
        <f>SUM(CD134:CH134)</f>
        <v>0</v>
      </c>
      <c r="CJ134" s="36">
        <f t="shared" ref="CJ134:CJ165" si="224">$X134/$HD$290*(CK$290+CK$291)</f>
        <v>0</v>
      </c>
      <c r="CK134" s="8">
        <f t="shared" ref="CK134:CK197" si="225">$AE134/$HD$291*CK$290</f>
        <v>0</v>
      </c>
      <c r="CL134" s="8">
        <f>CE134/2</f>
        <v>0</v>
      </c>
      <c r="CM134" s="6">
        <f>SUMIF('Eredeti fejléccel'!$B:$B,'Felosztás eredménykim'!$B134,'Eredeti fejléccel'!$BD:$BD)</f>
        <v>0</v>
      </c>
      <c r="CN134" s="8">
        <f>SUM(CK134:CM134)</f>
        <v>0</v>
      </c>
      <c r="CO134" s="8">
        <f t="shared" si="115"/>
        <v>438732</v>
      </c>
      <c r="CR134" s="36">
        <f t="shared" ref="CR134:CR197" si="226">$X134/$HD$290*CR$290</f>
        <v>0</v>
      </c>
      <c r="CS134" s="6">
        <f>SUMIF('Eredeti fejléccel'!$B:$B,'Felosztás eredménykim'!$B134,'Eredeti fejléccel'!$I:$I)</f>
        <v>0</v>
      </c>
      <c r="CT134" s="6">
        <f>SUMIF('Eredeti fejléccel'!$B:$B,'Felosztás eredménykim'!$B134,'Eredeti fejléccel'!$BG:$BG)</f>
        <v>0</v>
      </c>
      <c r="CU134" s="6">
        <f>SUMIF('Eredeti fejléccel'!$B:$B,'Felosztás eredménykim'!$B134,'Eredeti fejléccel'!$BH:$BH)</f>
        <v>0</v>
      </c>
      <c r="CV134" s="6">
        <f>SUMIF('Eredeti fejléccel'!$B:$B,'Felosztás eredménykim'!$B134,'Eredeti fejléccel'!$BI:$BI)</f>
        <v>0</v>
      </c>
      <c r="CW134" s="6">
        <f>SUMIF('Eredeti fejléccel'!$B:$B,'Felosztás eredménykim'!$B134,'Eredeti fejléccel'!$BL:$BL)</f>
        <v>0</v>
      </c>
      <c r="CX134" s="6">
        <f>SUM(CS134:CW134)</f>
        <v>0</v>
      </c>
      <c r="CY134" s="6">
        <f>SUMIF('Eredeti fejléccel'!$B:$B,'Felosztás eredménykim'!$B134,'Eredeti fejléccel'!$BJ:$BJ)</f>
        <v>0</v>
      </c>
      <c r="CZ134" s="6">
        <f>SUMIF('Eredeti fejléccel'!$B:$B,'Felosztás eredménykim'!$B134,'Eredeti fejléccel'!$BK:$BK)</f>
        <v>0</v>
      </c>
      <c r="DA134" s="99">
        <f t="shared" si="116"/>
        <v>0</v>
      </c>
      <c r="DC134" s="36">
        <f t="shared" ref="DC134:DC197" si="227">$X134/$HD$290*DC$290</f>
        <v>0</v>
      </c>
      <c r="DD134" s="6">
        <f>SUMIF('Eredeti fejléccel'!$B:$B,'Felosztás eredménykim'!$B134,'Eredeti fejléccel'!$J:$J)</f>
        <v>0</v>
      </c>
      <c r="DE134" s="6">
        <f>SUMIF('Eredeti fejléccel'!$B:$B,'Felosztás eredménykim'!$B134,'Eredeti fejléccel'!$BM:$BM)</f>
        <v>0</v>
      </c>
      <c r="DF134" s="6">
        <f>-DI134</f>
        <v>0</v>
      </c>
      <c r="DG134" s="8">
        <f t="shared" si="117"/>
        <v>0</v>
      </c>
      <c r="DH134" s="8">
        <f>SUM(DD134:DG134)</f>
        <v>0</v>
      </c>
      <c r="DJ134" s="6">
        <f>SUMIF('Eredeti fejléccel'!$B:$B,'Felosztás eredménykim'!$B134,'Eredeti fejléccel'!$BN:$BN)</f>
        <v>9337</v>
      </c>
      <c r="DK134" s="6">
        <f>SUMIF('Eredeti fejléccel'!$B:$B,'Felosztás eredménykim'!$B134,'Eredeti fejléccel'!$BZ:$BZ)</f>
        <v>0</v>
      </c>
      <c r="DL134" s="8">
        <f>SUM(DI134:DK134)</f>
        <v>9337</v>
      </c>
      <c r="DM134" s="6">
        <f>SUMIF('Eredeti fejléccel'!$B:$B,'Felosztás eredménykim'!$B134,'Eredeti fejléccel'!$BR:$BR)</f>
        <v>0</v>
      </c>
      <c r="DN134" s="6">
        <f>SUMIF('Eredeti fejléccel'!$B:$B,'Felosztás eredménykim'!$B134,'Eredeti fejléccel'!$BS:$BS)</f>
        <v>0</v>
      </c>
      <c r="DO134" s="6">
        <f>SUMIF('Eredeti fejléccel'!$B:$B,'Felosztás eredménykim'!$B134,'Eredeti fejléccel'!$BO:$BO)</f>
        <v>0</v>
      </c>
      <c r="DP134" s="6">
        <f>SUMIF('Eredeti fejléccel'!$B:$B,'Felosztás eredménykim'!$B134,'Eredeti fejléccel'!$BP:$BP)</f>
        <v>0</v>
      </c>
      <c r="DQ134" s="6">
        <f>SUMIF('Eredeti fejléccel'!$B:$B,'Felosztás eredménykim'!$B134,'Eredeti fejléccel'!$BQ:$BQ)</f>
        <v>0</v>
      </c>
      <c r="DS134" s="8"/>
      <c r="DU134" s="6">
        <f>SUMIF('Eredeti fejléccel'!$B:$B,'Felosztás eredménykim'!$B134,'Eredeti fejléccel'!$BT:$BT)</f>
        <v>0</v>
      </c>
      <c r="DV134" s="6">
        <f>SUMIF('Eredeti fejléccel'!$B:$B,'Felosztás eredménykim'!$B134,'Eredeti fejléccel'!$BU:$BU)</f>
        <v>0</v>
      </c>
      <c r="DW134" s="6">
        <f>SUMIF('Eredeti fejléccel'!$B:$B,'Felosztás eredménykim'!$B134,'Eredeti fejléccel'!$BV:$BV)</f>
        <v>0</v>
      </c>
      <c r="DX134" s="6">
        <f>SUMIF('Eredeti fejléccel'!$B:$B,'Felosztás eredménykim'!$B134,'Eredeti fejléccel'!$BW:$BW)</f>
        <v>0</v>
      </c>
      <c r="DY134" s="6">
        <f>SUMIF('Eredeti fejléccel'!$B:$B,'Felosztás eredménykim'!$B134,'Eredeti fejléccel'!$BX:$BX)</f>
        <v>0</v>
      </c>
      <c r="EA134" s="6"/>
      <c r="EC134" s="6"/>
      <c r="EE134" s="6">
        <f>SUMIF('Eredeti fejléccel'!$B:$B,'Felosztás eredménykim'!$B134,'Eredeti fejléccel'!$CA:$CA)</f>
        <v>0</v>
      </c>
      <c r="EF134" s="6">
        <f>SUMIF('Eredeti fejléccel'!$B:$B,'Felosztás eredménykim'!$B134,'Eredeti fejléccel'!$CB:$CB)</f>
        <v>0</v>
      </c>
      <c r="EG134" s="6">
        <f>SUMIF('Eredeti fejléccel'!$B:$B,'Felosztás eredménykim'!$B134,'Eredeti fejléccel'!$CC:$CC)</f>
        <v>0</v>
      </c>
      <c r="EH134" s="6">
        <f>SUMIF('Eredeti fejléccel'!$B:$B,'Felosztás eredménykim'!$B134,'Eredeti fejléccel'!$CD:$CD)</f>
        <v>0</v>
      </c>
      <c r="EK134" s="6">
        <f>SUMIF('Eredeti fejléccel'!$B:$B,'Felosztás eredménykim'!$B134,'Eredeti fejléccel'!$CE:$CE)</f>
        <v>0</v>
      </c>
      <c r="EN134" s="6">
        <f>SUMIF('Eredeti fejléccel'!$B:$B,'Felosztás eredménykim'!$B134,'Eredeti fejléccel'!$CF:$CF)</f>
        <v>0</v>
      </c>
      <c r="EP134" s="6">
        <f>SUMIF('Eredeti fejléccel'!$B:$B,'Felosztás eredménykim'!$B134,'Eredeti fejléccel'!$CG:$CG)</f>
        <v>0</v>
      </c>
      <c r="ES134" s="6">
        <f>SUMIF('Eredeti fejléccel'!$B:$B,'Felosztás eredménykim'!$B134,'Eredeti fejléccel'!$CH:$CH)</f>
        <v>0</v>
      </c>
      <c r="ET134" s="6">
        <f>SUMIF('Eredeti fejléccel'!$B:$B,'Felosztás eredménykim'!$B134,'Eredeti fejléccel'!$CI:$CI)</f>
        <v>0</v>
      </c>
      <c r="EW134" s="8">
        <f>SUM(DR134:ED134)</f>
        <v>0</v>
      </c>
      <c r="EX134" s="8">
        <f>SUM(EE134:EV134)</f>
        <v>0</v>
      </c>
      <c r="EY134" s="8">
        <f t="shared" si="119"/>
        <v>0</v>
      </c>
      <c r="EZ134" s="8">
        <f>EY134+DL134+DM134+DN134+DO134+DP134+DQ134</f>
        <v>9337</v>
      </c>
      <c r="FA134" s="8">
        <f>EZ134-DL134-DM134</f>
        <v>0</v>
      </c>
      <c r="FC134" s="6">
        <f>SUMIF('Eredeti fejléccel'!$B:$B,'Felosztás eredménykim'!$B134,'Eredeti fejléccel'!$L:$L)</f>
        <v>0</v>
      </c>
      <c r="FD134" s="6">
        <f>SUMIF('Eredeti fejléccel'!$B:$B,'Felosztás eredménykim'!$B134,'Eredeti fejléccel'!$CJ:$CJ)</f>
        <v>0</v>
      </c>
      <c r="FE134" s="6">
        <f>SUMIF('Eredeti fejléccel'!$B:$B,'Felosztás eredménykim'!$B134,'Eredeti fejléccel'!$CL:$CL)</f>
        <v>0</v>
      </c>
      <c r="FG134" s="99">
        <f>SUM(FC134:FF134)</f>
        <v>0</v>
      </c>
      <c r="FH134" s="6">
        <f>SUMIF('Eredeti fejléccel'!$B:$B,'Felosztás eredménykim'!$B134,'Eredeti fejléccel'!$CK:$CK)</f>
        <v>0</v>
      </c>
      <c r="FI134" s="36">
        <f t="shared" ref="FI134:FI165" si="228">$X134/$HD$290*(FJ$290+FJ$293)</f>
        <v>0</v>
      </c>
      <c r="FJ134" s="101">
        <f t="shared" ref="FJ134:FJ197" si="229">$FG134/$HD$292*FJ$292</f>
        <v>0</v>
      </c>
      <c r="FK134" s="6">
        <f>SUMIF('Eredeti fejléccel'!$B:$B,'Felosztás eredménykim'!$B134,'Eredeti fejléccel'!$CM:$CM)</f>
        <v>0</v>
      </c>
      <c r="FL134" s="6">
        <f>SUMIF('Eredeti fejléccel'!$B:$B,'Felosztás eredménykim'!$B134,'Eredeti fejléccel'!$CN:$CN)</f>
        <v>0</v>
      </c>
      <c r="FM134" s="8">
        <f>SUM(FJ134:FL134)</f>
        <v>0</v>
      </c>
      <c r="FN134" s="36">
        <f t="shared" ref="FN134:FN165" si="230">$X134/$HD$290*(FO$290+FO$293)</f>
        <v>0</v>
      </c>
      <c r="FO134" s="101">
        <f t="shared" ref="FO134:FO197" si="231">$FG134/$HD$292*FO$292</f>
        <v>0</v>
      </c>
      <c r="FP134" s="6">
        <f>SUMIF('Eredeti fejléccel'!$B:$B,'Felosztás eredménykim'!$B134,'Eredeti fejléccel'!$CO:$CO)</f>
        <v>0</v>
      </c>
      <c r="FQ134" s="6">
        <f>'Eredeti fejléccel'!CP134</f>
        <v>0</v>
      </c>
      <c r="FR134" s="6">
        <f>'Eredeti fejléccel'!CQ134</f>
        <v>0</v>
      </c>
      <c r="FS134" s="103">
        <f t="shared" si="122"/>
        <v>0</v>
      </c>
      <c r="FT134" s="36">
        <f t="shared" ref="FT134:FT165" si="232">$X134/$HD$290*(FU$290+FU$293)</f>
        <v>0</v>
      </c>
      <c r="FU134" s="101">
        <f t="shared" ref="FU134:FU197" si="233">$FG134/$HD$292*FU$292</f>
        <v>0</v>
      </c>
      <c r="FV134" s="101"/>
      <c r="FW134" s="6">
        <f>SUMIF('Eredeti fejléccel'!$B:$B,'Felosztás eredménykim'!$B134,'Eredeti fejléccel'!$CR:$CR)</f>
        <v>1135</v>
      </c>
      <c r="FX134" s="6">
        <f>SUMIF('Eredeti fejléccel'!$B:$B,'Felosztás eredménykim'!$B134,'Eredeti fejléccel'!$CS:$CS)</f>
        <v>0</v>
      </c>
      <c r="FY134" s="6">
        <f>SUMIF('Eredeti fejléccel'!$B:$B,'Felosztás eredménykim'!$B134,'Eredeti fejléccel'!$CT:$CT)</f>
        <v>0</v>
      </c>
      <c r="FZ134" s="6">
        <f>SUMIF('Eredeti fejléccel'!$B:$B,'Felosztás eredménykim'!$B134,'Eredeti fejléccel'!$CU:$CU)</f>
        <v>0</v>
      </c>
      <c r="GA134" s="103">
        <f>SUM(FU134:FZ134)</f>
        <v>1135</v>
      </c>
      <c r="GB134" s="36">
        <f t="shared" ref="GB134:GB165" si="234">$X134/$HD$290*(GC$290+GC$293)</f>
        <v>0</v>
      </c>
      <c r="GC134" s="101">
        <f t="shared" ref="GC134:GC197" si="235">$FG134/$HD$292*GC$292</f>
        <v>0</v>
      </c>
      <c r="GD134" s="6">
        <f>SUMIF('Eredeti fejléccel'!$B:$B,'Felosztás eredménykim'!$B134,'Eredeti fejléccel'!$CV:$CV)</f>
        <v>0</v>
      </c>
      <c r="GE134" s="6">
        <f>SUMIF('Eredeti fejléccel'!$B:$B,'Felosztás eredménykim'!$B134,'Eredeti fejléccel'!$CW:$CW)</f>
        <v>0</v>
      </c>
      <c r="GF134" s="103">
        <f>SUM(GC134:GE134)</f>
        <v>0</v>
      </c>
      <c r="GG134" s="36">
        <f t="shared" ref="GG134:GG197" si="236">$X134/$HD$290*GG$290</f>
        <v>0</v>
      </c>
      <c r="GM134" s="6">
        <f>SUMIF('Eredeti fejléccel'!$B:$B,'Felosztás eredménykim'!$B134,'Eredeti fejléccel'!$CX:$CX)</f>
        <v>0</v>
      </c>
      <c r="GN134" s="6">
        <f>SUMIF('Eredeti fejléccel'!$B:$B,'Felosztás eredménykim'!$B134,'Eredeti fejléccel'!$CY:$CY)</f>
        <v>0</v>
      </c>
      <c r="GO134" s="6">
        <f>SUMIF('Eredeti fejléccel'!$B:$B,'Felosztás eredménykim'!$B134,'Eredeti fejléccel'!$CZ:$CZ)</f>
        <v>0</v>
      </c>
      <c r="GP134" s="6">
        <f>SUMIF('Eredeti fejléccel'!$B:$B,'Felosztás eredménykim'!$B134,'Eredeti fejléccel'!$DA:$DA)</f>
        <v>0</v>
      </c>
      <c r="GQ134" s="6">
        <f>SUMIF('Eredeti fejléccel'!$B:$B,'Felosztás eredménykim'!$B134,'Eredeti fejléccel'!$DB:$DB)</f>
        <v>0</v>
      </c>
      <c r="GR134" s="103">
        <f>SUM(GH134:GQ134)</f>
        <v>0</v>
      </c>
      <c r="GW134" s="36">
        <f t="shared" ref="GW134:GW197" si="237">$X134/$HD$290*GW$290</f>
        <v>0</v>
      </c>
      <c r="GX134" s="6">
        <f>SUMIF('Eredeti fejléccel'!$B:$B,'Felosztás eredménykim'!$B134,'Eredeti fejléccel'!$M:$M)</f>
        <v>0</v>
      </c>
      <c r="GY134" s="6">
        <f>SUMIF('Eredeti fejléccel'!$B:$B,'Felosztás eredménykim'!$B134,'Eredeti fejléccel'!$DC:$DC)</f>
        <v>0</v>
      </c>
      <c r="GZ134" s="6">
        <f>SUMIF('Eredeti fejléccel'!$B:$B,'Felosztás eredménykim'!$B134,'Eredeti fejléccel'!$DD:$DD)</f>
        <v>0</v>
      </c>
      <c r="HA134" s="6">
        <f>SUMIF('Eredeti fejléccel'!$B:$B,'Felosztás eredménykim'!$B134,'Eredeti fejléccel'!$DE:$DE)</f>
        <v>0</v>
      </c>
      <c r="HB134" s="103">
        <f>SUM(GX134:HA134)</f>
        <v>0</v>
      </c>
      <c r="HD134" s="9">
        <f>SUM(D134:HA134)-W134-X134-AD134-AE134-AF134-AG134-AK134-AL134-AM134-AS134-AT134-AU134-BE134-BF134-BG134-BL134-BM134-BN134-CB134-CC134-CD134-CI134-CJ134-CK134-CN134-CO134-CP134-CR134-CX134-DA134-DC134-DG134-DH134-DL134-EW134-EX134-EY134-EZ134-FA134-FF134-FG134-FI134-FJ134-FM134-FN134-FO134-FS134-FT134-FU134-GA134-GB134-GC134-GF134-GG134-GR134-GS134-GT134-GU134-GW134</f>
        <v>449204</v>
      </c>
      <c r="HE134" s="9">
        <v>449204</v>
      </c>
      <c r="HF134" s="476"/>
      <c r="HH134" s="34">
        <f>+HD134-HE134</f>
        <v>0</v>
      </c>
    </row>
    <row r="135" spans="1:232" s="209" customFormat="1" x14ac:dyDescent="0.25">
      <c r="A135" s="4" t="s">
        <v>254</v>
      </c>
      <c r="B135" s="4" t="s">
        <v>254</v>
      </c>
      <c r="C135" s="1" t="s">
        <v>255</v>
      </c>
      <c r="D135" s="6">
        <f>SUMIF('Eredeti fejléccel'!$B:$B,'Felosztás eredménykim'!$B135,'Eredeti fejléccel'!$D:$D)</f>
        <v>0</v>
      </c>
      <c r="E135" s="6">
        <f>SUMIF('Eredeti fejléccel'!$B:$B,'Felosztás eredménykim'!$B135,'Eredeti fejléccel'!$E:$E)</f>
        <v>0</v>
      </c>
      <c r="F135" s="6">
        <f>SUMIF('Eredeti fejléccel'!$B:$B,'Felosztás eredménykim'!$B135,'Eredeti fejléccel'!$F:$F)</f>
        <v>0</v>
      </c>
      <c r="G135" s="6">
        <f>SUMIF('Eredeti fejléccel'!$B:$B,'Felosztás eredménykim'!$B135,'Eredeti fejléccel'!$G:$G)</f>
        <v>0</v>
      </c>
      <c r="H135" s="6"/>
      <c r="I135" s="6">
        <f>SUMIF('Eredeti fejléccel'!$B:$B,'Felosztás eredménykim'!$B135,'Eredeti fejléccel'!$O:$O)</f>
        <v>0</v>
      </c>
      <c r="J135" s="6">
        <f>SUMIF('Eredeti fejléccel'!$B:$B,'Felosztás eredménykim'!$B135,'Eredeti fejléccel'!$P:$P)</f>
        <v>0</v>
      </c>
      <c r="K135" s="6">
        <f>SUMIF('Eredeti fejléccel'!$B:$B,'Felosztás eredménykim'!$B135,'Eredeti fejléccel'!$Q:$Q)</f>
        <v>0</v>
      </c>
      <c r="L135" s="6">
        <f>SUMIF('Eredeti fejléccel'!$B:$B,'Felosztás eredménykim'!$B135,'Eredeti fejléccel'!$R:$R)</f>
        <v>0</v>
      </c>
      <c r="M135" s="6">
        <f>SUMIF('Eredeti fejléccel'!$B:$B,'Felosztás eredménykim'!$B135,'Eredeti fejléccel'!$T:$T)</f>
        <v>0</v>
      </c>
      <c r="N135" s="6">
        <f>SUMIF('Eredeti fejléccel'!$B:$B,'Felosztás eredménykim'!$B135,'Eredeti fejléccel'!$U:$U)</f>
        <v>0</v>
      </c>
      <c r="O135" s="6">
        <f>SUMIF('Eredeti fejléccel'!$B:$B,'Felosztás eredménykim'!$B135,'Eredeti fejléccel'!$V:$V)</f>
        <v>0</v>
      </c>
      <c r="P135" s="6">
        <f>SUMIF('Eredeti fejléccel'!$B:$B,'Felosztás eredménykim'!$B135,'Eredeti fejléccel'!$W:$W)</f>
        <v>0</v>
      </c>
      <c r="Q135" s="6">
        <f>SUMIF('Eredeti fejléccel'!$B:$B,'Felosztás eredménykim'!$B135,'Eredeti fejléccel'!$X:$X)</f>
        <v>0</v>
      </c>
      <c r="R135" s="6">
        <f>SUMIF('Eredeti fejléccel'!$B:$B,'Felosztás eredménykim'!$B135,'Eredeti fejléccel'!$Y:$Y)</f>
        <v>0</v>
      </c>
      <c r="S135" s="6">
        <f>SUMIF('Eredeti fejléccel'!$B:$B,'Felosztás eredménykim'!$B135,'Eredeti fejléccel'!$Z:$Z)</f>
        <v>0</v>
      </c>
      <c r="T135" s="6">
        <f>SUMIF('Eredeti fejléccel'!$B:$B,'Felosztás eredménykim'!$B135,'Eredeti fejléccel'!$AA:$AA)</f>
        <v>0</v>
      </c>
      <c r="U135" s="6">
        <f>SUMIF('Eredeti fejléccel'!$B:$B,'Felosztás eredménykim'!$B135,'Eredeti fejléccel'!$D:$D)</f>
        <v>0</v>
      </c>
      <c r="V135" s="6">
        <f>SUMIF('Eredeti fejléccel'!$B:$B,'Felosztás eredménykim'!$B135,'Eredeti fejléccel'!$AT:$AT)</f>
        <v>0</v>
      </c>
      <c r="W135" s="212"/>
      <c r="X135" s="212">
        <f t="shared" si="211"/>
        <v>0</v>
      </c>
      <c r="Y135" s="212"/>
      <c r="Z135" s="6">
        <f>SUMIF('Eredeti fejléccel'!$B:$B,'Felosztás eredménykim'!$B135,'Eredeti fejléccel'!$K:$K)</f>
        <v>0</v>
      </c>
      <c r="AA135" s="210"/>
      <c r="AB135" s="6">
        <f>SUMIF('Eredeti fejléccel'!$B:$B,'Felosztás eredménykim'!$B135,'Eredeti fejléccel'!$AB:$AB)</f>
        <v>0</v>
      </c>
      <c r="AC135" s="6">
        <f>SUMIF('Eredeti fejléccel'!$B:$B,'Felosztás eredménykim'!$B135,'Eredeti fejléccel'!$AQ:$AQ)</f>
        <v>0</v>
      </c>
      <c r="AD135" s="213"/>
      <c r="AE135" s="73">
        <f t="shared" si="131"/>
        <v>0</v>
      </c>
      <c r="AF135" s="36">
        <f t="shared" si="212"/>
        <v>0</v>
      </c>
      <c r="AG135" s="8">
        <f t="shared" si="213"/>
        <v>0</v>
      </c>
      <c r="AH135" s="6"/>
      <c r="AI135" s="6">
        <f>SUMIF('Eredeti fejléccel'!$B:$B,'Felosztás eredménykim'!$B135,'Eredeti fejléccel'!$BB:$BB)</f>
        <v>0</v>
      </c>
      <c r="AJ135" s="6">
        <f>SUMIF('Eredeti fejléccel'!$B:$B,'Felosztás eredménykim'!$B135,'Eredeti fejléccel'!$AF:$AF)</f>
        <v>0</v>
      </c>
      <c r="AK135" s="211">
        <f t="shared" si="177"/>
        <v>0</v>
      </c>
      <c r="AL135" s="36">
        <f t="shared" si="214"/>
        <v>0</v>
      </c>
      <c r="AM135" s="8">
        <f t="shared" si="215"/>
        <v>0</v>
      </c>
      <c r="AN135" s="6">
        <f t="shared" si="123"/>
        <v>0</v>
      </c>
      <c r="AO135" s="6">
        <f>SUMIF('Eredeti fejléccel'!$B:$B,'Felosztás eredménykim'!$B135,'Eredeti fejléccel'!$AC:$AC)</f>
        <v>0</v>
      </c>
      <c r="AP135" s="6">
        <f>SUMIF('Eredeti fejléccel'!$B:$B,'Felosztás eredménykim'!$B135,'Eredeti fejléccel'!$AD:$AD)</f>
        <v>0</v>
      </c>
      <c r="AQ135" s="6">
        <f>SUMIF('Eredeti fejléccel'!$B:$B,'Felosztás eredménykim'!$B135,'Eredeti fejléccel'!$AE:$AE)</f>
        <v>0</v>
      </c>
      <c r="AR135" s="6">
        <f>SUMIF('Eredeti fejléccel'!$B:$B,'Felosztás eredménykim'!$B135,'Eredeti fejléccel'!$AG:$AG)</f>
        <v>0</v>
      </c>
      <c r="AS135" s="6">
        <f t="shared" si="124"/>
        <v>0</v>
      </c>
      <c r="AT135" s="36">
        <f t="shared" si="216"/>
        <v>0</v>
      </c>
      <c r="AU135" s="8">
        <f t="shared" si="217"/>
        <v>0</v>
      </c>
      <c r="AV135" s="6">
        <f>SUMIF('Eredeti fejléccel'!$B:$B,'Felosztás eredménykim'!$B135,'Eredeti fejléccel'!$AI:$AI)</f>
        <v>0</v>
      </c>
      <c r="AW135" s="6">
        <f>SUMIF('Eredeti fejléccel'!$B:$B,'Felosztás eredménykim'!$B135,'Eredeti fejléccel'!$AJ:$AJ)</f>
        <v>0</v>
      </c>
      <c r="AX135" s="6">
        <f>SUMIF('Eredeti fejléccel'!$B:$B,'Felosztás eredménykim'!$B135,'Eredeti fejléccel'!$AK:$AK)</f>
        <v>0</v>
      </c>
      <c r="AY135" s="6">
        <f>SUMIF('Eredeti fejléccel'!$B:$B,'Felosztás eredménykim'!$B135,'Eredeti fejléccel'!$AL:$AL)</f>
        <v>0</v>
      </c>
      <c r="AZ135" s="6">
        <f>SUMIF('Eredeti fejléccel'!$B:$B,'Felosztás eredménykim'!$B135,'Eredeti fejléccel'!$AM:$AM)</f>
        <v>0</v>
      </c>
      <c r="BA135" s="6">
        <f>SUMIF('Eredeti fejléccel'!$B:$B,'Felosztás eredménykim'!$B135,'Eredeti fejléccel'!$AN:$AN)</f>
        <v>0</v>
      </c>
      <c r="BB135" s="6">
        <f>SUMIF('Eredeti fejléccel'!$B:$B,'Felosztás eredménykim'!$B135,'Eredeti fejléccel'!$AP:$AP)</f>
        <v>0</v>
      </c>
      <c r="BC135" s="210"/>
      <c r="BD135" s="6">
        <f>SUMIF('Eredeti fejléccel'!$B:$B,'Felosztás eredménykim'!$B135,'Eredeti fejléccel'!$AS:$AS)</f>
        <v>0</v>
      </c>
      <c r="BE135" s="211">
        <f t="shared" ref="BE135:BE218" si="238">SUM(AU135:BD135)</f>
        <v>0</v>
      </c>
      <c r="BF135" s="36">
        <f t="shared" si="218"/>
        <v>0</v>
      </c>
      <c r="BG135" s="8">
        <f t="shared" si="219"/>
        <v>0</v>
      </c>
      <c r="BH135" s="6">
        <f t="shared" si="125"/>
        <v>0</v>
      </c>
      <c r="BI135" s="6">
        <f>SUMIF('Eredeti fejléccel'!$B:$B,'Felosztás eredménykim'!$B135,'Eredeti fejléccel'!$AH:$AH)</f>
        <v>0</v>
      </c>
      <c r="BJ135" s="6">
        <f>SUMIF('Eredeti fejléccel'!$B:$B,'Felosztás eredménykim'!$B135,'Eredeti fejléccel'!$AO:$AO)</f>
        <v>0</v>
      </c>
      <c r="BK135" s="6">
        <f>SUMIF('Eredeti fejléccel'!$B:$B,'Felosztás eredménykim'!$B135,'Eredeti fejléccel'!$BF:$BF)</f>
        <v>0</v>
      </c>
      <c r="BL135" s="8">
        <f t="shared" si="126"/>
        <v>0</v>
      </c>
      <c r="BM135" s="36">
        <f t="shared" si="220"/>
        <v>0</v>
      </c>
      <c r="BN135" s="8">
        <f t="shared" si="221"/>
        <v>0</v>
      </c>
      <c r="BO135" s="211"/>
      <c r="BP135" s="8">
        <f t="shared" si="127"/>
        <v>0</v>
      </c>
      <c r="BQ135" s="6">
        <f>SUMIF('Eredeti fejléccel'!$B:$B,'Felosztás eredménykim'!$B135,'Eredeti fejléccel'!$N:$N)</f>
        <v>0</v>
      </c>
      <c r="BR135" s="6">
        <f>SUMIF('Eredeti fejléccel'!$B:$B,'Felosztás eredménykim'!$B135,'Eredeti fejléccel'!$S:$S)</f>
        <v>0</v>
      </c>
      <c r="BS135" s="210"/>
      <c r="BT135" s="6">
        <f>SUMIF('Eredeti fejléccel'!$B:$B,'Felosztás eredménykim'!$B135,'Eredeti fejléccel'!$AR:$AR)</f>
        <v>0</v>
      </c>
      <c r="BU135" s="6">
        <f>SUMIF('Eredeti fejléccel'!$B:$B,'Felosztás eredménykim'!$B135,'Eredeti fejléccel'!$AU:$AU)</f>
        <v>0</v>
      </c>
      <c r="BV135" s="6">
        <f>SUMIF('Eredeti fejléccel'!$B:$B,'Felosztás eredménykim'!$B135,'Eredeti fejléccel'!$AV:$AV)</f>
        <v>0</v>
      </c>
      <c r="BW135" s="6">
        <f>SUMIF('Eredeti fejléccel'!$B:$B,'Felosztás eredménykim'!$B135,'Eredeti fejléccel'!$AW:$AW)</f>
        <v>0</v>
      </c>
      <c r="BX135" s="6">
        <f>SUMIF('Eredeti fejléccel'!$B:$B,'Felosztás eredménykim'!$B135,'Eredeti fejléccel'!$AX:$AX)</f>
        <v>0</v>
      </c>
      <c r="BY135" s="6">
        <f>SUMIF('Eredeti fejléccel'!$B:$B,'Felosztás eredménykim'!$B135,'Eredeti fejléccel'!$AY:$AY)</f>
        <v>0</v>
      </c>
      <c r="BZ135" s="6">
        <f>SUMIF('Eredeti fejléccel'!$B:$B,'Felosztás eredménykim'!$B135,'Eredeti fejléccel'!$AZ:$AZ)</f>
        <v>0</v>
      </c>
      <c r="CA135" s="6">
        <f>SUMIF('Eredeti fejléccel'!$B:$B,'Felosztás eredménykim'!$B135,'Eredeti fejléccel'!$BA:$BA)</f>
        <v>0</v>
      </c>
      <c r="CB135" s="210">
        <f t="shared" si="114"/>
        <v>0</v>
      </c>
      <c r="CC135" s="36">
        <f t="shared" si="222"/>
        <v>0</v>
      </c>
      <c r="CD135" s="8">
        <f t="shared" si="223"/>
        <v>0</v>
      </c>
      <c r="CE135" s="6">
        <f>SUMIF('Eredeti fejléccel'!$B:$B,'Felosztás eredménykim'!$B135,'Eredeti fejléccel'!$BC:$BC)</f>
        <v>0</v>
      </c>
      <c r="CF135" s="211">
        <f t="shared" si="135"/>
        <v>0</v>
      </c>
      <c r="CG135" s="6">
        <f>SUMIF('Eredeti fejléccel'!$B:$B,'Felosztás eredménykim'!$B135,'Eredeti fejléccel'!$H:$H)</f>
        <v>0</v>
      </c>
      <c r="CH135" s="6">
        <f>SUMIF('Eredeti fejléccel'!$B:$B,'Felosztás eredménykim'!$B135,'Eredeti fejléccel'!$BE:$BE)</f>
        <v>0</v>
      </c>
      <c r="CI135" s="210">
        <f t="shared" ref="CI135:CI218" si="239">SUM(CD135:CH135)</f>
        <v>0</v>
      </c>
      <c r="CJ135" s="36">
        <f t="shared" si="224"/>
        <v>0</v>
      </c>
      <c r="CK135" s="211">
        <f t="shared" si="225"/>
        <v>0</v>
      </c>
      <c r="CL135" s="211">
        <f t="shared" si="136"/>
        <v>0</v>
      </c>
      <c r="CM135" s="6">
        <f>SUMIF('Eredeti fejléccel'!$B:$B,'Felosztás eredménykim'!$B135,'Eredeti fejléccel'!$BD:$BD)</f>
        <v>0</v>
      </c>
      <c r="CN135" s="211">
        <f t="shared" ref="CN135:CN218" si="240">SUM(CK135:CM135)</f>
        <v>0</v>
      </c>
      <c r="CO135" s="211">
        <f t="shared" si="115"/>
        <v>0</v>
      </c>
      <c r="CP135" s="211"/>
      <c r="CQ135" s="211"/>
      <c r="CR135" s="212">
        <f t="shared" si="226"/>
        <v>0</v>
      </c>
      <c r="CS135" s="6">
        <f>SUMIF('Eredeti fejléccel'!$B:$B,'Felosztás eredménykim'!$B135,'Eredeti fejléccel'!$I:$I)</f>
        <v>0</v>
      </c>
      <c r="CT135" s="6">
        <f>SUMIF('Eredeti fejléccel'!$B:$B,'Felosztás eredménykim'!$B135,'Eredeti fejléccel'!$BG:$BG)</f>
        <v>0</v>
      </c>
      <c r="CU135" s="6">
        <f>SUMIF('Eredeti fejléccel'!$B:$B,'Felosztás eredménykim'!$B135,'Eredeti fejléccel'!$BH:$BH)</f>
        <v>0</v>
      </c>
      <c r="CV135" s="6">
        <f>SUMIF('Eredeti fejléccel'!$B:$B,'Felosztás eredménykim'!$B135,'Eredeti fejléccel'!$BI:$BI)</f>
        <v>0</v>
      </c>
      <c r="CW135" s="6">
        <f>SUMIF('Eredeti fejléccel'!$B:$B,'Felosztás eredménykim'!$B135,'Eredeti fejléccel'!$BL:$BL)</f>
        <v>0</v>
      </c>
      <c r="CX135" s="210">
        <f t="shared" ref="CX135:CX218" si="241">SUM(CS135:CW135)</f>
        <v>0</v>
      </c>
      <c r="CY135" s="6">
        <f>SUMIF('Eredeti fejléccel'!$B:$B,'Felosztás eredménykim'!$B135,'Eredeti fejléccel'!$BJ:$BJ)</f>
        <v>0</v>
      </c>
      <c r="CZ135" s="6">
        <f>SUMIF('Eredeti fejléccel'!$B:$B,'Felosztás eredménykim'!$B135,'Eredeti fejléccel'!$BK:$BK)</f>
        <v>0</v>
      </c>
      <c r="DA135" s="99">
        <f t="shared" ref="DA135:DA199" si="242">SUM(CX135:CZ135)</f>
        <v>0</v>
      </c>
      <c r="DB135" s="215"/>
      <c r="DC135" s="212">
        <f t="shared" si="227"/>
        <v>0</v>
      </c>
      <c r="DD135" s="6">
        <f>SUMIF('Eredeti fejléccel'!$B:$B,'Felosztás eredménykim'!$B135,'Eredeti fejléccel'!$J:$J)</f>
        <v>0</v>
      </c>
      <c r="DE135" s="6">
        <f>SUMIF('Eredeti fejléccel'!$B:$B,'Felosztás eredménykim'!$B135,'Eredeti fejléccel'!$BM:$BM)</f>
        <v>0</v>
      </c>
      <c r="DF135" s="6">
        <f t="shared" si="128"/>
        <v>0</v>
      </c>
      <c r="DG135" s="8">
        <f t="shared" si="117"/>
        <v>0</v>
      </c>
      <c r="DH135" s="8">
        <f t="shared" si="129"/>
        <v>0</v>
      </c>
      <c r="DI135" s="211"/>
      <c r="DJ135" s="6">
        <f>SUMIF('Eredeti fejléccel'!$B:$B,'Felosztás eredménykim'!$B135,'Eredeti fejléccel'!$BN:$BN)</f>
        <v>0</v>
      </c>
      <c r="DK135" s="6">
        <f>SUMIF('Eredeti fejléccel'!$B:$B,'Felosztás eredménykim'!$B135,'Eredeti fejléccel'!$BZ:$BZ)</f>
        <v>0</v>
      </c>
      <c r="DL135" s="8">
        <f t="shared" si="130"/>
        <v>0</v>
      </c>
      <c r="DM135" s="6">
        <f>SUMIF('Eredeti fejléccel'!$B:$B,'Felosztás eredménykim'!$B135,'Eredeti fejléccel'!$BR:$BR)</f>
        <v>0</v>
      </c>
      <c r="DN135" s="6">
        <f>SUMIF('Eredeti fejléccel'!$B:$B,'Felosztás eredménykim'!$B135,'Eredeti fejléccel'!$BS:$BS)</f>
        <v>0</v>
      </c>
      <c r="DO135" s="6">
        <f>SUMIF('Eredeti fejléccel'!$B:$B,'Felosztás eredménykim'!$B135,'Eredeti fejléccel'!$BO:$BO)</f>
        <v>0</v>
      </c>
      <c r="DP135" s="6">
        <f>SUMIF('Eredeti fejléccel'!$B:$B,'Felosztás eredménykim'!$B135,'Eredeti fejléccel'!$BP:$BP)</f>
        <v>0</v>
      </c>
      <c r="DQ135" s="6">
        <f>SUMIF('Eredeti fejléccel'!$B:$B,'Felosztás eredménykim'!$B135,'Eredeti fejléccel'!$BQ:$BQ)</f>
        <v>0</v>
      </c>
      <c r="DR135" s="210"/>
      <c r="DS135" s="211"/>
      <c r="DT135" s="210"/>
      <c r="DU135" s="6">
        <f>SUMIF('Eredeti fejléccel'!$B:$B,'Felosztás eredménykim'!$B135,'Eredeti fejléccel'!$BT:$BT)</f>
        <v>0</v>
      </c>
      <c r="DV135" s="6">
        <f>SUMIF('Eredeti fejléccel'!$B:$B,'Felosztás eredménykim'!$B135,'Eredeti fejléccel'!$BU:$BU)</f>
        <v>0</v>
      </c>
      <c r="DW135" s="6">
        <f>SUMIF('Eredeti fejléccel'!$B:$B,'Felosztás eredménykim'!$B135,'Eredeti fejléccel'!$BV:$BV)</f>
        <v>0</v>
      </c>
      <c r="DX135" s="6">
        <f>SUMIF('Eredeti fejléccel'!$B:$B,'Felosztás eredménykim'!$B135,'Eredeti fejléccel'!$BW:$BW)</f>
        <v>0</v>
      </c>
      <c r="DY135" s="6">
        <f>SUMIF('Eredeti fejléccel'!$B:$B,'Felosztás eredménykim'!$B135,'Eredeti fejléccel'!$BX:$BX)</f>
        <v>0</v>
      </c>
      <c r="DZ135" s="6"/>
      <c r="EA135" s="6"/>
      <c r="EB135" s="6"/>
      <c r="EC135" s="6"/>
      <c r="ED135" s="6"/>
      <c r="EE135" s="6">
        <f>SUMIF('Eredeti fejléccel'!$B:$B,'Felosztás eredménykim'!$B135,'Eredeti fejléccel'!$CA:$CA)</f>
        <v>0</v>
      </c>
      <c r="EF135" s="6">
        <f>SUMIF('Eredeti fejléccel'!$B:$B,'Felosztás eredménykim'!$B135,'Eredeti fejléccel'!$CB:$CB)</f>
        <v>0</v>
      </c>
      <c r="EG135" s="6">
        <f>SUMIF('Eredeti fejléccel'!$B:$B,'Felosztás eredménykim'!$B135,'Eredeti fejléccel'!$CC:$CC)</f>
        <v>0</v>
      </c>
      <c r="EH135" s="6">
        <f>SUMIF('Eredeti fejléccel'!$B:$B,'Felosztás eredménykim'!$B135,'Eredeti fejléccel'!$CD:$CD)</f>
        <v>0</v>
      </c>
      <c r="EI135" s="210"/>
      <c r="EJ135" s="211"/>
      <c r="EK135" s="6">
        <f>SUMIF('Eredeti fejléccel'!$B:$B,'Felosztás eredménykim'!$B135,'Eredeti fejléccel'!$CE:$CE)</f>
        <v>0</v>
      </c>
      <c r="EL135" s="211"/>
      <c r="EM135" s="210"/>
      <c r="EN135" s="6">
        <f>SUMIF('Eredeti fejléccel'!$B:$B,'Felosztás eredménykim'!$B135,'Eredeti fejléccel'!$CF:$CF)</f>
        <v>0</v>
      </c>
      <c r="EO135" s="210"/>
      <c r="EP135" s="6">
        <f>SUMIF('Eredeti fejléccel'!$B:$B,'Felosztás eredménykim'!$B135,'Eredeti fejléccel'!$CG:$CG)</f>
        <v>0</v>
      </c>
      <c r="EQ135" s="210"/>
      <c r="ER135" s="211"/>
      <c r="ES135" s="6">
        <f>SUMIF('Eredeti fejléccel'!$B:$B,'Felosztás eredménykim'!$B135,'Eredeti fejléccel'!$CH:$CH)</f>
        <v>0</v>
      </c>
      <c r="ET135" s="6">
        <f>SUMIF('Eredeti fejléccel'!$B:$B,'Felosztás eredménykim'!$B135,'Eredeti fejléccel'!$CI:$CI)</f>
        <v>0</v>
      </c>
      <c r="EU135" s="210"/>
      <c r="EV135" s="211"/>
      <c r="EW135" s="211">
        <f t="shared" si="118"/>
        <v>0</v>
      </c>
      <c r="EX135" s="211">
        <f t="shared" ref="EX135:EX218" si="243">SUM(EE135:EV135)</f>
        <v>0</v>
      </c>
      <c r="EY135" s="211">
        <f t="shared" ref="EY135:EY199" si="244">SUM(DR135:EV135)+DH135+DN135+DP135-DS135-DT135</f>
        <v>0</v>
      </c>
      <c r="EZ135" s="211">
        <f t="shared" si="120"/>
        <v>0</v>
      </c>
      <c r="FA135" s="211">
        <f t="shared" si="121"/>
        <v>0</v>
      </c>
      <c r="FB135" s="211"/>
      <c r="FC135" s="6">
        <f>SUMIF('Eredeti fejléccel'!$B:$B,'Felosztás eredménykim'!$B135,'Eredeti fejléccel'!$L:$L)</f>
        <v>0</v>
      </c>
      <c r="FD135" s="6">
        <f>SUMIF('Eredeti fejléccel'!$B:$B,'Felosztás eredménykim'!$B135,'Eredeti fejléccel'!$CJ:$CJ)</f>
        <v>0</v>
      </c>
      <c r="FE135" s="6">
        <f>SUMIF('Eredeti fejléccel'!$B:$B,'Felosztás eredménykim'!$B135,'Eredeti fejléccel'!$CL:$CL)</f>
        <v>0</v>
      </c>
      <c r="FF135" s="213"/>
      <c r="FG135" s="214">
        <f t="shared" ref="FG135:FG218" si="245">SUM(FC135:FF135)</f>
        <v>0</v>
      </c>
      <c r="FH135" s="6">
        <f>SUMIF('Eredeti fejléccel'!$B:$B,'Felosztás eredménykim'!$B135,'Eredeti fejléccel'!$CK:$CK)</f>
        <v>0</v>
      </c>
      <c r="FI135" s="36">
        <f t="shared" si="228"/>
        <v>0</v>
      </c>
      <c r="FJ135" s="216">
        <f t="shared" si="229"/>
        <v>0</v>
      </c>
      <c r="FK135" s="6">
        <f>SUMIF('Eredeti fejléccel'!$B:$B,'Felosztás eredménykim'!$B135,'Eredeti fejléccel'!$CM:$CM)</f>
        <v>0</v>
      </c>
      <c r="FL135" s="6">
        <f>SUMIF('Eredeti fejléccel'!$B:$B,'Felosztás eredménykim'!$B135,'Eredeti fejléccel'!$CN:$CN)</f>
        <v>0</v>
      </c>
      <c r="FM135" s="211">
        <f t="shared" ref="FM135:FM218" si="246">SUM(FJ135:FL135)</f>
        <v>0</v>
      </c>
      <c r="FN135" s="36">
        <f t="shared" si="230"/>
        <v>0</v>
      </c>
      <c r="FO135" s="216">
        <f t="shared" si="231"/>
        <v>0</v>
      </c>
      <c r="FP135" s="6">
        <f>SUMIF('Eredeti fejléccel'!$B:$B,'Felosztás eredménykim'!$B135,'Eredeti fejléccel'!$CO:$CO)</f>
        <v>0</v>
      </c>
      <c r="FQ135" s="6">
        <f>'Eredeti fejléccel'!CP135</f>
        <v>0</v>
      </c>
      <c r="FR135" s="6">
        <f>'Eredeti fejléccel'!CQ135</f>
        <v>0</v>
      </c>
      <c r="FS135" s="103">
        <f t="shared" ref="FS135:FS200" si="247">SUM(FO135:FR135)</f>
        <v>0</v>
      </c>
      <c r="FT135" s="36">
        <f t="shared" si="232"/>
        <v>0</v>
      </c>
      <c r="FU135" s="216">
        <f t="shared" si="233"/>
        <v>0</v>
      </c>
      <c r="FV135" s="216"/>
      <c r="FW135" s="6">
        <f>SUMIF('Eredeti fejléccel'!$B:$B,'Felosztás eredménykim'!$B135,'Eredeti fejléccel'!$CR:$CR)</f>
        <v>0</v>
      </c>
      <c r="FX135" s="6">
        <f>SUMIF('Eredeti fejléccel'!$B:$B,'Felosztás eredménykim'!$B135,'Eredeti fejléccel'!$CS:$CS)</f>
        <v>0</v>
      </c>
      <c r="FY135" s="6">
        <f>SUMIF('Eredeti fejléccel'!$B:$B,'Felosztás eredménykim'!$B135,'Eredeti fejléccel'!$CT:$CT)</f>
        <v>0</v>
      </c>
      <c r="FZ135" s="6">
        <f>SUMIF('Eredeti fejléccel'!$B:$B,'Felosztás eredménykim'!$B135,'Eredeti fejléccel'!$CU:$CU)</f>
        <v>0</v>
      </c>
      <c r="GA135" s="217">
        <f t="shared" ref="GA135:GA218" si="248">SUM(FU135:FZ135)</f>
        <v>0</v>
      </c>
      <c r="GB135" s="36">
        <f t="shared" si="234"/>
        <v>0</v>
      </c>
      <c r="GC135" s="216">
        <f t="shared" si="235"/>
        <v>0</v>
      </c>
      <c r="GD135" s="210">
        <f>SUMIF('Eredeti fejléccel'!$B:$B,'Felosztás eredménykim'!$B135,'Eredeti fejléccel'!$CV:$CV)</f>
        <v>0</v>
      </c>
      <c r="GE135" s="6">
        <f>SUMIF('Eredeti fejléccel'!$B:$B,'Felosztás eredménykim'!$B135,'Eredeti fejléccel'!$CW:$CW)</f>
        <v>0</v>
      </c>
      <c r="GF135" s="217">
        <f t="shared" ref="GF135:GF218" si="249">SUM(GC135:GE135)</f>
        <v>0</v>
      </c>
      <c r="GG135" s="212">
        <f t="shared" si="236"/>
        <v>0</v>
      </c>
      <c r="GH135" s="210"/>
      <c r="GI135" s="211"/>
      <c r="GJ135" s="210"/>
      <c r="GK135" s="211"/>
      <c r="GL135" s="210"/>
      <c r="GM135" s="6">
        <f>SUMIF('Eredeti fejléccel'!$B:$B,'Felosztás eredménykim'!$B135,'Eredeti fejléccel'!$CX:$CX)</f>
        <v>0</v>
      </c>
      <c r="GN135" s="6">
        <f>SUMIF('Eredeti fejléccel'!$B:$B,'Felosztás eredménykim'!$B135,'Eredeti fejléccel'!$CY:$CY)</f>
        <v>0</v>
      </c>
      <c r="GO135" s="6">
        <f>SUMIF('Eredeti fejléccel'!$B:$B,'Felosztás eredménykim'!$B135,'Eredeti fejléccel'!$CZ:$CZ)</f>
        <v>0</v>
      </c>
      <c r="GP135" s="6">
        <f>SUMIF('Eredeti fejléccel'!$B:$B,'Felosztás eredménykim'!$B135,'Eredeti fejléccel'!$DA:$DA)</f>
        <v>0</v>
      </c>
      <c r="GQ135" s="6">
        <f>SUMIF('Eredeti fejléccel'!$B:$B,'Felosztás eredménykim'!$B135,'Eredeti fejléccel'!$DB:$DB)</f>
        <v>0</v>
      </c>
      <c r="GR135" s="217">
        <f t="shared" ref="GR135:GR218" si="250">SUM(GH135:GQ135)</f>
        <v>0</v>
      </c>
      <c r="GS135" s="211"/>
      <c r="GT135" s="211"/>
      <c r="GU135" s="211"/>
      <c r="GV135" s="211"/>
      <c r="GW135" s="212">
        <f t="shared" si="237"/>
        <v>0</v>
      </c>
      <c r="GX135" s="6">
        <f>SUMIF('Eredeti fejléccel'!$B:$B,'Felosztás eredménykim'!$B135,'Eredeti fejléccel'!$M:$M)</f>
        <v>0</v>
      </c>
      <c r="GY135" s="6">
        <f>SUMIF('Eredeti fejléccel'!$B:$B,'Felosztás eredménykim'!$B135,'Eredeti fejléccel'!$DC:$DC)</f>
        <v>0</v>
      </c>
      <c r="GZ135" s="6">
        <f>SUMIF('Eredeti fejléccel'!$B:$B,'Felosztás eredménykim'!$B135,'Eredeti fejléccel'!$DD:$DD)</f>
        <v>0</v>
      </c>
      <c r="HA135" s="6">
        <f>SUMIF('Eredeti fejléccel'!$B:$B,'Felosztás eredménykim'!$B135,'Eredeti fejléccel'!$DE:$DE)</f>
        <v>0</v>
      </c>
      <c r="HB135" s="217">
        <f t="shared" ref="HB135:HB218" si="251">SUM(GX135:HA135)</f>
        <v>0</v>
      </c>
      <c r="HC135" s="211"/>
      <c r="HD135" s="218">
        <f>SUM(D135:HA135)-W135-X135-AD135-AE135-AF135-AG135-AK135-AL135-AM135-AS135-AT135-AU135-BE135-BF135-BG135-BL135-BM135-BN135-BO135-CB135-CC135-CD135-CI135-CJ135-CK135-CN135-CO135-CP135-CR135-CX135-DA135-DC135-DG135-DH135-DL135-EW135-EX135-EY135-EZ135-FA135-FF135-FG135-FI135-FJ135-FM135-FN135-FO135-FS135-FT135-FU135-GA135-GB135-GC135-GF135-GG135-GR135-GS135-GT135-GU135-GW135</f>
        <v>0</v>
      </c>
      <c r="HE135" s="9"/>
      <c r="HF135" s="476"/>
      <c r="HG135" s="219"/>
      <c r="HH135" s="220">
        <f t="shared" ref="HH135:HH218" si="252">+HD135-HE135</f>
        <v>0</v>
      </c>
      <c r="HI135" s="219"/>
      <c r="HJ135" s="219"/>
      <c r="HK135" s="219"/>
      <c r="HL135" s="219"/>
      <c r="HM135" s="219"/>
      <c r="HN135" s="219"/>
      <c r="HO135" s="219"/>
      <c r="HP135" s="219"/>
      <c r="HQ135" s="219"/>
      <c r="HR135" s="219"/>
      <c r="HS135" s="219"/>
      <c r="HT135" s="219"/>
      <c r="HU135" s="219"/>
      <c r="HV135" s="219"/>
      <c r="HW135" s="219"/>
      <c r="HX135" s="219"/>
    </row>
    <row r="136" spans="1:232" s="209" customFormat="1" x14ac:dyDescent="0.25">
      <c r="A136" s="4" t="s">
        <v>1648</v>
      </c>
      <c r="B136" s="4" t="s">
        <v>1648</v>
      </c>
      <c r="C136" s="1" t="s">
        <v>1649</v>
      </c>
      <c r="D136" s="6">
        <f>SUMIF('Eredeti fejléccel'!$B:$B,'Felosztás eredménykim'!$B136,'Eredeti fejléccel'!$D:$D)</f>
        <v>0</v>
      </c>
      <c r="E136" s="6">
        <f>SUMIF('Eredeti fejléccel'!$B:$B,'Felosztás eredménykim'!$B136,'Eredeti fejléccel'!$E:$E)</f>
        <v>0</v>
      </c>
      <c r="F136" s="6">
        <f>SUMIF('Eredeti fejléccel'!$B:$B,'Felosztás eredménykim'!$B136,'Eredeti fejléccel'!$F:$F)</f>
        <v>0</v>
      </c>
      <c r="G136" s="6">
        <f>SUMIF('Eredeti fejléccel'!$B:$B,'Felosztás eredménykim'!$B136,'Eredeti fejléccel'!$G:$G)</f>
        <v>0</v>
      </c>
      <c r="H136" s="6"/>
      <c r="I136" s="6">
        <f>SUMIF('Eredeti fejléccel'!$B:$B,'Felosztás eredménykim'!$B136,'Eredeti fejléccel'!$O:$O)</f>
        <v>0</v>
      </c>
      <c r="J136" s="6">
        <f>SUMIF('Eredeti fejléccel'!$B:$B,'Felosztás eredménykim'!$B136,'Eredeti fejléccel'!$P:$P)</f>
        <v>0</v>
      </c>
      <c r="K136" s="6">
        <f>SUMIF('Eredeti fejléccel'!$B:$B,'Felosztás eredménykim'!$B136,'Eredeti fejléccel'!$Q:$Q)</f>
        <v>0</v>
      </c>
      <c r="L136" s="6">
        <f>SUMIF('Eredeti fejléccel'!$B:$B,'Felosztás eredménykim'!$B136,'Eredeti fejléccel'!$R:$R)</f>
        <v>0</v>
      </c>
      <c r="M136" s="6">
        <f>SUMIF('Eredeti fejléccel'!$B:$B,'Felosztás eredménykim'!$B136,'Eredeti fejléccel'!$T:$T)</f>
        <v>0</v>
      </c>
      <c r="N136" s="6">
        <f>SUMIF('Eredeti fejléccel'!$B:$B,'Felosztás eredménykim'!$B136,'Eredeti fejléccel'!$U:$U)</f>
        <v>0</v>
      </c>
      <c r="O136" s="6">
        <f>SUMIF('Eredeti fejléccel'!$B:$B,'Felosztás eredménykim'!$B136,'Eredeti fejléccel'!$V:$V)</f>
        <v>0</v>
      </c>
      <c r="P136" s="6">
        <f>SUMIF('Eredeti fejléccel'!$B:$B,'Felosztás eredménykim'!$B136,'Eredeti fejléccel'!$W:$W)</f>
        <v>0</v>
      </c>
      <c r="Q136" s="6">
        <f>SUMIF('Eredeti fejléccel'!$B:$B,'Felosztás eredménykim'!$B136,'Eredeti fejléccel'!$X:$X)</f>
        <v>0</v>
      </c>
      <c r="R136" s="6">
        <f>SUMIF('Eredeti fejléccel'!$B:$B,'Felosztás eredménykim'!$B136,'Eredeti fejléccel'!$Y:$Y)</f>
        <v>0</v>
      </c>
      <c r="S136" s="6">
        <f>SUMIF('Eredeti fejléccel'!$B:$B,'Felosztás eredménykim'!$B136,'Eredeti fejléccel'!$Z:$Z)</f>
        <v>0</v>
      </c>
      <c r="T136" s="6">
        <f>SUMIF('Eredeti fejléccel'!$B:$B,'Felosztás eredménykim'!$B136,'Eredeti fejléccel'!$AA:$AA)</f>
        <v>0</v>
      </c>
      <c r="U136" s="6">
        <f>SUMIF('Eredeti fejléccel'!$B:$B,'Felosztás eredménykim'!$B136,'Eredeti fejléccel'!$D:$D)</f>
        <v>0</v>
      </c>
      <c r="V136" s="6">
        <f>SUMIF('Eredeti fejléccel'!$B:$B,'Felosztás eredménykim'!$B136,'Eredeti fejléccel'!$AT:$AT)</f>
        <v>0</v>
      </c>
      <c r="W136" s="555"/>
      <c r="X136" s="212">
        <f t="shared" si="211"/>
        <v>0</v>
      </c>
      <c r="Y136" s="212"/>
      <c r="Z136" s="6">
        <f>SUMIF('Eredeti fejléccel'!$B:$B,'Felosztás eredménykim'!$B136,'Eredeti fejléccel'!$K:$K)</f>
        <v>0</v>
      </c>
      <c r="AA136" s="210"/>
      <c r="AB136" s="6">
        <f>SUMIF('Eredeti fejléccel'!$B:$B,'Felosztás eredménykim'!$B136,'Eredeti fejléccel'!$AB:$AB)</f>
        <v>0</v>
      </c>
      <c r="AC136" s="6">
        <f>SUMIF('Eredeti fejléccel'!$B:$B,'Felosztás eredménykim'!$B136,'Eredeti fejléccel'!$AQ:$AQ)</f>
        <v>0</v>
      </c>
      <c r="AD136" s="213"/>
      <c r="AE136" s="73">
        <f t="shared" si="131"/>
        <v>0</v>
      </c>
      <c r="AF136" s="36">
        <f t="shared" si="212"/>
        <v>0</v>
      </c>
      <c r="AG136" s="8">
        <f t="shared" si="213"/>
        <v>0</v>
      </c>
      <c r="AH136" s="6"/>
      <c r="AI136" s="6">
        <f>SUMIF('Eredeti fejléccel'!$B:$B,'Felosztás eredménykim'!$B136,'Eredeti fejléccel'!$BB:$BB)</f>
        <v>0</v>
      </c>
      <c r="AJ136" s="6">
        <f>SUMIF('Eredeti fejléccel'!$B:$B,'Felosztás eredménykim'!$B136,'Eredeti fejléccel'!$AF:$AF)</f>
        <v>0</v>
      </c>
      <c r="AK136" s="211">
        <f t="shared" si="177"/>
        <v>0</v>
      </c>
      <c r="AL136" s="36">
        <f t="shared" si="214"/>
        <v>0</v>
      </c>
      <c r="AM136" s="8">
        <f t="shared" si="215"/>
        <v>0</v>
      </c>
      <c r="AN136" s="6">
        <f t="shared" si="123"/>
        <v>0</v>
      </c>
      <c r="AO136" s="6">
        <f>SUMIF('Eredeti fejléccel'!$B:$B,'Felosztás eredménykim'!$B136,'Eredeti fejléccel'!$AC:$AC)</f>
        <v>0</v>
      </c>
      <c r="AP136" s="6">
        <f>SUMIF('Eredeti fejléccel'!$B:$B,'Felosztás eredménykim'!$B136,'Eredeti fejléccel'!$AD:$AD)</f>
        <v>0</v>
      </c>
      <c r="AQ136" s="6">
        <f>SUMIF('Eredeti fejléccel'!$B:$B,'Felosztás eredménykim'!$B136,'Eredeti fejléccel'!$AE:$AE)</f>
        <v>0</v>
      </c>
      <c r="AR136" s="6">
        <f>SUMIF('Eredeti fejléccel'!$B:$B,'Felosztás eredménykim'!$B136,'Eredeti fejléccel'!$AG:$AG)</f>
        <v>0</v>
      </c>
      <c r="AS136" s="6">
        <f t="shared" si="124"/>
        <v>0</v>
      </c>
      <c r="AT136" s="36">
        <f t="shared" si="216"/>
        <v>0</v>
      </c>
      <c r="AU136" s="8">
        <f t="shared" si="217"/>
        <v>0</v>
      </c>
      <c r="AV136" s="6">
        <f>SUMIF('Eredeti fejléccel'!$B:$B,'Felosztás eredménykim'!$B136,'Eredeti fejléccel'!$AI:$AI)</f>
        <v>0</v>
      </c>
      <c r="AW136" s="6">
        <f>SUMIF('Eredeti fejléccel'!$B:$B,'Felosztás eredménykim'!$B136,'Eredeti fejléccel'!$AJ:$AJ)</f>
        <v>0</v>
      </c>
      <c r="AX136" s="6">
        <f>SUMIF('Eredeti fejléccel'!$B:$B,'Felosztás eredménykim'!$B136,'Eredeti fejléccel'!$AK:$AK)</f>
        <v>0</v>
      </c>
      <c r="AY136" s="6">
        <f>SUMIF('Eredeti fejléccel'!$B:$B,'Felosztás eredménykim'!$B136,'Eredeti fejléccel'!$AL:$AL)</f>
        <v>0</v>
      </c>
      <c r="AZ136" s="6">
        <f>SUMIF('Eredeti fejléccel'!$B:$B,'Felosztás eredménykim'!$B136,'Eredeti fejléccel'!$AM:$AM)</f>
        <v>0</v>
      </c>
      <c r="BA136" s="6">
        <f>SUMIF('Eredeti fejléccel'!$B:$B,'Felosztás eredménykim'!$B136,'Eredeti fejléccel'!$AN:$AN)</f>
        <v>0</v>
      </c>
      <c r="BB136" s="6">
        <f>SUMIF('Eredeti fejléccel'!$B:$B,'Felosztás eredménykim'!$B136,'Eredeti fejléccel'!$AP:$AP)</f>
        <v>0</v>
      </c>
      <c r="BC136" s="210"/>
      <c r="BD136" s="6">
        <f>SUMIF('Eredeti fejléccel'!$B:$B,'Felosztás eredménykim'!$B136,'Eredeti fejléccel'!$AS:$AS)</f>
        <v>0</v>
      </c>
      <c r="BE136" s="211">
        <f t="shared" si="238"/>
        <v>0</v>
      </c>
      <c r="BF136" s="36">
        <f t="shared" si="218"/>
        <v>0</v>
      </c>
      <c r="BG136" s="8">
        <f t="shared" si="219"/>
        <v>0</v>
      </c>
      <c r="BH136" s="6">
        <f t="shared" si="125"/>
        <v>0</v>
      </c>
      <c r="BI136" s="6">
        <f>SUMIF('Eredeti fejléccel'!$B:$B,'Felosztás eredménykim'!$B136,'Eredeti fejléccel'!$AH:$AH)</f>
        <v>0</v>
      </c>
      <c r="BJ136" s="6">
        <f>SUMIF('Eredeti fejléccel'!$B:$B,'Felosztás eredménykim'!$B136,'Eredeti fejléccel'!$AO:$AO)</f>
        <v>0</v>
      </c>
      <c r="BK136" s="6">
        <f>SUMIF('Eredeti fejléccel'!$B:$B,'Felosztás eredménykim'!$B136,'Eredeti fejléccel'!$BF:$BF)</f>
        <v>0</v>
      </c>
      <c r="BL136" s="8">
        <f t="shared" si="126"/>
        <v>0</v>
      </c>
      <c r="BM136" s="36">
        <f t="shared" si="220"/>
        <v>0</v>
      </c>
      <c r="BN136" s="8">
        <f t="shared" si="221"/>
        <v>0</v>
      </c>
      <c r="BO136" s="211"/>
      <c r="BP136" s="8">
        <f t="shared" si="127"/>
        <v>0</v>
      </c>
      <c r="BQ136" s="6">
        <f>SUMIF('Eredeti fejléccel'!$B:$B,'Felosztás eredménykim'!$B136,'Eredeti fejléccel'!$N:$N)</f>
        <v>0</v>
      </c>
      <c r="BR136" s="6">
        <f>SUMIF('Eredeti fejléccel'!$B:$B,'Felosztás eredménykim'!$B136,'Eredeti fejléccel'!$S:$S)</f>
        <v>0</v>
      </c>
      <c r="BS136" s="210"/>
      <c r="BT136" s="6">
        <f>SUMIF('Eredeti fejléccel'!$B:$B,'Felosztás eredménykim'!$B136,'Eredeti fejléccel'!$AR:$AR)</f>
        <v>0</v>
      </c>
      <c r="BU136" s="6">
        <f>SUMIF('Eredeti fejléccel'!$B:$B,'Felosztás eredménykim'!$B136,'Eredeti fejléccel'!$AU:$AU)</f>
        <v>0</v>
      </c>
      <c r="BV136" s="6">
        <f>SUMIF('Eredeti fejléccel'!$B:$B,'Felosztás eredménykim'!$B136,'Eredeti fejléccel'!$AV:$AV)</f>
        <v>0</v>
      </c>
      <c r="BW136" s="6">
        <f>SUMIF('Eredeti fejléccel'!$B:$B,'Felosztás eredménykim'!$B136,'Eredeti fejléccel'!$AW:$AW)</f>
        <v>0</v>
      </c>
      <c r="BX136" s="6">
        <f>SUMIF('Eredeti fejléccel'!$B:$B,'Felosztás eredménykim'!$B136,'Eredeti fejléccel'!$AX:$AX)</f>
        <v>0</v>
      </c>
      <c r="BY136" s="6">
        <f>SUMIF('Eredeti fejléccel'!$B:$B,'Felosztás eredménykim'!$B136,'Eredeti fejléccel'!$AY:$AY)</f>
        <v>0</v>
      </c>
      <c r="BZ136" s="6">
        <f>SUMIF('Eredeti fejléccel'!$B:$B,'Felosztás eredménykim'!$B136,'Eredeti fejléccel'!$AZ:$AZ)</f>
        <v>0</v>
      </c>
      <c r="CA136" s="6">
        <f>SUMIF('Eredeti fejléccel'!$B:$B,'Felosztás eredménykim'!$B136,'Eredeti fejléccel'!$BA:$BA)</f>
        <v>0</v>
      </c>
      <c r="CB136" s="210">
        <f t="shared" si="114"/>
        <v>0</v>
      </c>
      <c r="CC136" s="36">
        <f t="shared" si="222"/>
        <v>0</v>
      </c>
      <c r="CD136" s="8">
        <f t="shared" si="223"/>
        <v>0</v>
      </c>
      <c r="CE136" s="6">
        <f>SUMIF('Eredeti fejléccel'!$B:$B,'Felosztás eredménykim'!$B136,'Eredeti fejléccel'!$BC:$BC)</f>
        <v>0</v>
      </c>
      <c r="CF136" s="211">
        <f t="shared" si="135"/>
        <v>0</v>
      </c>
      <c r="CG136" s="6">
        <f>SUMIF('Eredeti fejléccel'!$B:$B,'Felosztás eredménykim'!$B136,'Eredeti fejléccel'!$H:$H)</f>
        <v>0</v>
      </c>
      <c r="CH136" s="6">
        <f>SUMIF('Eredeti fejléccel'!$B:$B,'Felosztás eredménykim'!$B136,'Eredeti fejléccel'!$BE:$BE)</f>
        <v>0</v>
      </c>
      <c r="CI136" s="210">
        <f t="shared" si="239"/>
        <v>0</v>
      </c>
      <c r="CJ136" s="36">
        <f t="shared" si="224"/>
        <v>0</v>
      </c>
      <c r="CK136" s="211">
        <f t="shared" si="225"/>
        <v>0</v>
      </c>
      <c r="CL136" s="211">
        <f t="shared" si="136"/>
        <v>0</v>
      </c>
      <c r="CM136" s="6">
        <f>SUMIF('Eredeti fejléccel'!$B:$B,'Felosztás eredménykim'!$B136,'Eredeti fejléccel'!$BD:$BD)</f>
        <v>0</v>
      </c>
      <c r="CN136" s="211">
        <f t="shared" si="240"/>
        <v>0</v>
      </c>
      <c r="CO136" s="211">
        <f t="shared" si="115"/>
        <v>0</v>
      </c>
      <c r="CP136" s="211"/>
      <c r="CQ136" s="211"/>
      <c r="CR136" s="212">
        <f t="shared" si="226"/>
        <v>0</v>
      </c>
      <c r="CS136" s="6">
        <f>SUMIF('Eredeti fejléccel'!$B:$B,'Felosztás eredménykim'!$B136,'Eredeti fejléccel'!$I:$I)</f>
        <v>0</v>
      </c>
      <c r="CT136" s="6">
        <f>SUMIF('Eredeti fejléccel'!$B:$B,'Felosztás eredménykim'!$B136,'Eredeti fejléccel'!$BG:$BG)</f>
        <v>0</v>
      </c>
      <c r="CU136" s="6">
        <f>SUMIF('Eredeti fejléccel'!$B:$B,'Felosztás eredménykim'!$B136,'Eredeti fejléccel'!$BH:$BH)</f>
        <v>0</v>
      </c>
      <c r="CV136" s="6">
        <f>SUMIF('Eredeti fejléccel'!$B:$B,'Felosztás eredménykim'!$B136,'Eredeti fejléccel'!$BI:$BI)</f>
        <v>0</v>
      </c>
      <c r="CW136" s="6">
        <f>SUMIF('Eredeti fejléccel'!$B:$B,'Felosztás eredménykim'!$B136,'Eredeti fejléccel'!$BL:$BL)</f>
        <v>0</v>
      </c>
      <c r="CX136" s="210">
        <f t="shared" si="241"/>
        <v>0</v>
      </c>
      <c r="CY136" s="6">
        <f>SUMIF('Eredeti fejléccel'!$B:$B,'Felosztás eredménykim'!$B136,'Eredeti fejléccel'!$BJ:$BJ)</f>
        <v>0</v>
      </c>
      <c r="CZ136" s="6">
        <f>SUMIF('Eredeti fejléccel'!$B:$B,'Felosztás eredménykim'!$B136,'Eredeti fejléccel'!$BK:$BK)</f>
        <v>0</v>
      </c>
      <c r="DA136" s="99">
        <f t="shared" si="242"/>
        <v>0</v>
      </c>
      <c r="DB136" s="215"/>
      <c r="DC136" s="212">
        <f t="shared" si="227"/>
        <v>0</v>
      </c>
      <c r="DD136" s="6">
        <f>SUMIF('Eredeti fejléccel'!$B:$B,'Felosztás eredménykim'!$B136,'Eredeti fejléccel'!$J:$J)</f>
        <v>0</v>
      </c>
      <c r="DE136" s="6">
        <f>SUMIF('Eredeti fejléccel'!$B:$B,'Felosztás eredménykim'!$B136,'Eredeti fejléccel'!$BM:$BM)</f>
        <v>0</v>
      </c>
      <c r="DF136" s="6">
        <f t="shared" si="128"/>
        <v>0</v>
      </c>
      <c r="DG136" s="211">
        <f t="shared" si="117"/>
        <v>0</v>
      </c>
      <c r="DH136" s="8">
        <f t="shared" si="129"/>
        <v>0</v>
      </c>
      <c r="DI136" s="211"/>
      <c r="DJ136" s="6">
        <f>SUMIF('Eredeti fejléccel'!$B:$B,'Felosztás eredménykim'!$B136,'Eredeti fejléccel'!$BN:$BN)</f>
        <v>0</v>
      </c>
      <c r="DK136" s="6">
        <f>SUMIF('Eredeti fejléccel'!$B:$B,'Felosztás eredménykim'!$B136,'Eredeti fejléccel'!$BZ:$BZ)</f>
        <v>0</v>
      </c>
      <c r="DL136" s="8">
        <f t="shared" si="130"/>
        <v>0</v>
      </c>
      <c r="DM136" s="6">
        <f>SUMIF('Eredeti fejléccel'!$B:$B,'Felosztás eredménykim'!$B136,'Eredeti fejléccel'!$BR:$BR)</f>
        <v>0</v>
      </c>
      <c r="DN136" s="6">
        <f>SUMIF('Eredeti fejléccel'!$B:$B,'Felosztás eredménykim'!$B136,'Eredeti fejléccel'!$BS:$BS)</f>
        <v>0</v>
      </c>
      <c r="DO136" s="6">
        <f>SUMIF('Eredeti fejléccel'!$B:$B,'Felosztás eredménykim'!$B136,'Eredeti fejléccel'!$BO:$BO)</f>
        <v>0</v>
      </c>
      <c r="DP136" s="6">
        <f>SUMIF('Eredeti fejléccel'!$B:$B,'Felosztás eredménykim'!$B136,'Eredeti fejléccel'!$BP:$BP)</f>
        <v>0</v>
      </c>
      <c r="DQ136" s="6">
        <f>SUMIF('Eredeti fejléccel'!$B:$B,'Felosztás eredménykim'!$B136,'Eredeti fejléccel'!$BQ:$BQ)</f>
        <v>0</v>
      </c>
      <c r="DR136" s="210"/>
      <c r="DS136" s="211"/>
      <c r="DT136" s="210"/>
      <c r="DU136" s="6">
        <f>SUMIF('Eredeti fejléccel'!$B:$B,'Felosztás eredménykim'!$B136,'Eredeti fejléccel'!$BT:$BT)</f>
        <v>0</v>
      </c>
      <c r="DV136" s="6">
        <f>SUMIF('Eredeti fejléccel'!$B:$B,'Felosztás eredménykim'!$B136,'Eredeti fejléccel'!$BU:$BU)</f>
        <v>0</v>
      </c>
      <c r="DW136" s="6">
        <f>SUMIF('Eredeti fejléccel'!$B:$B,'Felosztás eredménykim'!$B136,'Eredeti fejléccel'!$BV:$BV)</f>
        <v>0</v>
      </c>
      <c r="DX136" s="6">
        <f>SUMIF('Eredeti fejléccel'!$B:$B,'Felosztás eredménykim'!$B136,'Eredeti fejléccel'!$BW:$BW)</f>
        <v>0</v>
      </c>
      <c r="DY136" s="6">
        <f>SUMIF('Eredeti fejléccel'!$B:$B,'Felosztás eredménykim'!$B136,'Eredeti fejléccel'!$BX:$BX)</f>
        <v>0</v>
      </c>
      <c r="DZ136" s="6"/>
      <c r="EA136" s="6"/>
      <c r="EB136" s="6"/>
      <c r="EC136" s="6"/>
      <c r="ED136" s="6"/>
      <c r="EE136" s="6">
        <f>SUMIF('Eredeti fejléccel'!$B:$B,'Felosztás eredménykim'!$B136,'Eredeti fejléccel'!$CA:$CA)</f>
        <v>0</v>
      </c>
      <c r="EF136" s="6">
        <f>SUMIF('Eredeti fejléccel'!$B:$B,'Felosztás eredménykim'!$B136,'Eredeti fejléccel'!$CB:$CB)</f>
        <v>0</v>
      </c>
      <c r="EG136" s="6">
        <f>SUMIF('Eredeti fejléccel'!$B:$B,'Felosztás eredménykim'!$B136,'Eredeti fejléccel'!$CC:$CC)</f>
        <v>0</v>
      </c>
      <c r="EH136" s="6">
        <f>SUMIF('Eredeti fejléccel'!$B:$B,'Felosztás eredménykim'!$B136,'Eredeti fejléccel'!$CD:$CD)</f>
        <v>0</v>
      </c>
      <c r="EI136" s="210"/>
      <c r="EJ136" s="211"/>
      <c r="EK136" s="6">
        <f>SUMIF('Eredeti fejléccel'!$B:$B,'Felosztás eredménykim'!$B136,'Eredeti fejléccel'!$CE:$CE)</f>
        <v>0</v>
      </c>
      <c r="EL136" s="211"/>
      <c r="EM136" s="210"/>
      <c r="EN136" s="6">
        <f>SUMIF('Eredeti fejléccel'!$B:$B,'Felosztás eredménykim'!$B136,'Eredeti fejléccel'!$CF:$CF)</f>
        <v>0</v>
      </c>
      <c r="EO136" s="210"/>
      <c r="EP136" s="6">
        <f>SUMIF('Eredeti fejléccel'!$B:$B,'Felosztás eredménykim'!$B136,'Eredeti fejléccel'!$CG:$CG)</f>
        <v>0</v>
      </c>
      <c r="EQ136" s="210"/>
      <c r="ER136" s="211"/>
      <c r="ES136" s="6">
        <f>SUMIF('Eredeti fejléccel'!$B:$B,'Felosztás eredménykim'!$B136,'Eredeti fejléccel'!$CH:$CH)</f>
        <v>0</v>
      </c>
      <c r="ET136" s="6">
        <f>SUMIF('Eredeti fejléccel'!$B:$B,'Felosztás eredménykim'!$B136,'Eredeti fejléccel'!$CI:$CI)</f>
        <v>0</v>
      </c>
      <c r="EU136" s="210"/>
      <c r="EV136" s="211"/>
      <c r="EW136" s="211">
        <f t="shared" si="118"/>
        <v>0</v>
      </c>
      <c r="EX136" s="211">
        <f t="shared" si="243"/>
        <v>0</v>
      </c>
      <c r="EY136" s="211">
        <f t="shared" si="244"/>
        <v>0</v>
      </c>
      <c r="EZ136" s="211">
        <f t="shared" si="120"/>
        <v>0</v>
      </c>
      <c r="FA136" s="211">
        <f t="shared" si="121"/>
        <v>0</v>
      </c>
      <c r="FB136" s="211"/>
      <c r="FC136" s="6">
        <f>SUMIF('Eredeti fejléccel'!$B:$B,'Felosztás eredménykim'!$B136,'Eredeti fejléccel'!$L:$L)</f>
        <v>0</v>
      </c>
      <c r="FD136" s="6">
        <f>SUMIF('Eredeti fejléccel'!$B:$B,'Felosztás eredménykim'!$B136,'Eredeti fejléccel'!$CJ:$CJ)</f>
        <v>0</v>
      </c>
      <c r="FE136" s="6">
        <f>SUMIF('Eredeti fejléccel'!$B:$B,'Felosztás eredménykim'!$B136,'Eredeti fejléccel'!$CL:$CL)</f>
        <v>0</v>
      </c>
      <c r="FF136" s="213"/>
      <c r="FG136" s="214">
        <f t="shared" si="245"/>
        <v>0</v>
      </c>
      <c r="FH136" s="6">
        <f>SUMIF('Eredeti fejléccel'!$B:$B,'Felosztás eredménykim'!$B136,'Eredeti fejléccel'!$CK:$CK)</f>
        <v>0</v>
      </c>
      <c r="FI136" s="36">
        <f t="shared" si="228"/>
        <v>0</v>
      </c>
      <c r="FJ136" s="216">
        <f t="shared" si="229"/>
        <v>0</v>
      </c>
      <c r="FK136" s="6">
        <f>SUMIF('Eredeti fejléccel'!$B:$B,'Felosztás eredménykim'!$B136,'Eredeti fejléccel'!$CM:$CM)</f>
        <v>0</v>
      </c>
      <c r="FL136" s="6">
        <f>SUMIF('Eredeti fejléccel'!$B:$B,'Felosztás eredménykim'!$B136,'Eredeti fejléccel'!$CN:$CN)</f>
        <v>0</v>
      </c>
      <c r="FM136" s="211">
        <f t="shared" si="246"/>
        <v>0</v>
      </c>
      <c r="FN136" s="36">
        <f t="shared" si="230"/>
        <v>0</v>
      </c>
      <c r="FO136" s="216">
        <f t="shared" si="231"/>
        <v>0</v>
      </c>
      <c r="FP136" s="6">
        <f>SUMIF('Eredeti fejléccel'!$B:$B,'Felosztás eredménykim'!$B136,'Eredeti fejléccel'!$CO:$CO)</f>
        <v>0</v>
      </c>
      <c r="FQ136" s="6">
        <f>'Eredeti fejléccel'!CP136</f>
        <v>0</v>
      </c>
      <c r="FR136" s="6">
        <f>'Eredeti fejléccel'!CQ136</f>
        <v>0</v>
      </c>
      <c r="FS136" s="103">
        <f t="shared" si="247"/>
        <v>0</v>
      </c>
      <c r="FT136" s="36">
        <f t="shared" si="232"/>
        <v>0</v>
      </c>
      <c r="FU136" s="216">
        <f t="shared" si="233"/>
        <v>0</v>
      </c>
      <c r="FV136" s="216"/>
      <c r="FW136" s="6">
        <f>SUMIF('Eredeti fejléccel'!$B:$B,'Felosztás eredménykim'!$B136,'Eredeti fejléccel'!$CR:$CR)</f>
        <v>0</v>
      </c>
      <c r="FX136" s="6">
        <f>SUMIF('Eredeti fejléccel'!$B:$B,'Felosztás eredménykim'!$B136,'Eredeti fejléccel'!$CS:$CS)</f>
        <v>0</v>
      </c>
      <c r="FY136" s="6">
        <f>SUMIF('Eredeti fejléccel'!$B:$B,'Felosztás eredménykim'!$B136,'Eredeti fejléccel'!$CT:$CT)</f>
        <v>0</v>
      </c>
      <c r="FZ136" s="6">
        <f>SUMIF('Eredeti fejléccel'!$B:$B,'Felosztás eredménykim'!$B136,'Eredeti fejléccel'!$CU:$CU)</f>
        <v>0</v>
      </c>
      <c r="GA136" s="217">
        <f t="shared" si="248"/>
        <v>0</v>
      </c>
      <c r="GB136" s="36">
        <f t="shared" si="234"/>
        <v>0</v>
      </c>
      <c r="GC136" s="216">
        <f t="shared" si="235"/>
        <v>0</v>
      </c>
      <c r="GD136" s="210">
        <f>SUMIF('Eredeti fejléccel'!$B:$B,'Felosztás eredménykim'!$B136,'Eredeti fejléccel'!$CV:$CV)</f>
        <v>0</v>
      </c>
      <c r="GE136" s="6">
        <f>SUMIF('Eredeti fejléccel'!$B:$B,'Felosztás eredménykim'!$B136,'Eredeti fejléccel'!$CW:$CW)</f>
        <v>0</v>
      </c>
      <c r="GF136" s="217">
        <f t="shared" si="249"/>
        <v>0</v>
      </c>
      <c r="GG136" s="212">
        <f t="shared" si="236"/>
        <v>0</v>
      </c>
      <c r="GH136" s="210"/>
      <c r="GI136" s="211"/>
      <c r="GJ136" s="210"/>
      <c r="GK136" s="211"/>
      <c r="GL136" s="210"/>
      <c r="GM136" s="6">
        <f>SUMIF('Eredeti fejléccel'!$B:$B,'Felosztás eredménykim'!$B136,'Eredeti fejléccel'!$CX:$CX)</f>
        <v>0</v>
      </c>
      <c r="GN136" s="6">
        <f>SUMIF('Eredeti fejléccel'!$B:$B,'Felosztás eredménykim'!$B136,'Eredeti fejléccel'!$CY:$CY)</f>
        <v>0</v>
      </c>
      <c r="GO136" s="6">
        <f>SUMIF('Eredeti fejléccel'!$B:$B,'Felosztás eredménykim'!$B136,'Eredeti fejléccel'!$CZ:$CZ)</f>
        <v>0</v>
      </c>
      <c r="GP136" s="6">
        <f>SUMIF('Eredeti fejléccel'!$B:$B,'Felosztás eredménykim'!$B136,'Eredeti fejléccel'!$DA:$DA)</f>
        <v>0</v>
      </c>
      <c r="GQ136" s="6">
        <f>SUMIF('Eredeti fejléccel'!$B:$B,'Felosztás eredménykim'!$B136,'Eredeti fejléccel'!$DB:$DB)</f>
        <v>0</v>
      </c>
      <c r="GR136" s="217">
        <f t="shared" si="250"/>
        <v>0</v>
      </c>
      <c r="GS136" s="211"/>
      <c r="GT136" s="211"/>
      <c r="GU136" s="211"/>
      <c r="GV136" s="211"/>
      <c r="GW136" s="212">
        <f t="shared" si="237"/>
        <v>0</v>
      </c>
      <c r="GX136" s="6">
        <f>SUMIF('Eredeti fejléccel'!$B:$B,'Felosztás eredménykim'!$B136,'Eredeti fejléccel'!$M:$M)</f>
        <v>0</v>
      </c>
      <c r="GY136" s="6">
        <f>SUMIF('Eredeti fejléccel'!$B:$B,'Felosztás eredménykim'!$B136,'Eredeti fejléccel'!$DC:$DC)</f>
        <v>0</v>
      </c>
      <c r="GZ136" s="6">
        <f>SUMIF('Eredeti fejléccel'!$B:$B,'Felosztás eredménykim'!$B136,'Eredeti fejléccel'!$DD:$DD)</f>
        <v>0</v>
      </c>
      <c r="HA136" s="6">
        <f>SUMIF('Eredeti fejléccel'!$B:$B,'Felosztás eredménykim'!$B136,'Eredeti fejléccel'!$DE:$DE)</f>
        <v>0</v>
      </c>
      <c r="HB136" s="217">
        <f t="shared" si="251"/>
        <v>0</v>
      </c>
      <c r="HC136" s="211"/>
      <c r="HD136" s="218">
        <f>SUM(D136:HA136)-W136-X136-AD136-AE136-AF136-AG136-AK136-AL136-AM136-AS136-AT136-AU136-BE136-BF136-BG136-BL136-BM136-BN136-BO136-CB136-CC136-CD136-CI136-CJ136-CK136-CN136-CO136-CP136-CR136-CX136-DA136-DC136-DG136-DH136-DL136-EW136-EX136-EY136-EZ136-FA136-FF136-FG136-FI136-FJ136-FM136-FN136-FO136-FS136-FT136-FU136-GA136-GB136-GC136-GF136-GG136-GR136-GS136-GT136-GU136-GW136</f>
        <v>0</v>
      </c>
      <c r="HE136" s="9"/>
      <c r="HF136" s="476"/>
      <c r="HG136" s="219"/>
      <c r="HH136" s="602">
        <f t="shared" si="252"/>
        <v>0</v>
      </c>
      <c r="HI136" s="219"/>
      <c r="HJ136" s="219"/>
      <c r="HK136" s="219"/>
      <c r="HL136" s="219"/>
      <c r="HM136" s="219"/>
      <c r="HN136" s="219"/>
      <c r="HO136" s="219"/>
      <c r="HP136" s="219"/>
      <c r="HQ136" s="219"/>
      <c r="HR136" s="219"/>
      <c r="HS136" s="219"/>
      <c r="HT136" s="219"/>
      <c r="HU136" s="219"/>
      <c r="HV136" s="219"/>
      <c r="HW136" s="219"/>
      <c r="HX136" s="219"/>
    </row>
    <row r="137" spans="1:232" x14ac:dyDescent="0.25">
      <c r="A137" s="4" t="s">
        <v>256</v>
      </c>
      <c r="B137" s="4" t="s">
        <v>256</v>
      </c>
      <c r="C137" s="1" t="s">
        <v>257</v>
      </c>
      <c r="D137" s="6">
        <f>SUMIF('Eredeti fejléccel'!$B:$B,'Felosztás eredménykim'!$B137,'Eredeti fejléccel'!$D:$D)</f>
        <v>0</v>
      </c>
      <c r="E137" s="6">
        <f>SUMIF('Eredeti fejléccel'!$B:$B,'Felosztás eredménykim'!$B137,'Eredeti fejléccel'!$E:$E)</f>
        <v>0</v>
      </c>
      <c r="F137" s="6">
        <f>SUMIF('Eredeti fejléccel'!$B:$B,'Felosztás eredménykim'!$B137,'Eredeti fejléccel'!$F:$F)</f>
        <v>0</v>
      </c>
      <c r="G137" s="6">
        <f>SUMIF('Eredeti fejléccel'!$B:$B,'Felosztás eredménykim'!$B137,'Eredeti fejléccel'!$G:$G)</f>
        <v>0</v>
      </c>
      <c r="H137" s="6"/>
      <c r="I137" s="6">
        <f>SUMIF('Eredeti fejléccel'!$B:$B,'Felosztás eredménykim'!$B137,'Eredeti fejléccel'!$O:$O)</f>
        <v>0</v>
      </c>
      <c r="J137" s="6">
        <f>SUMIF('Eredeti fejléccel'!$B:$B,'Felosztás eredménykim'!$B137,'Eredeti fejléccel'!$P:$P)</f>
        <v>0</v>
      </c>
      <c r="K137" s="6">
        <f>SUMIF('Eredeti fejléccel'!$B:$B,'Felosztás eredménykim'!$B137,'Eredeti fejléccel'!$Q:$Q)</f>
        <v>0</v>
      </c>
      <c r="L137" s="6">
        <f>SUMIF('Eredeti fejléccel'!$B:$B,'Felosztás eredménykim'!$B137,'Eredeti fejléccel'!$R:$R)</f>
        <v>0</v>
      </c>
      <c r="M137" s="6">
        <f>SUMIF('Eredeti fejléccel'!$B:$B,'Felosztás eredménykim'!$B137,'Eredeti fejléccel'!$T:$T)</f>
        <v>0</v>
      </c>
      <c r="N137" s="6">
        <f>SUMIF('Eredeti fejléccel'!$B:$B,'Felosztás eredménykim'!$B137,'Eredeti fejléccel'!$U:$U)</f>
        <v>0</v>
      </c>
      <c r="O137" s="6">
        <f>SUMIF('Eredeti fejléccel'!$B:$B,'Felosztás eredménykim'!$B137,'Eredeti fejléccel'!$V:$V)</f>
        <v>0</v>
      </c>
      <c r="P137" s="6">
        <f>SUMIF('Eredeti fejléccel'!$B:$B,'Felosztás eredménykim'!$B137,'Eredeti fejléccel'!$W:$W)</f>
        <v>0</v>
      </c>
      <c r="Q137" s="6">
        <f>SUMIF('Eredeti fejléccel'!$B:$B,'Felosztás eredménykim'!$B137,'Eredeti fejléccel'!$X:$X)</f>
        <v>0</v>
      </c>
      <c r="R137" s="6">
        <f>SUMIF('Eredeti fejléccel'!$B:$B,'Felosztás eredménykim'!$B137,'Eredeti fejléccel'!$Y:$Y)</f>
        <v>0</v>
      </c>
      <c r="S137" s="6">
        <f>SUMIF('Eredeti fejléccel'!$B:$B,'Felosztás eredménykim'!$B137,'Eredeti fejléccel'!$Z:$Z)</f>
        <v>0</v>
      </c>
      <c r="T137" s="6">
        <f>SUMIF('Eredeti fejléccel'!$B:$B,'Felosztás eredménykim'!$B137,'Eredeti fejléccel'!$AA:$AA)</f>
        <v>0</v>
      </c>
      <c r="U137" s="6">
        <f>SUMIF('Eredeti fejléccel'!$B:$B,'Felosztás eredménykim'!$B137,'Eredeti fejléccel'!$D:$D)</f>
        <v>0</v>
      </c>
      <c r="V137" s="6">
        <f>SUMIF('Eredeti fejléccel'!$B:$B,'Felosztás eredménykim'!$B137,'Eredeti fejléccel'!$AT:$AT)</f>
        <v>0</v>
      </c>
      <c r="X137" s="36">
        <f t="shared" si="211"/>
        <v>0</v>
      </c>
      <c r="Z137" s="6">
        <f>SUMIF('Eredeti fejléccel'!$B:$B,'Felosztás eredménykim'!$B137,'Eredeti fejléccel'!$K:$K)</f>
        <v>0</v>
      </c>
      <c r="AB137" s="6">
        <f>SUMIF('Eredeti fejléccel'!$B:$B,'Felosztás eredménykim'!$B137,'Eredeti fejléccel'!$AB:$AB)</f>
        <v>0</v>
      </c>
      <c r="AC137" s="6">
        <f>SUMIF('Eredeti fejléccel'!$B:$B,'Felosztás eredménykim'!$B137,'Eredeti fejléccel'!$AQ:$AQ)</f>
        <v>0</v>
      </c>
      <c r="AE137" s="73">
        <f t="shared" si="131"/>
        <v>0</v>
      </c>
      <c r="AF137" s="36">
        <f t="shared" si="212"/>
        <v>0</v>
      </c>
      <c r="AG137" s="8">
        <f t="shared" si="213"/>
        <v>0</v>
      </c>
      <c r="AI137" s="6">
        <f>SUMIF('Eredeti fejléccel'!$B:$B,'Felosztás eredménykim'!$B137,'Eredeti fejléccel'!$BB:$BB)</f>
        <v>0</v>
      </c>
      <c r="AJ137" s="6">
        <f>SUMIF('Eredeti fejléccel'!$B:$B,'Felosztás eredménykim'!$B137,'Eredeti fejléccel'!$AF:$AF)</f>
        <v>0</v>
      </c>
      <c r="AK137" s="8">
        <f t="shared" si="177"/>
        <v>0</v>
      </c>
      <c r="AL137" s="36">
        <f t="shared" si="214"/>
        <v>0</v>
      </c>
      <c r="AM137" s="8">
        <f t="shared" si="215"/>
        <v>0</v>
      </c>
      <c r="AN137" s="6">
        <f t="shared" si="123"/>
        <v>0</v>
      </c>
      <c r="AO137" s="6">
        <f>SUMIF('Eredeti fejléccel'!$B:$B,'Felosztás eredménykim'!$B137,'Eredeti fejléccel'!$AC:$AC)</f>
        <v>0</v>
      </c>
      <c r="AP137" s="6">
        <f>SUMIF('Eredeti fejléccel'!$B:$B,'Felosztás eredménykim'!$B137,'Eredeti fejléccel'!$AD:$AD)</f>
        <v>0</v>
      </c>
      <c r="AQ137" s="6">
        <f>SUMIF('Eredeti fejléccel'!$B:$B,'Felosztás eredménykim'!$B137,'Eredeti fejléccel'!$AE:$AE)</f>
        <v>0</v>
      </c>
      <c r="AR137" s="6">
        <f>SUMIF('Eredeti fejléccel'!$B:$B,'Felosztás eredménykim'!$B137,'Eredeti fejléccel'!$AG:$AG)</f>
        <v>0</v>
      </c>
      <c r="AS137" s="6">
        <f t="shared" si="124"/>
        <v>0</v>
      </c>
      <c r="AT137" s="36">
        <f t="shared" si="216"/>
        <v>0</v>
      </c>
      <c r="AU137" s="8">
        <f t="shared" si="217"/>
        <v>0</v>
      </c>
      <c r="AV137" s="6">
        <f>SUMIF('Eredeti fejléccel'!$B:$B,'Felosztás eredménykim'!$B137,'Eredeti fejléccel'!$AI:$AI)</f>
        <v>0</v>
      </c>
      <c r="AW137" s="6">
        <f>SUMIF('Eredeti fejléccel'!$B:$B,'Felosztás eredménykim'!$B137,'Eredeti fejléccel'!$AJ:$AJ)</f>
        <v>0</v>
      </c>
      <c r="AX137" s="6">
        <f>SUMIF('Eredeti fejléccel'!$B:$B,'Felosztás eredménykim'!$B137,'Eredeti fejléccel'!$AK:$AK)</f>
        <v>0</v>
      </c>
      <c r="AY137" s="6">
        <f>SUMIF('Eredeti fejléccel'!$B:$B,'Felosztás eredménykim'!$B137,'Eredeti fejléccel'!$AL:$AL)</f>
        <v>0</v>
      </c>
      <c r="AZ137" s="6">
        <f>SUMIF('Eredeti fejléccel'!$B:$B,'Felosztás eredménykim'!$B137,'Eredeti fejléccel'!$AM:$AM)</f>
        <v>0</v>
      </c>
      <c r="BA137" s="6">
        <f>SUMIF('Eredeti fejléccel'!$B:$B,'Felosztás eredménykim'!$B137,'Eredeti fejléccel'!$AN:$AN)</f>
        <v>0</v>
      </c>
      <c r="BB137" s="6">
        <f>SUMIF('Eredeti fejléccel'!$B:$B,'Felosztás eredménykim'!$B137,'Eredeti fejléccel'!$AP:$AP)</f>
        <v>0</v>
      </c>
      <c r="BD137" s="6">
        <f>SUMIF('Eredeti fejléccel'!$B:$B,'Felosztás eredménykim'!$B137,'Eredeti fejléccel'!$AS:$AS)</f>
        <v>0</v>
      </c>
      <c r="BE137" s="8">
        <f t="shared" si="238"/>
        <v>0</v>
      </c>
      <c r="BF137" s="36">
        <f t="shared" si="218"/>
        <v>0</v>
      </c>
      <c r="BG137" s="8">
        <f t="shared" si="219"/>
        <v>0</v>
      </c>
      <c r="BH137" s="6">
        <f t="shared" si="125"/>
        <v>0</v>
      </c>
      <c r="BI137" s="6">
        <f>SUMIF('Eredeti fejléccel'!$B:$B,'Felosztás eredménykim'!$B137,'Eredeti fejléccel'!$AH:$AH)</f>
        <v>0</v>
      </c>
      <c r="BJ137" s="6">
        <f>SUMIF('Eredeti fejléccel'!$B:$B,'Felosztás eredménykim'!$B137,'Eredeti fejléccel'!$AO:$AO)</f>
        <v>0</v>
      </c>
      <c r="BK137" s="6">
        <f>SUMIF('Eredeti fejléccel'!$B:$B,'Felosztás eredménykim'!$B137,'Eredeti fejléccel'!$BF:$BF)</f>
        <v>0</v>
      </c>
      <c r="BL137" s="8">
        <f t="shared" si="126"/>
        <v>0</v>
      </c>
      <c r="BM137" s="36">
        <f t="shared" si="220"/>
        <v>0</v>
      </c>
      <c r="BN137" s="8">
        <f t="shared" si="221"/>
        <v>0</v>
      </c>
      <c r="BP137" s="8">
        <f t="shared" si="127"/>
        <v>0</v>
      </c>
      <c r="BQ137" s="6">
        <f>SUMIF('Eredeti fejléccel'!$B:$B,'Felosztás eredménykim'!$B137,'Eredeti fejléccel'!$N:$N)</f>
        <v>0</v>
      </c>
      <c r="BR137" s="6">
        <f>SUMIF('Eredeti fejléccel'!$B:$B,'Felosztás eredménykim'!$B137,'Eredeti fejléccel'!$S:$S)</f>
        <v>0</v>
      </c>
      <c r="BT137" s="6">
        <f>SUMIF('Eredeti fejléccel'!$B:$B,'Felosztás eredménykim'!$B137,'Eredeti fejléccel'!$AR:$AR)</f>
        <v>0</v>
      </c>
      <c r="BU137" s="6">
        <f>SUMIF('Eredeti fejléccel'!$B:$B,'Felosztás eredménykim'!$B137,'Eredeti fejléccel'!$AU:$AU)</f>
        <v>0</v>
      </c>
      <c r="BV137" s="6">
        <f>SUMIF('Eredeti fejléccel'!$B:$B,'Felosztás eredménykim'!$B137,'Eredeti fejléccel'!$AV:$AV)</f>
        <v>0</v>
      </c>
      <c r="BW137" s="6">
        <f>SUMIF('Eredeti fejléccel'!$B:$B,'Felosztás eredménykim'!$B137,'Eredeti fejléccel'!$AW:$AW)</f>
        <v>0</v>
      </c>
      <c r="BX137" s="6">
        <f>SUMIF('Eredeti fejléccel'!$B:$B,'Felosztás eredménykim'!$B137,'Eredeti fejléccel'!$AX:$AX)</f>
        <v>0</v>
      </c>
      <c r="BY137" s="6">
        <f>SUMIF('Eredeti fejléccel'!$B:$B,'Felosztás eredménykim'!$B137,'Eredeti fejléccel'!$AY:$AY)</f>
        <v>0</v>
      </c>
      <c r="BZ137" s="6">
        <f>SUMIF('Eredeti fejléccel'!$B:$B,'Felosztás eredménykim'!$B137,'Eredeti fejléccel'!$AZ:$AZ)</f>
        <v>0</v>
      </c>
      <c r="CA137" s="6">
        <f>SUMIF('Eredeti fejléccel'!$B:$B,'Felosztás eredménykim'!$B137,'Eredeti fejléccel'!$BA:$BA)</f>
        <v>0</v>
      </c>
      <c r="CB137" s="6">
        <f t="shared" si="114"/>
        <v>0</v>
      </c>
      <c r="CC137" s="36">
        <f t="shared" si="222"/>
        <v>0</v>
      </c>
      <c r="CD137" s="8">
        <f t="shared" si="223"/>
        <v>0</v>
      </c>
      <c r="CE137" s="6">
        <f>SUMIF('Eredeti fejléccel'!$B:$B,'Felosztás eredménykim'!$B137,'Eredeti fejléccel'!$BC:$BC)</f>
        <v>0</v>
      </c>
      <c r="CF137" s="8">
        <f t="shared" si="135"/>
        <v>0</v>
      </c>
      <c r="CG137" s="6">
        <f>SUMIF('Eredeti fejléccel'!$B:$B,'Felosztás eredménykim'!$B137,'Eredeti fejléccel'!$H:$H)</f>
        <v>0</v>
      </c>
      <c r="CH137" s="6">
        <f>SUMIF('Eredeti fejléccel'!$B:$B,'Felosztás eredménykim'!$B137,'Eredeti fejléccel'!$BE:$BE)</f>
        <v>0</v>
      </c>
      <c r="CI137" s="6">
        <f t="shared" si="239"/>
        <v>0</v>
      </c>
      <c r="CJ137" s="36">
        <f t="shared" si="224"/>
        <v>0</v>
      </c>
      <c r="CK137" s="8">
        <f t="shared" si="225"/>
        <v>0</v>
      </c>
      <c r="CL137" s="8">
        <f t="shared" si="136"/>
        <v>0</v>
      </c>
      <c r="CM137" s="6">
        <f>SUMIF('Eredeti fejléccel'!$B:$B,'Felosztás eredménykim'!$B137,'Eredeti fejléccel'!$BD:$BD)</f>
        <v>0</v>
      </c>
      <c r="CN137" s="8">
        <f t="shared" si="240"/>
        <v>0</v>
      </c>
      <c r="CO137" s="8">
        <f t="shared" si="115"/>
        <v>0</v>
      </c>
      <c r="CR137" s="36">
        <f t="shared" si="226"/>
        <v>0</v>
      </c>
      <c r="CS137" s="6">
        <f>SUMIF('Eredeti fejléccel'!$B:$B,'Felosztás eredménykim'!$B137,'Eredeti fejléccel'!$I:$I)</f>
        <v>0</v>
      </c>
      <c r="CT137" s="6">
        <f>SUMIF('Eredeti fejléccel'!$B:$B,'Felosztás eredménykim'!$B137,'Eredeti fejléccel'!$BG:$BG)</f>
        <v>0</v>
      </c>
      <c r="CU137" s="6">
        <f>SUMIF('Eredeti fejléccel'!$B:$B,'Felosztás eredménykim'!$B137,'Eredeti fejléccel'!$BH:$BH)</f>
        <v>0</v>
      </c>
      <c r="CV137" s="6">
        <f>SUMIF('Eredeti fejléccel'!$B:$B,'Felosztás eredménykim'!$B137,'Eredeti fejléccel'!$BI:$BI)</f>
        <v>0</v>
      </c>
      <c r="CW137" s="6">
        <f>SUMIF('Eredeti fejléccel'!$B:$B,'Felosztás eredménykim'!$B137,'Eredeti fejléccel'!$BL:$BL)</f>
        <v>0</v>
      </c>
      <c r="CX137" s="6">
        <f t="shared" si="241"/>
        <v>0</v>
      </c>
      <c r="CY137" s="6">
        <f>SUMIF('Eredeti fejléccel'!$B:$B,'Felosztás eredménykim'!$B137,'Eredeti fejléccel'!$BJ:$BJ)</f>
        <v>0</v>
      </c>
      <c r="CZ137" s="6">
        <f>SUMIF('Eredeti fejléccel'!$B:$B,'Felosztás eredménykim'!$B137,'Eredeti fejléccel'!$BK:$BK)</f>
        <v>0</v>
      </c>
      <c r="DA137" s="99">
        <f t="shared" si="242"/>
        <v>0</v>
      </c>
      <c r="DC137" s="36">
        <f t="shared" si="227"/>
        <v>0</v>
      </c>
      <c r="DD137" s="6">
        <f>SUMIF('Eredeti fejléccel'!$B:$B,'Felosztás eredménykim'!$B137,'Eredeti fejléccel'!$J:$J)</f>
        <v>0</v>
      </c>
      <c r="DE137" s="6">
        <f>SUMIF('Eredeti fejléccel'!$B:$B,'Felosztás eredménykim'!$B137,'Eredeti fejléccel'!$BM:$BM)</f>
        <v>0</v>
      </c>
      <c r="DF137" s="6">
        <f t="shared" si="128"/>
        <v>0</v>
      </c>
      <c r="DG137" s="8">
        <f t="shared" si="117"/>
        <v>0</v>
      </c>
      <c r="DH137" s="8">
        <f t="shared" si="129"/>
        <v>0</v>
      </c>
      <c r="DJ137" s="6">
        <f>SUMIF('Eredeti fejléccel'!$B:$B,'Felosztás eredménykim'!$B137,'Eredeti fejléccel'!$BN:$BN)</f>
        <v>0</v>
      </c>
      <c r="DK137" s="6">
        <f>SUMIF('Eredeti fejléccel'!$B:$B,'Felosztás eredménykim'!$B137,'Eredeti fejléccel'!$BZ:$BZ)</f>
        <v>0</v>
      </c>
      <c r="DL137" s="8">
        <f t="shared" si="130"/>
        <v>0</v>
      </c>
      <c r="DM137" s="6">
        <f>SUMIF('Eredeti fejléccel'!$B:$B,'Felosztás eredménykim'!$B137,'Eredeti fejléccel'!$BR:$BR)</f>
        <v>0</v>
      </c>
      <c r="DN137" s="6">
        <f>SUMIF('Eredeti fejléccel'!$B:$B,'Felosztás eredménykim'!$B137,'Eredeti fejléccel'!$BS:$BS)</f>
        <v>0</v>
      </c>
      <c r="DO137" s="6">
        <f>SUMIF('Eredeti fejléccel'!$B:$B,'Felosztás eredménykim'!$B137,'Eredeti fejléccel'!$BO:$BO)</f>
        <v>0</v>
      </c>
      <c r="DP137" s="6">
        <f>SUMIF('Eredeti fejléccel'!$B:$B,'Felosztás eredménykim'!$B137,'Eredeti fejléccel'!$BP:$BP)</f>
        <v>0</v>
      </c>
      <c r="DQ137" s="6">
        <f>SUMIF('Eredeti fejléccel'!$B:$B,'Felosztás eredménykim'!$B137,'Eredeti fejléccel'!$BQ:$BQ)</f>
        <v>0</v>
      </c>
      <c r="DS137" s="8"/>
      <c r="DU137" s="6">
        <f>SUMIF('Eredeti fejléccel'!$B:$B,'Felosztás eredménykim'!$B137,'Eredeti fejléccel'!$BT:$BT)</f>
        <v>0</v>
      </c>
      <c r="DV137" s="6">
        <f>SUMIF('Eredeti fejléccel'!$B:$B,'Felosztás eredménykim'!$B137,'Eredeti fejléccel'!$BU:$BU)</f>
        <v>0</v>
      </c>
      <c r="DW137" s="6">
        <f>SUMIF('Eredeti fejléccel'!$B:$B,'Felosztás eredménykim'!$B137,'Eredeti fejléccel'!$BV:$BV)</f>
        <v>0</v>
      </c>
      <c r="DX137" s="6">
        <f>SUMIF('Eredeti fejléccel'!$B:$B,'Felosztás eredménykim'!$B137,'Eredeti fejléccel'!$BW:$BW)</f>
        <v>0</v>
      </c>
      <c r="DY137" s="6">
        <f>SUMIF('Eredeti fejléccel'!$B:$B,'Felosztás eredménykim'!$B137,'Eredeti fejléccel'!$BX:$BX)</f>
        <v>0</v>
      </c>
      <c r="EA137" s="6"/>
      <c r="EC137" s="6"/>
      <c r="EE137" s="6">
        <f>SUMIF('Eredeti fejléccel'!$B:$B,'Felosztás eredménykim'!$B137,'Eredeti fejléccel'!$CA:$CA)</f>
        <v>0</v>
      </c>
      <c r="EF137" s="6">
        <f>SUMIF('Eredeti fejléccel'!$B:$B,'Felosztás eredménykim'!$B137,'Eredeti fejléccel'!$CB:$CB)</f>
        <v>0</v>
      </c>
      <c r="EG137" s="6">
        <f>SUMIF('Eredeti fejléccel'!$B:$B,'Felosztás eredménykim'!$B137,'Eredeti fejléccel'!$CC:$CC)</f>
        <v>0</v>
      </c>
      <c r="EH137" s="6">
        <f>SUMIF('Eredeti fejléccel'!$B:$B,'Felosztás eredménykim'!$B137,'Eredeti fejléccel'!$CD:$CD)</f>
        <v>0</v>
      </c>
      <c r="EK137" s="6">
        <f>SUMIF('Eredeti fejléccel'!$B:$B,'Felosztás eredménykim'!$B137,'Eredeti fejléccel'!$CE:$CE)</f>
        <v>0</v>
      </c>
      <c r="EN137" s="6">
        <f>SUMIF('Eredeti fejléccel'!$B:$B,'Felosztás eredménykim'!$B137,'Eredeti fejléccel'!$CF:$CF)</f>
        <v>0</v>
      </c>
      <c r="EP137" s="6">
        <f>SUMIF('Eredeti fejléccel'!$B:$B,'Felosztás eredménykim'!$B137,'Eredeti fejléccel'!$CG:$CG)</f>
        <v>0</v>
      </c>
      <c r="ES137" s="6">
        <f>SUMIF('Eredeti fejléccel'!$B:$B,'Felosztás eredménykim'!$B137,'Eredeti fejléccel'!$CH:$CH)</f>
        <v>0</v>
      </c>
      <c r="ET137" s="6">
        <f>SUMIF('Eredeti fejléccel'!$B:$B,'Felosztás eredménykim'!$B137,'Eredeti fejléccel'!$CI:$CI)</f>
        <v>0</v>
      </c>
      <c r="EW137" s="8">
        <f t="shared" si="118"/>
        <v>0</v>
      </c>
      <c r="EX137" s="8">
        <f t="shared" si="243"/>
        <v>0</v>
      </c>
      <c r="EY137" s="8">
        <f t="shared" si="244"/>
        <v>0</v>
      </c>
      <c r="EZ137" s="8">
        <f t="shared" si="120"/>
        <v>0</v>
      </c>
      <c r="FA137" s="8">
        <f t="shared" si="121"/>
        <v>0</v>
      </c>
      <c r="FC137" s="6">
        <f>SUMIF('Eredeti fejléccel'!$B:$B,'Felosztás eredménykim'!$B137,'Eredeti fejléccel'!$L:$L)</f>
        <v>0</v>
      </c>
      <c r="FD137" s="6">
        <f>SUMIF('Eredeti fejléccel'!$B:$B,'Felosztás eredménykim'!$B137,'Eredeti fejléccel'!$CJ:$CJ)</f>
        <v>0</v>
      </c>
      <c r="FE137" s="6">
        <f>SUMIF('Eredeti fejléccel'!$B:$B,'Felosztás eredménykim'!$B137,'Eredeti fejléccel'!$CL:$CL)</f>
        <v>0</v>
      </c>
      <c r="FG137" s="99">
        <f t="shared" si="245"/>
        <v>0</v>
      </c>
      <c r="FH137" s="6">
        <f>SUMIF('Eredeti fejléccel'!$B:$B,'Felosztás eredménykim'!$B137,'Eredeti fejléccel'!$CK:$CK)</f>
        <v>0</v>
      </c>
      <c r="FI137" s="36">
        <f t="shared" si="228"/>
        <v>0</v>
      </c>
      <c r="FJ137" s="101">
        <f t="shared" si="229"/>
        <v>0</v>
      </c>
      <c r="FK137" s="6">
        <f>SUMIF('Eredeti fejléccel'!$B:$B,'Felosztás eredménykim'!$B137,'Eredeti fejléccel'!$CM:$CM)</f>
        <v>0</v>
      </c>
      <c r="FL137" s="6">
        <f>SUMIF('Eredeti fejléccel'!$B:$B,'Felosztás eredménykim'!$B137,'Eredeti fejléccel'!$CN:$CN)</f>
        <v>0</v>
      </c>
      <c r="FM137" s="8">
        <f t="shared" si="246"/>
        <v>0</v>
      </c>
      <c r="FN137" s="36">
        <f t="shared" si="230"/>
        <v>0</v>
      </c>
      <c r="FO137" s="101">
        <f t="shared" si="231"/>
        <v>0</v>
      </c>
      <c r="FP137" s="6">
        <f>SUMIF('Eredeti fejléccel'!$B:$B,'Felosztás eredménykim'!$B137,'Eredeti fejléccel'!$CO:$CO)</f>
        <v>0</v>
      </c>
      <c r="FQ137" s="6">
        <f>'Eredeti fejléccel'!CP137</f>
        <v>0</v>
      </c>
      <c r="FR137" s="6">
        <f>'Eredeti fejléccel'!CQ137</f>
        <v>0</v>
      </c>
      <c r="FS137" s="103">
        <f t="shared" si="247"/>
        <v>0</v>
      </c>
      <c r="FT137" s="36">
        <f t="shared" si="232"/>
        <v>0</v>
      </c>
      <c r="FU137" s="101">
        <f t="shared" si="233"/>
        <v>0</v>
      </c>
      <c r="FV137" s="101"/>
      <c r="FW137" s="6">
        <f>SUMIF('Eredeti fejléccel'!$B:$B,'Felosztás eredménykim'!$B137,'Eredeti fejléccel'!$CR:$CR)</f>
        <v>0</v>
      </c>
      <c r="FX137" s="6">
        <f>SUMIF('Eredeti fejléccel'!$B:$B,'Felosztás eredménykim'!$B137,'Eredeti fejléccel'!$CS:$CS)</f>
        <v>0</v>
      </c>
      <c r="FY137" s="6">
        <f>SUMIF('Eredeti fejléccel'!$B:$B,'Felosztás eredménykim'!$B137,'Eredeti fejléccel'!$CT:$CT)</f>
        <v>0</v>
      </c>
      <c r="FZ137" s="6">
        <f>SUMIF('Eredeti fejléccel'!$B:$B,'Felosztás eredménykim'!$B137,'Eredeti fejléccel'!$CU:$CU)</f>
        <v>0</v>
      </c>
      <c r="GA137" s="103">
        <f t="shared" si="248"/>
        <v>0</v>
      </c>
      <c r="GB137" s="36">
        <f t="shared" si="234"/>
        <v>0</v>
      </c>
      <c r="GC137" s="101">
        <f t="shared" si="235"/>
        <v>0</v>
      </c>
      <c r="GD137" s="6">
        <f>SUMIF('Eredeti fejléccel'!$B:$B,'Felosztás eredménykim'!$B137,'Eredeti fejléccel'!$CV:$CV)</f>
        <v>0</v>
      </c>
      <c r="GE137" s="6">
        <f>SUMIF('Eredeti fejléccel'!$B:$B,'Felosztás eredménykim'!$B137,'Eredeti fejléccel'!$CW:$CW)</f>
        <v>0</v>
      </c>
      <c r="GF137" s="103">
        <f t="shared" si="249"/>
        <v>0</v>
      </c>
      <c r="GG137" s="36">
        <f t="shared" si="236"/>
        <v>0</v>
      </c>
      <c r="GM137" s="6">
        <f>SUMIF('Eredeti fejléccel'!$B:$B,'Felosztás eredménykim'!$B137,'Eredeti fejléccel'!$CX:$CX)</f>
        <v>0</v>
      </c>
      <c r="GN137" s="6">
        <f>SUMIF('Eredeti fejléccel'!$B:$B,'Felosztás eredménykim'!$B137,'Eredeti fejléccel'!$CY:$CY)</f>
        <v>0</v>
      </c>
      <c r="GO137" s="6">
        <f>SUMIF('Eredeti fejléccel'!$B:$B,'Felosztás eredménykim'!$B137,'Eredeti fejléccel'!$CZ:$CZ)</f>
        <v>0</v>
      </c>
      <c r="GP137" s="6">
        <f>SUMIF('Eredeti fejléccel'!$B:$B,'Felosztás eredménykim'!$B137,'Eredeti fejléccel'!$DA:$DA)</f>
        <v>0</v>
      </c>
      <c r="GQ137" s="6">
        <f>SUMIF('Eredeti fejléccel'!$B:$B,'Felosztás eredménykim'!$B137,'Eredeti fejléccel'!$DB:$DB)</f>
        <v>0</v>
      </c>
      <c r="GR137" s="103">
        <f t="shared" si="250"/>
        <v>0</v>
      </c>
      <c r="GW137" s="36">
        <f t="shared" si="237"/>
        <v>0</v>
      </c>
      <c r="GX137" s="6">
        <f>SUMIF('Eredeti fejléccel'!$B:$B,'Felosztás eredménykim'!$B137,'Eredeti fejléccel'!$M:$M)</f>
        <v>0</v>
      </c>
      <c r="GY137" s="6">
        <f>SUMIF('Eredeti fejléccel'!$B:$B,'Felosztás eredménykim'!$B137,'Eredeti fejléccel'!$DC:$DC)</f>
        <v>0</v>
      </c>
      <c r="GZ137" s="6">
        <f>SUMIF('Eredeti fejléccel'!$B:$B,'Felosztás eredménykim'!$B137,'Eredeti fejléccel'!$DD:$DD)</f>
        <v>0</v>
      </c>
      <c r="HA137" s="6">
        <f>SUMIF('Eredeti fejléccel'!$B:$B,'Felosztás eredménykim'!$B137,'Eredeti fejléccel'!$DE:$DE)</f>
        <v>0</v>
      </c>
      <c r="HB137" s="103">
        <f t="shared" si="251"/>
        <v>0</v>
      </c>
      <c r="HD137" s="9">
        <f>SUM(D137:HA137)-W137-X137-AD137-AE137-AF137-AG137-AK137-AL137-AM137-AS137-AT137-AU137-BE137-BF137-BG137-BL137-BM137-BN137-CB137-CC137-CD137-CI137-CJ137-CK137-CN137-CO137-CP137-CR137-CX137-DA137-DC137-DG137-DH137-DL137-EW137-EX137-EY137-EZ137-FA137-FF137-FG137-FI137-FJ137-FM137-FN137-FO137-FS137-FT137-FU137-GA137-GB137-GC137-GF137-GG137-GR137-GS137-GT137-GU137-GW137</f>
        <v>0</v>
      </c>
      <c r="HE137" s="9"/>
      <c r="HF137" s="476"/>
      <c r="HH137" s="34">
        <f t="shared" si="252"/>
        <v>0</v>
      </c>
    </row>
    <row r="138" spans="1:232" x14ac:dyDescent="0.25">
      <c r="A138" s="4" t="s">
        <v>258</v>
      </c>
      <c r="B138" s="4" t="s">
        <v>258</v>
      </c>
      <c r="C138" s="1" t="s">
        <v>259</v>
      </c>
      <c r="D138" s="6">
        <f>SUMIF('Eredeti fejléccel'!$B:$B,'Felosztás eredménykim'!$B138,'Eredeti fejléccel'!$D:$D)</f>
        <v>0</v>
      </c>
      <c r="E138" s="6">
        <f>SUMIF('Eredeti fejléccel'!$B:$B,'Felosztás eredménykim'!$B138,'Eredeti fejléccel'!$E:$E)</f>
        <v>0</v>
      </c>
      <c r="F138" s="6">
        <f>SUMIF('Eredeti fejléccel'!$B:$B,'Felosztás eredménykim'!$B138,'Eredeti fejléccel'!$F:$F)</f>
        <v>0</v>
      </c>
      <c r="G138" s="6">
        <f>SUMIF('Eredeti fejléccel'!$B:$B,'Felosztás eredménykim'!$B138,'Eredeti fejléccel'!$G:$G)</f>
        <v>0</v>
      </c>
      <c r="H138" s="6"/>
      <c r="I138" s="6">
        <f>SUMIF('Eredeti fejléccel'!$B:$B,'Felosztás eredménykim'!$B138,'Eredeti fejléccel'!$O:$O)</f>
        <v>0</v>
      </c>
      <c r="J138" s="6">
        <f>SUMIF('Eredeti fejléccel'!$B:$B,'Felosztás eredménykim'!$B138,'Eredeti fejléccel'!$P:$P)</f>
        <v>0</v>
      </c>
      <c r="K138" s="6">
        <f>SUMIF('Eredeti fejléccel'!$B:$B,'Felosztás eredménykim'!$B138,'Eredeti fejléccel'!$Q:$Q)</f>
        <v>0</v>
      </c>
      <c r="L138" s="6">
        <f>SUMIF('Eredeti fejléccel'!$B:$B,'Felosztás eredménykim'!$B138,'Eredeti fejléccel'!$R:$R)</f>
        <v>0</v>
      </c>
      <c r="M138" s="6">
        <f>SUMIF('Eredeti fejléccel'!$B:$B,'Felosztás eredménykim'!$B138,'Eredeti fejléccel'!$T:$T)</f>
        <v>0</v>
      </c>
      <c r="N138" s="6">
        <f>SUMIF('Eredeti fejléccel'!$B:$B,'Felosztás eredménykim'!$B138,'Eredeti fejléccel'!$U:$U)</f>
        <v>0</v>
      </c>
      <c r="O138" s="6">
        <f>SUMIF('Eredeti fejléccel'!$B:$B,'Felosztás eredménykim'!$B138,'Eredeti fejléccel'!$V:$V)</f>
        <v>0</v>
      </c>
      <c r="P138" s="6">
        <f>SUMIF('Eredeti fejléccel'!$B:$B,'Felosztás eredménykim'!$B138,'Eredeti fejléccel'!$W:$W)</f>
        <v>0</v>
      </c>
      <c r="Q138" s="6">
        <f>SUMIF('Eredeti fejléccel'!$B:$B,'Felosztás eredménykim'!$B138,'Eredeti fejléccel'!$X:$X)</f>
        <v>0</v>
      </c>
      <c r="R138" s="6">
        <f>SUMIF('Eredeti fejléccel'!$B:$B,'Felosztás eredménykim'!$B138,'Eredeti fejléccel'!$Y:$Y)</f>
        <v>0</v>
      </c>
      <c r="S138" s="6">
        <f>SUMIF('Eredeti fejléccel'!$B:$B,'Felosztás eredménykim'!$B138,'Eredeti fejléccel'!$Z:$Z)</f>
        <v>0</v>
      </c>
      <c r="T138" s="6">
        <f>SUMIF('Eredeti fejléccel'!$B:$B,'Felosztás eredménykim'!$B138,'Eredeti fejléccel'!$AA:$AA)</f>
        <v>0</v>
      </c>
      <c r="U138" s="6">
        <f>SUMIF('Eredeti fejléccel'!$B:$B,'Felosztás eredménykim'!$B138,'Eredeti fejléccel'!$D:$D)</f>
        <v>0</v>
      </c>
      <c r="V138" s="6">
        <f>SUMIF('Eredeti fejléccel'!$B:$B,'Felosztás eredménykim'!$B138,'Eredeti fejléccel'!$AT:$AT)</f>
        <v>0</v>
      </c>
      <c r="X138" s="36">
        <f t="shared" si="211"/>
        <v>0</v>
      </c>
      <c r="Z138" s="6">
        <f>SUMIF('Eredeti fejléccel'!$B:$B,'Felosztás eredménykim'!$B138,'Eredeti fejléccel'!$K:$K)</f>
        <v>0</v>
      </c>
      <c r="AB138" s="6">
        <f>SUMIF('Eredeti fejléccel'!$B:$B,'Felosztás eredménykim'!$B138,'Eredeti fejléccel'!$AB:$AB)</f>
        <v>0</v>
      </c>
      <c r="AC138" s="6">
        <f>SUMIF('Eredeti fejléccel'!$B:$B,'Felosztás eredménykim'!$B138,'Eredeti fejléccel'!$AQ:$AQ)</f>
        <v>0</v>
      </c>
      <c r="AE138" s="73">
        <f t="shared" si="131"/>
        <v>0</v>
      </c>
      <c r="AF138" s="36">
        <f t="shared" si="212"/>
        <v>0</v>
      </c>
      <c r="AG138" s="8">
        <f t="shared" si="213"/>
        <v>0</v>
      </c>
      <c r="AI138" s="6">
        <f>SUMIF('Eredeti fejléccel'!$B:$B,'Felosztás eredménykim'!$B138,'Eredeti fejléccel'!$BB:$BB)</f>
        <v>0</v>
      </c>
      <c r="AJ138" s="6">
        <f>SUMIF('Eredeti fejléccel'!$B:$B,'Felosztás eredménykim'!$B138,'Eredeti fejléccel'!$AF:$AF)</f>
        <v>0</v>
      </c>
      <c r="AK138" s="8">
        <f t="shared" si="177"/>
        <v>0</v>
      </c>
      <c r="AL138" s="36">
        <f t="shared" si="214"/>
        <v>0</v>
      </c>
      <c r="AM138" s="8">
        <f t="shared" si="215"/>
        <v>0</v>
      </c>
      <c r="AN138" s="6">
        <f t="shared" si="123"/>
        <v>0</v>
      </c>
      <c r="AO138" s="6">
        <f>SUMIF('Eredeti fejléccel'!$B:$B,'Felosztás eredménykim'!$B138,'Eredeti fejléccel'!$AC:$AC)</f>
        <v>0</v>
      </c>
      <c r="AP138" s="6">
        <f>SUMIF('Eredeti fejléccel'!$B:$B,'Felosztás eredménykim'!$B138,'Eredeti fejléccel'!$AD:$AD)</f>
        <v>0</v>
      </c>
      <c r="AQ138" s="6">
        <f>SUMIF('Eredeti fejléccel'!$B:$B,'Felosztás eredménykim'!$B138,'Eredeti fejléccel'!$AE:$AE)</f>
        <v>0</v>
      </c>
      <c r="AR138" s="6">
        <f>SUMIF('Eredeti fejléccel'!$B:$B,'Felosztás eredménykim'!$B138,'Eredeti fejléccel'!$AG:$AG)</f>
        <v>0</v>
      </c>
      <c r="AS138" s="6">
        <f t="shared" si="124"/>
        <v>0</v>
      </c>
      <c r="AT138" s="36">
        <f t="shared" si="216"/>
        <v>0</v>
      </c>
      <c r="AU138" s="8">
        <f t="shared" si="217"/>
        <v>0</v>
      </c>
      <c r="AV138" s="6">
        <f>SUMIF('Eredeti fejléccel'!$B:$B,'Felosztás eredménykim'!$B138,'Eredeti fejléccel'!$AI:$AI)</f>
        <v>0</v>
      </c>
      <c r="AW138" s="6">
        <f>SUMIF('Eredeti fejléccel'!$B:$B,'Felosztás eredménykim'!$B138,'Eredeti fejléccel'!$AJ:$AJ)</f>
        <v>0</v>
      </c>
      <c r="AX138" s="6">
        <f>SUMIF('Eredeti fejléccel'!$B:$B,'Felosztás eredménykim'!$B138,'Eredeti fejléccel'!$AK:$AK)</f>
        <v>0</v>
      </c>
      <c r="AY138" s="6">
        <f>SUMIF('Eredeti fejléccel'!$B:$B,'Felosztás eredménykim'!$B138,'Eredeti fejléccel'!$AL:$AL)</f>
        <v>0</v>
      </c>
      <c r="AZ138" s="6">
        <f>SUMIF('Eredeti fejléccel'!$B:$B,'Felosztás eredménykim'!$B138,'Eredeti fejléccel'!$AM:$AM)</f>
        <v>0</v>
      </c>
      <c r="BA138" s="6">
        <f>SUMIF('Eredeti fejléccel'!$B:$B,'Felosztás eredménykim'!$B138,'Eredeti fejléccel'!$AN:$AN)</f>
        <v>0</v>
      </c>
      <c r="BB138" s="6">
        <f>SUMIF('Eredeti fejléccel'!$B:$B,'Felosztás eredménykim'!$B138,'Eredeti fejléccel'!$AP:$AP)</f>
        <v>0</v>
      </c>
      <c r="BD138" s="6">
        <f>SUMIF('Eredeti fejléccel'!$B:$B,'Felosztás eredménykim'!$B138,'Eredeti fejléccel'!$AS:$AS)</f>
        <v>0</v>
      </c>
      <c r="BE138" s="8">
        <f t="shared" si="238"/>
        <v>0</v>
      </c>
      <c r="BF138" s="36">
        <f t="shared" si="218"/>
        <v>0</v>
      </c>
      <c r="BG138" s="8">
        <f t="shared" si="219"/>
        <v>0</v>
      </c>
      <c r="BH138" s="6">
        <f t="shared" si="125"/>
        <v>0</v>
      </c>
      <c r="BI138" s="6">
        <f>SUMIF('Eredeti fejléccel'!$B:$B,'Felosztás eredménykim'!$B138,'Eredeti fejléccel'!$AH:$AH)</f>
        <v>0</v>
      </c>
      <c r="BJ138" s="6">
        <f>SUMIF('Eredeti fejléccel'!$B:$B,'Felosztás eredménykim'!$B138,'Eredeti fejléccel'!$AO:$AO)</f>
        <v>0</v>
      </c>
      <c r="BK138" s="6">
        <f>SUMIF('Eredeti fejléccel'!$B:$B,'Felosztás eredménykim'!$B138,'Eredeti fejléccel'!$BF:$BF)</f>
        <v>0</v>
      </c>
      <c r="BL138" s="8">
        <f t="shared" si="126"/>
        <v>0</v>
      </c>
      <c r="BM138" s="36">
        <f t="shared" si="220"/>
        <v>0</v>
      </c>
      <c r="BN138" s="8">
        <f t="shared" si="221"/>
        <v>0</v>
      </c>
      <c r="BO138" s="8">
        <v>0</v>
      </c>
      <c r="BP138" s="8">
        <f t="shared" si="127"/>
        <v>0</v>
      </c>
      <c r="BQ138" s="6">
        <f>SUMIF('Eredeti fejléccel'!$B:$B,'Felosztás eredménykim'!$B138,'Eredeti fejléccel'!$N:$N)</f>
        <v>0</v>
      </c>
      <c r="BR138" s="6">
        <f>SUMIF('Eredeti fejléccel'!$B:$B,'Felosztás eredménykim'!$B138,'Eredeti fejléccel'!$S:$S)</f>
        <v>0</v>
      </c>
      <c r="BT138" s="6">
        <f>SUMIF('Eredeti fejléccel'!$B:$B,'Felosztás eredménykim'!$B138,'Eredeti fejléccel'!$AR:$AR)</f>
        <v>0</v>
      </c>
      <c r="BU138" s="6">
        <f>SUMIF('Eredeti fejléccel'!$B:$B,'Felosztás eredménykim'!$B138,'Eredeti fejléccel'!$AU:$AU)</f>
        <v>0</v>
      </c>
      <c r="BV138" s="6">
        <f>SUMIF('Eredeti fejléccel'!$B:$B,'Felosztás eredménykim'!$B138,'Eredeti fejléccel'!$AV:$AV)</f>
        <v>0</v>
      </c>
      <c r="BW138" s="6">
        <f>SUMIF('Eredeti fejléccel'!$B:$B,'Felosztás eredménykim'!$B138,'Eredeti fejléccel'!$AW:$AW)</f>
        <v>0</v>
      </c>
      <c r="BX138" s="6">
        <f>SUMIF('Eredeti fejléccel'!$B:$B,'Felosztás eredménykim'!$B138,'Eredeti fejléccel'!$AX:$AX)</f>
        <v>0</v>
      </c>
      <c r="BY138" s="6">
        <f>SUMIF('Eredeti fejléccel'!$B:$B,'Felosztás eredménykim'!$B138,'Eredeti fejléccel'!$AY:$AY)</f>
        <v>0</v>
      </c>
      <c r="BZ138" s="6">
        <f>SUMIF('Eredeti fejléccel'!$B:$B,'Felosztás eredménykim'!$B138,'Eredeti fejléccel'!$AZ:$AZ)</f>
        <v>0</v>
      </c>
      <c r="CA138" s="6">
        <f>SUMIF('Eredeti fejléccel'!$B:$B,'Felosztás eredménykim'!$B138,'Eredeti fejléccel'!$BA:$BA)</f>
        <v>0</v>
      </c>
      <c r="CB138" s="6">
        <f t="shared" si="114"/>
        <v>0</v>
      </c>
      <c r="CC138" s="36">
        <f t="shared" si="222"/>
        <v>0</v>
      </c>
      <c r="CD138" s="8">
        <f t="shared" si="223"/>
        <v>0</v>
      </c>
      <c r="CE138" s="6">
        <f>SUMIF('Eredeti fejléccel'!$B:$B,'Felosztás eredménykim'!$B138,'Eredeti fejléccel'!$BC:$BC)</f>
        <v>0</v>
      </c>
      <c r="CF138" s="8">
        <f t="shared" si="135"/>
        <v>0</v>
      </c>
      <c r="CG138" s="6">
        <f>SUMIF('Eredeti fejléccel'!$B:$B,'Felosztás eredménykim'!$B138,'Eredeti fejléccel'!$H:$H)</f>
        <v>0</v>
      </c>
      <c r="CH138" s="6">
        <f>SUMIF('Eredeti fejléccel'!$B:$B,'Felosztás eredménykim'!$B138,'Eredeti fejléccel'!$BE:$BE)</f>
        <v>0</v>
      </c>
      <c r="CI138" s="6">
        <f t="shared" si="239"/>
        <v>0</v>
      </c>
      <c r="CJ138" s="36">
        <f t="shared" si="224"/>
        <v>0</v>
      </c>
      <c r="CK138" s="8">
        <f t="shared" si="225"/>
        <v>0</v>
      </c>
      <c r="CL138" s="8">
        <f t="shared" si="136"/>
        <v>0</v>
      </c>
      <c r="CM138" s="6">
        <f>SUMIF('Eredeti fejléccel'!$B:$B,'Felosztás eredménykim'!$B138,'Eredeti fejléccel'!$BD:$BD)</f>
        <v>0</v>
      </c>
      <c r="CN138" s="8">
        <f t="shared" si="240"/>
        <v>0</v>
      </c>
      <c r="CO138" s="8">
        <f t="shared" si="115"/>
        <v>0</v>
      </c>
      <c r="CR138" s="36">
        <f t="shared" si="226"/>
        <v>0</v>
      </c>
      <c r="CS138" s="6">
        <f>SUMIF('Eredeti fejléccel'!$B:$B,'Felosztás eredménykim'!$B138,'Eredeti fejléccel'!$I:$I)</f>
        <v>0</v>
      </c>
      <c r="CT138" s="6">
        <f>SUMIF('Eredeti fejléccel'!$B:$B,'Felosztás eredménykim'!$B138,'Eredeti fejléccel'!$BG:$BG)</f>
        <v>0</v>
      </c>
      <c r="CU138" s="6">
        <f>SUMIF('Eredeti fejléccel'!$B:$B,'Felosztás eredménykim'!$B138,'Eredeti fejléccel'!$BH:$BH)</f>
        <v>0</v>
      </c>
      <c r="CV138" s="6">
        <f>SUMIF('Eredeti fejléccel'!$B:$B,'Felosztás eredménykim'!$B138,'Eredeti fejléccel'!$BI:$BI)</f>
        <v>0</v>
      </c>
      <c r="CW138" s="6">
        <f>SUMIF('Eredeti fejléccel'!$B:$B,'Felosztás eredménykim'!$B138,'Eredeti fejléccel'!$BL:$BL)</f>
        <v>0</v>
      </c>
      <c r="CX138" s="6">
        <f t="shared" si="241"/>
        <v>0</v>
      </c>
      <c r="CY138" s="6">
        <f>SUMIF('Eredeti fejléccel'!$B:$B,'Felosztás eredménykim'!$B138,'Eredeti fejléccel'!$BJ:$BJ)</f>
        <v>0</v>
      </c>
      <c r="CZ138" s="6">
        <f>SUMIF('Eredeti fejléccel'!$B:$B,'Felosztás eredménykim'!$B138,'Eredeti fejléccel'!$BK:$BK)</f>
        <v>0</v>
      </c>
      <c r="DA138" s="99">
        <f t="shared" si="242"/>
        <v>0</v>
      </c>
      <c r="DC138" s="36">
        <f t="shared" si="227"/>
        <v>0</v>
      </c>
      <c r="DD138" s="6">
        <f>SUMIF('Eredeti fejléccel'!$B:$B,'Felosztás eredménykim'!$B138,'Eredeti fejléccel'!$J:$J)</f>
        <v>0</v>
      </c>
      <c r="DE138" s="6">
        <f>SUMIF('Eredeti fejléccel'!$B:$B,'Felosztás eredménykim'!$B138,'Eredeti fejléccel'!$BM:$BM)</f>
        <v>0</v>
      </c>
      <c r="DF138" s="6">
        <f t="shared" si="128"/>
        <v>0</v>
      </c>
      <c r="DG138" s="211">
        <f t="shared" si="117"/>
        <v>0</v>
      </c>
      <c r="DH138" s="8">
        <f t="shared" si="129"/>
        <v>0</v>
      </c>
      <c r="DI138" s="8">
        <v>0</v>
      </c>
      <c r="DJ138" s="6">
        <f>SUMIF('Eredeti fejléccel'!$B:$B,'Felosztás eredménykim'!$B138,'Eredeti fejléccel'!$BN:$BN)</f>
        <v>0</v>
      </c>
      <c r="DK138" s="6">
        <f>SUMIF('Eredeti fejléccel'!$B:$B,'Felosztás eredménykim'!$B138,'Eredeti fejléccel'!$BZ:$BZ)</f>
        <v>0</v>
      </c>
      <c r="DL138" s="8">
        <f t="shared" si="130"/>
        <v>0</v>
      </c>
      <c r="DM138" s="6">
        <f>SUMIF('Eredeti fejléccel'!$B:$B,'Felosztás eredménykim'!$B138,'Eredeti fejléccel'!$BR:$BR)</f>
        <v>0</v>
      </c>
      <c r="DN138" s="6">
        <f>SUMIF('Eredeti fejléccel'!$B:$B,'Felosztás eredménykim'!$B138,'Eredeti fejléccel'!$BS:$BS)</f>
        <v>0</v>
      </c>
      <c r="DO138" s="6">
        <f>SUMIF('Eredeti fejléccel'!$B:$B,'Felosztás eredménykim'!$B138,'Eredeti fejléccel'!$BO:$BO)</f>
        <v>0</v>
      </c>
      <c r="DP138" s="6">
        <f>SUMIF('Eredeti fejléccel'!$B:$B,'Felosztás eredménykim'!$B138,'Eredeti fejléccel'!$BP:$BP)</f>
        <v>0</v>
      </c>
      <c r="DQ138" s="6">
        <f>SUMIF('Eredeti fejléccel'!$B:$B,'Felosztás eredménykim'!$B138,'Eredeti fejléccel'!$BQ:$BQ)</f>
        <v>0</v>
      </c>
      <c r="DS138" s="8"/>
      <c r="DU138" s="6">
        <f>SUMIF('Eredeti fejléccel'!$B:$B,'Felosztás eredménykim'!$B138,'Eredeti fejléccel'!$BT:$BT)</f>
        <v>0</v>
      </c>
      <c r="DV138" s="6">
        <f>SUMIF('Eredeti fejléccel'!$B:$B,'Felosztás eredménykim'!$B138,'Eredeti fejléccel'!$BU:$BU)</f>
        <v>0</v>
      </c>
      <c r="DW138" s="6">
        <f>SUMIF('Eredeti fejléccel'!$B:$B,'Felosztás eredménykim'!$B138,'Eredeti fejléccel'!$BV:$BV)</f>
        <v>0</v>
      </c>
      <c r="DX138" s="6">
        <f>SUMIF('Eredeti fejléccel'!$B:$B,'Felosztás eredménykim'!$B138,'Eredeti fejléccel'!$BW:$BW)</f>
        <v>0</v>
      </c>
      <c r="DY138" s="6">
        <f>SUMIF('Eredeti fejléccel'!$B:$B,'Felosztás eredménykim'!$B138,'Eredeti fejléccel'!$BX:$BX)</f>
        <v>0</v>
      </c>
      <c r="EA138" s="6"/>
      <c r="EC138" s="6"/>
      <c r="EE138" s="6">
        <f>SUMIF('Eredeti fejléccel'!$B:$B,'Felosztás eredménykim'!$B138,'Eredeti fejléccel'!$CA:$CA)</f>
        <v>0</v>
      </c>
      <c r="EF138" s="6">
        <f>SUMIF('Eredeti fejléccel'!$B:$B,'Felosztás eredménykim'!$B138,'Eredeti fejléccel'!$CB:$CB)</f>
        <v>0</v>
      </c>
      <c r="EG138" s="6">
        <f>SUMIF('Eredeti fejléccel'!$B:$B,'Felosztás eredménykim'!$B138,'Eredeti fejléccel'!$CC:$CC)</f>
        <v>0</v>
      </c>
      <c r="EH138" s="6">
        <f>SUMIF('Eredeti fejléccel'!$B:$B,'Felosztás eredménykim'!$B138,'Eredeti fejléccel'!$CD:$CD)</f>
        <v>0</v>
      </c>
      <c r="EK138" s="6">
        <f>SUMIF('Eredeti fejléccel'!$B:$B,'Felosztás eredménykim'!$B138,'Eredeti fejléccel'!$CE:$CE)</f>
        <v>0</v>
      </c>
      <c r="EN138" s="6">
        <f>SUMIF('Eredeti fejléccel'!$B:$B,'Felosztás eredménykim'!$B138,'Eredeti fejléccel'!$CF:$CF)</f>
        <v>0</v>
      </c>
      <c r="EP138" s="6">
        <f>SUMIF('Eredeti fejléccel'!$B:$B,'Felosztás eredménykim'!$B138,'Eredeti fejléccel'!$CG:$CG)</f>
        <v>0</v>
      </c>
      <c r="ES138" s="6">
        <f>SUMIF('Eredeti fejléccel'!$B:$B,'Felosztás eredménykim'!$B138,'Eredeti fejléccel'!$CH:$CH)</f>
        <v>0</v>
      </c>
      <c r="ET138" s="6">
        <f>SUMIF('Eredeti fejléccel'!$B:$B,'Felosztás eredménykim'!$B138,'Eredeti fejléccel'!$CI:$CI)</f>
        <v>0</v>
      </c>
      <c r="EW138" s="8">
        <f t="shared" si="118"/>
        <v>0</v>
      </c>
      <c r="EX138" s="8">
        <f t="shared" si="243"/>
        <v>0</v>
      </c>
      <c r="EY138" s="8">
        <f t="shared" si="244"/>
        <v>0</v>
      </c>
      <c r="EZ138" s="8">
        <f t="shared" si="120"/>
        <v>0</v>
      </c>
      <c r="FA138" s="8">
        <f t="shared" si="121"/>
        <v>0</v>
      </c>
      <c r="FC138" s="6">
        <f>SUMIF('Eredeti fejléccel'!$B:$B,'Felosztás eredménykim'!$B138,'Eredeti fejléccel'!$L:$L)</f>
        <v>0</v>
      </c>
      <c r="FD138" s="6">
        <f>SUMIF('Eredeti fejléccel'!$B:$B,'Felosztás eredménykim'!$B138,'Eredeti fejléccel'!$CJ:$CJ)</f>
        <v>0</v>
      </c>
      <c r="FE138" s="6">
        <f>SUMIF('Eredeti fejléccel'!$B:$B,'Felosztás eredménykim'!$B138,'Eredeti fejléccel'!$CL:$CL)</f>
        <v>0</v>
      </c>
      <c r="FG138" s="99">
        <f t="shared" si="245"/>
        <v>0</v>
      </c>
      <c r="FH138" s="6">
        <f>SUMIF('Eredeti fejléccel'!$B:$B,'Felosztás eredménykim'!$B138,'Eredeti fejléccel'!$CK:$CK)</f>
        <v>0</v>
      </c>
      <c r="FI138" s="36">
        <f t="shared" si="228"/>
        <v>0</v>
      </c>
      <c r="FJ138" s="101">
        <f t="shared" si="229"/>
        <v>0</v>
      </c>
      <c r="FK138" s="6">
        <f>SUMIF('Eredeti fejléccel'!$B:$B,'Felosztás eredménykim'!$B138,'Eredeti fejléccel'!$CM:$CM)</f>
        <v>-74000</v>
      </c>
      <c r="FL138" s="6">
        <f>SUMIF('Eredeti fejléccel'!$B:$B,'Felosztás eredménykim'!$B138,'Eredeti fejléccel'!$CN:$CN)</f>
        <v>0</v>
      </c>
      <c r="FM138" s="8">
        <f t="shared" si="246"/>
        <v>-74000</v>
      </c>
      <c r="FN138" s="36">
        <f t="shared" si="230"/>
        <v>0</v>
      </c>
      <c r="FO138" s="101">
        <f t="shared" si="231"/>
        <v>0</v>
      </c>
      <c r="FP138" s="6">
        <f>SUMIF('Eredeti fejléccel'!$B:$B,'Felosztás eredménykim'!$B138,'Eredeti fejléccel'!$CO:$CO)</f>
        <v>0</v>
      </c>
      <c r="FQ138" s="6">
        <f>'Eredeti fejléccel'!CP138</f>
        <v>0</v>
      </c>
      <c r="FR138" s="6">
        <f>'Eredeti fejléccel'!CQ138</f>
        <v>0</v>
      </c>
      <c r="FS138" s="103">
        <f t="shared" si="247"/>
        <v>0</v>
      </c>
      <c r="FT138" s="36">
        <f t="shared" si="232"/>
        <v>0</v>
      </c>
      <c r="FU138" s="101">
        <f t="shared" si="233"/>
        <v>0</v>
      </c>
      <c r="FV138" s="101"/>
      <c r="FW138" s="6">
        <f>SUMIF('Eredeti fejléccel'!$B:$B,'Felosztás eredménykim'!$B138,'Eredeti fejléccel'!$CR:$CR)</f>
        <v>0</v>
      </c>
      <c r="FX138" s="6">
        <f>SUMIF('Eredeti fejléccel'!$B:$B,'Felosztás eredménykim'!$B138,'Eredeti fejléccel'!$CS:$CS)</f>
        <v>0</v>
      </c>
      <c r="FY138" s="6">
        <f>SUMIF('Eredeti fejléccel'!$B:$B,'Felosztás eredménykim'!$B138,'Eredeti fejléccel'!$CT:$CT)</f>
        <v>0</v>
      </c>
      <c r="FZ138" s="6">
        <f>SUMIF('Eredeti fejléccel'!$B:$B,'Felosztás eredménykim'!$B138,'Eredeti fejléccel'!$CU:$CU)</f>
        <v>0</v>
      </c>
      <c r="GA138" s="103">
        <f t="shared" si="248"/>
        <v>0</v>
      </c>
      <c r="GB138" s="36">
        <f t="shared" si="234"/>
        <v>0</v>
      </c>
      <c r="GC138" s="101">
        <f t="shared" si="235"/>
        <v>0</v>
      </c>
      <c r="GD138" s="6">
        <f>SUMIF('Eredeti fejléccel'!$B:$B,'Felosztás eredménykim'!$B138,'Eredeti fejléccel'!$CV:$CV)</f>
        <v>0</v>
      </c>
      <c r="GE138" s="6">
        <f>SUMIF('Eredeti fejléccel'!$B:$B,'Felosztás eredménykim'!$B138,'Eredeti fejléccel'!$CW:$CW)</f>
        <v>0</v>
      </c>
      <c r="GF138" s="103">
        <f t="shared" si="249"/>
        <v>0</v>
      </c>
      <c r="GG138" s="36">
        <f t="shared" si="236"/>
        <v>0</v>
      </c>
      <c r="GM138" s="6">
        <f>SUMIF('Eredeti fejléccel'!$B:$B,'Felosztás eredménykim'!$B138,'Eredeti fejléccel'!$CX:$CX)</f>
        <v>0</v>
      </c>
      <c r="GN138" s="6">
        <f>SUMIF('Eredeti fejléccel'!$B:$B,'Felosztás eredménykim'!$B138,'Eredeti fejléccel'!$CY:$CY)</f>
        <v>0</v>
      </c>
      <c r="GO138" s="6">
        <f>SUMIF('Eredeti fejléccel'!$B:$B,'Felosztás eredménykim'!$B138,'Eredeti fejléccel'!$CZ:$CZ)</f>
        <v>0</v>
      </c>
      <c r="GP138" s="6">
        <f>SUMIF('Eredeti fejléccel'!$B:$B,'Felosztás eredménykim'!$B138,'Eredeti fejléccel'!$DA:$DA)</f>
        <v>0</v>
      </c>
      <c r="GQ138" s="6">
        <f>SUMIF('Eredeti fejléccel'!$B:$B,'Felosztás eredménykim'!$B138,'Eredeti fejléccel'!$DB:$DB)</f>
        <v>0</v>
      </c>
      <c r="GR138" s="103">
        <f t="shared" si="250"/>
        <v>0</v>
      </c>
      <c r="GW138" s="36">
        <f t="shared" si="237"/>
        <v>0</v>
      </c>
      <c r="GX138" s="6">
        <f>SUMIF('Eredeti fejléccel'!$B:$B,'Felosztás eredménykim'!$B138,'Eredeti fejléccel'!$M:$M)</f>
        <v>0</v>
      </c>
      <c r="GY138" s="6">
        <f>SUMIF('Eredeti fejléccel'!$B:$B,'Felosztás eredménykim'!$B138,'Eredeti fejléccel'!$DC:$DC)</f>
        <v>0</v>
      </c>
      <c r="GZ138" s="6">
        <f>SUMIF('Eredeti fejléccel'!$B:$B,'Felosztás eredménykim'!$B138,'Eredeti fejléccel'!$DD:$DD)</f>
        <v>0</v>
      </c>
      <c r="HA138" s="6">
        <f>SUMIF('Eredeti fejléccel'!$B:$B,'Felosztás eredménykim'!$B138,'Eredeti fejléccel'!$DE:$DE)</f>
        <v>0</v>
      </c>
      <c r="HB138" s="103">
        <f t="shared" si="251"/>
        <v>0</v>
      </c>
      <c r="HD138" s="9">
        <f>SUM(D138:HA138)-W138-X138-AD138-AE138-AF138-AG138-AK138-AL138-AM138-AS138-AT138-AU138-BE138-BF138-BG138-BL138-BM138-BN138-BO138-CB138-CC138-CD138-CI138-CJ138-CK138-CN138-CO138-CP138-CR138-CX138-DA138-DC138-DG138-DH138-DL138-EW138-EX138-EY138-EZ138-FA138-FF138-FG138-FI138-FJ138-FM138-FN138-FO138-FS138-FT138-FU138-GA138-GB138-GC138-GF138-GG138-GR138-GS138-GT138-GU138-GW138</f>
        <v>-74000</v>
      </c>
      <c r="HE138" s="9">
        <v>-74000</v>
      </c>
      <c r="HF138" s="476"/>
      <c r="HH138" s="34">
        <f t="shared" si="252"/>
        <v>0</v>
      </c>
    </row>
    <row r="139" spans="1:232" x14ac:dyDescent="0.25">
      <c r="A139" s="4" t="s">
        <v>260</v>
      </c>
      <c r="B139" s="4" t="s">
        <v>260</v>
      </c>
      <c r="C139" s="1" t="s">
        <v>261</v>
      </c>
      <c r="D139" s="6">
        <f>SUMIF('Eredeti fejléccel'!$B:$B,'Felosztás eredménykim'!$B139,'Eredeti fejléccel'!$D:$D)</f>
        <v>0</v>
      </c>
      <c r="E139" s="6">
        <f>SUMIF('Eredeti fejléccel'!$B:$B,'Felosztás eredménykim'!$B139,'Eredeti fejléccel'!$E:$E)</f>
        <v>19440000</v>
      </c>
      <c r="F139" s="6">
        <f>SUMIF('Eredeti fejléccel'!$B:$B,'Felosztás eredménykim'!$B139,'Eredeti fejléccel'!$F:$F)</f>
        <v>0</v>
      </c>
      <c r="G139" s="6">
        <f>SUMIF('Eredeti fejléccel'!$B:$B,'Felosztás eredménykim'!$B139,'Eredeti fejléccel'!$G:$G)</f>
        <v>0</v>
      </c>
      <c r="H139" s="6"/>
      <c r="I139" s="6">
        <f>SUMIF('Eredeti fejléccel'!$B:$B,'Felosztás eredménykim'!$B139,'Eredeti fejléccel'!$O:$O)</f>
        <v>0</v>
      </c>
      <c r="J139" s="6">
        <f>SUMIF('Eredeti fejléccel'!$B:$B,'Felosztás eredménykim'!$B139,'Eredeti fejléccel'!$P:$P)</f>
        <v>0</v>
      </c>
      <c r="K139" s="6">
        <f>SUMIF('Eredeti fejléccel'!$B:$B,'Felosztás eredménykim'!$B139,'Eredeti fejléccel'!$Q:$Q)</f>
        <v>0</v>
      </c>
      <c r="L139" s="6">
        <f>SUMIF('Eredeti fejléccel'!$B:$B,'Felosztás eredménykim'!$B139,'Eredeti fejléccel'!$R:$R)</f>
        <v>0</v>
      </c>
      <c r="M139" s="6">
        <f>SUMIF('Eredeti fejléccel'!$B:$B,'Felosztás eredménykim'!$B139,'Eredeti fejléccel'!$T:$T)</f>
        <v>0</v>
      </c>
      <c r="N139" s="6">
        <f>SUMIF('Eredeti fejléccel'!$B:$B,'Felosztás eredménykim'!$B139,'Eredeti fejléccel'!$U:$U)</f>
        <v>0</v>
      </c>
      <c r="O139" s="6">
        <f>SUMIF('Eredeti fejléccel'!$B:$B,'Felosztás eredménykim'!$B139,'Eredeti fejléccel'!$V:$V)</f>
        <v>0</v>
      </c>
      <c r="P139" s="6">
        <f>SUMIF('Eredeti fejléccel'!$B:$B,'Felosztás eredménykim'!$B139,'Eredeti fejléccel'!$W:$W)</f>
        <v>0</v>
      </c>
      <c r="Q139" s="6">
        <f>SUMIF('Eredeti fejléccel'!$B:$B,'Felosztás eredménykim'!$B139,'Eredeti fejléccel'!$X:$X)</f>
        <v>0</v>
      </c>
      <c r="R139" s="6">
        <f>SUMIF('Eredeti fejléccel'!$B:$B,'Felosztás eredménykim'!$B139,'Eredeti fejléccel'!$Y:$Y)</f>
        <v>0</v>
      </c>
      <c r="S139" s="6">
        <f>SUMIF('Eredeti fejléccel'!$B:$B,'Felosztás eredménykim'!$B139,'Eredeti fejléccel'!$Z:$Z)</f>
        <v>0</v>
      </c>
      <c r="T139" s="6">
        <f>SUMIF('Eredeti fejléccel'!$B:$B,'Felosztás eredménykim'!$B139,'Eredeti fejléccel'!$AA:$AA)</f>
        <v>0</v>
      </c>
      <c r="U139" s="6">
        <f>SUMIF('Eredeti fejléccel'!$B:$B,'Felosztás eredménykim'!$B139,'Eredeti fejléccel'!$D:$D)</f>
        <v>0</v>
      </c>
      <c r="V139" s="6">
        <f>SUMIF('Eredeti fejléccel'!$B:$B,'Felosztás eredménykim'!$B139,'Eredeti fejléccel'!$AT:$AT)</f>
        <v>0</v>
      </c>
      <c r="X139" s="36">
        <f t="shared" si="211"/>
        <v>19440000</v>
      </c>
      <c r="Z139" s="6">
        <f>SUMIF('Eredeti fejléccel'!$B:$B,'Felosztás eredménykim'!$B139,'Eredeti fejléccel'!$K:$K)</f>
        <v>0</v>
      </c>
      <c r="AB139" s="6">
        <f>SUMIF('Eredeti fejléccel'!$B:$B,'Felosztás eredménykim'!$B139,'Eredeti fejléccel'!$AB:$AB)</f>
        <v>0</v>
      </c>
      <c r="AC139" s="6">
        <f>SUMIF('Eredeti fejléccel'!$B:$B,'Felosztás eredménykim'!$B139,'Eredeti fejléccel'!$AQ:$AQ)</f>
        <v>0</v>
      </c>
      <c r="AE139" s="73">
        <f t="shared" si="131"/>
        <v>0</v>
      </c>
      <c r="AF139" s="36">
        <f t="shared" si="212"/>
        <v>2319087.831423156</v>
      </c>
      <c r="AG139" s="8">
        <f t="shared" si="213"/>
        <v>0</v>
      </c>
      <c r="AI139" s="6">
        <f>SUMIF('Eredeti fejléccel'!$B:$B,'Felosztás eredménykim'!$B139,'Eredeti fejléccel'!$BB:$BB)</f>
        <v>0</v>
      </c>
      <c r="AJ139" s="6">
        <f>SUMIF('Eredeti fejléccel'!$B:$B,'Felosztás eredménykim'!$B139,'Eredeti fejléccel'!$AF:$AF)</f>
        <v>0</v>
      </c>
      <c r="AK139" s="8">
        <f t="shared" si="177"/>
        <v>0</v>
      </c>
      <c r="AL139" s="36">
        <f t="shared" si="214"/>
        <v>921129.97736190446</v>
      </c>
      <c r="AM139" s="8">
        <f t="shared" si="215"/>
        <v>0</v>
      </c>
      <c r="AN139" s="6">
        <f t="shared" si="123"/>
        <v>0</v>
      </c>
      <c r="AO139" s="6">
        <f>SUMIF('Eredeti fejléccel'!$B:$B,'Felosztás eredménykim'!$B139,'Eredeti fejléccel'!$AC:$AC)</f>
        <v>0</v>
      </c>
      <c r="AP139" s="6">
        <f>SUMIF('Eredeti fejléccel'!$B:$B,'Felosztás eredménykim'!$B139,'Eredeti fejléccel'!$AD:$AD)</f>
        <v>0</v>
      </c>
      <c r="AQ139" s="6">
        <f>SUMIF('Eredeti fejléccel'!$B:$B,'Felosztás eredménykim'!$B139,'Eredeti fejléccel'!$AE:$AE)</f>
        <v>0</v>
      </c>
      <c r="AR139" s="6">
        <f>SUMIF('Eredeti fejléccel'!$B:$B,'Felosztás eredménykim'!$B139,'Eredeti fejléccel'!$AG:$AG)</f>
        <v>0</v>
      </c>
      <c r="AS139" s="6">
        <f t="shared" si="124"/>
        <v>0</v>
      </c>
      <c r="AT139" s="36">
        <f t="shared" si="216"/>
        <v>1496185.6976923589</v>
      </c>
      <c r="AU139" s="8">
        <f t="shared" si="217"/>
        <v>0</v>
      </c>
      <c r="AV139" s="6">
        <f>SUMIF('Eredeti fejléccel'!$B:$B,'Felosztás eredménykim'!$B139,'Eredeti fejléccel'!$AI:$AI)</f>
        <v>0</v>
      </c>
      <c r="AW139" s="6">
        <f>SUMIF('Eredeti fejléccel'!$B:$B,'Felosztás eredménykim'!$B139,'Eredeti fejléccel'!$AJ:$AJ)</f>
        <v>0</v>
      </c>
      <c r="AX139" s="6">
        <f>SUMIF('Eredeti fejléccel'!$B:$B,'Felosztás eredménykim'!$B139,'Eredeti fejléccel'!$AK:$AK)</f>
        <v>0</v>
      </c>
      <c r="AY139" s="6">
        <f>SUMIF('Eredeti fejléccel'!$B:$B,'Felosztás eredménykim'!$B139,'Eredeti fejléccel'!$AL:$AL)</f>
        <v>0</v>
      </c>
      <c r="AZ139" s="6">
        <f>SUMIF('Eredeti fejléccel'!$B:$B,'Felosztás eredménykim'!$B139,'Eredeti fejléccel'!$AM:$AM)</f>
        <v>0</v>
      </c>
      <c r="BA139" s="6">
        <f>SUMIF('Eredeti fejléccel'!$B:$B,'Felosztás eredménykim'!$B139,'Eredeti fejléccel'!$AN:$AN)</f>
        <v>0</v>
      </c>
      <c r="BB139" s="6">
        <f>SUMIF('Eredeti fejléccel'!$B:$B,'Felosztás eredménykim'!$B139,'Eredeti fejléccel'!$AP:$AP)</f>
        <v>0</v>
      </c>
      <c r="BD139" s="6">
        <f>SUMIF('Eredeti fejléccel'!$B:$B,'Felosztás eredménykim'!$B139,'Eredeti fejléccel'!$AS:$AS)</f>
        <v>0</v>
      </c>
      <c r="BE139" s="8">
        <f t="shared" si="238"/>
        <v>0</v>
      </c>
      <c r="BF139" s="36">
        <f t="shared" si="218"/>
        <v>390309.31244148489</v>
      </c>
      <c r="BG139" s="8">
        <f t="shared" si="219"/>
        <v>0</v>
      </c>
      <c r="BH139" s="6">
        <f t="shared" si="125"/>
        <v>0</v>
      </c>
      <c r="BI139" s="6">
        <f>SUMIF('Eredeti fejléccel'!$B:$B,'Felosztás eredménykim'!$B139,'Eredeti fejléccel'!$AH:$AH)</f>
        <v>0</v>
      </c>
      <c r="BJ139" s="6">
        <f>SUMIF('Eredeti fejléccel'!$B:$B,'Felosztás eredménykim'!$B139,'Eredeti fejléccel'!$AO:$AO)</f>
        <v>0</v>
      </c>
      <c r="BK139" s="6">
        <f>SUMIF('Eredeti fejléccel'!$B:$B,'Felosztás eredménykim'!$B139,'Eredeti fejléccel'!$BF:$BF)</f>
        <v>0</v>
      </c>
      <c r="BL139" s="8">
        <f t="shared" si="126"/>
        <v>0</v>
      </c>
      <c r="BM139" s="36">
        <f t="shared" si="220"/>
        <v>1462358.8906140968</v>
      </c>
      <c r="BN139" s="8">
        <f t="shared" si="221"/>
        <v>0</v>
      </c>
      <c r="BP139" s="8">
        <f t="shared" si="127"/>
        <v>0</v>
      </c>
      <c r="BQ139" s="6">
        <f>SUMIF('Eredeti fejléccel'!$B:$B,'Felosztás eredménykim'!$B139,'Eredeti fejléccel'!$N:$N)</f>
        <v>0</v>
      </c>
      <c r="BR139" s="6">
        <f>SUMIF('Eredeti fejléccel'!$B:$B,'Felosztás eredménykim'!$B139,'Eredeti fejléccel'!$S:$S)</f>
        <v>0</v>
      </c>
      <c r="BT139" s="6">
        <f>SUMIF('Eredeti fejléccel'!$B:$B,'Felosztás eredménykim'!$B139,'Eredeti fejléccel'!$AR:$AR)</f>
        <v>0</v>
      </c>
      <c r="BU139" s="6">
        <f>SUMIF('Eredeti fejléccel'!$B:$B,'Felosztás eredménykim'!$B139,'Eredeti fejléccel'!$AU:$AU)</f>
        <v>0</v>
      </c>
      <c r="BV139" s="6">
        <f>SUMIF('Eredeti fejléccel'!$B:$B,'Felosztás eredménykim'!$B139,'Eredeti fejléccel'!$AV:$AV)</f>
        <v>0</v>
      </c>
      <c r="BW139" s="6">
        <f>SUMIF('Eredeti fejléccel'!$B:$B,'Felosztás eredménykim'!$B139,'Eredeti fejléccel'!$AW:$AW)</f>
        <v>0</v>
      </c>
      <c r="BX139" s="6">
        <f>SUMIF('Eredeti fejléccel'!$B:$B,'Felosztás eredménykim'!$B139,'Eredeti fejléccel'!$AX:$AX)</f>
        <v>0</v>
      </c>
      <c r="BY139" s="6">
        <f>SUMIF('Eredeti fejléccel'!$B:$B,'Felosztás eredménykim'!$B139,'Eredeti fejléccel'!$AY:$AY)</f>
        <v>0</v>
      </c>
      <c r="BZ139" s="6">
        <f>SUMIF('Eredeti fejléccel'!$B:$B,'Felosztás eredménykim'!$B139,'Eredeti fejléccel'!$AZ:$AZ)</f>
        <v>0</v>
      </c>
      <c r="CA139" s="6">
        <f>SUMIF('Eredeti fejléccel'!$B:$B,'Felosztás eredménykim'!$B139,'Eredeti fejléccel'!$BA:$BA)</f>
        <v>0</v>
      </c>
      <c r="CB139" s="6">
        <f t="shared" ref="CB139:CB209" si="253">SUM(BN139:CA139)</f>
        <v>0</v>
      </c>
      <c r="CC139" s="36">
        <f t="shared" si="222"/>
        <v>398115.49869031459</v>
      </c>
      <c r="CD139" s="8">
        <f t="shared" si="223"/>
        <v>0</v>
      </c>
      <c r="CE139" s="6">
        <f>SUMIF('Eredeti fejléccel'!$B:$B,'Felosztás eredménykim'!$B139,'Eredeti fejléccel'!$BC:$BC)</f>
        <v>0</v>
      </c>
      <c r="CF139" s="8">
        <f t="shared" si="135"/>
        <v>0</v>
      </c>
      <c r="CG139" s="6">
        <f>SUMIF('Eredeti fejléccel'!$B:$B,'Felosztás eredménykim'!$B139,'Eredeti fejléccel'!$H:$H)</f>
        <v>0</v>
      </c>
      <c r="CH139" s="6">
        <f>SUMIF('Eredeti fejléccel'!$B:$B,'Felosztás eredménykim'!$B139,'Eredeti fejléccel'!$BE:$BE)</f>
        <v>0</v>
      </c>
      <c r="CI139" s="6">
        <f t="shared" si="239"/>
        <v>0</v>
      </c>
      <c r="CJ139" s="36">
        <f t="shared" si="224"/>
        <v>286226.82912375563</v>
      </c>
      <c r="CK139" s="8">
        <f t="shared" si="225"/>
        <v>0</v>
      </c>
      <c r="CL139" s="8">
        <f t="shared" si="136"/>
        <v>0</v>
      </c>
      <c r="CM139" s="6">
        <f>SUMIF('Eredeti fejléccel'!$B:$B,'Felosztás eredménykim'!$B139,'Eredeti fejléccel'!$BD:$BD)</f>
        <v>0</v>
      </c>
      <c r="CN139" s="8">
        <f t="shared" si="240"/>
        <v>0</v>
      </c>
      <c r="CO139" s="8">
        <f t="shared" ref="CO139:CO209" si="254">+AF139+AK139+AL139+AS139+AT139+BE139+BF139+BL139+BM139+CB139+CC139+CI139+CJ139+CN139</f>
        <v>7273414.0373470718</v>
      </c>
      <c r="CR139" s="36">
        <f t="shared" si="226"/>
        <v>1719307.1474565358</v>
      </c>
      <c r="CS139" s="6">
        <f>SUMIF('Eredeti fejléccel'!$B:$B,'Felosztás eredménykim'!$B139,'Eredeti fejléccel'!$I:$I)</f>
        <v>0</v>
      </c>
      <c r="CT139" s="6">
        <f>SUMIF('Eredeti fejléccel'!$B:$B,'Felosztás eredménykim'!$B139,'Eredeti fejléccel'!$BG:$BG)</f>
        <v>0</v>
      </c>
      <c r="CU139" s="6">
        <f>SUMIF('Eredeti fejléccel'!$B:$B,'Felosztás eredménykim'!$B139,'Eredeti fejléccel'!$BH:$BH)</f>
        <v>0</v>
      </c>
      <c r="CV139" s="6">
        <f>SUMIF('Eredeti fejléccel'!$B:$B,'Felosztás eredménykim'!$B139,'Eredeti fejléccel'!$BI:$BI)</f>
        <v>0</v>
      </c>
      <c r="CW139" s="6">
        <f>SUMIF('Eredeti fejléccel'!$B:$B,'Felosztás eredménykim'!$B139,'Eredeti fejléccel'!$BL:$BL)</f>
        <v>0</v>
      </c>
      <c r="CX139" s="6">
        <f t="shared" si="241"/>
        <v>0</v>
      </c>
      <c r="CY139" s="6">
        <f>SUMIF('Eredeti fejléccel'!$B:$B,'Felosztás eredménykim'!$B139,'Eredeti fejléccel'!$BJ:$BJ)</f>
        <v>0</v>
      </c>
      <c r="CZ139" s="6">
        <f>SUMIF('Eredeti fejléccel'!$B:$B,'Felosztás eredménykim'!$B139,'Eredeti fejléccel'!$BK:$BK)</f>
        <v>0</v>
      </c>
      <c r="DA139" s="99">
        <f t="shared" si="242"/>
        <v>0</v>
      </c>
      <c r="DC139" s="36">
        <f t="shared" si="227"/>
        <v>1505880.2318094014</v>
      </c>
      <c r="DD139" s="6">
        <f>SUMIF('Eredeti fejléccel'!$B:$B,'Felosztás eredménykim'!$B139,'Eredeti fejléccel'!$J:$J)</f>
        <v>0</v>
      </c>
      <c r="DE139" s="6">
        <f>SUMIF('Eredeti fejléccel'!$B:$B,'Felosztás eredménykim'!$B139,'Eredeti fejléccel'!$BM:$BM)</f>
        <v>0</v>
      </c>
      <c r="DF139" s="6">
        <f t="shared" si="128"/>
        <v>0</v>
      </c>
      <c r="DG139" s="8">
        <f t="shared" ref="DG139:DG209" si="255">-BO139</f>
        <v>0</v>
      </c>
      <c r="DH139" s="8">
        <f t="shared" si="129"/>
        <v>0</v>
      </c>
      <c r="DJ139" s="6">
        <f>SUMIF('Eredeti fejléccel'!$B:$B,'Felosztás eredménykim'!$B139,'Eredeti fejléccel'!$BN:$BN)</f>
        <v>0</v>
      </c>
      <c r="DK139" s="6">
        <f>SUMIF('Eredeti fejléccel'!$B:$B,'Felosztás eredménykim'!$B139,'Eredeti fejléccel'!$BZ:$BZ)</f>
        <v>0</v>
      </c>
      <c r="DL139" s="8">
        <f t="shared" si="130"/>
        <v>0</v>
      </c>
      <c r="DM139" s="6">
        <f>SUMIF('Eredeti fejléccel'!$B:$B,'Felosztás eredménykim'!$B139,'Eredeti fejléccel'!$BR:$BR)</f>
        <v>0</v>
      </c>
      <c r="DN139" s="6">
        <f>SUMIF('Eredeti fejléccel'!$B:$B,'Felosztás eredménykim'!$B139,'Eredeti fejléccel'!$BS:$BS)</f>
        <v>0</v>
      </c>
      <c r="DO139" s="6">
        <f>SUMIF('Eredeti fejléccel'!$B:$B,'Felosztás eredménykim'!$B139,'Eredeti fejléccel'!$BO:$BO)</f>
        <v>0</v>
      </c>
      <c r="DP139" s="6">
        <f>SUMIF('Eredeti fejléccel'!$B:$B,'Felosztás eredménykim'!$B139,'Eredeti fejléccel'!$BP:$BP)</f>
        <v>0</v>
      </c>
      <c r="DQ139" s="6">
        <f>SUMIF('Eredeti fejléccel'!$B:$B,'Felosztás eredménykim'!$B139,'Eredeti fejléccel'!$BQ:$BQ)</f>
        <v>0</v>
      </c>
      <c r="DS139" s="8"/>
      <c r="DU139" s="6">
        <f>SUMIF('Eredeti fejléccel'!$B:$B,'Felosztás eredménykim'!$B139,'Eredeti fejléccel'!$BT:$BT)</f>
        <v>0</v>
      </c>
      <c r="DV139" s="6">
        <f>SUMIF('Eredeti fejléccel'!$B:$B,'Felosztás eredménykim'!$B139,'Eredeti fejléccel'!$BU:$BU)</f>
        <v>0</v>
      </c>
      <c r="DW139" s="6">
        <f>SUMIF('Eredeti fejléccel'!$B:$B,'Felosztás eredménykim'!$B139,'Eredeti fejléccel'!$BV:$BV)</f>
        <v>0</v>
      </c>
      <c r="DX139" s="6">
        <f>SUMIF('Eredeti fejléccel'!$B:$B,'Felosztás eredménykim'!$B139,'Eredeti fejléccel'!$BW:$BW)</f>
        <v>0</v>
      </c>
      <c r="DY139" s="6">
        <f>SUMIF('Eredeti fejléccel'!$B:$B,'Felosztás eredménykim'!$B139,'Eredeti fejléccel'!$BX:$BX)</f>
        <v>0</v>
      </c>
      <c r="EA139" s="6"/>
      <c r="EC139" s="6"/>
      <c r="EE139" s="6">
        <f>SUMIF('Eredeti fejléccel'!$B:$B,'Felosztás eredménykim'!$B139,'Eredeti fejléccel'!$CA:$CA)</f>
        <v>0</v>
      </c>
      <c r="EF139" s="6">
        <f>SUMIF('Eredeti fejléccel'!$B:$B,'Felosztás eredménykim'!$B139,'Eredeti fejléccel'!$CB:$CB)</f>
        <v>0</v>
      </c>
      <c r="EG139" s="6">
        <f>SUMIF('Eredeti fejléccel'!$B:$B,'Felosztás eredménykim'!$B139,'Eredeti fejléccel'!$CC:$CC)</f>
        <v>0</v>
      </c>
      <c r="EH139" s="6">
        <f>SUMIF('Eredeti fejléccel'!$B:$B,'Felosztás eredménykim'!$B139,'Eredeti fejléccel'!$CD:$CD)</f>
        <v>0</v>
      </c>
      <c r="EK139" s="6">
        <f>SUMIF('Eredeti fejléccel'!$B:$B,'Felosztás eredménykim'!$B139,'Eredeti fejléccel'!$CE:$CE)</f>
        <v>0</v>
      </c>
      <c r="EN139" s="6">
        <f>SUMIF('Eredeti fejléccel'!$B:$B,'Felosztás eredménykim'!$B139,'Eredeti fejléccel'!$CF:$CF)</f>
        <v>0</v>
      </c>
      <c r="EP139" s="6">
        <f>SUMIF('Eredeti fejléccel'!$B:$B,'Felosztás eredménykim'!$B139,'Eredeti fejléccel'!$CG:$CG)</f>
        <v>0</v>
      </c>
      <c r="ES139" s="6">
        <f>SUMIF('Eredeti fejléccel'!$B:$B,'Felosztás eredménykim'!$B139,'Eredeti fejléccel'!$CH:$CH)</f>
        <v>0</v>
      </c>
      <c r="ET139" s="6">
        <f>SUMIF('Eredeti fejléccel'!$B:$B,'Felosztás eredménykim'!$B139,'Eredeti fejléccel'!$CI:$CI)</f>
        <v>0</v>
      </c>
      <c r="EW139" s="8">
        <f t="shared" si="118"/>
        <v>0</v>
      </c>
      <c r="EX139" s="8">
        <f t="shared" si="243"/>
        <v>0</v>
      </c>
      <c r="EY139" s="8">
        <f t="shared" si="244"/>
        <v>0</v>
      </c>
      <c r="EZ139" s="8">
        <f t="shared" si="120"/>
        <v>0</v>
      </c>
      <c r="FA139" s="8">
        <f t="shared" si="121"/>
        <v>0</v>
      </c>
      <c r="FC139" s="6">
        <f>SUMIF('Eredeti fejléccel'!$B:$B,'Felosztás eredménykim'!$B139,'Eredeti fejléccel'!$L:$L)</f>
        <v>0</v>
      </c>
      <c r="FD139" s="6">
        <f>SUMIF('Eredeti fejléccel'!$B:$B,'Felosztás eredménykim'!$B139,'Eredeti fejléccel'!$CJ:$CJ)</f>
        <v>0</v>
      </c>
      <c r="FE139" s="6">
        <f>SUMIF('Eredeti fejléccel'!$B:$B,'Felosztás eredménykim'!$B139,'Eredeti fejléccel'!$CL:$CL)</f>
        <v>0</v>
      </c>
      <c r="FG139" s="99">
        <f t="shared" si="245"/>
        <v>0</v>
      </c>
      <c r="FH139" s="6">
        <f>SUMIF('Eredeti fejléccel'!$B:$B,'Felosztás eredménykim'!$B139,'Eredeti fejléccel'!$CK:$CK)</f>
        <v>0</v>
      </c>
      <c r="FI139" s="36">
        <f t="shared" si="228"/>
        <v>1771763.5273424427</v>
      </c>
      <c r="FJ139" s="101">
        <f t="shared" si="229"/>
        <v>0</v>
      </c>
      <c r="FK139" s="6">
        <f>SUMIF('Eredeti fejléccel'!$B:$B,'Felosztás eredménykim'!$B139,'Eredeti fejléccel'!$CM:$CM)</f>
        <v>0</v>
      </c>
      <c r="FL139" s="6">
        <f>SUMIF('Eredeti fejléccel'!$B:$B,'Felosztás eredménykim'!$B139,'Eredeti fejléccel'!$CN:$CN)</f>
        <v>0</v>
      </c>
      <c r="FM139" s="8">
        <f t="shared" si="246"/>
        <v>0</v>
      </c>
      <c r="FN139" s="36">
        <f t="shared" si="230"/>
        <v>1506289.6630559887</v>
      </c>
      <c r="FO139" s="101">
        <f t="shared" si="231"/>
        <v>0</v>
      </c>
      <c r="FP139" s="6">
        <f>SUMIF('Eredeti fejléccel'!$B:$B,'Felosztás eredménykim'!$B139,'Eredeti fejléccel'!$CO:$CO)</f>
        <v>0</v>
      </c>
      <c r="FQ139" s="6">
        <f>'Eredeti fejléccel'!CP139</f>
        <v>0</v>
      </c>
      <c r="FR139" s="6">
        <f>'Eredeti fejléccel'!CQ139</f>
        <v>0</v>
      </c>
      <c r="FS139" s="103">
        <f t="shared" si="247"/>
        <v>0</v>
      </c>
      <c r="FT139" s="36">
        <f t="shared" si="232"/>
        <v>4157798.6968659516</v>
      </c>
      <c r="FU139" s="101">
        <f t="shared" si="233"/>
        <v>0</v>
      </c>
      <c r="FV139" s="101"/>
      <c r="FW139" s="6">
        <f>SUMIF('Eredeti fejléccel'!$B:$B,'Felosztás eredménykim'!$B139,'Eredeti fejléccel'!$CR:$CR)</f>
        <v>0</v>
      </c>
      <c r="FX139" s="6">
        <f>SUMIF('Eredeti fejléccel'!$B:$B,'Felosztás eredménykim'!$B139,'Eredeti fejléccel'!$CS:$CS)</f>
        <v>0</v>
      </c>
      <c r="FY139" s="6">
        <f>SUMIF('Eredeti fejléccel'!$B:$B,'Felosztás eredménykim'!$B139,'Eredeti fejléccel'!$CT:$CT)</f>
        <v>0</v>
      </c>
      <c r="FZ139" s="6">
        <f>SUMIF('Eredeti fejléccel'!$B:$B,'Felosztás eredménykim'!$B139,'Eredeti fejléccel'!$CU:$CU)</f>
        <v>0</v>
      </c>
      <c r="GA139" s="103">
        <f t="shared" si="248"/>
        <v>0</v>
      </c>
      <c r="GB139" s="36">
        <f t="shared" si="234"/>
        <v>554200.91376588261</v>
      </c>
      <c r="GC139" s="101">
        <f t="shared" si="235"/>
        <v>0</v>
      </c>
      <c r="GD139" s="6">
        <f>SUMIF('Eredeti fejléccel'!$B:$B,'Felosztás eredménykim'!$B139,'Eredeti fejléccel'!$CV:$CV)</f>
        <v>0</v>
      </c>
      <c r="GE139" s="6">
        <f>SUMIF('Eredeti fejléccel'!$B:$B,'Felosztás eredménykim'!$B139,'Eredeti fejléccel'!$CW:$CW)</f>
        <v>0</v>
      </c>
      <c r="GF139" s="103">
        <f t="shared" si="249"/>
        <v>0</v>
      </c>
      <c r="GG139" s="36">
        <f t="shared" si="236"/>
        <v>0</v>
      </c>
      <c r="GM139" s="6">
        <f>SUMIF('Eredeti fejléccel'!$B:$B,'Felosztás eredménykim'!$B139,'Eredeti fejléccel'!$CX:$CX)</f>
        <v>0</v>
      </c>
      <c r="GN139" s="6">
        <f>SUMIF('Eredeti fejléccel'!$B:$B,'Felosztás eredménykim'!$B139,'Eredeti fejléccel'!$CY:$CY)</f>
        <v>0</v>
      </c>
      <c r="GO139" s="6">
        <f>SUMIF('Eredeti fejléccel'!$B:$B,'Felosztás eredménykim'!$B139,'Eredeti fejléccel'!$CZ:$CZ)</f>
        <v>0</v>
      </c>
      <c r="GP139" s="6">
        <f>SUMIF('Eredeti fejléccel'!$B:$B,'Felosztás eredménykim'!$B139,'Eredeti fejléccel'!$DA:$DA)</f>
        <v>0</v>
      </c>
      <c r="GQ139" s="6">
        <f>SUMIF('Eredeti fejléccel'!$B:$B,'Felosztás eredménykim'!$B139,'Eredeti fejléccel'!$DB:$DB)</f>
        <v>0</v>
      </c>
      <c r="GR139" s="103">
        <f t="shared" si="250"/>
        <v>0</v>
      </c>
      <c r="GW139" s="36">
        <f t="shared" si="237"/>
        <v>951345.78235672903</v>
      </c>
      <c r="GX139" s="6">
        <f>SUMIF('Eredeti fejléccel'!$B:$B,'Felosztás eredménykim'!$B139,'Eredeti fejléccel'!$M:$M)</f>
        <v>0</v>
      </c>
      <c r="GY139" s="6">
        <f>SUMIF('Eredeti fejléccel'!$B:$B,'Felosztás eredménykim'!$B139,'Eredeti fejléccel'!$DC:$DC)</f>
        <v>0</v>
      </c>
      <c r="GZ139" s="6">
        <f>SUMIF('Eredeti fejléccel'!$B:$B,'Felosztás eredménykim'!$B139,'Eredeti fejléccel'!$DD:$DD)</f>
        <v>0</v>
      </c>
      <c r="HA139" s="6">
        <f>SUMIF('Eredeti fejléccel'!$B:$B,'Felosztás eredménykim'!$B139,'Eredeti fejléccel'!$DE:$DE)</f>
        <v>0</v>
      </c>
      <c r="HB139" s="103">
        <f t="shared" si="251"/>
        <v>0</v>
      </c>
      <c r="HD139" s="9">
        <f t="shared" ref="HD139:HD171" si="256">SUM(D139:HA139)-W139-X139-AD139-AE139-AF139-AG139-AK139-AL139-AM139-AS139-AT139-AU139-BE139-BF139-BG139-BL139-BM139-BN139-CB139-CC139-CD139-CI139-CJ139-CK139-CN139-CO139-CP139-CR139-CX139-DA139-DC139-DG139-DH139-DL139-EW139-EX139-EY139-EZ139-FA139-FF139-FG139-FI139-FJ139-FM139-FN139-FO139-FS139-FT139-FU139-GA139-GB139-GC139-GF139-GG139-GR139-GS139-GT139-GU139-GW139</f>
        <v>19440000.000000007</v>
      </c>
      <c r="HE139" s="9">
        <v>19440000</v>
      </c>
      <c r="HF139" s="476"/>
      <c r="HH139" s="220">
        <f t="shared" si="252"/>
        <v>0</v>
      </c>
    </row>
    <row r="140" spans="1:232" x14ac:dyDescent="0.25">
      <c r="A140" s="4" t="s">
        <v>262</v>
      </c>
      <c r="B140" s="4" t="s">
        <v>262</v>
      </c>
      <c r="C140" s="1" t="s">
        <v>263</v>
      </c>
      <c r="D140" s="6">
        <f>SUMIF('Eredeti fejléccel'!$B:$B,'Felosztás eredménykim'!$B140,'Eredeti fejléccel'!$D:$D)</f>
        <v>0</v>
      </c>
      <c r="E140" s="6">
        <f>SUMIF('Eredeti fejléccel'!$B:$B,'Felosztás eredménykim'!$B140,'Eredeti fejléccel'!$E:$E)</f>
        <v>0</v>
      </c>
      <c r="F140" s="6">
        <f>SUMIF('Eredeti fejléccel'!$B:$B,'Felosztás eredménykim'!$B140,'Eredeti fejléccel'!$F:$F)</f>
        <v>0</v>
      </c>
      <c r="G140" s="6">
        <f>SUMIF('Eredeti fejléccel'!$B:$B,'Felosztás eredménykim'!$B140,'Eredeti fejléccel'!$G:$G)</f>
        <v>26400</v>
      </c>
      <c r="H140" s="6"/>
      <c r="I140" s="6">
        <f>SUMIF('Eredeti fejléccel'!$B:$B,'Felosztás eredménykim'!$B140,'Eredeti fejléccel'!$O:$O)</f>
        <v>0</v>
      </c>
      <c r="J140" s="6">
        <f>SUMIF('Eredeti fejléccel'!$B:$B,'Felosztás eredménykim'!$B140,'Eredeti fejléccel'!$P:$P)</f>
        <v>0</v>
      </c>
      <c r="K140" s="6">
        <f>SUMIF('Eredeti fejléccel'!$B:$B,'Felosztás eredménykim'!$B140,'Eredeti fejléccel'!$Q:$Q)</f>
        <v>0</v>
      </c>
      <c r="L140" s="6">
        <f>SUMIF('Eredeti fejléccel'!$B:$B,'Felosztás eredménykim'!$B140,'Eredeti fejléccel'!$R:$R)</f>
        <v>0</v>
      </c>
      <c r="M140" s="6">
        <f>SUMIF('Eredeti fejléccel'!$B:$B,'Felosztás eredménykim'!$B140,'Eredeti fejléccel'!$T:$T)</f>
        <v>0</v>
      </c>
      <c r="N140" s="6">
        <f>SUMIF('Eredeti fejléccel'!$B:$B,'Felosztás eredménykim'!$B140,'Eredeti fejléccel'!$U:$U)</f>
        <v>0</v>
      </c>
      <c r="O140" s="6">
        <f>SUMIF('Eredeti fejléccel'!$B:$B,'Felosztás eredménykim'!$B140,'Eredeti fejléccel'!$V:$V)</f>
        <v>0</v>
      </c>
      <c r="P140" s="6">
        <f>SUMIF('Eredeti fejléccel'!$B:$B,'Felosztás eredménykim'!$B140,'Eredeti fejléccel'!$W:$W)</f>
        <v>0</v>
      </c>
      <c r="Q140" s="6">
        <f>SUMIF('Eredeti fejléccel'!$B:$B,'Felosztás eredménykim'!$B140,'Eredeti fejléccel'!$X:$X)</f>
        <v>0</v>
      </c>
      <c r="R140" s="6">
        <f>SUMIF('Eredeti fejléccel'!$B:$B,'Felosztás eredménykim'!$B140,'Eredeti fejléccel'!$Y:$Y)</f>
        <v>0</v>
      </c>
      <c r="S140" s="6">
        <f>SUMIF('Eredeti fejléccel'!$B:$B,'Felosztás eredménykim'!$B140,'Eredeti fejléccel'!$Z:$Z)</f>
        <v>0</v>
      </c>
      <c r="T140" s="6">
        <f>SUMIF('Eredeti fejléccel'!$B:$B,'Felosztás eredménykim'!$B140,'Eredeti fejléccel'!$AA:$AA)</f>
        <v>0</v>
      </c>
      <c r="U140" s="6">
        <f>SUMIF('Eredeti fejléccel'!$B:$B,'Felosztás eredménykim'!$B140,'Eredeti fejléccel'!$D:$D)</f>
        <v>0</v>
      </c>
      <c r="V140" s="6">
        <f>SUMIF('Eredeti fejléccel'!$B:$B,'Felosztás eredménykim'!$B140,'Eredeti fejléccel'!$AT:$AT)</f>
        <v>0</v>
      </c>
      <c r="X140" s="36">
        <f t="shared" si="211"/>
        <v>26400</v>
      </c>
      <c r="Z140" s="6">
        <f>SUMIF('Eredeti fejléccel'!$B:$B,'Felosztás eredménykim'!$B140,'Eredeti fejléccel'!$K:$K)</f>
        <v>0</v>
      </c>
      <c r="AB140" s="6">
        <f>SUMIF('Eredeti fejléccel'!$B:$B,'Felosztás eredménykim'!$B140,'Eredeti fejléccel'!$AB:$AB)</f>
        <v>0</v>
      </c>
      <c r="AC140" s="6">
        <f>SUMIF('Eredeti fejléccel'!$B:$B,'Felosztás eredménykim'!$B140,'Eredeti fejléccel'!$AQ:$AQ)</f>
        <v>0</v>
      </c>
      <c r="AE140" s="73">
        <f t="shared" si="131"/>
        <v>0</v>
      </c>
      <c r="AF140" s="36">
        <f t="shared" si="212"/>
        <v>3149.378536500582</v>
      </c>
      <c r="AG140" s="8">
        <f t="shared" si="213"/>
        <v>0</v>
      </c>
      <c r="AI140" s="6">
        <f>SUMIF('Eredeti fejléccel'!$B:$B,'Felosztás eredménykim'!$B140,'Eredeti fejléccel'!$BB:$BB)</f>
        <v>0</v>
      </c>
      <c r="AJ140" s="6">
        <f>SUMIF('Eredeti fejléccel'!$B:$B,'Felosztás eredménykim'!$B140,'Eredeti fejléccel'!$AF:$AF)</f>
        <v>0</v>
      </c>
      <c r="AK140" s="8">
        <f t="shared" si="177"/>
        <v>0</v>
      </c>
      <c r="AL140" s="36">
        <f t="shared" si="214"/>
        <v>1250.9172532075245</v>
      </c>
      <c r="AM140" s="8">
        <f t="shared" si="215"/>
        <v>0</v>
      </c>
      <c r="AN140" s="6">
        <f t="shared" si="123"/>
        <v>0</v>
      </c>
      <c r="AO140" s="6">
        <f>SUMIF('Eredeti fejléccel'!$B:$B,'Felosztás eredménykim'!$B140,'Eredeti fejléccel'!$AC:$AC)</f>
        <v>0</v>
      </c>
      <c r="AP140" s="6">
        <f>SUMIF('Eredeti fejléccel'!$B:$B,'Felosztás eredménykim'!$B140,'Eredeti fejléccel'!$AD:$AD)</f>
        <v>0</v>
      </c>
      <c r="AQ140" s="6">
        <f>SUMIF('Eredeti fejléccel'!$B:$B,'Felosztás eredménykim'!$B140,'Eredeti fejléccel'!$AE:$AE)</f>
        <v>0</v>
      </c>
      <c r="AR140" s="6">
        <f>SUMIF('Eredeti fejléccel'!$B:$B,'Felosztás eredménykim'!$B140,'Eredeti fejléccel'!$AG:$AG)</f>
        <v>0</v>
      </c>
      <c r="AS140" s="6">
        <f t="shared" si="124"/>
        <v>0</v>
      </c>
      <c r="AT140" s="36">
        <f t="shared" si="216"/>
        <v>2031.8571203229565</v>
      </c>
      <c r="AU140" s="8">
        <f t="shared" si="217"/>
        <v>0</v>
      </c>
      <c r="AV140" s="6">
        <f>SUMIF('Eredeti fejléccel'!$B:$B,'Felosztás eredménykim'!$B140,'Eredeti fejléccel'!$AI:$AI)</f>
        <v>0</v>
      </c>
      <c r="AW140" s="6">
        <f>SUMIF('Eredeti fejléccel'!$B:$B,'Felosztás eredménykim'!$B140,'Eredeti fejléccel'!$AJ:$AJ)</f>
        <v>0</v>
      </c>
      <c r="AX140" s="6">
        <f>SUMIF('Eredeti fejléccel'!$B:$B,'Felosztás eredménykim'!$B140,'Eredeti fejléccel'!$AK:$AK)</f>
        <v>0</v>
      </c>
      <c r="AY140" s="6">
        <f>SUMIF('Eredeti fejléccel'!$B:$B,'Felosztás eredménykim'!$B140,'Eredeti fejléccel'!$AL:$AL)</f>
        <v>0</v>
      </c>
      <c r="AZ140" s="6">
        <f>SUMIF('Eredeti fejléccel'!$B:$B,'Felosztás eredménykim'!$B140,'Eredeti fejléccel'!$AM:$AM)</f>
        <v>0</v>
      </c>
      <c r="BA140" s="6">
        <f>SUMIF('Eredeti fejléccel'!$B:$B,'Felosztás eredménykim'!$B140,'Eredeti fejléccel'!$AN:$AN)</f>
        <v>0</v>
      </c>
      <c r="BB140" s="6">
        <f>SUMIF('Eredeti fejléccel'!$B:$B,'Felosztás eredménykim'!$B140,'Eredeti fejléccel'!$AP:$AP)</f>
        <v>0</v>
      </c>
      <c r="BD140" s="6">
        <f>SUMIF('Eredeti fejléccel'!$B:$B,'Felosztás eredménykim'!$B140,'Eredeti fejléccel'!$AS:$AS)</f>
        <v>0</v>
      </c>
      <c r="BE140" s="8">
        <f t="shared" si="238"/>
        <v>0</v>
      </c>
      <c r="BF140" s="36">
        <f t="shared" si="218"/>
        <v>530.04968356251027</v>
      </c>
      <c r="BG140" s="8">
        <f t="shared" si="219"/>
        <v>0</v>
      </c>
      <c r="BH140" s="6">
        <f t="shared" si="125"/>
        <v>0</v>
      </c>
      <c r="BI140" s="6">
        <f>SUMIF('Eredeti fejléccel'!$B:$B,'Felosztás eredménykim'!$B140,'Eredeti fejléccel'!$AH:$AH)</f>
        <v>0</v>
      </c>
      <c r="BJ140" s="6">
        <f>SUMIF('Eredeti fejléccel'!$B:$B,'Felosztás eredménykim'!$B140,'Eredeti fejléccel'!$AO:$AO)</f>
        <v>0</v>
      </c>
      <c r="BK140" s="6">
        <f>SUMIF('Eredeti fejléccel'!$B:$B,'Felosztás eredménykim'!$B140,'Eredeti fejléccel'!$BF:$BF)</f>
        <v>0</v>
      </c>
      <c r="BL140" s="8">
        <f t="shared" si="126"/>
        <v>0</v>
      </c>
      <c r="BM140" s="36">
        <f t="shared" si="220"/>
        <v>1985.9194810808722</v>
      </c>
      <c r="BN140" s="8">
        <f t="shared" si="221"/>
        <v>0</v>
      </c>
      <c r="BP140" s="8">
        <f t="shared" si="127"/>
        <v>0</v>
      </c>
      <c r="BQ140" s="6">
        <f>SUMIF('Eredeti fejléccel'!$B:$B,'Felosztás eredménykim'!$B140,'Eredeti fejléccel'!$N:$N)</f>
        <v>0</v>
      </c>
      <c r="BR140" s="6">
        <f>SUMIF('Eredeti fejléccel'!$B:$B,'Felosztás eredménykim'!$B140,'Eredeti fejléccel'!$S:$S)</f>
        <v>0</v>
      </c>
      <c r="BT140" s="6">
        <f>SUMIF('Eredeti fejléccel'!$B:$B,'Felosztás eredménykim'!$B140,'Eredeti fejléccel'!$AR:$AR)</f>
        <v>0</v>
      </c>
      <c r="BU140" s="6">
        <f>SUMIF('Eredeti fejléccel'!$B:$B,'Felosztás eredménykim'!$B140,'Eredeti fejléccel'!$AU:$AU)</f>
        <v>0</v>
      </c>
      <c r="BV140" s="6">
        <f>SUMIF('Eredeti fejléccel'!$B:$B,'Felosztás eredménykim'!$B140,'Eredeti fejléccel'!$AV:$AV)</f>
        <v>0</v>
      </c>
      <c r="BW140" s="6">
        <f>SUMIF('Eredeti fejléccel'!$B:$B,'Felosztás eredménykim'!$B140,'Eredeti fejléccel'!$AW:$AW)</f>
        <v>0</v>
      </c>
      <c r="BX140" s="6">
        <f>SUMIF('Eredeti fejléccel'!$B:$B,'Felosztás eredménykim'!$B140,'Eredeti fejléccel'!$AX:$AX)</f>
        <v>0</v>
      </c>
      <c r="BY140" s="6">
        <f>SUMIF('Eredeti fejléccel'!$B:$B,'Felosztás eredménykim'!$B140,'Eredeti fejléccel'!$AY:$AY)</f>
        <v>0</v>
      </c>
      <c r="BZ140" s="6">
        <f>SUMIF('Eredeti fejléccel'!$B:$B,'Felosztás eredménykim'!$B140,'Eredeti fejléccel'!$AZ:$AZ)</f>
        <v>0</v>
      </c>
      <c r="CA140" s="6">
        <f>SUMIF('Eredeti fejléccel'!$B:$B,'Felosztás eredménykim'!$B140,'Eredeti fejléccel'!$BA:$BA)</f>
        <v>0</v>
      </c>
      <c r="CB140" s="6">
        <f t="shared" si="253"/>
        <v>0</v>
      </c>
      <c r="CC140" s="36">
        <f t="shared" si="222"/>
        <v>540.65067723376058</v>
      </c>
      <c r="CD140" s="8">
        <f t="shared" si="223"/>
        <v>0</v>
      </c>
      <c r="CE140" s="6">
        <f>SUMIF('Eredeti fejléccel'!$B:$B,'Felosztás eredménykim'!$B140,'Eredeti fejléccel'!$BC:$BC)</f>
        <v>0</v>
      </c>
      <c r="CF140" s="8">
        <f t="shared" si="135"/>
        <v>0</v>
      </c>
      <c r="CG140" s="6">
        <f>SUMIF('Eredeti fejléccel'!$B:$B,'Felosztás eredménykim'!$B140,'Eredeti fejléccel'!$H:$H)</f>
        <v>0</v>
      </c>
      <c r="CH140" s="6">
        <f>SUMIF('Eredeti fejléccel'!$B:$B,'Felosztás eredménykim'!$B140,'Eredeti fejléccel'!$BE:$BE)</f>
        <v>0</v>
      </c>
      <c r="CI140" s="6">
        <f t="shared" si="239"/>
        <v>0</v>
      </c>
      <c r="CJ140" s="36">
        <f t="shared" si="224"/>
        <v>388.70310127917429</v>
      </c>
      <c r="CK140" s="8">
        <f t="shared" si="225"/>
        <v>0</v>
      </c>
      <c r="CL140" s="8">
        <f t="shared" si="136"/>
        <v>0</v>
      </c>
      <c r="CM140" s="6">
        <f>SUMIF('Eredeti fejléccel'!$B:$B,'Felosztás eredménykim'!$B140,'Eredeti fejléccel'!$BD:$BD)</f>
        <v>0</v>
      </c>
      <c r="CN140" s="8">
        <f t="shared" si="240"/>
        <v>0</v>
      </c>
      <c r="CO140" s="8">
        <f t="shared" si="254"/>
        <v>9877.4758531873795</v>
      </c>
      <c r="CR140" s="36">
        <f t="shared" si="226"/>
        <v>2334.8615582743078</v>
      </c>
      <c r="CS140" s="6">
        <f>SUMIF('Eredeti fejléccel'!$B:$B,'Felosztás eredménykim'!$B140,'Eredeti fejléccel'!$I:$I)</f>
        <v>0</v>
      </c>
      <c r="CT140" s="6">
        <f>SUMIF('Eredeti fejléccel'!$B:$B,'Felosztás eredménykim'!$B140,'Eredeti fejléccel'!$BG:$BG)</f>
        <v>0</v>
      </c>
      <c r="CU140" s="6">
        <f>SUMIF('Eredeti fejléccel'!$B:$B,'Felosztás eredménykim'!$B140,'Eredeti fejléccel'!$BH:$BH)</f>
        <v>0</v>
      </c>
      <c r="CV140" s="6">
        <f>SUMIF('Eredeti fejléccel'!$B:$B,'Felosztás eredménykim'!$B140,'Eredeti fejléccel'!$BI:$BI)</f>
        <v>0</v>
      </c>
      <c r="CW140" s="6">
        <f>SUMIF('Eredeti fejléccel'!$B:$B,'Felosztás eredménykim'!$B140,'Eredeti fejléccel'!$BL:$BL)</f>
        <v>57420</v>
      </c>
      <c r="CX140" s="6">
        <f t="shared" si="241"/>
        <v>57420</v>
      </c>
      <c r="CY140" s="6">
        <f>SUMIF('Eredeti fejléccel'!$B:$B,'Felosztás eredménykim'!$B140,'Eredeti fejléccel'!$BJ:$BJ)</f>
        <v>17160</v>
      </c>
      <c r="CZ140" s="6">
        <f>SUMIF('Eredeti fejléccel'!$B:$B,'Felosztás eredménykim'!$B140,'Eredeti fejléccel'!$BK:$BK)</f>
        <v>0</v>
      </c>
      <c r="DA140" s="99">
        <f t="shared" si="242"/>
        <v>74580</v>
      </c>
      <c r="DC140" s="36">
        <f t="shared" si="227"/>
        <v>2045.022537025113</v>
      </c>
      <c r="DD140" s="6">
        <f>SUMIF('Eredeti fejléccel'!$B:$B,'Felosztás eredménykim'!$B140,'Eredeti fejléccel'!$J:$J)</f>
        <v>0</v>
      </c>
      <c r="DE140" s="6">
        <f>SUMIF('Eredeti fejléccel'!$B:$B,'Felosztás eredménykim'!$B140,'Eredeti fejléccel'!$BM:$BM)</f>
        <v>66000</v>
      </c>
      <c r="DF140" s="6">
        <f t="shared" si="128"/>
        <v>0</v>
      </c>
      <c r="DG140" s="8">
        <f t="shared" si="255"/>
        <v>0</v>
      </c>
      <c r="DH140" s="8">
        <f t="shared" si="129"/>
        <v>66000</v>
      </c>
      <c r="DJ140" s="6">
        <f>SUMIF('Eredeti fejléccel'!$B:$B,'Felosztás eredménykim'!$B140,'Eredeti fejléccel'!$BN:$BN)</f>
        <v>0</v>
      </c>
      <c r="DK140" s="6">
        <f>SUMIF('Eredeti fejléccel'!$B:$B,'Felosztás eredménykim'!$B140,'Eredeti fejléccel'!$BZ:$BZ)</f>
        <v>0</v>
      </c>
      <c r="DL140" s="8">
        <f t="shared" si="130"/>
        <v>0</v>
      </c>
      <c r="DM140" s="6">
        <f>SUMIF('Eredeti fejléccel'!$B:$B,'Felosztás eredménykim'!$B140,'Eredeti fejléccel'!$BR:$BR)</f>
        <v>0</v>
      </c>
      <c r="DN140" s="6">
        <f>SUMIF('Eredeti fejléccel'!$B:$B,'Felosztás eredménykim'!$B140,'Eredeti fejléccel'!$BS:$BS)</f>
        <v>0</v>
      </c>
      <c r="DO140" s="6">
        <f>SUMIF('Eredeti fejléccel'!$B:$B,'Felosztás eredménykim'!$B140,'Eredeti fejléccel'!$BO:$BO)</f>
        <v>0</v>
      </c>
      <c r="DP140" s="6">
        <f>SUMIF('Eredeti fejléccel'!$B:$B,'Felosztás eredménykim'!$B140,'Eredeti fejléccel'!$BP:$BP)</f>
        <v>0</v>
      </c>
      <c r="DQ140" s="6">
        <f>SUMIF('Eredeti fejléccel'!$B:$B,'Felosztás eredménykim'!$B140,'Eredeti fejléccel'!$BQ:$BQ)</f>
        <v>0</v>
      </c>
      <c r="DS140" s="8"/>
      <c r="DU140" s="6">
        <f>SUMIF('Eredeti fejléccel'!$B:$B,'Felosztás eredménykim'!$B140,'Eredeti fejléccel'!$BT:$BT)</f>
        <v>0</v>
      </c>
      <c r="DV140" s="6">
        <f>SUMIF('Eredeti fejléccel'!$B:$B,'Felosztás eredménykim'!$B140,'Eredeti fejléccel'!$BU:$BU)</f>
        <v>0</v>
      </c>
      <c r="DW140" s="6">
        <f>SUMIF('Eredeti fejléccel'!$B:$B,'Felosztás eredménykim'!$B140,'Eredeti fejléccel'!$BV:$BV)</f>
        <v>0</v>
      </c>
      <c r="DX140" s="6">
        <f>SUMIF('Eredeti fejléccel'!$B:$B,'Felosztás eredménykim'!$B140,'Eredeti fejléccel'!$BW:$BW)</f>
        <v>0</v>
      </c>
      <c r="DY140" s="6">
        <f>SUMIF('Eredeti fejléccel'!$B:$B,'Felosztás eredménykim'!$B140,'Eredeti fejléccel'!$BX:$BX)</f>
        <v>0</v>
      </c>
      <c r="EA140" s="6"/>
      <c r="EC140" s="6"/>
      <c r="EE140" s="6">
        <f>SUMIF('Eredeti fejléccel'!$B:$B,'Felosztás eredménykim'!$B140,'Eredeti fejléccel'!$CA:$CA)</f>
        <v>0</v>
      </c>
      <c r="EF140" s="6">
        <f>SUMIF('Eredeti fejléccel'!$B:$B,'Felosztás eredménykim'!$B140,'Eredeti fejléccel'!$CB:$CB)</f>
        <v>0</v>
      </c>
      <c r="EG140" s="6">
        <f>SUMIF('Eredeti fejléccel'!$B:$B,'Felosztás eredménykim'!$B140,'Eredeti fejléccel'!$CC:$CC)</f>
        <v>0</v>
      </c>
      <c r="EH140" s="6">
        <f>SUMIF('Eredeti fejléccel'!$B:$B,'Felosztás eredménykim'!$B140,'Eredeti fejléccel'!$CD:$CD)</f>
        <v>0</v>
      </c>
      <c r="EK140" s="6">
        <f>SUMIF('Eredeti fejléccel'!$B:$B,'Felosztás eredménykim'!$B140,'Eredeti fejléccel'!$CE:$CE)</f>
        <v>0</v>
      </c>
      <c r="EN140" s="6">
        <f>SUMIF('Eredeti fejléccel'!$B:$B,'Felosztás eredménykim'!$B140,'Eredeti fejléccel'!$CF:$CF)</f>
        <v>0</v>
      </c>
      <c r="EP140" s="6">
        <f>SUMIF('Eredeti fejléccel'!$B:$B,'Felosztás eredménykim'!$B140,'Eredeti fejléccel'!$CG:$CG)</f>
        <v>0</v>
      </c>
      <c r="ES140" s="6">
        <f>SUMIF('Eredeti fejléccel'!$B:$B,'Felosztás eredménykim'!$B140,'Eredeti fejléccel'!$CH:$CH)</f>
        <v>0</v>
      </c>
      <c r="ET140" s="6">
        <f>SUMIF('Eredeti fejléccel'!$B:$B,'Felosztás eredménykim'!$B140,'Eredeti fejléccel'!$CI:$CI)</f>
        <v>0</v>
      </c>
      <c r="EW140" s="8">
        <f t="shared" si="118"/>
        <v>0</v>
      </c>
      <c r="EX140" s="8">
        <f t="shared" si="243"/>
        <v>0</v>
      </c>
      <c r="EY140" s="8">
        <f t="shared" si="244"/>
        <v>66000</v>
      </c>
      <c r="EZ140" s="8">
        <f t="shared" si="120"/>
        <v>66000</v>
      </c>
      <c r="FA140" s="8">
        <f t="shared" si="121"/>
        <v>66000</v>
      </c>
      <c r="FC140" s="6">
        <f>SUMIF('Eredeti fejléccel'!$B:$B,'Felosztás eredménykim'!$B140,'Eredeti fejléccel'!$L:$L)</f>
        <v>0</v>
      </c>
      <c r="FD140" s="6">
        <f>SUMIF('Eredeti fejléccel'!$B:$B,'Felosztás eredménykim'!$B140,'Eredeti fejléccel'!$CJ:$CJ)</f>
        <v>33000</v>
      </c>
      <c r="FE140" s="6">
        <f>SUMIF('Eredeti fejléccel'!$B:$B,'Felosztás eredménykim'!$B140,'Eredeti fejléccel'!$CL:$CL)</f>
        <v>0</v>
      </c>
      <c r="FG140" s="99">
        <f t="shared" si="245"/>
        <v>33000</v>
      </c>
      <c r="FH140" s="6">
        <f>SUMIF('Eredeti fejléccel'!$B:$B,'Felosztás eredménykim'!$B140,'Eredeti fejléccel'!$CK:$CK)</f>
        <v>0</v>
      </c>
      <c r="FI140" s="36">
        <f t="shared" si="228"/>
        <v>2406.0986173786259</v>
      </c>
      <c r="FJ140" s="101">
        <f t="shared" si="229"/>
        <v>7317.6232821341955</v>
      </c>
      <c r="FK140" s="6">
        <f>SUMIF('Eredeti fejléccel'!$B:$B,'Felosztás eredménykim'!$B140,'Eredeti fejléccel'!$CM:$CM)</f>
        <v>0</v>
      </c>
      <c r="FL140" s="6">
        <f>SUMIF('Eredeti fejléccel'!$B:$B,'Felosztás eredménykim'!$B140,'Eredeti fejléccel'!$CN:$CN)</f>
        <v>0</v>
      </c>
      <c r="FM140" s="8">
        <f t="shared" si="246"/>
        <v>7317.6232821341955</v>
      </c>
      <c r="FN140" s="36">
        <f t="shared" si="230"/>
        <v>2045.578554767392</v>
      </c>
      <c r="FO140" s="101">
        <f t="shared" si="231"/>
        <v>6221.1802748585287</v>
      </c>
      <c r="FP140" s="6">
        <f>SUMIF('Eredeti fejléccel'!$B:$B,'Felosztás eredménykim'!$B140,'Eredeti fejléccel'!$CO:$CO)</f>
        <v>0</v>
      </c>
      <c r="FQ140" s="6">
        <f>'Eredeti fejléccel'!CP140</f>
        <v>0</v>
      </c>
      <c r="FR140" s="6">
        <f>'Eredeti fejléccel'!CQ140</f>
        <v>0</v>
      </c>
      <c r="FS140" s="103">
        <f t="shared" si="247"/>
        <v>6221.1802748585287</v>
      </c>
      <c r="FT140" s="36">
        <f t="shared" si="232"/>
        <v>5646.3932920401812</v>
      </c>
      <c r="FU140" s="101">
        <f t="shared" si="233"/>
        <v>17172.271624898949</v>
      </c>
      <c r="FV140" s="101"/>
      <c r="FW140" s="6">
        <f>SUMIF('Eredeti fejléccel'!$B:$B,'Felosztás eredménykim'!$B140,'Eredeti fejléccel'!$CR:$CR)</f>
        <v>23100</v>
      </c>
      <c r="FX140" s="6">
        <f>SUMIF('Eredeti fejléccel'!$B:$B,'Felosztás eredménykim'!$B140,'Eredeti fejléccel'!$CS:$CS)</f>
        <v>0</v>
      </c>
      <c r="FY140" s="6">
        <f>SUMIF('Eredeti fejléccel'!$B:$B,'Felosztás eredménykim'!$B140,'Eredeti fejléccel'!$CT:$CT)</f>
        <v>0</v>
      </c>
      <c r="FZ140" s="6">
        <f>SUMIF('Eredeti fejléccel'!$B:$B,'Felosztás eredménykim'!$B140,'Eredeti fejléccel'!$CU:$CU)</f>
        <v>0</v>
      </c>
      <c r="GA140" s="103">
        <f t="shared" si="248"/>
        <v>40272.271624898945</v>
      </c>
      <c r="GB140" s="36">
        <f t="shared" si="234"/>
        <v>752.61852486724786</v>
      </c>
      <c r="GC140" s="101">
        <f t="shared" si="235"/>
        <v>2288.9248181083267</v>
      </c>
      <c r="GD140" s="6">
        <f>SUMIF('Eredeti fejléccel'!$B:$B,'Felosztás eredménykim'!$B140,'Eredeti fejléccel'!$CV:$CV)</f>
        <v>0</v>
      </c>
      <c r="GE140" s="6">
        <f>SUMIF('Eredeti fejléccel'!$B:$B,'Felosztás eredménykim'!$B140,'Eredeti fejléccel'!$CW:$CW)</f>
        <v>0</v>
      </c>
      <c r="GF140" s="103">
        <f t="shared" si="249"/>
        <v>2288.9248181083267</v>
      </c>
      <c r="GG140" s="36">
        <f t="shared" si="236"/>
        <v>0</v>
      </c>
      <c r="GM140" s="6">
        <f>SUMIF('Eredeti fejléccel'!$B:$B,'Felosztás eredménykim'!$B140,'Eredeti fejléccel'!$CX:$CX)</f>
        <v>0</v>
      </c>
      <c r="GN140" s="6">
        <f>SUMIF('Eredeti fejléccel'!$B:$B,'Felosztás eredménykim'!$B140,'Eredeti fejléccel'!$CY:$CY)</f>
        <v>0</v>
      </c>
      <c r="GO140" s="6">
        <f>SUMIF('Eredeti fejléccel'!$B:$B,'Felosztás eredménykim'!$B140,'Eredeti fejléccel'!$CZ:$CZ)</f>
        <v>0</v>
      </c>
      <c r="GP140" s="6">
        <f>SUMIF('Eredeti fejléccel'!$B:$B,'Felosztás eredménykim'!$B140,'Eredeti fejléccel'!$DA:$DA)</f>
        <v>0</v>
      </c>
      <c r="GQ140" s="6">
        <f>SUMIF('Eredeti fejléccel'!$B:$B,'Felosztás eredménykim'!$B140,'Eredeti fejléccel'!$DB:$DB)</f>
        <v>0</v>
      </c>
      <c r="GR140" s="103">
        <f t="shared" si="250"/>
        <v>0</v>
      </c>
      <c r="GW140" s="36">
        <f t="shared" si="237"/>
        <v>1291.9510624597553</v>
      </c>
      <c r="GX140" s="6">
        <f>SUMIF('Eredeti fejléccel'!$B:$B,'Felosztás eredménykim'!$B140,'Eredeti fejléccel'!$M:$M)</f>
        <v>0</v>
      </c>
      <c r="GY140" s="6">
        <f>SUMIF('Eredeti fejléccel'!$B:$B,'Felosztás eredménykim'!$B140,'Eredeti fejléccel'!$DC:$DC)</f>
        <v>0</v>
      </c>
      <c r="GZ140" s="6">
        <f>SUMIF('Eredeti fejléccel'!$B:$B,'Felosztás eredménykim'!$B140,'Eredeti fejléccel'!$DD:$DD)</f>
        <v>0</v>
      </c>
      <c r="HA140" s="6">
        <f>SUMIF('Eredeti fejléccel'!$B:$B,'Felosztás eredménykim'!$B140,'Eredeti fejléccel'!$DE:$DE)</f>
        <v>0</v>
      </c>
      <c r="HB140" s="103">
        <f t="shared" si="251"/>
        <v>0</v>
      </c>
      <c r="HD140" s="9">
        <f t="shared" si="256"/>
        <v>223079.99999999977</v>
      </c>
      <c r="HE140" s="9">
        <v>223080</v>
      </c>
      <c r="HF140" s="476"/>
      <c r="HH140" s="34">
        <f t="shared" si="252"/>
        <v>-2.3283064365386963E-10</v>
      </c>
      <c r="HI140" s="31">
        <f>SUM(HD130:HD141)</f>
        <v>218610958.0000003</v>
      </c>
      <c r="HJ140" s="31">
        <f>SUM(HE130:HE141)</f>
        <v>218610958</v>
      </c>
    </row>
    <row r="141" spans="1:232" x14ac:dyDescent="0.25">
      <c r="A141" s="4" t="s">
        <v>1855</v>
      </c>
      <c r="B141" s="4" t="s">
        <v>1855</v>
      </c>
      <c r="C141" s="1" t="s">
        <v>1856</v>
      </c>
      <c r="D141" s="6">
        <f>SUMIF('Eredeti fejléccel'!$B:$B,'Felosztás eredménykim'!$B141,'Eredeti fejléccel'!$D:$D)</f>
        <v>0</v>
      </c>
      <c r="E141" s="6">
        <f>SUMIF('Eredeti fejléccel'!$B:$B,'Felosztás eredménykim'!$B141,'Eredeti fejléccel'!$E:$E)</f>
        <v>0</v>
      </c>
      <c r="F141" s="6">
        <f>SUMIF('Eredeti fejléccel'!$B:$B,'Felosztás eredménykim'!$B141,'Eredeti fejléccel'!$F:$F)</f>
        <v>0</v>
      </c>
      <c r="G141" s="6">
        <f>SUMIF('Eredeti fejléccel'!$B:$B,'Felosztás eredménykim'!$B141,'Eredeti fejléccel'!$G:$G)</f>
        <v>0</v>
      </c>
      <c r="H141" s="6"/>
      <c r="I141" s="6">
        <f>SUMIF('Eredeti fejléccel'!$B:$B,'Felosztás eredménykim'!$B141,'Eredeti fejléccel'!$O:$O)</f>
        <v>0</v>
      </c>
      <c r="J141" s="6">
        <f>SUMIF('Eredeti fejléccel'!$B:$B,'Felosztás eredménykim'!$B141,'Eredeti fejléccel'!$P:$P)</f>
        <v>0</v>
      </c>
      <c r="K141" s="6">
        <f>SUMIF('Eredeti fejléccel'!$B:$B,'Felosztás eredménykim'!$B141,'Eredeti fejléccel'!$Q:$Q)</f>
        <v>0</v>
      </c>
      <c r="L141" s="6">
        <f>SUMIF('Eredeti fejléccel'!$B:$B,'Felosztás eredménykim'!$B141,'Eredeti fejléccel'!$R:$R)</f>
        <v>0</v>
      </c>
      <c r="M141" s="6">
        <f>SUMIF('Eredeti fejléccel'!$B:$B,'Felosztás eredménykim'!$B141,'Eredeti fejléccel'!$T:$T)</f>
        <v>0</v>
      </c>
      <c r="N141" s="6">
        <f>SUMIF('Eredeti fejléccel'!$B:$B,'Felosztás eredménykim'!$B141,'Eredeti fejléccel'!$U:$U)</f>
        <v>0</v>
      </c>
      <c r="O141" s="6">
        <f>SUMIF('Eredeti fejléccel'!$B:$B,'Felosztás eredménykim'!$B141,'Eredeti fejléccel'!$V:$V)</f>
        <v>0</v>
      </c>
      <c r="P141" s="6">
        <f>SUMIF('Eredeti fejléccel'!$B:$B,'Felosztás eredménykim'!$B141,'Eredeti fejléccel'!$W:$W)</f>
        <v>0</v>
      </c>
      <c r="Q141" s="6">
        <f>SUMIF('Eredeti fejléccel'!$B:$B,'Felosztás eredménykim'!$B141,'Eredeti fejléccel'!$X:$X)</f>
        <v>0</v>
      </c>
      <c r="R141" s="6">
        <f>SUMIF('Eredeti fejléccel'!$B:$B,'Felosztás eredménykim'!$B141,'Eredeti fejléccel'!$Y:$Y)</f>
        <v>0</v>
      </c>
      <c r="S141" s="6">
        <f>SUMIF('Eredeti fejléccel'!$B:$B,'Felosztás eredménykim'!$B141,'Eredeti fejléccel'!$Z:$Z)</f>
        <v>0</v>
      </c>
      <c r="T141" s="6">
        <f>SUMIF('Eredeti fejléccel'!$B:$B,'Felosztás eredménykim'!$B141,'Eredeti fejléccel'!$AA:$AA)</f>
        <v>0</v>
      </c>
      <c r="U141" s="6">
        <f>SUMIF('Eredeti fejléccel'!$B:$B,'Felosztás eredménykim'!$B141,'Eredeti fejléccel'!$D:$D)</f>
        <v>0</v>
      </c>
      <c r="V141" s="6">
        <f>SUMIF('Eredeti fejléccel'!$B:$B,'Felosztás eredménykim'!$B141,'Eredeti fejléccel'!$AT:$AT)</f>
        <v>0</v>
      </c>
      <c r="X141" s="36">
        <f t="shared" ref="X141" si="257">SUM(D141:W141)</f>
        <v>0</v>
      </c>
      <c r="Z141" s="6">
        <f>SUMIF('Eredeti fejléccel'!$B:$B,'Felosztás eredménykim'!$B141,'Eredeti fejléccel'!$K:$K)</f>
        <v>0</v>
      </c>
      <c r="AB141" s="6">
        <f>SUMIF('Eredeti fejléccel'!$B:$B,'Felosztás eredménykim'!$B141,'Eredeti fejléccel'!$AB:$AB)</f>
        <v>0</v>
      </c>
      <c r="AC141" s="6">
        <f>SUMIF('Eredeti fejléccel'!$B:$B,'Felosztás eredménykim'!$B141,'Eredeti fejléccel'!$AQ:$AQ)</f>
        <v>0</v>
      </c>
      <c r="AE141" s="73">
        <f t="shared" ref="AE141" si="258">SUM(Z141:AD141)</f>
        <v>0</v>
      </c>
      <c r="AF141" s="36">
        <f t="shared" si="212"/>
        <v>0</v>
      </c>
      <c r="AG141" s="8">
        <f t="shared" si="213"/>
        <v>0</v>
      </c>
      <c r="AI141" s="6">
        <f>SUMIF('Eredeti fejléccel'!$B:$B,'Felosztás eredménykim'!$B141,'Eredeti fejléccel'!$BB:$BB)</f>
        <v>0</v>
      </c>
      <c r="AJ141" s="6">
        <f>SUMIF('Eredeti fejléccel'!$B:$B,'Felosztás eredménykim'!$B141,'Eredeti fejléccel'!$AF:$AF)</f>
        <v>0</v>
      </c>
      <c r="AK141" s="8">
        <f t="shared" ref="AK141" si="259">SUM(AG141:AJ141)</f>
        <v>0</v>
      </c>
      <c r="AL141" s="36">
        <f t="shared" si="214"/>
        <v>0</v>
      </c>
      <c r="AM141" s="8">
        <f t="shared" si="215"/>
        <v>0</v>
      </c>
      <c r="AN141" s="6">
        <f t="shared" ref="AN141" si="260">-AO141/2</f>
        <v>0</v>
      </c>
      <c r="AO141" s="6">
        <f>SUMIF('Eredeti fejléccel'!$B:$B,'Felosztás eredménykim'!$B141,'Eredeti fejléccel'!$AC:$AC)</f>
        <v>0</v>
      </c>
      <c r="AP141" s="6">
        <f>SUMIF('Eredeti fejléccel'!$B:$B,'Felosztás eredménykim'!$B141,'Eredeti fejléccel'!$AD:$AD)</f>
        <v>0</v>
      </c>
      <c r="AQ141" s="6">
        <f>SUMIF('Eredeti fejléccel'!$B:$B,'Felosztás eredménykim'!$B141,'Eredeti fejléccel'!$AE:$AE)</f>
        <v>0</v>
      </c>
      <c r="AR141" s="6">
        <f>SUMIF('Eredeti fejléccel'!$B:$B,'Felosztás eredménykim'!$B141,'Eredeti fejléccel'!$AG:$AG)</f>
        <v>0</v>
      </c>
      <c r="AS141" s="6">
        <f t="shared" ref="AS141" si="261">SUM(AM141:AR141)</f>
        <v>0</v>
      </c>
      <c r="AT141" s="36">
        <f t="shared" si="216"/>
        <v>0</v>
      </c>
      <c r="AU141" s="8">
        <f t="shared" si="217"/>
        <v>0</v>
      </c>
      <c r="AV141" s="6">
        <f>SUMIF('Eredeti fejléccel'!$B:$B,'Felosztás eredménykim'!$B141,'Eredeti fejléccel'!$AI:$AI)</f>
        <v>0</v>
      </c>
      <c r="AW141" s="6">
        <f>SUMIF('Eredeti fejléccel'!$B:$B,'Felosztás eredménykim'!$B141,'Eredeti fejléccel'!$AJ:$AJ)</f>
        <v>0</v>
      </c>
      <c r="AX141" s="6">
        <f>SUMIF('Eredeti fejléccel'!$B:$B,'Felosztás eredménykim'!$B141,'Eredeti fejléccel'!$AK:$AK)</f>
        <v>0</v>
      </c>
      <c r="AY141" s="6">
        <f>SUMIF('Eredeti fejléccel'!$B:$B,'Felosztás eredménykim'!$B141,'Eredeti fejléccel'!$AL:$AL)</f>
        <v>0</v>
      </c>
      <c r="AZ141" s="6">
        <f>SUMIF('Eredeti fejléccel'!$B:$B,'Felosztás eredménykim'!$B141,'Eredeti fejléccel'!$AM:$AM)</f>
        <v>0</v>
      </c>
      <c r="BA141" s="6">
        <f>SUMIF('Eredeti fejléccel'!$B:$B,'Felosztás eredménykim'!$B141,'Eredeti fejléccel'!$AN:$AN)</f>
        <v>0</v>
      </c>
      <c r="BB141" s="6">
        <f>SUMIF('Eredeti fejléccel'!$B:$B,'Felosztás eredménykim'!$B141,'Eredeti fejléccel'!$AP:$AP)</f>
        <v>0</v>
      </c>
      <c r="BD141" s="6">
        <f>SUMIF('Eredeti fejléccel'!$B:$B,'Felosztás eredménykim'!$B141,'Eredeti fejléccel'!$AS:$AS)</f>
        <v>0</v>
      </c>
      <c r="BE141" s="8">
        <f t="shared" ref="BE141" si="262">SUM(AU141:BD141)</f>
        <v>0</v>
      </c>
      <c r="BF141" s="36">
        <f t="shared" si="218"/>
        <v>0</v>
      </c>
      <c r="BG141" s="8">
        <f t="shared" si="219"/>
        <v>0</v>
      </c>
      <c r="BH141" s="6">
        <f t="shared" ref="BH141" si="263">AO141/2</f>
        <v>0</v>
      </c>
      <c r="BI141" s="6">
        <f>SUMIF('Eredeti fejléccel'!$B:$B,'Felosztás eredménykim'!$B141,'Eredeti fejléccel'!$AH:$AH)</f>
        <v>0</v>
      </c>
      <c r="BJ141" s="6">
        <f>SUMIF('Eredeti fejléccel'!$B:$B,'Felosztás eredménykim'!$B141,'Eredeti fejléccel'!$AO:$AO)</f>
        <v>0</v>
      </c>
      <c r="BK141" s="6">
        <f>SUMIF('Eredeti fejléccel'!$B:$B,'Felosztás eredménykim'!$B141,'Eredeti fejléccel'!$BF:$BF)</f>
        <v>0</v>
      </c>
      <c r="BL141" s="8">
        <f t="shared" ref="BL141" si="264">SUM(BG141:BK141)</f>
        <v>0</v>
      </c>
      <c r="BM141" s="36">
        <f t="shared" si="220"/>
        <v>0</v>
      </c>
      <c r="BN141" s="8">
        <f t="shared" si="221"/>
        <v>0</v>
      </c>
      <c r="BO141" s="8">
        <v>0</v>
      </c>
      <c r="BP141" s="8">
        <f t="shared" ref="BP141" si="265">-FV141</f>
        <v>0</v>
      </c>
      <c r="BQ141" s="6">
        <f>SUMIF('Eredeti fejléccel'!$B:$B,'Felosztás eredménykim'!$B141,'Eredeti fejléccel'!$N:$N)</f>
        <v>0</v>
      </c>
      <c r="BR141" s="6">
        <f>SUMIF('Eredeti fejléccel'!$B:$B,'Felosztás eredménykim'!$B141,'Eredeti fejléccel'!$S:$S)</f>
        <v>0</v>
      </c>
      <c r="BT141" s="6">
        <f>SUMIF('Eredeti fejléccel'!$B:$B,'Felosztás eredménykim'!$B141,'Eredeti fejléccel'!$AR:$AR)</f>
        <v>0</v>
      </c>
      <c r="BU141" s="6">
        <f>SUMIF('Eredeti fejléccel'!$B:$B,'Felosztás eredménykim'!$B141,'Eredeti fejléccel'!$AU:$AU)</f>
        <v>0</v>
      </c>
      <c r="BV141" s="6">
        <f>SUMIF('Eredeti fejléccel'!$B:$B,'Felosztás eredménykim'!$B141,'Eredeti fejléccel'!$AV:$AV)</f>
        <v>0</v>
      </c>
      <c r="BW141" s="6">
        <f>SUMIF('Eredeti fejléccel'!$B:$B,'Felosztás eredménykim'!$B141,'Eredeti fejléccel'!$AW:$AW)</f>
        <v>0</v>
      </c>
      <c r="BX141" s="6">
        <f>SUMIF('Eredeti fejléccel'!$B:$B,'Felosztás eredménykim'!$B141,'Eredeti fejléccel'!$AX:$AX)</f>
        <v>0</v>
      </c>
      <c r="BY141" s="6">
        <f>SUMIF('Eredeti fejléccel'!$B:$B,'Felosztás eredménykim'!$B141,'Eredeti fejléccel'!$AY:$AY)</f>
        <v>0</v>
      </c>
      <c r="BZ141" s="6">
        <f>SUMIF('Eredeti fejléccel'!$B:$B,'Felosztás eredménykim'!$B141,'Eredeti fejléccel'!$AZ:$AZ)</f>
        <v>0</v>
      </c>
      <c r="CA141" s="6">
        <f>SUMIF('Eredeti fejléccel'!$B:$B,'Felosztás eredménykim'!$B141,'Eredeti fejléccel'!$BA:$BA)</f>
        <v>0</v>
      </c>
      <c r="CB141" s="6">
        <f t="shared" si="253"/>
        <v>0</v>
      </c>
      <c r="CC141" s="36">
        <f t="shared" si="222"/>
        <v>0</v>
      </c>
      <c r="CD141" s="8">
        <f t="shared" si="223"/>
        <v>0</v>
      </c>
      <c r="CE141" s="6">
        <f>SUMIF('Eredeti fejléccel'!$B:$B,'Felosztás eredménykim'!$B141,'Eredeti fejléccel'!$BC:$BC)</f>
        <v>0</v>
      </c>
      <c r="CF141" s="8">
        <f t="shared" ref="CF141" si="266">-CE141/2</f>
        <v>0</v>
      </c>
      <c r="CG141" s="6">
        <f>SUMIF('Eredeti fejléccel'!$B:$B,'Felosztás eredménykim'!$B141,'Eredeti fejléccel'!$H:$H)</f>
        <v>0</v>
      </c>
      <c r="CH141" s="6">
        <f>SUMIF('Eredeti fejléccel'!$B:$B,'Felosztás eredménykim'!$B141,'Eredeti fejléccel'!$BE:$BE)</f>
        <v>0</v>
      </c>
      <c r="CI141" s="6">
        <f t="shared" ref="CI141" si="267">SUM(CD141:CH141)</f>
        <v>0</v>
      </c>
      <c r="CJ141" s="36">
        <f t="shared" si="224"/>
        <v>0</v>
      </c>
      <c r="CK141" s="8">
        <f t="shared" si="225"/>
        <v>0</v>
      </c>
      <c r="CL141" s="8">
        <f t="shared" ref="CL141" si="268">CE141/2</f>
        <v>0</v>
      </c>
      <c r="CM141" s="6">
        <f>SUMIF('Eredeti fejléccel'!$B:$B,'Felosztás eredménykim'!$B141,'Eredeti fejléccel'!$BD:$BD)</f>
        <v>0</v>
      </c>
      <c r="CN141" s="8">
        <f t="shared" ref="CN141" si="269">SUM(CK141:CM141)</f>
        <v>0</v>
      </c>
      <c r="CO141" s="8">
        <f t="shared" si="254"/>
        <v>0</v>
      </c>
      <c r="CR141" s="36">
        <f t="shared" si="226"/>
        <v>0</v>
      </c>
      <c r="CS141" s="6">
        <f>SUMIF('Eredeti fejléccel'!$B:$B,'Felosztás eredménykim'!$B141,'Eredeti fejléccel'!$I:$I)</f>
        <v>0</v>
      </c>
      <c r="CT141" s="6">
        <f>SUMIF('Eredeti fejléccel'!$B:$B,'Felosztás eredménykim'!$B141,'Eredeti fejléccel'!$BG:$BG)</f>
        <v>0</v>
      </c>
      <c r="CU141" s="6">
        <f>SUMIF('Eredeti fejléccel'!$B:$B,'Felosztás eredménykim'!$B141,'Eredeti fejléccel'!$BH:$BH)</f>
        <v>0</v>
      </c>
      <c r="CV141" s="6">
        <f>SUMIF('Eredeti fejléccel'!$B:$B,'Felosztás eredménykim'!$B141,'Eredeti fejléccel'!$BI:$BI)</f>
        <v>0</v>
      </c>
      <c r="CW141" s="6">
        <f>SUMIF('Eredeti fejléccel'!$B:$B,'Felosztás eredménykim'!$B141,'Eredeti fejléccel'!$BL:$BL)</f>
        <v>0</v>
      </c>
      <c r="CX141" s="6">
        <f t="shared" ref="CX141" si="270">SUM(CS141:CW141)</f>
        <v>0</v>
      </c>
      <c r="CY141" s="6">
        <f>SUMIF('Eredeti fejléccel'!$B:$B,'Felosztás eredménykim'!$B141,'Eredeti fejléccel'!$BJ:$BJ)</f>
        <v>0</v>
      </c>
      <c r="CZ141" s="6">
        <f>SUMIF('Eredeti fejléccel'!$B:$B,'Felosztás eredménykim'!$B141,'Eredeti fejléccel'!$BK:$BK)</f>
        <v>0</v>
      </c>
      <c r="DA141" s="99">
        <f t="shared" ref="DA141" si="271">SUM(CX141:CZ141)</f>
        <v>0</v>
      </c>
      <c r="DC141" s="36">
        <f t="shared" si="227"/>
        <v>0</v>
      </c>
      <c r="DD141" s="6">
        <f>SUMIF('Eredeti fejléccel'!$B:$B,'Felosztás eredménykim'!$B141,'Eredeti fejléccel'!$J:$J)</f>
        <v>0</v>
      </c>
      <c r="DE141" s="6">
        <f>SUMIF('Eredeti fejléccel'!$B:$B,'Felosztás eredménykim'!$B141,'Eredeti fejléccel'!$BM:$BM)</f>
        <v>0</v>
      </c>
      <c r="DF141" s="6">
        <f t="shared" ref="DF141" si="272">-DI141</f>
        <v>0</v>
      </c>
      <c r="DG141" s="211">
        <f t="shared" si="255"/>
        <v>0</v>
      </c>
      <c r="DH141" s="8">
        <f t="shared" ref="DH141" si="273">SUM(DD141:DG141)</f>
        <v>0</v>
      </c>
      <c r="DI141" s="8">
        <v>0</v>
      </c>
      <c r="DJ141" s="6">
        <f>SUMIF('Eredeti fejléccel'!$B:$B,'Felosztás eredménykim'!$B141,'Eredeti fejléccel'!$BN:$BN)</f>
        <v>0</v>
      </c>
      <c r="DK141" s="6">
        <f>SUMIF('Eredeti fejléccel'!$B:$B,'Felosztás eredménykim'!$B141,'Eredeti fejléccel'!$BZ:$BZ)</f>
        <v>0</v>
      </c>
      <c r="DL141" s="8">
        <f t="shared" ref="DL141" si="274">SUM(DI141:DK141)</f>
        <v>0</v>
      </c>
      <c r="DM141" s="6">
        <f>SUMIF('Eredeti fejléccel'!$B:$B,'Felosztás eredménykim'!$B141,'Eredeti fejléccel'!$BR:$BR)</f>
        <v>0</v>
      </c>
      <c r="DN141" s="6">
        <f>SUMIF('Eredeti fejléccel'!$B:$B,'Felosztás eredménykim'!$B141,'Eredeti fejléccel'!$BS:$BS)</f>
        <v>0</v>
      </c>
      <c r="DO141" s="6">
        <f>SUMIF('Eredeti fejléccel'!$B:$B,'Felosztás eredménykim'!$B141,'Eredeti fejléccel'!$BO:$BO)</f>
        <v>0</v>
      </c>
      <c r="DP141" s="6">
        <f>SUMIF('Eredeti fejléccel'!$B:$B,'Felosztás eredménykim'!$B141,'Eredeti fejléccel'!$BP:$BP)</f>
        <v>0</v>
      </c>
      <c r="DQ141" s="6">
        <f>SUMIF('Eredeti fejléccel'!$B:$B,'Felosztás eredménykim'!$B141,'Eredeti fejléccel'!$BQ:$BQ)</f>
        <v>0</v>
      </c>
      <c r="DS141" s="8"/>
      <c r="DU141" s="6">
        <f>SUMIF('Eredeti fejléccel'!$B:$B,'Felosztás eredménykim'!$B141,'Eredeti fejléccel'!$BT:$BT)</f>
        <v>0</v>
      </c>
      <c r="DV141" s="6">
        <f>SUMIF('Eredeti fejléccel'!$B:$B,'Felosztás eredménykim'!$B141,'Eredeti fejléccel'!$BU:$BU)</f>
        <v>0</v>
      </c>
      <c r="DW141" s="6">
        <f>SUMIF('Eredeti fejléccel'!$B:$B,'Felosztás eredménykim'!$B141,'Eredeti fejléccel'!$BV:$BV)</f>
        <v>0</v>
      </c>
      <c r="DX141" s="6">
        <f>SUMIF('Eredeti fejléccel'!$B:$B,'Felosztás eredménykim'!$B141,'Eredeti fejléccel'!$BW:$BW)</f>
        <v>0</v>
      </c>
      <c r="DY141" s="6">
        <f>SUMIF('Eredeti fejléccel'!$B:$B,'Felosztás eredménykim'!$B141,'Eredeti fejléccel'!$BX:$BX)</f>
        <v>0</v>
      </c>
      <c r="EA141" s="6"/>
      <c r="EC141" s="6"/>
      <c r="EE141" s="6">
        <f>SUMIF('Eredeti fejléccel'!$B:$B,'Felosztás eredménykim'!$B141,'Eredeti fejléccel'!$CA:$CA)</f>
        <v>0</v>
      </c>
      <c r="EF141" s="6">
        <f>SUMIF('Eredeti fejléccel'!$B:$B,'Felosztás eredménykim'!$B141,'Eredeti fejléccel'!$CB:$CB)</f>
        <v>0</v>
      </c>
      <c r="EG141" s="6">
        <f>SUMIF('Eredeti fejléccel'!$B:$B,'Felosztás eredménykim'!$B141,'Eredeti fejléccel'!$CC:$CC)</f>
        <v>0</v>
      </c>
      <c r="EH141" s="6">
        <f>SUMIF('Eredeti fejléccel'!$B:$B,'Felosztás eredménykim'!$B141,'Eredeti fejléccel'!$CD:$CD)</f>
        <v>0</v>
      </c>
      <c r="EK141" s="6">
        <f>SUMIF('Eredeti fejléccel'!$B:$B,'Felosztás eredménykim'!$B141,'Eredeti fejléccel'!$CE:$CE)</f>
        <v>0</v>
      </c>
      <c r="EN141" s="6">
        <f>SUMIF('Eredeti fejléccel'!$B:$B,'Felosztás eredménykim'!$B141,'Eredeti fejléccel'!$CF:$CF)</f>
        <v>0</v>
      </c>
      <c r="EP141" s="6">
        <f>SUMIF('Eredeti fejléccel'!$B:$B,'Felosztás eredménykim'!$B141,'Eredeti fejléccel'!$CG:$CG)</f>
        <v>0</v>
      </c>
      <c r="ES141" s="6">
        <f>SUMIF('Eredeti fejléccel'!$B:$B,'Felosztás eredménykim'!$B141,'Eredeti fejléccel'!$CH:$CH)</f>
        <v>0</v>
      </c>
      <c r="ET141" s="6">
        <f>SUMIF('Eredeti fejléccel'!$B:$B,'Felosztás eredménykim'!$B141,'Eredeti fejléccel'!$CI:$CI)</f>
        <v>0</v>
      </c>
      <c r="EW141" s="8">
        <f t="shared" ref="EW141" si="275">SUM(DR141:ED141)</f>
        <v>0</v>
      </c>
      <c r="EX141" s="8">
        <f t="shared" ref="EX141" si="276">SUM(EE141:EV141)</f>
        <v>0</v>
      </c>
      <c r="EY141" s="8">
        <f t="shared" ref="EY141" si="277">SUM(DR141:EV141)+DH141+DN141+DP141-DS141-DT141</f>
        <v>0</v>
      </c>
      <c r="EZ141" s="8">
        <f t="shared" ref="EZ141" si="278">EY141+DL141+DM141+DN141+DO141+DP141+DQ141</f>
        <v>0</v>
      </c>
      <c r="FA141" s="8">
        <f t="shared" ref="FA141" si="279">EZ141-DL141-DM141</f>
        <v>0</v>
      </c>
      <c r="FC141" s="6">
        <f>SUMIF('Eredeti fejléccel'!$B:$B,'Felosztás eredménykim'!$B141,'Eredeti fejléccel'!$L:$L)</f>
        <v>0</v>
      </c>
      <c r="FD141" s="6">
        <f>SUMIF('Eredeti fejléccel'!$B:$B,'Felosztás eredménykim'!$B141,'Eredeti fejléccel'!$CJ:$CJ)</f>
        <v>0</v>
      </c>
      <c r="FE141" s="6">
        <f>SUMIF('Eredeti fejléccel'!$B:$B,'Felosztás eredménykim'!$B141,'Eredeti fejléccel'!$CL:$CL)</f>
        <v>0</v>
      </c>
      <c r="FG141" s="99">
        <f t="shared" ref="FG141" si="280">SUM(FC141:FF141)</f>
        <v>0</v>
      </c>
      <c r="FH141" s="6">
        <f>SUMIF('Eredeti fejléccel'!$B:$B,'Felosztás eredménykim'!$B141,'Eredeti fejléccel'!$CK:$CK)</f>
        <v>0</v>
      </c>
      <c r="FI141" s="36">
        <f t="shared" si="228"/>
        <v>0</v>
      </c>
      <c r="FJ141" s="101">
        <f t="shared" si="229"/>
        <v>0</v>
      </c>
      <c r="FK141" s="6">
        <f>SUMIF('Eredeti fejléccel'!$B:$B,'Felosztás eredménykim'!$B141,'Eredeti fejléccel'!$CM:$CM)</f>
        <v>-789000</v>
      </c>
      <c r="FL141" s="6">
        <f>SUMIF('Eredeti fejléccel'!$B:$B,'Felosztás eredménykim'!$B141,'Eredeti fejléccel'!$CN:$CN)</f>
        <v>0</v>
      </c>
      <c r="FM141" s="8">
        <f t="shared" ref="FM141" si="281">SUM(FJ141:FL141)</f>
        <v>-789000</v>
      </c>
      <c r="FN141" s="36">
        <f t="shared" si="230"/>
        <v>0</v>
      </c>
      <c r="FO141" s="101">
        <f t="shared" si="231"/>
        <v>0</v>
      </c>
      <c r="FP141" s="6">
        <f>SUMIF('Eredeti fejléccel'!$B:$B,'Felosztás eredménykim'!$B141,'Eredeti fejléccel'!$CO:$CO)</f>
        <v>0</v>
      </c>
      <c r="FQ141" s="6">
        <f>'Eredeti fejléccel'!CP141</f>
        <v>0</v>
      </c>
      <c r="FR141" s="6">
        <f>'Eredeti fejléccel'!CQ141</f>
        <v>0</v>
      </c>
      <c r="FS141" s="103">
        <f t="shared" ref="FS141" si="282">SUM(FO141:FR141)</f>
        <v>0</v>
      </c>
      <c r="FT141" s="36">
        <f t="shared" si="232"/>
        <v>0</v>
      </c>
      <c r="FU141" s="101">
        <f t="shared" si="233"/>
        <v>0</v>
      </c>
      <c r="FV141" s="101"/>
      <c r="FW141" s="6">
        <f>SUMIF('Eredeti fejléccel'!$B:$B,'Felosztás eredménykim'!$B141,'Eredeti fejléccel'!$CR:$CR)</f>
        <v>0</v>
      </c>
      <c r="FX141" s="6">
        <f>SUMIF('Eredeti fejléccel'!$B:$B,'Felosztás eredménykim'!$B141,'Eredeti fejléccel'!$CS:$CS)</f>
        <v>0</v>
      </c>
      <c r="FY141" s="6">
        <f>SUMIF('Eredeti fejléccel'!$B:$B,'Felosztás eredménykim'!$B141,'Eredeti fejléccel'!$CT:$CT)</f>
        <v>0</v>
      </c>
      <c r="FZ141" s="6">
        <f>SUMIF('Eredeti fejléccel'!$B:$B,'Felosztás eredménykim'!$B141,'Eredeti fejléccel'!$CU:$CU)</f>
        <v>0</v>
      </c>
      <c r="GA141" s="103">
        <f t="shared" ref="GA141" si="283">SUM(FU141:FZ141)</f>
        <v>0</v>
      </c>
      <c r="GB141" s="36">
        <f t="shared" si="234"/>
        <v>0</v>
      </c>
      <c r="GC141" s="101">
        <f t="shared" si="235"/>
        <v>0</v>
      </c>
      <c r="GD141" s="6">
        <f>SUMIF('Eredeti fejléccel'!$B:$B,'Felosztás eredménykim'!$B141,'Eredeti fejléccel'!$CV:$CV)</f>
        <v>0</v>
      </c>
      <c r="GE141" s="6">
        <f>SUMIF('Eredeti fejléccel'!$B:$B,'Felosztás eredménykim'!$B141,'Eredeti fejléccel'!$CW:$CW)</f>
        <v>0</v>
      </c>
      <c r="GF141" s="103">
        <f t="shared" ref="GF141" si="284">SUM(GC141:GE141)</f>
        <v>0</v>
      </c>
      <c r="GG141" s="36">
        <f t="shared" si="236"/>
        <v>0</v>
      </c>
      <c r="GM141" s="6">
        <f>SUMIF('Eredeti fejléccel'!$B:$B,'Felosztás eredménykim'!$B141,'Eredeti fejléccel'!$CX:$CX)</f>
        <v>0</v>
      </c>
      <c r="GN141" s="6">
        <f>SUMIF('Eredeti fejléccel'!$B:$B,'Felosztás eredménykim'!$B141,'Eredeti fejléccel'!$CY:$CY)</f>
        <v>0</v>
      </c>
      <c r="GO141" s="6">
        <f>SUMIF('Eredeti fejléccel'!$B:$B,'Felosztás eredménykim'!$B141,'Eredeti fejléccel'!$CZ:$CZ)</f>
        <v>0</v>
      </c>
      <c r="GP141" s="6">
        <f>SUMIF('Eredeti fejléccel'!$B:$B,'Felosztás eredménykim'!$B141,'Eredeti fejléccel'!$DA:$DA)</f>
        <v>0</v>
      </c>
      <c r="GQ141" s="6">
        <f>SUMIF('Eredeti fejléccel'!$B:$B,'Felosztás eredménykim'!$B141,'Eredeti fejléccel'!$DB:$DB)</f>
        <v>0</v>
      </c>
      <c r="GR141" s="103">
        <f t="shared" ref="GR141" si="285">SUM(GH141:GQ141)</f>
        <v>0</v>
      </c>
      <c r="GW141" s="36">
        <f t="shared" si="237"/>
        <v>0</v>
      </c>
      <c r="GX141" s="6">
        <f>SUMIF('Eredeti fejléccel'!$B:$B,'Felosztás eredménykim'!$B141,'Eredeti fejléccel'!$M:$M)</f>
        <v>0</v>
      </c>
      <c r="GY141" s="6">
        <f>SUMIF('Eredeti fejléccel'!$B:$B,'Felosztás eredménykim'!$B141,'Eredeti fejléccel'!$DC:$DC)</f>
        <v>0</v>
      </c>
      <c r="GZ141" s="6">
        <f>SUMIF('Eredeti fejléccel'!$B:$B,'Felosztás eredménykim'!$B141,'Eredeti fejléccel'!$DD:$DD)</f>
        <v>0</v>
      </c>
      <c r="HA141" s="6">
        <f>SUMIF('Eredeti fejléccel'!$B:$B,'Felosztás eredménykim'!$B141,'Eredeti fejléccel'!$DE:$DE)</f>
        <v>0</v>
      </c>
      <c r="HB141" s="103">
        <f t="shared" ref="HB141" si="286">SUM(GX141:HA141)</f>
        <v>0</v>
      </c>
      <c r="HD141" s="9">
        <f>SUM(D141:HA141)-W141-X141-AD141-AE141-AF141-AG141-AK141-AL141-AM141-AS141-AT141-AU141-BE141-BF141-BG141-BL141-BM141-BN141-BO141-CB141-CC141-CD141-CI141-CJ141-CK141-CN141-CO141-CP141-CR141-CX141-DA141-DC141-DG141-DH141-DL141-EW141-EX141-EY141-EZ141-FA141-FF141-FG141-FI141-FJ141-FM141-FN141-FO141-FS141-FT141-FU141-GA141-GB141-GC141-GF141-GG141-GR141-GS141-GT141-GU141-GW141</f>
        <v>-789000</v>
      </c>
      <c r="HE141" s="9">
        <v>-789000</v>
      </c>
      <c r="HF141" s="476"/>
      <c r="HH141" s="34">
        <f t="shared" ref="HH141" si="287">+HD141-HE141</f>
        <v>0</v>
      </c>
    </row>
    <row r="142" spans="1:232" x14ac:dyDescent="0.25">
      <c r="A142" s="4" t="s">
        <v>264</v>
      </c>
      <c r="B142" s="4" t="s">
        <v>264</v>
      </c>
      <c r="C142" s="1" t="s">
        <v>265</v>
      </c>
      <c r="D142" s="6">
        <f>SUMIF('Eredeti fejléccel'!$B:$B,'Felosztás eredménykim'!$B142,'Eredeti fejléccel'!$D:$D)</f>
        <v>0</v>
      </c>
      <c r="E142" s="6">
        <f>SUMIF('Eredeti fejléccel'!$B:$B,'Felosztás eredménykim'!$B142,'Eredeti fejléccel'!$E:$E)</f>
        <v>-3059894</v>
      </c>
      <c r="F142" s="6">
        <f>SUMIF('Eredeti fejléccel'!$B:$B,'Felosztás eredménykim'!$B142,'Eredeti fejléccel'!$F:$F)</f>
        <v>714036</v>
      </c>
      <c r="G142" s="6">
        <f>SUMIF('Eredeti fejléccel'!$B:$B,'Felosztás eredménykim'!$B142,'Eredeti fejléccel'!$G:$G)</f>
        <v>123114</v>
      </c>
      <c r="H142" s="6"/>
      <c r="I142" s="6">
        <f>SUMIF('Eredeti fejléccel'!$B:$B,'Felosztás eredménykim'!$B142,'Eredeti fejléccel'!$O:$O)</f>
        <v>208185</v>
      </c>
      <c r="J142" s="6">
        <f>SUMIF('Eredeti fejléccel'!$B:$B,'Felosztás eredménykim'!$B142,'Eredeti fejléccel'!$P:$P)</f>
        <v>0</v>
      </c>
      <c r="K142" s="6">
        <f>SUMIF('Eredeti fejléccel'!$B:$B,'Felosztás eredménykim'!$B142,'Eredeti fejléccel'!$Q:$Q)</f>
        <v>0</v>
      </c>
      <c r="L142" s="6">
        <f>SUMIF('Eredeti fejléccel'!$B:$B,'Felosztás eredménykim'!$B142,'Eredeti fejléccel'!$R:$R)</f>
        <v>155033</v>
      </c>
      <c r="M142" s="6">
        <f>SUMIF('Eredeti fejléccel'!$B:$B,'Felosztás eredménykim'!$B142,'Eredeti fejléccel'!$T:$T)</f>
        <v>0</v>
      </c>
      <c r="N142" s="6">
        <f>SUMIF('Eredeti fejléccel'!$B:$B,'Felosztás eredménykim'!$B142,'Eredeti fejléccel'!$U:$U)</f>
        <v>0</v>
      </c>
      <c r="O142" s="6">
        <f>SUMIF('Eredeti fejléccel'!$B:$B,'Felosztás eredménykim'!$B142,'Eredeti fejléccel'!$V:$V)</f>
        <v>0</v>
      </c>
      <c r="P142" s="6">
        <f>SUMIF('Eredeti fejléccel'!$B:$B,'Felosztás eredménykim'!$B142,'Eredeti fejléccel'!$W:$W)</f>
        <v>0</v>
      </c>
      <c r="Q142" s="6">
        <f>SUMIF('Eredeti fejléccel'!$B:$B,'Felosztás eredménykim'!$B142,'Eredeti fejléccel'!$X:$X)</f>
        <v>100920</v>
      </c>
      <c r="R142" s="6">
        <f>SUMIF('Eredeti fejléccel'!$B:$B,'Felosztás eredménykim'!$B142,'Eredeti fejléccel'!$Y:$Y)</f>
        <v>283152</v>
      </c>
      <c r="S142" s="6">
        <f>SUMIF('Eredeti fejléccel'!$B:$B,'Felosztás eredménykim'!$B142,'Eredeti fejléccel'!$Z:$Z)</f>
        <v>0</v>
      </c>
      <c r="T142" s="6">
        <f>SUMIF('Eredeti fejléccel'!$B:$B,'Felosztás eredménykim'!$B142,'Eredeti fejléccel'!$AA:$AA)</f>
        <v>0</v>
      </c>
      <c r="U142" s="6">
        <f>SUMIF('Eredeti fejléccel'!$B:$B,'Felosztás eredménykim'!$B142,'Eredeti fejléccel'!$D:$D)</f>
        <v>0</v>
      </c>
      <c r="V142" s="6">
        <f>SUMIF('Eredeti fejléccel'!$B:$B,'Felosztás eredménykim'!$B142,'Eredeti fejléccel'!$AT:$AT)</f>
        <v>0</v>
      </c>
      <c r="W142" s="212">
        <f>-(F385+F405)</f>
        <v>0</v>
      </c>
      <c r="X142" s="36">
        <f t="shared" si="211"/>
        <v>-1475454</v>
      </c>
      <c r="Z142" s="6">
        <f>SUMIF('Eredeti fejléccel'!$B:$B,'Felosztás eredménykim'!$B142,'Eredeti fejléccel'!$K:$K)</f>
        <v>1477093</v>
      </c>
      <c r="AB142" s="6">
        <f>SUMIF('Eredeti fejléccel'!$B:$B,'Felosztás eredménykim'!$B142,'Eredeti fejléccel'!$AB:$AB)</f>
        <v>-379530</v>
      </c>
      <c r="AC142" s="6">
        <f>SUMIF('Eredeti fejléccel'!$B:$B,'Felosztás eredménykim'!$B142,'Eredeti fejléccel'!$AQ:$AQ)</f>
        <v>421468</v>
      </c>
      <c r="AE142" s="73">
        <f t="shared" si="131"/>
        <v>1519031</v>
      </c>
      <c r="AF142" s="36">
        <f t="shared" si="212"/>
        <v>-176013.7560300731</v>
      </c>
      <c r="AG142" s="8">
        <f t="shared" si="213"/>
        <v>484334.63151775324</v>
      </c>
      <c r="AI142" s="6">
        <f>SUMIF('Eredeti fejléccel'!$B:$B,'Felosztás eredménykim'!$B142,'Eredeti fejléccel'!$BB:$BB)</f>
        <v>0</v>
      </c>
      <c r="AJ142" s="6">
        <f>SUMIF('Eredeti fejléccel'!$B:$B,'Felosztás eredménykim'!$B142,'Eredeti fejléccel'!$AF:$AF)</f>
        <v>21121</v>
      </c>
      <c r="AK142" s="8">
        <f t="shared" si="177"/>
        <v>505455.63151775324</v>
      </c>
      <c r="AL142" s="36">
        <f t="shared" si="214"/>
        <v>-69911.775186138446</v>
      </c>
      <c r="AM142" s="8">
        <f t="shared" si="215"/>
        <v>192375.27019050173</v>
      </c>
      <c r="AN142" s="6">
        <f t="shared" si="123"/>
        <v>0</v>
      </c>
      <c r="AO142" s="6">
        <f>SUMIF('Eredeti fejléccel'!$B:$B,'Felosztás eredménykim'!$B142,'Eredeti fejléccel'!$AC:$AC)</f>
        <v>0</v>
      </c>
      <c r="AP142" s="6">
        <f>SUMIF('Eredeti fejléccel'!$B:$B,'Felosztás eredménykim'!$B142,'Eredeti fejléccel'!$AD:$AD)</f>
        <v>0</v>
      </c>
      <c r="AQ142" s="6">
        <f>SUMIF('Eredeti fejléccel'!$B:$B,'Felosztás eredménykim'!$B142,'Eredeti fejléccel'!$AE:$AE)</f>
        <v>0</v>
      </c>
      <c r="AR142" s="6">
        <f>SUMIF('Eredeti fejléccel'!$B:$B,'Felosztás eredménykim'!$B142,'Eredeti fejléccel'!$AG:$AG)</f>
        <v>291359</v>
      </c>
      <c r="AS142" s="6">
        <f t="shared" si="124"/>
        <v>483734.2701905017</v>
      </c>
      <c r="AT142" s="36">
        <f t="shared" si="216"/>
        <v>-113557.26195488588</v>
      </c>
      <c r="AU142" s="8">
        <f t="shared" si="217"/>
        <v>312473.95581790531</v>
      </c>
      <c r="AV142" s="6">
        <f>SUMIF('Eredeti fejléccel'!$B:$B,'Felosztás eredménykim'!$B142,'Eredeti fejléccel'!$AI:$AI)</f>
        <v>0</v>
      </c>
      <c r="AW142" s="6">
        <f>SUMIF('Eredeti fejléccel'!$B:$B,'Felosztás eredménykim'!$B142,'Eredeti fejléccel'!$AJ:$AJ)</f>
        <v>0</v>
      </c>
      <c r="AX142" s="6">
        <f>SUMIF('Eredeti fejléccel'!$B:$B,'Felosztás eredménykim'!$B142,'Eredeti fejléccel'!$AK:$AK)</f>
        <v>115860</v>
      </c>
      <c r="AY142" s="6">
        <f>SUMIF('Eredeti fejléccel'!$B:$B,'Felosztás eredménykim'!$B142,'Eredeti fejléccel'!$AL:$AL)</f>
        <v>0</v>
      </c>
      <c r="AZ142" s="6">
        <f>SUMIF('Eredeti fejléccel'!$B:$B,'Felosztás eredménykim'!$B142,'Eredeti fejléccel'!$AM:$AM)</f>
        <v>0</v>
      </c>
      <c r="BA142" s="6">
        <f>SUMIF('Eredeti fejléccel'!$B:$B,'Felosztás eredménykim'!$B142,'Eredeti fejléccel'!$AN:$AN)</f>
        <v>0</v>
      </c>
      <c r="BB142" s="6">
        <f>SUMIF('Eredeti fejléccel'!$B:$B,'Felosztás eredménykim'!$B142,'Eredeti fejléccel'!$AP:$AP)</f>
        <v>288962</v>
      </c>
      <c r="BD142" s="6">
        <f>SUMIF('Eredeti fejléccel'!$B:$B,'Felosztás eredménykim'!$B142,'Eredeti fejléccel'!$AS:$AS)</f>
        <v>0</v>
      </c>
      <c r="BE142" s="8">
        <f t="shared" si="238"/>
        <v>717295.95581790525</v>
      </c>
      <c r="BF142" s="36">
        <f t="shared" si="218"/>
        <v>-29623.63355344849</v>
      </c>
      <c r="BG142" s="8">
        <f t="shared" si="219"/>
        <v>81514.944995975296</v>
      </c>
      <c r="BH142" s="6">
        <f t="shared" si="125"/>
        <v>0</v>
      </c>
      <c r="BI142" s="6">
        <f>SUMIF('Eredeti fejléccel'!$B:$B,'Felosztás eredménykim'!$B142,'Eredeti fejléccel'!$AH:$AH)</f>
        <v>0</v>
      </c>
      <c r="BJ142" s="6">
        <f>SUMIF('Eredeti fejléccel'!$B:$B,'Felosztás eredménykim'!$B142,'Eredeti fejléccel'!$AO:$AO)</f>
        <v>0</v>
      </c>
      <c r="BK142" s="6">
        <f>SUMIF('Eredeti fejléccel'!$B:$B,'Felosztás eredménykim'!$B142,'Eredeti fejléccel'!$BF:$BF)</f>
        <v>0</v>
      </c>
      <c r="BL142" s="8">
        <f t="shared" si="126"/>
        <v>81514.944995975296</v>
      </c>
      <c r="BM142" s="36">
        <f t="shared" si="220"/>
        <v>-110989.88038025369</v>
      </c>
      <c r="BN142" s="8">
        <f t="shared" si="221"/>
        <v>305409.32725158747</v>
      </c>
      <c r="BP142" s="8">
        <f t="shared" si="127"/>
        <v>0</v>
      </c>
      <c r="BQ142" s="6">
        <f>SUMIF('Eredeti fejléccel'!$B:$B,'Felosztás eredménykim'!$B142,'Eredeti fejléccel'!$N:$N)</f>
        <v>0</v>
      </c>
      <c r="BR142" s="6">
        <f>SUMIF('Eredeti fejléccel'!$B:$B,'Felosztás eredménykim'!$B142,'Eredeti fejléccel'!$S:$S)</f>
        <v>0</v>
      </c>
      <c r="BT142" s="6">
        <f>SUMIF('Eredeti fejléccel'!$B:$B,'Felosztás eredménykim'!$B142,'Eredeti fejléccel'!$AR:$AR)</f>
        <v>0</v>
      </c>
      <c r="BU142" s="6">
        <f>SUMIF('Eredeti fejléccel'!$B:$B,'Felosztás eredménykim'!$B142,'Eredeti fejléccel'!$AU:$AU)</f>
        <v>0</v>
      </c>
      <c r="BV142" s="6">
        <f>SUMIF('Eredeti fejléccel'!$B:$B,'Felosztás eredménykim'!$B142,'Eredeti fejléccel'!$AV:$AV)</f>
        <v>-29463</v>
      </c>
      <c r="BW142" s="6">
        <f>SUMIF('Eredeti fejléccel'!$B:$B,'Felosztás eredménykim'!$B142,'Eredeti fejléccel'!$AW:$AW)</f>
        <v>0</v>
      </c>
      <c r="BX142" s="6">
        <f>SUMIF('Eredeti fejléccel'!$B:$B,'Felosztás eredménykim'!$B142,'Eredeti fejléccel'!$AX:$AX)</f>
        <v>0</v>
      </c>
      <c r="BY142" s="6">
        <f>SUMIF('Eredeti fejléccel'!$B:$B,'Felosztás eredménykim'!$B142,'Eredeti fejléccel'!$AY:$AY)</f>
        <v>0</v>
      </c>
      <c r="BZ142" s="6">
        <f>SUMIF('Eredeti fejléccel'!$B:$B,'Felosztás eredménykim'!$B142,'Eredeti fejléccel'!$AZ:$AZ)</f>
        <v>0</v>
      </c>
      <c r="CA142" s="6">
        <f>SUMIF('Eredeti fejléccel'!$B:$B,'Felosztás eredménykim'!$B142,'Eredeti fejléccel'!$BA:$BA)</f>
        <v>637710</v>
      </c>
      <c r="CB142" s="6">
        <f t="shared" si="253"/>
        <v>913656.32725158753</v>
      </c>
      <c r="CC142" s="36">
        <f t="shared" si="222"/>
        <v>-30216.106224517458</v>
      </c>
      <c r="CD142" s="8">
        <f t="shared" si="223"/>
        <v>83145.243895894804</v>
      </c>
      <c r="CE142" s="6">
        <f>SUMIF('Eredeti fejléccel'!$B:$B,'Felosztás eredménykim'!$B142,'Eredeti fejléccel'!$BC:$BC)</f>
        <v>0</v>
      </c>
      <c r="CF142" s="8">
        <f t="shared" si="135"/>
        <v>0</v>
      </c>
      <c r="CG142" s="6">
        <f>SUMIF('Eredeti fejléccel'!$B:$B,'Felosztás eredménykim'!$B142,'Eredeti fejléccel'!$H:$H)</f>
        <v>236600</v>
      </c>
      <c r="CH142" s="6">
        <f>SUMIF('Eredeti fejléccel'!$B:$B,'Felosztás eredménykim'!$B142,'Eredeti fejléccel'!$BE:$BE)</f>
        <v>0</v>
      </c>
      <c r="CI142" s="6">
        <f t="shared" si="239"/>
        <v>319745.24389589479</v>
      </c>
      <c r="CJ142" s="36">
        <f t="shared" si="224"/>
        <v>-21723.997939195564</v>
      </c>
      <c r="CK142" s="8">
        <f t="shared" si="225"/>
        <v>59777.626330381892</v>
      </c>
      <c r="CL142" s="8">
        <f t="shared" si="136"/>
        <v>0</v>
      </c>
      <c r="CM142" s="6">
        <f>SUMIF('Eredeti fejléccel'!$B:$B,'Felosztás eredménykim'!$B142,'Eredeti fejléccel'!$BD:$BD)</f>
        <v>0</v>
      </c>
      <c r="CN142" s="8">
        <f t="shared" si="240"/>
        <v>59777.626330381892</v>
      </c>
      <c r="CO142" s="8">
        <f t="shared" si="254"/>
        <v>2529143.5887314868</v>
      </c>
      <c r="CR142" s="36">
        <f t="shared" si="226"/>
        <v>-130491.697939472</v>
      </c>
      <c r="CS142" s="6">
        <f>SUMIF('Eredeti fejléccel'!$B:$B,'Felosztás eredménykim'!$B142,'Eredeti fejléccel'!$I:$I)</f>
        <v>0</v>
      </c>
      <c r="CT142" s="6">
        <f>SUMIF('Eredeti fejléccel'!$B:$B,'Felosztás eredménykim'!$B142,'Eredeti fejléccel'!$BG:$BG)</f>
        <v>0</v>
      </c>
      <c r="CU142" s="6">
        <f>SUMIF('Eredeti fejléccel'!$B:$B,'Felosztás eredménykim'!$B142,'Eredeti fejléccel'!$BH:$BH)</f>
        <v>-77034</v>
      </c>
      <c r="CV142" s="6">
        <f>SUMIF('Eredeti fejléccel'!$B:$B,'Felosztás eredménykim'!$B142,'Eredeti fejléccel'!$BI:$BI)</f>
        <v>34075</v>
      </c>
      <c r="CW142" s="6">
        <f>SUMIF('Eredeti fejléccel'!$B:$B,'Felosztás eredménykim'!$B142,'Eredeti fejléccel'!$BL:$BL)</f>
        <v>740638</v>
      </c>
      <c r="CX142" s="6">
        <f t="shared" si="241"/>
        <v>697679</v>
      </c>
      <c r="CY142" s="6">
        <f>SUMIF('Eredeti fejléccel'!$B:$B,'Felosztás eredménykim'!$B142,'Eredeti fejléccel'!$BJ:$BJ)</f>
        <v>260459</v>
      </c>
      <c r="CZ142" s="6">
        <f>SUMIF('Eredeti fejléccel'!$B:$B,'Felosztás eredménykim'!$B142,'Eredeti fejléccel'!$BK:$BK)</f>
        <v>0</v>
      </c>
      <c r="DA142" s="99">
        <f t="shared" si="242"/>
        <v>958138</v>
      </c>
      <c r="DC142" s="36">
        <f t="shared" si="227"/>
        <v>-114293.0561493883</v>
      </c>
      <c r="DD142" s="6">
        <f>SUMIF('Eredeti fejléccel'!$B:$B,'Felosztás eredménykim'!$B142,'Eredeti fejléccel'!$J:$J)</f>
        <v>0</v>
      </c>
      <c r="DE142" s="6">
        <f>SUMIF('Eredeti fejléccel'!$B:$B,'Felosztás eredménykim'!$B142,'Eredeti fejléccel'!$BM:$BM)</f>
        <v>40586</v>
      </c>
      <c r="DF142" s="6">
        <f t="shared" si="128"/>
        <v>0</v>
      </c>
      <c r="DG142" s="8">
        <f t="shared" si="255"/>
        <v>0</v>
      </c>
      <c r="DH142" s="8">
        <f t="shared" si="129"/>
        <v>40586</v>
      </c>
      <c r="DJ142" s="6">
        <f>SUMIF('Eredeti fejléccel'!$B:$B,'Felosztás eredménykim'!$B142,'Eredeti fejléccel'!$BN:$BN)</f>
        <v>258548</v>
      </c>
      <c r="DK142" s="6">
        <f>SUMIF('Eredeti fejléccel'!$B:$B,'Felosztás eredménykim'!$B142,'Eredeti fejléccel'!$BZ:$BZ)</f>
        <v>0</v>
      </c>
      <c r="DL142" s="8">
        <f t="shared" si="130"/>
        <v>258548</v>
      </c>
      <c r="DM142" s="6">
        <f>SUMIF('Eredeti fejléccel'!$B:$B,'Felosztás eredménykim'!$B142,'Eredeti fejléccel'!$BR:$BR)</f>
        <v>0</v>
      </c>
      <c r="DN142" s="6">
        <f>SUMIF('Eredeti fejléccel'!$B:$B,'Felosztás eredménykim'!$B142,'Eredeti fejléccel'!$BS:$BS)</f>
        <v>0</v>
      </c>
      <c r="DO142" s="6">
        <f>SUMIF('Eredeti fejléccel'!$B:$B,'Felosztás eredménykim'!$B142,'Eredeti fejléccel'!$BO:$BO)</f>
        <v>0</v>
      </c>
      <c r="DP142" s="6">
        <f>SUMIF('Eredeti fejléccel'!$B:$B,'Felosztás eredménykim'!$B142,'Eredeti fejléccel'!$BP:$BP)</f>
        <v>0</v>
      </c>
      <c r="DQ142" s="6">
        <f>SUMIF('Eredeti fejléccel'!$B:$B,'Felosztás eredménykim'!$B142,'Eredeti fejléccel'!$BQ:$BQ)</f>
        <v>0</v>
      </c>
      <c r="DS142" s="8"/>
      <c r="DU142" s="6">
        <f>SUMIF('Eredeti fejléccel'!$B:$B,'Felosztás eredménykim'!$B142,'Eredeti fejléccel'!$BT:$BT)</f>
        <v>0</v>
      </c>
      <c r="DV142" s="6">
        <f>SUMIF('Eredeti fejléccel'!$B:$B,'Felosztás eredménykim'!$B142,'Eredeti fejléccel'!$BU:$BU)</f>
        <v>0</v>
      </c>
      <c r="DW142" s="6">
        <f>SUMIF('Eredeti fejléccel'!$B:$B,'Felosztás eredménykim'!$B142,'Eredeti fejléccel'!$BV:$BV)</f>
        <v>0</v>
      </c>
      <c r="DX142" s="6">
        <f>SUMIF('Eredeti fejléccel'!$B:$B,'Felosztás eredménykim'!$B142,'Eredeti fejléccel'!$BW:$BW)</f>
        <v>0</v>
      </c>
      <c r="DY142" s="6">
        <f>SUMIF('Eredeti fejléccel'!$B:$B,'Felosztás eredménykim'!$B142,'Eredeti fejléccel'!$BX:$BX)</f>
        <v>0</v>
      </c>
      <c r="EA142" s="6"/>
      <c r="EC142" s="6"/>
      <c r="EE142" s="6">
        <f>SUMIF('Eredeti fejléccel'!$B:$B,'Felosztás eredménykim'!$B142,'Eredeti fejléccel'!$CA:$CA)</f>
        <v>0</v>
      </c>
      <c r="EF142" s="6">
        <f>SUMIF('Eredeti fejléccel'!$B:$B,'Felosztás eredménykim'!$B142,'Eredeti fejléccel'!$CB:$CB)</f>
        <v>0</v>
      </c>
      <c r="EG142" s="6">
        <f>SUMIF('Eredeti fejléccel'!$B:$B,'Felosztás eredménykim'!$B142,'Eredeti fejléccel'!$CC:$CC)</f>
        <v>0</v>
      </c>
      <c r="EH142" s="6">
        <f>SUMIF('Eredeti fejléccel'!$B:$B,'Felosztás eredménykim'!$B142,'Eredeti fejléccel'!$CD:$CD)</f>
        <v>0</v>
      </c>
      <c r="EK142" s="6">
        <f>SUMIF('Eredeti fejléccel'!$B:$B,'Felosztás eredménykim'!$B142,'Eredeti fejléccel'!$CE:$CE)</f>
        <v>0</v>
      </c>
      <c r="EN142" s="6">
        <f>SUMIF('Eredeti fejléccel'!$B:$B,'Felosztás eredménykim'!$B142,'Eredeti fejléccel'!$CF:$CF)</f>
        <v>0</v>
      </c>
      <c r="EP142" s="6">
        <f>SUMIF('Eredeti fejléccel'!$B:$B,'Felosztás eredménykim'!$B142,'Eredeti fejléccel'!$CG:$CG)</f>
        <v>0</v>
      </c>
      <c r="ES142" s="6">
        <f>SUMIF('Eredeti fejléccel'!$B:$B,'Felosztás eredménykim'!$B142,'Eredeti fejléccel'!$CH:$CH)</f>
        <v>0</v>
      </c>
      <c r="ET142" s="6">
        <f>SUMIF('Eredeti fejléccel'!$B:$B,'Felosztás eredménykim'!$B142,'Eredeti fejléccel'!$CI:$CI)</f>
        <v>0</v>
      </c>
      <c r="EW142" s="8">
        <f t="shared" si="118"/>
        <v>0</v>
      </c>
      <c r="EX142" s="8">
        <f t="shared" si="243"/>
        <v>0</v>
      </c>
      <c r="EY142" s="8">
        <f t="shared" si="244"/>
        <v>40586</v>
      </c>
      <c r="EZ142" s="8">
        <f t="shared" si="120"/>
        <v>299134</v>
      </c>
      <c r="FA142" s="8">
        <f t="shared" si="121"/>
        <v>40586</v>
      </c>
      <c r="FC142" s="6">
        <f>SUMIF('Eredeti fejléccel'!$B:$B,'Felosztás eredménykim'!$B142,'Eredeti fejléccel'!$L:$L)</f>
        <v>0</v>
      </c>
      <c r="FD142" s="6">
        <f>SUMIF('Eredeti fejléccel'!$B:$B,'Felosztás eredménykim'!$B142,'Eredeti fejléccel'!$CJ:$CJ)</f>
        <v>1233014</v>
      </c>
      <c r="FE142" s="6">
        <f>SUMIF('Eredeti fejléccel'!$B:$B,'Felosztás eredménykim'!$B142,'Eredeti fejléccel'!$CL:$CL)</f>
        <v>0</v>
      </c>
      <c r="FG142" s="99">
        <f t="shared" si="245"/>
        <v>1233014</v>
      </c>
      <c r="FH142" s="6">
        <f>SUMIF('Eredeti fejléccel'!$B:$B,'Felosztás eredménykim'!$B142,'Eredeti fejléccel'!$CK:$CK)</f>
        <v>0</v>
      </c>
      <c r="FI142" s="36">
        <f t="shared" si="228"/>
        <v>-134473.02384112737</v>
      </c>
      <c r="FJ142" s="101">
        <f t="shared" si="229"/>
        <v>273416.11980598222</v>
      </c>
      <c r="FK142" s="6">
        <f>SUMIF('Eredeti fejléccel'!$B:$B,'Felosztás eredménykim'!$B142,'Eredeti fejléccel'!$CM:$CM)</f>
        <v>0</v>
      </c>
      <c r="FL142" s="6">
        <f>SUMIF('Eredeti fejléccel'!$B:$B,'Felosztás eredménykim'!$B142,'Eredeti fejléccel'!$CN:$CN)</f>
        <v>0</v>
      </c>
      <c r="FM142" s="8">
        <f t="shared" si="246"/>
        <v>273416.11980598222</v>
      </c>
      <c r="FN142" s="36">
        <f t="shared" si="230"/>
        <v>-114324.13109643059</v>
      </c>
      <c r="FO142" s="101">
        <f t="shared" si="231"/>
        <v>232448.55683104284</v>
      </c>
      <c r="FP142" s="6">
        <f>SUMIF('Eredeti fejléccel'!$B:$B,'Felosztás eredménykim'!$B142,'Eredeti fejléccel'!$CO:$CO)</f>
        <v>-252064</v>
      </c>
      <c r="FQ142" s="6">
        <f>'Eredeti fejléccel'!CP142</f>
        <v>0</v>
      </c>
      <c r="FR142" s="6">
        <f>'Eredeti fejléccel'!CQ142</f>
        <v>0</v>
      </c>
      <c r="FS142" s="103">
        <f t="shared" si="247"/>
        <v>-19615.443168957165</v>
      </c>
      <c r="FT142" s="36">
        <f t="shared" si="232"/>
        <v>-315567.93819370656</v>
      </c>
      <c r="FU142" s="101">
        <f t="shared" si="233"/>
        <v>641625.79773645918</v>
      </c>
      <c r="FV142" s="101"/>
      <c r="FW142" s="6">
        <f>SUMIF('Eredeti fejléccel'!$B:$B,'Felosztás eredménykim'!$B142,'Eredeti fejléccel'!$CR:$CR)</f>
        <v>3758951</v>
      </c>
      <c r="FX142" s="6">
        <f>SUMIF('Eredeti fejléccel'!$B:$B,'Felosztás eredménykim'!$B142,'Eredeti fejléccel'!$CS:$CS)</f>
        <v>0</v>
      </c>
      <c r="FY142" s="6">
        <f>SUMIF('Eredeti fejléccel'!$B:$B,'Felosztás eredménykim'!$B142,'Eredeti fejléccel'!$CT:$CT)</f>
        <v>-1015746</v>
      </c>
      <c r="FZ142" s="6">
        <f>SUMIF('Eredeti fejléccel'!$B:$B,'Felosztás eredménykim'!$B142,'Eredeti fejléccel'!$CU:$CU)</f>
        <v>0</v>
      </c>
      <c r="GA142" s="103">
        <f t="shared" si="248"/>
        <v>3384830.7977364594</v>
      </c>
      <c r="GB142" s="36">
        <f t="shared" si="234"/>
        <v>-42062.65200717729</v>
      </c>
      <c r="GC142" s="101">
        <f t="shared" si="235"/>
        <v>85523.525626515766</v>
      </c>
      <c r="GD142" s="6">
        <f>SUMIF('Eredeti fejléccel'!$B:$B,'Felosztás eredménykim'!$B142,'Eredeti fejléccel'!$CV:$CV)</f>
        <v>2913201</v>
      </c>
      <c r="GE142" s="6">
        <f>SUMIF('Eredeti fejléccel'!$B:$B,'Felosztás eredménykim'!$B142,'Eredeti fejléccel'!$CW:$CW)</f>
        <v>-183858</v>
      </c>
      <c r="GF142" s="103">
        <f t="shared" si="249"/>
        <v>2814866.525626516</v>
      </c>
      <c r="GG142" s="36">
        <f t="shared" si="236"/>
        <v>0</v>
      </c>
      <c r="GM142" s="6">
        <f>SUMIF('Eredeti fejléccel'!$B:$B,'Felosztás eredménykim'!$B142,'Eredeti fejléccel'!$CX:$CX)</f>
        <v>0</v>
      </c>
      <c r="GN142" s="6">
        <f>SUMIF('Eredeti fejléccel'!$B:$B,'Felosztás eredménykim'!$B142,'Eredeti fejléccel'!$CY:$CY)</f>
        <v>0</v>
      </c>
      <c r="GO142" s="6">
        <f>SUMIF('Eredeti fejléccel'!$B:$B,'Felosztás eredménykim'!$B142,'Eredeti fejléccel'!$CZ:$CZ)</f>
        <v>0</v>
      </c>
      <c r="GP142" s="6">
        <f>SUMIF('Eredeti fejléccel'!$B:$B,'Felosztás eredménykim'!$B142,'Eredeti fejléccel'!$DA:$DA)</f>
        <v>0</v>
      </c>
      <c r="GQ142" s="6">
        <f>SUMIF('Eredeti fejléccel'!$B:$B,'Felosztás eredménykim'!$B142,'Eredeti fejléccel'!$DB:$DB)</f>
        <v>0</v>
      </c>
      <c r="GR142" s="103">
        <f t="shared" si="250"/>
        <v>0</v>
      </c>
      <c r="GW142" s="36">
        <f t="shared" si="237"/>
        <v>-72205.089504185453</v>
      </c>
      <c r="GX142" s="6">
        <f>SUMIF('Eredeti fejléccel'!$B:$B,'Felosztás eredménykim'!$B142,'Eredeti fejléccel'!$M:$M)</f>
        <v>0</v>
      </c>
      <c r="GY142" s="6">
        <f>SUMIF('Eredeti fejléccel'!$B:$B,'Felosztás eredménykim'!$B142,'Eredeti fejléccel'!$DC:$DC)</f>
        <v>0</v>
      </c>
      <c r="GZ142" s="6">
        <f>SUMIF('Eredeti fejléccel'!$B:$B,'Felosztás eredménykim'!$B142,'Eredeti fejléccel'!$DD:$DD)</f>
        <v>0</v>
      </c>
      <c r="HA142" s="6">
        <f>SUMIF('Eredeti fejléccel'!$B:$B,'Felosztás eredménykim'!$B142,'Eredeti fejléccel'!$DE:$DE)</f>
        <v>0</v>
      </c>
      <c r="HB142" s="103">
        <f t="shared" si="251"/>
        <v>0</v>
      </c>
      <c r="HD142" s="9">
        <f t="shared" si="256"/>
        <v>9316495.9999999925</v>
      </c>
      <c r="HE142" s="9">
        <v>9316496</v>
      </c>
      <c r="HF142" s="476"/>
      <c r="HH142" s="34">
        <f t="shared" si="252"/>
        <v>0</v>
      </c>
    </row>
    <row r="143" spans="1:232" x14ac:dyDescent="0.25">
      <c r="A143" s="4" t="s">
        <v>266</v>
      </c>
      <c r="B143" s="4" t="s">
        <v>266</v>
      </c>
      <c r="C143" s="1" t="s">
        <v>267</v>
      </c>
      <c r="D143" s="6">
        <f>SUMIF('Eredeti fejléccel'!$B:$B,'Felosztás eredménykim'!$B143,'Eredeti fejléccel'!$D:$D)</f>
        <v>0</v>
      </c>
      <c r="E143" s="6">
        <f>SUMIF('Eredeti fejléccel'!$B:$B,'Felosztás eredménykim'!$B143,'Eredeti fejléccel'!$E:$E)</f>
        <v>12821720</v>
      </c>
      <c r="F143" s="6">
        <f>SUMIF('Eredeti fejléccel'!$B:$B,'Felosztás eredménykim'!$B143,'Eredeti fejléccel'!$F:$F)</f>
        <v>0</v>
      </c>
      <c r="G143" s="6">
        <f>SUMIF('Eredeti fejléccel'!$B:$B,'Felosztás eredménykim'!$B143,'Eredeti fejléccel'!$G:$G)</f>
        <v>94839</v>
      </c>
      <c r="H143" s="6"/>
      <c r="I143" s="6">
        <f>SUMIF('Eredeti fejléccel'!$B:$B,'Felosztás eredménykim'!$B143,'Eredeti fejléccel'!$O:$O)</f>
        <v>3855031</v>
      </c>
      <c r="J143" s="6">
        <f>SUMIF('Eredeti fejléccel'!$B:$B,'Felosztás eredménykim'!$B143,'Eredeti fejléccel'!$P:$P)</f>
        <v>0</v>
      </c>
      <c r="K143" s="6">
        <f>SUMIF('Eredeti fejléccel'!$B:$B,'Felosztás eredménykim'!$B143,'Eredeti fejléccel'!$Q:$Q)</f>
        <v>0</v>
      </c>
      <c r="L143" s="6">
        <f>SUMIF('Eredeti fejléccel'!$B:$B,'Felosztás eredménykim'!$B143,'Eredeti fejléccel'!$R:$R)</f>
        <v>124800</v>
      </c>
      <c r="M143" s="6">
        <f>SUMIF('Eredeti fejléccel'!$B:$B,'Felosztás eredménykim'!$B143,'Eredeti fejléccel'!$T:$T)</f>
        <v>48838</v>
      </c>
      <c r="N143" s="6">
        <f>SUMIF('Eredeti fejléccel'!$B:$B,'Felosztás eredménykim'!$B143,'Eredeti fejléccel'!$U:$U)</f>
        <v>0</v>
      </c>
      <c r="O143" s="6">
        <f>SUMIF('Eredeti fejléccel'!$B:$B,'Felosztás eredménykim'!$B143,'Eredeti fejléccel'!$V:$V)</f>
        <v>48020</v>
      </c>
      <c r="P143" s="6">
        <f>SUMIF('Eredeti fejléccel'!$B:$B,'Felosztás eredménykim'!$B143,'Eredeti fejléccel'!$W:$W)</f>
        <v>815331</v>
      </c>
      <c r="Q143" s="6">
        <f>SUMIF('Eredeti fejléccel'!$B:$B,'Felosztás eredménykim'!$B143,'Eredeti fejléccel'!$X:$X)</f>
        <v>192898</v>
      </c>
      <c r="R143" s="6">
        <f>SUMIF('Eredeti fejléccel'!$B:$B,'Felosztás eredménykim'!$B143,'Eredeti fejléccel'!$Y:$Y)</f>
        <v>0</v>
      </c>
      <c r="S143" s="6">
        <f>SUMIF('Eredeti fejléccel'!$B:$B,'Felosztás eredménykim'!$B143,'Eredeti fejléccel'!$Z:$Z)</f>
        <v>0</v>
      </c>
      <c r="T143" s="6">
        <f>SUMIF('Eredeti fejléccel'!$B:$B,'Felosztás eredménykim'!$B143,'Eredeti fejléccel'!$AA:$AA)</f>
        <v>0</v>
      </c>
      <c r="U143" s="6">
        <f>SUMIF('Eredeti fejléccel'!$B:$B,'Felosztás eredménykim'!$B143,'Eredeti fejléccel'!$D:$D)</f>
        <v>0</v>
      </c>
      <c r="V143" s="6">
        <f>SUMIF('Eredeti fejléccel'!$B:$B,'Felosztás eredménykim'!$B143,'Eredeti fejléccel'!$AT:$AT)</f>
        <v>111380</v>
      </c>
      <c r="W143" s="36">
        <f>-W272-W273</f>
        <v>-18112857</v>
      </c>
      <c r="X143" s="36">
        <f t="shared" si="211"/>
        <v>0</v>
      </c>
      <c r="Z143" s="6">
        <f>SUMIF('Eredeti fejléccel'!$B:$B,'Felosztás eredménykim'!$B143,'Eredeti fejléccel'!$K:$K)</f>
        <v>6578922</v>
      </c>
      <c r="AB143" s="6">
        <f>SUMIF('Eredeti fejléccel'!$B:$B,'Felosztás eredménykim'!$B143,'Eredeti fejléccel'!$AB:$AB)</f>
        <v>379530</v>
      </c>
      <c r="AC143" s="6">
        <f>SUMIF('Eredeti fejléccel'!$B:$B,'Felosztás eredménykim'!$B143,'Eredeti fejléccel'!$AQ:$AQ)</f>
        <v>0</v>
      </c>
      <c r="AD143" s="73">
        <f>-Z143-AB143</f>
        <v>-6958452</v>
      </c>
      <c r="AE143" s="73">
        <f t="shared" si="131"/>
        <v>0</v>
      </c>
      <c r="AF143" s="36">
        <f t="shared" si="212"/>
        <v>0</v>
      </c>
      <c r="AG143" s="8">
        <f t="shared" si="213"/>
        <v>0</v>
      </c>
      <c r="AI143" s="6">
        <f>SUMIF('Eredeti fejléccel'!$B:$B,'Felosztás eredménykim'!$B143,'Eredeti fejléccel'!$BB:$BB)</f>
        <v>0</v>
      </c>
      <c r="AJ143" s="6">
        <f>SUMIF('Eredeti fejléccel'!$B:$B,'Felosztás eredménykim'!$B143,'Eredeti fejléccel'!$AF:$AF)</f>
        <v>0</v>
      </c>
      <c r="AK143" s="8">
        <f t="shared" si="177"/>
        <v>0</v>
      </c>
      <c r="AL143" s="36">
        <f t="shared" si="214"/>
        <v>0</v>
      </c>
      <c r="AM143" s="8">
        <f t="shared" si="215"/>
        <v>0</v>
      </c>
      <c r="AN143" s="6">
        <f t="shared" si="123"/>
        <v>0</v>
      </c>
      <c r="AO143" s="6">
        <f>SUMIF('Eredeti fejléccel'!$B:$B,'Felosztás eredménykim'!$B143,'Eredeti fejléccel'!$AC:$AC)</f>
        <v>0</v>
      </c>
      <c r="AP143" s="6">
        <f>SUMIF('Eredeti fejléccel'!$B:$B,'Felosztás eredménykim'!$B143,'Eredeti fejléccel'!$AD:$AD)</f>
        <v>0</v>
      </c>
      <c r="AQ143" s="6">
        <f>SUMIF('Eredeti fejléccel'!$B:$B,'Felosztás eredménykim'!$B143,'Eredeti fejléccel'!$AE:$AE)</f>
        <v>0</v>
      </c>
      <c r="AR143" s="6">
        <f>SUMIF('Eredeti fejléccel'!$B:$B,'Felosztás eredménykim'!$B143,'Eredeti fejléccel'!$AG:$AG)</f>
        <v>213016</v>
      </c>
      <c r="AS143" s="6">
        <f t="shared" si="124"/>
        <v>213016</v>
      </c>
      <c r="AT143" s="36">
        <f t="shared" si="216"/>
        <v>0</v>
      </c>
      <c r="AU143" s="8">
        <f t="shared" si="217"/>
        <v>0</v>
      </c>
      <c r="AV143" s="6">
        <f>SUMIF('Eredeti fejléccel'!$B:$B,'Felosztás eredménykim'!$B143,'Eredeti fejléccel'!$AI:$AI)</f>
        <v>0</v>
      </c>
      <c r="AW143" s="6">
        <f>SUMIF('Eredeti fejléccel'!$B:$B,'Felosztás eredménykim'!$B143,'Eredeti fejléccel'!$AJ:$AJ)</f>
        <v>0</v>
      </c>
      <c r="AX143" s="6">
        <f>SUMIF('Eredeti fejléccel'!$B:$B,'Felosztás eredménykim'!$B143,'Eredeti fejléccel'!$AK:$AK)</f>
        <v>327563</v>
      </c>
      <c r="AY143" s="6">
        <f>SUMIF('Eredeti fejléccel'!$B:$B,'Felosztás eredménykim'!$B143,'Eredeti fejléccel'!$AL:$AL)</f>
        <v>137280</v>
      </c>
      <c r="AZ143" s="6">
        <f>SUMIF('Eredeti fejléccel'!$B:$B,'Felosztás eredménykim'!$B143,'Eredeti fejléccel'!$AM:$AM)</f>
        <v>0</v>
      </c>
      <c r="BA143" s="6">
        <f>SUMIF('Eredeti fejléccel'!$B:$B,'Felosztás eredménykim'!$B143,'Eredeti fejléccel'!$AN:$AN)</f>
        <v>0</v>
      </c>
      <c r="BB143" s="6">
        <f>SUMIF('Eredeti fejléccel'!$B:$B,'Felosztás eredménykim'!$B143,'Eredeti fejléccel'!$AP:$AP)</f>
        <v>0</v>
      </c>
      <c r="BD143" s="6">
        <f>SUMIF('Eredeti fejléccel'!$B:$B,'Felosztás eredménykim'!$B143,'Eredeti fejléccel'!$AS:$AS)</f>
        <v>0</v>
      </c>
      <c r="BE143" s="8">
        <f t="shared" si="238"/>
        <v>464843</v>
      </c>
      <c r="BF143" s="36">
        <f t="shared" si="218"/>
        <v>0</v>
      </c>
      <c r="BG143" s="8">
        <f t="shared" si="219"/>
        <v>0</v>
      </c>
      <c r="BH143" s="6">
        <f t="shared" si="125"/>
        <v>0</v>
      </c>
      <c r="BI143" s="6">
        <f>SUMIF('Eredeti fejléccel'!$B:$B,'Felosztás eredménykim'!$B143,'Eredeti fejléccel'!$AH:$AH)</f>
        <v>62400</v>
      </c>
      <c r="BJ143" s="6">
        <f>SUMIF('Eredeti fejléccel'!$B:$B,'Felosztás eredménykim'!$B143,'Eredeti fejléccel'!$AO:$AO)</f>
        <v>0</v>
      </c>
      <c r="BK143" s="6">
        <f>SUMIF('Eredeti fejléccel'!$B:$B,'Felosztás eredménykim'!$B143,'Eredeti fejléccel'!$BF:$BF)</f>
        <v>0</v>
      </c>
      <c r="BL143" s="8">
        <f t="shared" si="126"/>
        <v>62400</v>
      </c>
      <c r="BM143" s="36">
        <f t="shared" si="220"/>
        <v>0</v>
      </c>
      <c r="BN143" s="8">
        <f t="shared" si="221"/>
        <v>0</v>
      </c>
      <c r="BP143" s="8">
        <f t="shared" si="127"/>
        <v>0</v>
      </c>
      <c r="BQ143" s="6">
        <f>SUMIF('Eredeti fejléccel'!$B:$B,'Felosztás eredménykim'!$B143,'Eredeti fejléccel'!$N:$N)</f>
        <v>0</v>
      </c>
      <c r="BR143" s="6">
        <f>SUMIF('Eredeti fejléccel'!$B:$B,'Felosztás eredménykim'!$B143,'Eredeti fejléccel'!$S:$S)</f>
        <v>0</v>
      </c>
      <c r="BT143" s="6">
        <f>SUMIF('Eredeti fejléccel'!$B:$B,'Felosztás eredménykim'!$B143,'Eredeti fejléccel'!$AR:$AR)</f>
        <v>0</v>
      </c>
      <c r="BU143" s="6">
        <f>SUMIF('Eredeti fejléccel'!$B:$B,'Felosztás eredménykim'!$B143,'Eredeti fejléccel'!$AU:$AU)</f>
        <v>0</v>
      </c>
      <c r="BV143" s="6">
        <f>SUMIF('Eredeti fejléccel'!$B:$B,'Felosztás eredménykim'!$B143,'Eredeti fejléccel'!$AV:$AV)</f>
        <v>45000</v>
      </c>
      <c r="BW143" s="6">
        <f>SUMIF('Eredeti fejléccel'!$B:$B,'Felosztás eredménykim'!$B143,'Eredeti fejléccel'!$AW:$AW)</f>
        <v>0</v>
      </c>
      <c r="BX143" s="6">
        <f>SUMIF('Eredeti fejléccel'!$B:$B,'Felosztás eredménykim'!$B143,'Eredeti fejléccel'!$AX:$AX)</f>
        <v>0</v>
      </c>
      <c r="BY143" s="6">
        <f>SUMIF('Eredeti fejléccel'!$B:$B,'Felosztás eredménykim'!$B143,'Eredeti fejléccel'!$AY:$AY)</f>
        <v>0</v>
      </c>
      <c r="BZ143" s="6">
        <f>SUMIF('Eredeti fejléccel'!$B:$B,'Felosztás eredménykim'!$B143,'Eredeti fejléccel'!$AZ:$AZ)</f>
        <v>0</v>
      </c>
      <c r="CA143" s="6">
        <f>SUMIF('Eredeti fejléccel'!$B:$B,'Felosztás eredménykim'!$B143,'Eredeti fejléccel'!$BA:$BA)</f>
        <v>7677772</v>
      </c>
      <c r="CB143" s="6">
        <f t="shared" si="253"/>
        <v>7722772</v>
      </c>
      <c r="CC143" s="36">
        <f t="shared" si="222"/>
        <v>0</v>
      </c>
      <c r="CD143" s="8">
        <f t="shared" si="223"/>
        <v>0</v>
      </c>
      <c r="CE143" s="6">
        <f>SUMIF('Eredeti fejléccel'!$B:$B,'Felosztás eredménykim'!$B143,'Eredeti fejléccel'!$BC:$BC)</f>
        <v>0</v>
      </c>
      <c r="CF143" s="8">
        <f t="shared" si="135"/>
        <v>0</v>
      </c>
      <c r="CG143" s="6">
        <f>SUMIF('Eredeti fejléccel'!$B:$B,'Felosztás eredménykim'!$B143,'Eredeti fejléccel'!$H:$H)</f>
        <v>0</v>
      </c>
      <c r="CH143" s="6">
        <f>SUMIF('Eredeti fejléccel'!$B:$B,'Felosztás eredménykim'!$B143,'Eredeti fejléccel'!$BE:$BE)</f>
        <v>537238</v>
      </c>
      <c r="CI143" s="6">
        <f t="shared" si="239"/>
        <v>537238</v>
      </c>
      <c r="CJ143" s="36">
        <f t="shared" si="224"/>
        <v>0</v>
      </c>
      <c r="CK143" s="8">
        <f t="shared" si="225"/>
        <v>0</v>
      </c>
      <c r="CL143" s="8">
        <f t="shared" si="136"/>
        <v>0</v>
      </c>
      <c r="CM143" s="6">
        <f>SUMIF('Eredeti fejléccel'!$B:$B,'Felosztás eredménykim'!$B143,'Eredeti fejléccel'!$BD:$BD)</f>
        <v>144009</v>
      </c>
      <c r="CN143" s="8">
        <f t="shared" si="240"/>
        <v>144009</v>
      </c>
      <c r="CO143" s="8">
        <f t="shared" si="254"/>
        <v>9144278</v>
      </c>
      <c r="CR143" s="36">
        <f t="shared" si="226"/>
        <v>0</v>
      </c>
      <c r="CS143" s="6">
        <f>SUMIF('Eredeti fejléccel'!$B:$B,'Felosztás eredménykim'!$B143,'Eredeti fejléccel'!$I:$I)</f>
        <v>0</v>
      </c>
      <c r="CT143" s="6">
        <f>SUMIF('Eredeti fejléccel'!$B:$B,'Felosztás eredménykim'!$B143,'Eredeti fejléccel'!$BG:$BG)</f>
        <v>0</v>
      </c>
      <c r="CU143" s="6">
        <f>SUMIF('Eredeti fejléccel'!$B:$B,'Felosztás eredménykim'!$B143,'Eredeti fejléccel'!$BH:$BH)</f>
        <v>199563</v>
      </c>
      <c r="CV143" s="6">
        <f>SUMIF('Eredeti fejléccel'!$B:$B,'Felosztás eredménykim'!$B143,'Eredeti fejléccel'!$BI:$BI)</f>
        <v>0</v>
      </c>
      <c r="CW143" s="6">
        <f>SUMIF('Eredeti fejléccel'!$B:$B,'Felosztás eredménykim'!$B143,'Eredeti fejléccel'!$BL:$BL)</f>
        <v>169880</v>
      </c>
      <c r="CX143" s="6">
        <f t="shared" si="241"/>
        <v>369443</v>
      </c>
      <c r="CY143" s="6">
        <f>SUMIF('Eredeti fejléccel'!$B:$B,'Felosztás eredménykim'!$B143,'Eredeti fejléccel'!$BJ:$BJ)</f>
        <v>0</v>
      </c>
      <c r="CZ143" s="6">
        <f>SUMIF('Eredeti fejléccel'!$B:$B,'Felosztás eredménykim'!$B143,'Eredeti fejléccel'!$BK:$BK)</f>
        <v>0</v>
      </c>
      <c r="DA143" s="99">
        <f t="shared" si="242"/>
        <v>369443</v>
      </c>
      <c r="DC143" s="36">
        <f t="shared" si="227"/>
        <v>0</v>
      </c>
      <c r="DD143" s="6">
        <f>SUMIF('Eredeti fejléccel'!$B:$B,'Felosztás eredménykim'!$B143,'Eredeti fejléccel'!$J:$J)</f>
        <v>0</v>
      </c>
      <c r="DE143" s="6">
        <f>SUMIF('Eredeti fejléccel'!$B:$B,'Felosztás eredménykim'!$B143,'Eredeti fejléccel'!$BM:$BM)</f>
        <v>0</v>
      </c>
      <c r="DF143" s="6">
        <f t="shared" si="128"/>
        <v>0</v>
      </c>
      <c r="DG143" s="8">
        <f t="shared" si="255"/>
        <v>0</v>
      </c>
      <c r="DH143" s="8">
        <f t="shared" si="129"/>
        <v>0</v>
      </c>
      <c r="DJ143" s="6">
        <f>SUMIF('Eredeti fejléccel'!$B:$B,'Felosztás eredménykim'!$B143,'Eredeti fejléccel'!$BN:$BN)</f>
        <v>0</v>
      </c>
      <c r="DK143" s="6">
        <f>SUMIF('Eredeti fejléccel'!$B:$B,'Felosztás eredménykim'!$B143,'Eredeti fejléccel'!$BZ:$BZ)</f>
        <v>0</v>
      </c>
      <c r="DL143" s="8">
        <f t="shared" si="130"/>
        <v>0</v>
      </c>
      <c r="DM143" s="6">
        <f>SUMIF('Eredeti fejléccel'!$B:$B,'Felosztás eredménykim'!$B143,'Eredeti fejléccel'!$BR:$BR)</f>
        <v>0</v>
      </c>
      <c r="DN143" s="6">
        <f>SUMIF('Eredeti fejléccel'!$B:$B,'Felosztás eredménykim'!$B143,'Eredeti fejléccel'!$BS:$BS)</f>
        <v>0</v>
      </c>
      <c r="DO143" s="6">
        <f>SUMIF('Eredeti fejléccel'!$B:$B,'Felosztás eredménykim'!$B143,'Eredeti fejléccel'!$BO:$BO)</f>
        <v>0</v>
      </c>
      <c r="DP143" s="6">
        <f>SUMIF('Eredeti fejléccel'!$B:$B,'Felosztás eredménykim'!$B143,'Eredeti fejléccel'!$BP:$BP)</f>
        <v>0</v>
      </c>
      <c r="DQ143" s="6">
        <f>SUMIF('Eredeti fejléccel'!$B:$B,'Felosztás eredménykim'!$B143,'Eredeti fejléccel'!$BQ:$BQ)</f>
        <v>0</v>
      </c>
      <c r="DS143" s="8"/>
      <c r="DU143" s="6">
        <f>SUMIF('Eredeti fejléccel'!$B:$B,'Felosztás eredménykim'!$B143,'Eredeti fejléccel'!$BT:$BT)</f>
        <v>0</v>
      </c>
      <c r="DV143" s="6">
        <f>SUMIF('Eredeti fejléccel'!$B:$B,'Felosztás eredménykim'!$B143,'Eredeti fejléccel'!$BU:$BU)</f>
        <v>0</v>
      </c>
      <c r="DW143" s="6">
        <f>SUMIF('Eredeti fejléccel'!$B:$B,'Felosztás eredménykim'!$B143,'Eredeti fejléccel'!$BV:$BV)</f>
        <v>0</v>
      </c>
      <c r="DX143" s="6">
        <f>SUMIF('Eredeti fejléccel'!$B:$B,'Felosztás eredménykim'!$B143,'Eredeti fejléccel'!$BW:$BW)</f>
        <v>0</v>
      </c>
      <c r="DY143" s="6">
        <f>SUMIF('Eredeti fejléccel'!$B:$B,'Felosztás eredménykim'!$B143,'Eredeti fejléccel'!$BX:$BX)</f>
        <v>0</v>
      </c>
      <c r="EA143" s="6"/>
      <c r="EC143" s="6"/>
      <c r="EE143" s="6">
        <f>SUMIF('Eredeti fejléccel'!$B:$B,'Felosztás eredménykim'!$B143,'Eredeti fejléccel'!$CA:$CA)</f>
        <v>0</v>
      </c>
      <c r="EF143" s="6">
        <f>SUMIF('Eredeti fejléccel'!$B:$B,'Felosztás eredménykim'!$B143,'Eredeti fejléccel'!$CB:$CB)</f>
        <v>0</v>
      </c>
      <c r="EG143" s="6">
        <f>SUMIF('Eredeti fejléccel'!$B:$B,'Felosztás eredménykim'!$B143,'Eredeti fejléccel'!$CC:$CC)</f>
        <v>0</v>
      </c>
      <c r="EH143" s="6">
        <f>SUMIF('Eredeti fejléccel'!$B:$B,'Felosztás eredménykim'!$B143,'Eredeti fejléccel'!$CD:$CD)</f>
        <v>0</v>
      </c>
      <c r="EK143" s="6">
        <f>SUMIF('Eredeti fejléccel'!$B:$B,'Felosztás eredménykim'!$B143,'Eredeti fejléccel'!$CE:$CE)</f>
        <v>0</v>
      </c>
      <c r="EN143" s="6">
        <f>SUMIF('Eredeti fejléccel'!$B:$B,'Felosztás eredménykim'!$B143,'Eredeti fejléccel'!$CF:$CF)</f>
        <v>0</v>
      </c>
      <c r="EP143" s="6">
        <f>SUMIF('Eredeti fejléccel'!$B:$B,'Felosztás eredménykim'!$B143,'Eredeti fejléccel'!$CG:$CG)</f>
        <v>0</v>
      </c>
      <c r="ES143" s="6">
        <f>SUMIF('Eredeti fejléccel'!$B:$B,'Felosztás eredménykim'!$B143,'Eredeti fejléccel'!$CH:$CH)</f>
        <v>0</v>
      </c>
      <c r="ET143" s="6">
        <f>SUMIF('Eredeti fejléccel'!$B:$B,'Felosztás eredménykim'!$B143,'Eredeti fejléccel'!$CI:$CI)</f>
        <v>0</v>
      </c>
      <c r="EW143" s="8">
        <f t="shared" ref="EW143:EW223" si="288">SUM(DR143:ED143)</f>
        <v>0</v>
      </c>
      <c r="EX143" s="8">
        <f t="shared" si="243"/>
        <v>0</v>
      </c>
      <c r="EY143" s="8">
        <f t="shared" si="244"/>
        <v>0</v>
      </c>
      <c r="EZ143" s="8">
        <f t="shared" ref="EZ143:EZ223" si="289">EY143+DL143+DM143+DN143+DO143+DP143+DQ143</f>
        <v>0</v>
      </c>
      <c r="FA143" s="8">
        <f t="shared" ref="FA143:FA223" si="290">EZ143-DL143-DM143</f>
        <v>0</v>
      </c>
      <c r="FC143" s="6">
        <f>SUMIF('Eredeti fejléccel'!$B:$B,'Felosztás eredménykim'!$B143,'Eredeti fejléccel'!$L:$L)</f>
        <v>0</v>
      </c>
      <c r="FD143" s="6">
        <f>SUMIF('Eredeti fejléccel'!$B:$B,'Felosztás eredménykim'!$B143,'Eredeti fejléccel'!$CJ:$CJ)</f>
        <v>1481422</v>
      </c>
      <c r="FE143" s="6">
        <f>SUMIF('Eredeti fejléccel'!$B:$B,'Felosztás eredménykim'!$B143,'Eredeti fejléccel'!$CL:$CL)</f>
        <v>0</v>
      </c>
      <c r="FF143" s="73">
        <f>-FD143</f>
        <v>-1481422</v>
      </c>
      <c r="FG143" s="99">
        <f t="shared" si="245"/>
        <v>0</v>
      </c>
      <c r="FH143" s="6">
        <f>SUMIF('Eredeti fejléccel'!$B:$B,'Felosztás eredménykim'!$B143,'Eredeti fejléccel'!$CK:$CK)</f>
        <v>0</v>
      </c>
      <c r="FI143" s="36">
        <f t="shared" si="228"/>
        <v>0</v>
      </c>
      <c r="FJ143" s="101">
        <f t="shared" si="229"/>
        <v>0</v>
      </c>
      <c r="FK143" s="6">
        <f>SUMIF('Eredeti fejléccel'!$B:$B,'Felosztás eredménykim'!$B143,'Eredeti fejléccel'!$CM:$CM)</f>
        <v>0</v>
      </c>
      <c r="FL143" s="6">
        <f>SUMIF('Eredeti fejléccel'!$B:$B,'Felosztás eredménykim'!$B143,'Eredeti fejléccel'!$CN:$CN)</f>
        <v>0</v>
      </c>
      <c r="FM143" s="8">
        <f t="shared" si="246"/>
        <v>0</v>
      </c>
      <c r="FN143" s="36">
        <f t="shared" si="230"/>
        <v>0</v>
      </c>
      <c r="FO143" s="101">
        <f t="shared" si="231"/>
        <v>0</v>
      </c>
      <c r="FP143" s="6">
        <f>SUMIF('Eredeti fejléccel'!$B:$B,'Felosztás eredménykim'!$B143,'Eredeti fejléccel'!$CO:$CO)</f>
        <v>3324366</v>
      </c>
      <c r="FQ143" s="6">
        <f>'Eredeti fejléccel'!CP143</f>
        <v>0</v>
      </c>
      <c r="FR143" s="6">
        <f>'Eredeti fejléccel'!CQ143</f>
        <v>0</v>
      </c>
      <c r="FS143" s="103">
        <f t="shared" si="247"/>
        <v>3324366</v>
      </c>
      <c r="FT143" s="36">
        <f t="shared" si="232"/>
        <v>0</v>
      </c>
      <c r="FU143" s="101">
        <f t="shared" si="233"/>
        <v>0</v>
      </c>
      <c r="FV143" s="101"/>
      <c r="FW143" s="6">
        <f>SUMIF('Eredeti fejléccel'!$B:$B,'Felosztás eredménykim'!$B143,'Eredeti fejléccel'!$CR:$CR)</f>
        <v>17226605</v>
      </c>
      <c r="FX143" s="6">
        <f>SUMIF('Eredeti fejléccel'!$B:$B,'Felosztás eredménykim'!$B143,'Eredeti fejléccel'!$CS:$CS)</f>
        <v>0</v>
      </c>
      <c r="FY143" s="6">
        <f>SUMIF('Eredeti fejléccel'!$B:$B,'Felosztás eredménykim'!$B143,'Eredeti fejléccel'!$CT:$CT)</f>
        <v>1045886</v>
      </c>
      <c r="FZ143" s="6">
        <f>SUMIF('Eredeti fejléccel'!$B:$B,'Felosztás eredménykim'!$B143,'Eredeti fejléccel'!$CU:$CU)</f>
        <v>0</v>
      </c>
      <c r="GA143" s="103">
        <f t="shared" si="248"/>
        <v>18272491</v>
      </c>
      <c r="GB143" s="36">
        <f t="shared" si="234"/>
        <v>0</v>
      </c>
      <c r="GC143" s="101">
        <f t="shared" si="235"/>
        <v>0</v>
      </c>
      <c r="GD143" s="6">
        <f>SUMIF('Eredeti fejléccel'!$B:$B,'Felosztás eredménykim'!$B143,'Eredeti fejléccel'!$CV:$CV)</f>
        <v>2744486</v>
      </c>
      <c r="GE143" s="6">
        <f>SUMIF('Eredeti fejléccel'!$B:$B,'Felosztás eredménykim'!$B143,'Eredeti fejléccel'!$CW:$CW)</f>
        <v>183858</v>
      </c>
      <c r="GF143" s="103">
        <f t="shared" si="249"/>
        <v>2928344</v>
      </c>
      <c r="GG143" s="36">
        <f t="shared" si="236"/>
        <v>0</v>
      </c>
      <c r="GM143" s="6">
        <f>SUMIF('Eredeti fejléccel'!$B:$B,'Felosztás eredménykim'!$B143,'Eredeti fejléccel'!$CX:$CX)</f>
        <v>0</v>
      </c>
      <c r="GN143" s="6">
        <f>SUMIF('Eredeti fejléccel'!$B:$B,'Felosztás eredménykim'!$B143,'Eredeti fejléccel'!$CY:$CY)</f>
        <v>0</v>
      </c>
      <c r="GO143" s="6">
        <f>SUMIF('Eredeti fejléccel'!$B:$B,'Felosztás eredménykim'!$B143,'Eredeti fejléccel'!$CZ:$CZ)</f>
        <v>0</v>
      </c>
      <c r="GP143" s="6">
        <f>SUMIF('Eredeti fejléccel'!$B:$B,'Felosztás eredménykim'!$B143,'Eredeti fejléccel'!$DA:$DA)</f>
        <v>0</v>
      </c>
      <c r="GQ143" s="6">
        <f>SUMIF('Eredeti fejléccel'!$B:$B,'Felosztás eredménykim'!$B143,'Eredeti fejléccel'!$DB:$DB)</f>
        <v>0</v>
      </c>
      <c r="GR143" s="103">
        <f t="shared" si="250"/>
        <v>0</v>
      </c>
      <c r="GW143" s="36">
        <f t="shared" si="237"/>
        <v>0</v>
      </c>
      <c r="GX143" s="6">
        <f>SUMIF('Eredeti fejléccel'!$B:$B,'Felosztás eredménykim'!$B143,'Eredeti fejléccel'!$M:$M)</f>
        <v>0</v>
      </c>
      <c r="GY143" s="6">
        <f>SUMIF('Eredeti fejléccel'!$B:$B,'Felosztás eredménykim'!$B143,'Eredeti fejléccel'!$DC:$DC)</f>
        <v>536680</v>
      </c>
      <c r="GZ143" s="6">
        <f>SUMIF('Eredeti fejléccel'!$B:$B,'Felosztás eredménykim'!$B143,'Eredeti fejléccel'!$DD:$DD)</f>
        <v>0</v>
      </c>
      <c r="HA143" s="6">
        <f>SUMIF('Eredeti fejléccel'!$B:$B,'Felosztás eredménykim'!$B143,'Eredeti fejléccel'!$DE:$DE)</f>
        <v>0</v>
      </c>
      <c r="HB143" s="103">
        <f t="shared" si="251"/>
        <v>536680</v>
      </c>
      <c r="HD143" s="9">
        <f t="shared" si="256"/>
        <v>61128333</v>
      </c>
      <c r="HE143" s="9">
        <v>61128333</v>
      </c>
      <c r="HF143" s="476"/>
      <c r="HH143" s="34">
        <f t="shared" si="252"/>
        <v>0</v>
      </c>
    </row>
    <row r="144" spans="1:232" x14ac:dyDescent="0.25">
      <c r="A144" s="4" t="s">
        <v>268</v>
      </c>
      <c r="B144" s="4" t="s">
        <v>268</v>
      </c>
      <c r="C144" s="1" t="s">
        <v>269</v>
      </c>
      <c r="D144" s="6">
        <f>SUMIF('Eredeti fejléccel'!$B:$B,'Felosztás eredménykim'!$B144,'Eredeti fejléccel'!$D:$D)</f>
        <v>0</v>
      </c>
      <c r="E144" s="6">
        <f>SUMIF('Eredeti fejléccel'!$B:$B,'Felosztás eredménykim'!$B144,'Eredeti fejléccel'!$E:$E)</f>
        <v>0</v>
      </c>
      <c r="F144" s="6">
        <f>SUMIF('Eredeti fejléccel'!$B:$B,'Felosztás eredménykim'!$B144,'Eredeti fejléccel'!$F:$F)</f>
        <v>0</v>
      </c>
      <c r="G144" s="6">
        <f>SUMIF('Eredeti fejléccel'!$B:$B,'Felosztás eredménykim'!$B144,'Eredeti fejléccel'!$G:$G)</f>
        <v>0</v>
      </c>
      <c r="H144" s="6"/>
      <c r="I144" s="6">
        <f>SUMIF('Eredeti fejléccel'!$B:$B,'Felosztás eredménykim'!$B144,'Eredeti fejléccel'!$O:$O)</f>
        <v>0</v>
      </c>
      <c r="J144" s="6">
        <f>SUMIF('Eredeti fejléccel'!$B:$B,'Felosztás eredménykim'!$B144,'Eredeti fejléccel'!$P:$P)</f>
        <v>0</v>
      </c>
      <c r="K144" s="6">
        <f>SUMIF('Eredeti fejléccel'!$B:$B,'Felosztás eredménykim'!$B144,'Eredeti fejléccel'!$Q:$Q)</f>
        <v>0</v>
      </c>
      <c r="L144" s="6">
        <f>SUMIF('Eredeti fejléccel'!$B:$B,'Felosztás eredménykim'!$B144,'Eredeti fejléccel'!$R:$R)</f>
        <v>0</v>
      </c>
      <c r="M144" s="6">
        <f>SUMIF('Eredeti fejléccel'!$B:$B,'Felosztás eredménykim'!$B144,'Eredeti fejléccel'!$T:$T)</f>
        <v>0</v>
      </c>
      <c r="N144" s="6">
        <f>SUMIF('Eredeti fejléccel'!$B:$B,'Felosztás eredménykim'!$B144,'Eredeti fejléccel'!$U:$U)</f>
        <v>0</v>
      </c>
      <c r="O144" s="6">
        <f>SUMIF('Eredeti fejléccel'!$B:$B,'Felosztás eredménykim'!$B144,'Eredeti fejléccel'!$V:$V)</f>
        <v>0</v>
      </c>
      <c r="P144" s="6">
        <f>SUMIF('Eredeti fejléccel'!$B:$B,'Felosztás eredménykim'!$B144,'Eredeti fejléccel'!$W:$W)</f>
        <v>0</v>
      </c>
      <c r="Q144" s="6">
        <f>SUMIF('Eredeti fejléccel'!$B:$B,'Felosztás eredménykim'!$B144,'Eredeti fejléccel'!$X:$X)</f>
        <v>0</v>
      </c>
      <c r="R144" s="6">
        <f>SUMIF('Eredeti fejléccel'!$B:$B,'Felosztás eredménykim'!$B144,'Eredeti fejléccel'!$Y:$Y)</f>
        <v>0</v>
      </c>
      <c r="S144" s="6">
        <f>SUMIF('Eredeti fejléccel'!$B:$B,'Felosztás eredménykim'!$B144,'Eredeti fejléccel'!$Z:$Z)</f>
        <v>0</v>
      </c>
      <c r="T144" s="6">
        <f>SUMIF('Eredeti fejléccel'!$B:$B,'Felosztás eredménykim'!$B144,'Eredeti fejléccel'!$AA:$AA)</f>
        <v>0</v>
      </c>
      <c r="U144" s="6">
        <f>SUMIF('Eredeti fejléccel'!$B:$B,'Felosztás eredménykim'!$B144,'Eredeti fejléccel'!$D:$D)</f>
        <v>0</v>
      </c>
      <c r="V144" s="6">
        <f>SUMIF('Eredeti fejléccel'!$B:$B,'Felosztás eredménykim'!$B144,'Eredeti fejléccel'!$AT:$AT)</f>
        <v>0</v>
      </c>
      <c r="X144" s="36">
        <f t="shared" si="211"/>
        <v>0</v>
      </c>
      <c r="Z144" s="6">
        <f>SUMIF('Eredeti fejléccel'!$B:$B,'Felosztás eredménykim'!$B144,'Eredeti fejléccel'!$K:$K)</f>
        <v>0</v>
      </c>
      <c r="AB144" s="6">
        <f>SUMIF('Eredeti fejléccel'!$B:$B,'Felosztás eredménykim'!$B144,'Eredeti fejléccel'!$AB:$AB)</f>
        <v>0</v>
      </c>
      <c r="AC144" s="6">
        <f>SUMIF('Eredeti fejléccel'!$B:$B,'Felosztás eredménykim'!$B144,'Eredeti fejléccel'!$AQ:$AQ)</f>
        <v>0</v>
      </c>
      <c r="AE144" s="73">
        <f t="shared" si="131"/>
        <v>0</v>
      </c>
      <c r="AF144" s="36">
        <f t="shared" si="212"/>
        <v>0</v>
      </c>
      <c r="AG144" s="8">
        <f t="shared" si="213"/>
        <v>0</v>
      </c>
      <c r="AI144" s="6">
        <f>SUMIF('Eredeti fejléccel'!$B:$B,'Felosztás eredménykim'!$B144,'Eredeti fejléccel'!$BB:$BB)</f>
        <v>0</v>
      </c>
      <c r="AJ144" s="6">
        <f>SUMIF('Eredeti fejléccel'!$B:$B,'Felosztás eredménykim'!$B144,'Eredeti fejléccel'!$AF:$AF)</f>
        <v>0</v>
      </c>
      <c r="AK144" s="8">
        <f t="shared" si="177"/>
        <v>0</v>
      </c>
      <c r="AL144" s="36">
        <f t="shared" si="214"/>
        <v>0</v>
      </c>
      <c r="AM144" s="8">
        <f t="shared" si="215"/>
        <v>0</v>
      </c>
      <c r="AN144" s="6">
        <f t="shared" si="123"/>
        <v>0</v>
      </c>
      <c r="AO144" s="6">
        <f>SUMIF('Eredeti fejléccel'!$B:$B,'Felosztás eredménykim'!$B144,'Eredeti fejléccel'!$AC:$AC)</f>
        <v>0</v>
      </c>
      <c r="AP144" s="6">
        <f>SUMIF('Eredeti fejléccel'!$B:$B,'Felosztás eredménykim'!$B144,'Eredeti fejléccel'!$AD:$AD)</f>
        <v>0</v>
      </c>
      <c r="AQ144" s="6">
        <f>SUMIF('Eredeti fejléccel'!$B:$B,'Felosztás eredménykim'!$B144,'Eredeti fejléccel'!$AE:$AE)</f>
        <v>0</v>
      </c>
      <c r="AR144" s="6">
        <f>SUMIF('Eredeti fejléccel'!$B:$B,'Felosztás eredménykim'!$B144,'Eredeti fejléccel'!$AG:$AG)</f>
        <v>0</v>
      </c>
      <c r="AS144" s="6">
        <f t="shared" si="124"/>
        <v>0</v>
      </c>
      <c r="AT144" s="36">
        <f t="shared" si="216"/>
        <v>0</v>
      </c>
      <c r="AU144" s="8">
        <f t="shared" si="217"/>
        <v>0</v>
      </c>
      <c r="AV144" s="6">
        <f>SUMIF('Eredeti fejléccel'!$B:$B,'Felosztás eredménykim'!$B144,'Eredeti fejléccel'!$AI:$AI)</f>
        <v>0</v>
      </c>
      <c r="AW144" s="6">
        <f>SUMIF('Eredeti fejléccel'!$B:$B,'Felosztás eredménykim'!$B144,'Eredeti fejléccel'!$AJ:$AJ)</f>
        <v>0</v>
      </c>
      <c r="AX144" s="6">
        <f>SUMIF('Eredeti fejléccel'!$B:$B,'Felosztás eredménykim'!$B144,'Eredeti fejléccel'!$AK:$AK)</f>
        <v>0</v>
      </c>
      <c r="AY144" s="6">
        <f>SUMIF('Eredeti fejléccel'!$B:$B,'Felosztás eredménykim'!$B144,'Eredeti fejléccel'!$AL:$AL)</f>
        <v>0</v>
      </c>
      <c r="AZ144" s="6">
        <f>SUMIF('Eredeti fejléccel'!$B:$B,'Felosztás eredménykim'!$B144,'Eredeti fejléccel'!$AM:$AM)</f>
        <v>0</v>
      </c>
      <c r="BA144" s="6">
        <f>SUMIF('Eredeti fejléccel'!$B:$B,'Felosztás eredménykim'!$B144,'Eredeti fejléccel'!$AN:$AN)</f>
        <v>0</v>
      </c>
      <c r="BB144" s="6">
        <f>SUMIF('Eredeti fejléccel'!$B:$B,'Felosztás eredménykim'!$B144,'Eredeti fejléccel'!$AP:$AP)</f>
        <v>0</v>
      </c>
      <c r="BD144" s="6">
        <f>SUMIF('Eredeti fejléccel'!$B:$B,'Felosztás eredménykim'!$B144,'Eredeti fejléccel'!$AS:$AS)</f>
        <v>0</v>
      </c>
      <c r="BE144" s="8">
        <f t="shared" si="238"/>
        <v>0</v>
      </c>
      <c r="BF144" s="36">
        <f t="shared" si="218"/>
        <v>0</v>
      </c>
      <c r="BG144" s="8">
        <f t="shared" si="219"/>
        <v>0</v>
      </c>
      <c r="BH144" s="6">
        <f t="shared" si="125"/>
        <v>0</v>
      </c>
      <c r="BI144" s="6">
        <f>SUMIF('Eredeti fejléccel'!$B:$B,'Felosztás eredménykim'!$B144,'Eredeti fejléccel'!$AH:$AH)</f>
        <v>0</v>
      </c>
      <c r="BJ144" s="6">
        <f>SUMIF('Eredeti fejléccel'!$B:$B,'Felosztás eredménykim'!$B144,'Eredeti fejléccel'!$AO:$AO)</f>
        <v>0</v>
      </c>
      <c r="BK144" s="6">
        <f>SUMIF('Eredeti fejléccel'!$B:$B,'Felosztás eredménykim'!$B144,'Eredeti fejléccel'!$BF:$BF)</f>
        <v>0</v>
      </c>
      <c r="BL144" s="8">
        <f t="shared" si="126"/>
        <v>0</v>
      </c>
      <c r="BM144" s="36">
        <f t="shared" si="220"/>
        <v>0</v>
      </c>
      <c r="BN144" s="8">
        <f t="shared" si="221"/>
        <v>0</v>
      </c>
      <c r="BP144" s="8">
        <f t="shared" si="127"/>
        <v>0</v>
      </c>
      <c r="BQ144" s="6">
        <f>SUMIF('Eredeti fejléccel'!$B:$B,'Felosztás eredménykim'!$B144,'Eredeti fejléccel'!$N:$N)</f>
        <v>0</v>
      </c>
      <c r="BR144" s="6">
        <f>SUMIF('Eredeti fejléccel'!$B:$B,'Felosztás eredménykim'!$B144,'Eredeti fejléccel'!$S:$S)</f>
        <v>0</v>
      </c>
      <c r="BT144" s="6">
        <f>SUMIF('Eredeti fejléccel'!$B:$B,'Felosztás eredménykim'!$B144,'Eredeti fejléccel'!$AR:$AR)</f>
        <v>0</v>
      </c>
      <c r="BU144" s="6">
        <f>SUMIF('Eredeti fejléccel'!$B:$B,'Felosztás eredménykim'!$B144,'Eredeti fejléccel'!$AU:$AU)</f>
        <v>0</v>
      </c>
      <c r="BV144" s="6">
        <f>SUMIF('Eredeti fejléccel'!$B:$B,'Felosztás eredménykim'!$B144,'Eredeti fejléccel'!$AV:$AV)</f>
        <v>0</v>
      </c>
      <c r="BW144" s="6">
        <f>SUMIF('Eredeti fejléccel'!$B:$B,'Felosztás eredménykim'!$B144,'Eredeti fejléccel'!$AW:$AW)</f>
        <v>0</v>
      </c>
      <c r="BX144" s="6">
        <f>SUMIF('Eredeti fejléccel'!$B:$B,'Felosztás eredménykim'!$B144,'Eredeti fejléccel'!$AX:$AX)</f>
        <v>0</v>
      </c>
      <c r="BY144" s="6">
        <f>SUMIF('Eredeti fejléccel'!$B:$B,'Felosztás eredménykim'!$B144,'Eredeti fejléccel'!$AY:$AY)</f>
        <v>0</v>
      </c>
      <c r="BZ144" s="6">
        <f>SUMIF('Eredeti fejléccel'!$B:$B,'Felosztás eredménykim'!$B144,'Eredeti fejléccel'!$AZ:$AZ)</f>
        <v>0</v>
      </c>
      <c r="CA144" s="6">
        <f>SUMIF('Eredeti fejléccel'!$B:$B,'Felosztás eredménykim'!$B144,'Eredeti fejléccel'!$BA:$BA)</f>
        <v>0</v>
      </c>
      <c r="CB144" s="6">
        <f t="shared" si="253"/>
        <v>0</v>
      </c>
      <c r="CC144" s="36">
        <f t="shared" si="222"/>
        <v>0</v>
      </c>
      <c r="CD144" s="8">
        <f t="shared" si="223"/>
        <v>0</v>
      </c>
      <c r="CE144" s="6">
        <f>SUMIF('Eredeti fejléccel'!$B:$B,'Felosztás eredménykim'!$B144,'Eredeti fejléccel'!$BC:$BC)</f>
        <v>0</v>
      </c>
      <c r="CF144" s="8">
        <f t="shared" si="135"/>
        <v>0</v>
      </c>
      <c r="CG144" s="6">
        <f>SUMIF('Eredeti fejléccel'!$B:$B,'Felosztás eredménykim'!$B144,'Eredeti fejléccel'!$H:$H)</f>
        <v>0</v>
      </c>
      <c r="CH144" s="6">
        <f>SUMIF('Eredeti fejléccel'!$B:$B,'Felosztás eredménykim'!$B144,'Eredeti fejléccel'!$BE:$BE)</f>
        <v>0</v>
      </c>
      <c r="CI144" s="6">
        <f t="shared" si="239"/>
        <v>0</v>
      </c>
      <c r="CJ144" s="36">
        <f t="shared" si="224"/>
        <v>0</v>
      </c>
      <c r="CK144" s="8">
        <f t="shared" si="225"/>
        <v>0</v>
      </c>
      <c r="CL144" s="8">
        <f t="shared" si="136"/>
        <v>0</v>
      </c>
      <c r="CM144" s="6">
        <f>SUMIF('Eredeti fejléccel'!$B:$B,'Felosztás eredménykim'!$B144,'Eredeti fejléccel'!$BD:$BD)</f>
        <v>0</v>
      </c>
      <c r="CN144" s="8">
        <f t="shared" si="240"/>
        <v>0</v>
      </c>
      <c r="CO144" s="8">
        <f t="shared" si="254"/>
        <v>0</v>
      </c>
      <c r="CR144" s="36">
        <f t="shared" si="226"/>
        <v>0</v>
      </c>
      <c r="CS144" s="6">
        <f>SUMIF('Eredeti fejléccel'!$B:$B,'Felosztás eredménykim'!$B144,'Eredeti fejléccel'!$I:$I)</f>
        <v>0</v>
      </c>
      <c r="CT144" s="6">
        <f>SUMIF('Eredeti fejléccel'!$B:$B,'Felosztás eredménykim'!$B144,'Eredeti fejléccel'!$BG:$BG)</f>
        <v>0</v>
      </c>
      <c r="CU144" s="6">
        <f>SUMIF('Eredeti fejléccel'!$B:$B,'Felosztás eredménykim'!$B144,'Eredeti fejléccel'!$BH:$BH)</f>
        <v>0</v>
      </c>
      <c r="CV144" s="6">
        <f>SUMIF('Eredeti fejléccel'!$B:$B,'Felosztás eredménykim'!$B144,'Eredeti fejléccel'!$BI:$BI)</f>
        <v>0</v>
      </c>
      <c r="CW144" s="6">
        <f>SUMIF('Eredeti fejléccel'!$B:$B,'Felosztás eredménykim'!$B144,'Eredeti fejléccel'!$BL:$BL)</f>
        <v>0</v>
      </c>
      <c r="CX144" s="6">
        <f t="shared" si="241"/>
        <v>0</v>
      </c>
      <c r="CY144" s="6">
        <f>SUMIF('Eredeti fejléccel'!$B:$B,'Felosztás eredménykim'!$B144,'Eredeti fejléccel'!$BJ:$BJ)</f>
        <v>0</v>
      </c>
      <c r="CZ144" s="6">
        <f>SUMIF('Eredeti fejléccel'!$B:$B,'Felosztás eredménykim'!$B144,'Eredeti fejléccel'!$BK:$BK)</f>
        <v>0</v>
      </c>
      <c r="DA144" s="99">
        <f t="shared" si="242"/>
        <v>0</v>
      </c>
      <c r="DC144" s="36">
        <f t="shared" si="227"/>
        <v>0</v>
      </c>
      <c r="DD144" s="6">
        <f>SUMIF('Eredeti fejléccel'!$B:$B,'Felosztás eredménykim'!$B144,'Eredeti fejléccel'!$J:$J)</f>
        <v>0</v>
      </c>
      <c r="DE144" s="6">
        <f>SUMIF('Eredeti fejléccel'!$B:$B,'Felosztás eredménykim'!$B144,'Eredeti fejléccel'!$BM:$BM)</f>
        <v>0</v>
      </c>
      <c r="DF144" s="6">
        <f t="shared" si="128"/>
        <v>0</v>
      </c>
      <c r="DG144" s="8">
        <f t="shared" si="255"/>
        <v>0</v>
      </c>
      <c r="DH144" s="8">
        <f t="shared" si="129"/>
        <v>0</v>
      </c>
      <c r="DJ144" s="6">
        <f>SUMIF('Eredeti fejléccel'!$B:$B,'Felosztás eredménykim'!$B144,'Eredeti fejléccel'!$BN:$BN)</f>
        <v>0</v>
      </c>
      <c r="DK144" s="6">
        <f>SUMIF('Eredeti fejléccel'!$B:$B,'Felosztás eredménykim'!$B144,'Eredeti fejléccel'!$BZ:$BZ)</f>
        <v>0</v>
      </c>
      <c r="DL144" s="8">
        <f t="shared" si="130"/>
        <v>0</v>
      </c>
      <c r="DM144" s="6">
        <f>SUMIF('Eredeti fejléccel'!$B:$B,'Felosztás eredménykim'!$B144,'Eredeti fejléccel'!$BR:$BR)</f>
        <v>0</v>
      </c>
      <c r="DN144" s="6">
        <f>SUMIF('Eredeti fejléccel'!$B:$B,'Felosztás eredménykim'!$B144,'Eredeti fejléccel'!$BS:$BS)</f>
        <v>0</v>
      </c>
      <c r="DO144" s="6">
        <f>SUMIF('Eredeti fejléccel'!$B:$B,'Felosztás eredménykim'!$B144,'Eredeti fejléccel'!$BO:$BO)</f>
        <v>0</v>
      </c>
      <c r="DP144" s="6">
        <f>SUMIF('Eredeti fejléccel'!$B:$B,'Felosztás eredménykim'!$B144,'Eredeti fejléccel'!$BP:$BP)</f>
        <v>0</v>
      </c>
      <c r="DQ144" s="6">
        <f>SUMIF('Eredeti fejléccel'!$B:$B,'Felosztás eredménykim'!$B144,'Eredeti fejléccel'!$BQ:$BQ)</f>
        <v>0</v>
      </c>
      <c r="DS144" s="8"/>
      <c r="DU144" s="6">
        <f>SUMIF('Eredeti fejléccel'!$B:$B,'Felosztás eredménykim'!$B144,'Eredeti fejléccel'!$BT:$BT)</f>
        <v>0</v>
      </c>
      <c r="DV144" s="6">
        <f>SUMIF('Eredeti fejléccel'!$B:$B,'Felosztás eredménykim'!$B144,'Eredeti fejléccel'!$BU:$BU)</f>
        <v>0</v>
      </c>
      <c r="DW144" s="6">
        <f>SUMIF('Eredeti fejléccel'!$B:$B,'Felosztás eredménykim'!$B144,'Eredeti fejléccel'!$BV:$BV)</f>
        <v>0</v>
      </c>
      <c r="DX144" s="6">
        <f>SUMIF('Eredeti fejléccel'!$B:$B,'Felosztás eredménykim'!$B144,'Eredeti fejléccel'!$BW:$BW)</f>
        <v>0</v>
      </c>
      <c r="DY144" s="6">
        <f>SUMIF('Eredeti fejléccel'!$B:$B,'Felosztás eredménykim'!$B144,'Eredeti fejléccel'!$BX:$BX)</f>
        <v>0</v>
      </c>
      <c r="EA144" s="6"/>
      <c r="EC144" s="6"/>
      <c r="EE144" s="6">
        <f>SUMIF('Eredeti fejléccel'!$B:$B,'Felosztás eredménykim'!$B144,'Eredeti fejléccel'!$CA:$CA)</f>
        <v>0</v>
      </c>
      <c r="EF144" s="6">
        <f>SUMIF('Eredeti fejléccel'!$B:$B,'Felosztás eredménykim'!$B144,'Eredeti fejléccel'!$CB:$CB)</f>
        <v>0</v>
      </c>
      <c r="EG144" s="6">
        <f>SUMIF('Eredeti fejléccel'!$B:$B,'Felosztás eredménykim'!$B144,'Eredeti fejléccel'!$CC:$CC)</f>
        <v>0</v>
      </c>
      <c r="EH144" s="6">
        <f>SUMIF('Eredeti fejléccel'!$B:$B,'Felosztás eredménykim'!$B144,'Eredeti fejléccel'!$CD:$CD)</f>
        <v>0</v>
      </c>
      <c r="EK144" s="6">
        <f>SUMIF('Eredeti fejléccel'!$B:$B,'Felosztás eredménykim'!$B144,'Eredeti fejléccel'!$CE:$CE)</f>
        <v>0</v>
      </c>
      <c r="EN144" s="6">
        <f>SUMIF('Eredeti fejléccel'!$B:$B,'Felosztás eredménykim'!$B144,'Eredeti fejléccel'!$CF:$CF)</f>
        <v>0</v>
      </c>
      <c r="EP144" s="6">
        <f>SUMIF('Eredeti fejléccel'!$B:$B,'Felosztás eredménykim'!$B144,'Eredeti fejléccel'!$CG:$CG)</f>
        <v>0</v>
      </c>
      <c r="ES144" s="6">
        <f>SUMIF('Eredeti fejléccel'!$B:$B,'Felosztás eredménykim'!$B144,'Eredeti fejléccel'!$CH:$CH)</f>
        <v>0</v>
      </c>
      <c r="ET144" s="6">
        <f>SUMIF('Eredeti fejléccel'!$B:$B,'Felosztás eredménykim'!$B144,'Eredeti fejléccel'!$CI:$CI)</f>
        <v>0</v>
      </c>
      <c r="EW144" s="8">
        <f t="shared" si="288"/>
        <v>0</v>
      </c>
      <c r="EX144" s="8">
        <f t="shared" si="243"/>
        <v>0</v>
      </c>
      <c r="EY144" s="8">
        <f t="shared" si="244"/>
        <v>0</v>
      </c>
      <c r="EZ144" s="8">
        <f t="shared" si="289"/>
        <v>0</v>
      </c>
      <c r="FA144" s="8">
        <f t="shared" si="290"/>
        <v>0</v>
      </c>
      <c r="FC144" s="6">
        <f>SUMIF('Eredeti fejléccel'!$B:$B,'Felosztás eredménykim'!$B144,'Eredeti fejléccel'!$L:$L)</f>
        <v>0</v>
      </c>
      <c r="FD144" s="6">
        <f>SUMIF('Eredeti fejléccel'!$B:$B,'Felosztás eredménykim'!$B144,'Eredeti fejléccel'!$CJ:$CJ)</f>
        <v>0</v>
      </c>
      <c r="FE144" s="6">
        <f>SUMIF('Eredeti fejléccel'!$B:$B,'Felosztás eredménykim'!$B144,'Eredeti fejléccel'!$CL:$CL)</f>
        <v>0</v>
      </c>
      <c r="FG144" s="99">
        <f t="shared" si="245"/>
        <v>0</v>
      </c>
      <c r="FH144" s="6">
        <f>SUMIF('Eredeti fejléccel'!$B:$B,'Felosztás eredménykim'!$B144,'Eredeti fejléccel'!$CK:$CK)</f>
        <v>0</v>
      </c>
      <c r="FI144" s="36">
        <f t="shared" si="228"/>
        <v>0</v>
      </c>
      <c r="FJ144" s="101">
        <f t="shared" si="229"/>
        <v>0</v>
      </c>
      <c r="FK144" s="6">
        <f>SUMIF('Eredeti fejléccel'!$B:$B,'Felosztás eredménykim'!$B144,'Eredeti fejléccel'!$CM:$CM)</f>
        <v>0</v>
      </c>
      <c r="FL144" s="6">
        <f>SUMIF('Eredeti fejléccel'!$B:$B,'Felosztás eredménykim'!$B144,'Eredeti fejléccel'!$CN:$CN)</f>
        <v>0</v>
      </c>
      <c r="FM144" s="8">
        <f t="shared" si="246"/>
        <v>0</v>
      </c>
      <c r="FN144" s="36">
        <f t="shared" si="230"/>
        <v>0</v>
      </c>
      <c r="FO144" s="101">
        <f t="shared" si="231"/>
        <v>0</v>
      </c>
      <c r="FP144" s="6">
        <f>SUMIF('Eredeti fejléccel'!$B:$B,'Felosztás eredménykim'!$B144,'Eredeti fejléccel'!$CO:$CO)</f>
        <v>592280</v>
      </c>
      <c r="FQ144" s="6">
        <f>'Eredeti fejléccel'!CP144</f>
        <v>0</v>
      </c>
      <c r="FR144" s="6">
        <f>'Eredeti fejléccel'!CQ144</f>
        <v>0</v>
      </c>
      <c r="FS144" s="103">
        <f t="shared" si="247"/>
        <v>592280</v>
      </c>
      <c r="FT144" s="36">
        <f t="shared" si="232"/>
        <v>0</v>
      </c>
      <c r="FU144" s="101">
        <f t="shared" si="233"/>
        <v>0</v>
      </c>
      <c r="FV144" s="101"/>
      <c r="FW144" s="6">
        <f>SUMIF('Eredeti fejléccel'!$B:$B,'Felosztás eredménykim'!$B144,'Eredeti fejléccel'!$CR:$CR)</f>
        <v>0</v>
      </c>
      <c r="FX144" s="6">
        <f>SUMIF('Eredeti fejléccel'!$B:$B,'Felosztás eredménykim'!$B144,'Eredeti fejléccel'!$CS:$CS)</f>
        <v>0</v>
      </c>
      <c r="FY144" s="6">
        <f>SUMIF('Eredeti fejléccel'!$B:$B,'Felosztás eredménykim'!$B144,'Eredeti fejléccel'!$CT:$CT)</f>
        <v>0</v>
      </c>
      <c r="FZ144" s="6">
        <f>SUMIF('Eredeti fejléccel'!$B:$B,'Felosztás eredménykim'!$B144,'Eredeti fejléccel'!$CU:$CU)</f>
        <v>0</v>
      </c>
      <c r="GA144" s="103">
        <f t="shared" si="248"/>
        <v>0</v>
      </c>
      <c r="GB144" s="36">
        <f t="shared" si="234"/>
        <v>0</v>
      </c>
      <c r="GC144" s="101">
        <f t="shared" si="235"/>
        <v>0</v>
      </c>
      <c r="GD144" s="6">
        <f>SUMIF('Eredeti fejléccel'!$B:$B,'Felosztás eredménykim'!$B144,'Eredeti fejléccel'!$CV:$CV)</f>
        <v>185715</v>
      </c>
      <c r="GE144" s="6">
        <f>SUMIF('Eredeti fejléccel'!$B:$B,'Felosztás eredménykim'!$B144,'Eredeti fejléccel'!$CW:$CW)</f>
        <v>183858</v>
      </c>
      <c r="GF144" s="103">
        <f t="shared" si="249"/>
        <v>369573</v>
      </c>
      <c r="GG144" s="36">
        <f t="shared" si="236"/>
        <v>0</v>
      </c>
      <c r="GM144" s="6">
        <f>SUMIF('Eredeti fejléccel'!$B:$B,'Felosztás eredménykim'!$B144,'Eredeti fejléccel'!$CX:$CX)</f>
        <v>0</v>
      </c>
      <c r="GN144" s="6">
        <f>SUMIF('Eredeti fejléccel'!$B:$B,'Felosztás eredménykim'!$B144,'Eredeti fejléccel'!$CY:$CY)</f>
        <v>0</v>
      </c>
      <c r="GO144" s="6">
        <f>SUMIF('Eredeti fejléccel'!$B:$B,'Felosztás eredménykim'!$B144,'Eredeti fejléccel'!$CZ:$CZ)</f>
        <v>0</v>
      </c>
      <c r="GP144" s="6">
        <f>SUMIF('Eredeti fejléccel'!$B:$B,'Felosztás eredménykim'!$B144,'Eredeti fejléccel'!$DA:$DA)</f>
        <v>0</v>
      </c>
      <c r="GQ144" s="6">
        <f>SUMIF('Eredeti fejléccel'!$B:$B,'Felosztás eredménykim'!$B144,'Eredeti fejléccel'!$DB:$DB)</f>
        <v>0</v>
      </c>
      <c r="GR144" s="103">
        <f t="shared" si="250"/>
        <v>0</v>
      </c>
      <c r="GW144" s="36">
        <f t="shared" si="237"/>
        <v>0</v>
      </c>
      <c r="GX144" s="6">
        <f>SUMIF('Eredeti fejléccel'!$B:$B,'Felosztás eredménykim'!$B144,'Eredeti fejléccel'!$M:$M)</f>
        <v>0</v>
      </c>
      <c r="GY144" s="6">
        <f>SUMIF('Eredeti fejléccel'!$B:$B,'Felosztás eredménykim'!$B144,'Eredeti fejléccel'!$DC:$DC)</f>
        <v>0</v>
      </c>
      <c r="GZ144" s="6">
        <f>SUMIF('Eredeti fejléccel'!$B:$B,'Felosztás eredménykim'!$B144,'Eredeti fejléccel'!$DD:$DD)</f>
        <v>0</v>
      </c>
      <c r="HA144" s="6">
        <f>SUMIF('Eredeti fejléccel'!$B:$B,'Felosztás eredménykim'!$B144,'Eredeti fejléccel'!$DE:$DE)</f>
        <v>0</v>
      </c>
      <c r="HB144" s="103">
        <f t="shared" si="251"/>
        <v>0</v>
      </c>
      <c r="HD144" s="9">
        <f t="shared" si="256"/>
        <v>961853</v>
      </c>
      <c r="HE144" s="9">
        <v>961853</v>
      </c>
      <c r="HF144" s="476"/>
      <c r="HH144" s="34">
        <f t="shared" si="252"/>
        <v>0</v>
      </c>
    </row>
    <row r="145" spans="1:218" x14ac:dyDescent="0.25">
      <c r="A145" s="4" t="s">
        <v>270</v>
      </c>
      <c r="B145" s="4" t="s">
        <v>270</v>
      </c>
      <c r="C145" s="1" t="s">
        <v>271</v>
      </c>
      <c r="D145" s="6">
        <f>SUMIF('Eredeti fejléccel'!$B:$B,'Felosztás eredménykim'!$B145,'Eredeti fejléccel'!$D:$D)</f>
        <v>0</v>
      </c>
      <c r="E145" s="6">
        <f>SUMIF('Eredeti fejléccel'!$B:$B,'Felosztás eredménykim'!$B145,'Eredeti fejléccel'!$E:$E)</f>
        <v>3665704</v>
      </c>
      <c r="F145" s="6">
        <f>SUMIF('Eredeti fejléccel'!$B:$B,'Felosztás eredménykim'!$B145,'Eredeti fejléccel'!$F:$F)</f>
        <v>57480</v>
      </c>
      <c r="G145" s="6">
        <f>SUMIF('Eredeti fejléccel'!$B:$B,'Felosztás eredménykim'!$B145,'Eredeti fejléccel'!$G:$G)</f>
        <v>-94839</v>
      </c>
      <c r="H145" s="6"/>
      <c r="I145" s="6">
        <f>SUMIF('Eredeti fejléccel'!$B:$B,'Felosztás eredménykim'!$B145,'Eredeti fejléccel'!$O:$O)</f>
        <v>57480</v>
      </c>
      <c r="J145" s="6">
        <f>SUMIF('Eredeti fejléccel'!$B:$B,'Felosztás eredménykim'!$B145,'Eredeti fejléccel'!$P:$P)</f>
        <v>0</v>
      </c>
      <c r="K145" s="6">
        <f>SUMIF('Eredeti fejléccel'!$B:$B,'Felosztás eredménykim'!$B145,'Eredeti fejléccel'!$Q:$Q)</f>
        <v>0</v>
      </c>
      <c r="L145" s="6">
        <f>SUMIF('Eredeti fejléccel'!$B:$B,'Felosztás eredménykim'!$B145,'Eredeti fejléccel'!$R:$R)</f>
        <v>142077</v>
      </c>
      <c r="M145" s="6">
        <f>SUMIF('Eredeti fejléccel'!$B:$B,'Felosztás eredménykim'!$B145,'Eredeti fejléccel'!$T:$T)</f>
        <v>0</v>
      </c>
      <c r="N145" s="6">
        <f>SUMIF('Eredeti fejléccel'!$B:$B,'Felosztás eredménykim'!$B145,'Eredeti fejléccel'!$U:$U)</f>
        <v>0</v>
      </c>
      <c r="O145" s="6">
        <f>SUMIF('Eredeti fejléccel'!$B:$B,'Felosztás eredménykim'!$B145,'Eredeti fejléccel'!$V:$V)</f>
        <v>222479</v>
      </c>
      <c r="P145" s="6">
        <f>SUMIF('Eredeti fejléccel'!$B:$B,'Felosztás eredménykim'!$B145,'Eredeti fejléccel'!$W:$W)</f>
        <v>241732</v>
      </c>
      <c r="Q145" s="6">
        <f>SUMIF('Eredeti fejléccel'!$B:$B,'Felosztás eredménykim'!$B145,'Eredeti fejléccel'!$X:$X)</f>
        <v>0</v>
      </c>
      <c r="R145" s="6">
        <f>SUMIF('Eredeti fejléccel'!$B:$B,'Felosztás eredménykim'!$B145,'Eredeti fejléccel'!$Y:$Y)</f>
        <v>0</v>
      </c>
      <c r="S145" s="6">
        <f>SUMIF('Eredeti fejléccel'!$B:$B,'Felosztás eredménykim'!$B145,'Eredeti fejléccel'!$Z:$Z)</f>
        <v>0</v>
      </c>
      <c r="T145" s="6">
        <f>SUMIF('Eredeti fejléccel'!$B:$B,'Felosztás eredménykim'!$B145,'Eredeti fejléccel'!$AA:$AA)</f>
        <v>0</v>
      </c>
      <c r="U145" s="6">
        <f>SUMIF('Eredeti fejléccel'!$B:$B,'Felosztás eredménykim'!$B145,'Eredeti fejléccel'!$D:$D)</f>
        <v>0</v>
      </c>
      <c r="V145" s="6">
        <f>SUMIF('Eredeti fejléccel'!$B:$B,'Felosztás eredménykim'!$B145,'Eredeti fejléccel'!$AT:$AT)</f>
        <v>0</v>
      </c>
      <c r="X145" s="36">
        <f t="shared" si="211"/>
        <v>4292113</v>
      </c>
      <c r="Z145" s="6">
        <f>SUMIF('Eredeti fejléccel'!$B:$B,'Felosztás eredménykim'!$B145,'Eredeti fejléccel'!$K:$K)</f>
        <v>416638</v>
      </c>
      <c r="AB145" s="6">
        <f>SUMIF('Eredeti fejléccel'!$B:$B,'Felosztás eredménykim'!$B145,'Eredeti fejléccel'!$AB:$AB)</f>
        <v>0</v>
      </c>
      <c r="AC145" s="6">
        <f>SUMIF('Eredeti fejléccel'!$B:$B,'Felosztás eredménykim'!$B145,'Eredeti fejléccel'!$AQ:$AQ)</f>
        <v>0</v>
      </c>
      <c r="AE145" s="73">
        <f t="shared" si="131"/>
        <v>416638</v>
      </c>
      <c r="AF145" s="36">
        <f t="shared" si="212"/>
        <v>512026.08175890619</v>
      </c>
      <c r="AG145" s="8">
        <f t="shared" si="213"/>
        <v>132842.72158125389</v>
      </c>
      <c r="AI145" s="6">
        <f>SUMIF('Eredeti fejléccel'!$B:$B,'Felosztás eredménykim'!$B145,'Eredeti fejléccel'!$BB:$BB)</f>
        <v>0</v>
      </c>
      <c r="AJ145" s="6">
        <f>SUMIF('Eredeti fejléccel'!$B:$B,'Felosztás eredménykim'!$B145,'Eredeti fejléccel'!$AF:$AF)</f>
        <v>0</v>
      </c>
      <c r="AK145" s="8">
        <f t="shared" si="177"/>
        <v>132842.72158125389</v>
      </c>
      <c r="AL145" s="36">
        <f t="shared" si="214"/>
        <v>203374.17440970862</v>
      </c>
      <c r="AM145" s="8">
        <f t="shared" si="215"/>
        <v>52764.458277434926</v>
      </c>
      <c r="AN145" s="6">
        <f t="shared" si="123"/>
        <v>0</v>
      </c>
      <c r="AO145" s="6">
        <f>SUMIF('Eredeti fejléccel'!$B:$B,'Felosztás eredménykim'!$B145,'Eredeti fejléccel'!$AC:$AC)</f>
        <v>0</v>
      </c>
      <c r="AP145" s="6">
        <f>SUMIF('Eredeti fejléccel'!$B:$B,'Felosztás eredménykim'!$B145,'Eredeti fejléccel'!$AD:$AD)</f>
        <v>0</v>
      </c>
      <c r="AQ145" s="6">
        <f>SUMIF('Eredeti fejléccel'!$B:$B,'Felosztás eredménykim'!$B145,'Eredeti fejléccel'!$AE:$AE)</f>
        <v>0</v>
      </c>
      <c r="AR145" s="6">
        <f>SUMIF('Eredeti fejléccel'!$B:$B,'Felosztás eredménykim'!$B145,'Eredeti fejléccel'!$AG:$AG)</f>
        <v>103837</v>
      </c>
      <c r="AS145" s="6">
        <f t="shared" si="124"/>
        <v>156601.45827743493</v>
      </c>
      <c r="AT145" s="36">
        <f t="shared" si="216"/>
        <v>330339.40758639114</v>
      </c>
      <c r="AU145" s="8">
        <f t="shared" si="217"/>
        <v>85704.981665325089</v>
      </c>
      <c r="AV145" s="6">
        <f>SUMIF('Eredeti fejléccel'!$B:$B,'Felosztás eredménykim'!$B145,'Eredeti fejléccel'!$AI:$AI)</f>
        <v>0</v>
      </c>
      <c r="AW145" s="6">
        <f>SUMIF('Eredeti fejléccel'!$B:$B,'Felosztás eredménykim'!$B145,'Eredeti fejléccel'!$AJ:$AJ)</f>
        <v>67308</v>
      </c>
      <c r="AX145" s="6">
        <f>SUMIF('Eredeti fejléccel'!$B:$B,'Felosztás eredménykim'!$B145,'Eredeti fejléccel'!$AK:$AK)</f>
        <v>0</v>
      </c>
      <c r="AY145" s="6">
        <f>SUMIF('Eredeti fejléccel'!$B:$B,'Felosztás eredménykim'!$B145,'Eredeti fejléccel'!$AL:$AL)</f>
        <v>56000</v>
      </c>
      <c r="AZ145" s="6">
        <f>SUMIF('Eredeti fejléccel'!$B:$B,'Felosztás eredménykim'!$B145,'Eredeti fejléccel'!$AM:$AM)</f>
        <v>0</v>
      </c>
      <c r="BA145" s="6">
        <f>SUMIF('Eredeti fejléccel'!$B:$B,'Felosztás eredménykim'!$B145,'Eredeti fejléccel'!$AN:$AN)</f>
        <v>0</v>
      </c>
      <c r="BB145" s="6">
        <f>SUMIF('Eredeti fejléccel'!$B:$B,'Felosztás eredménykim'!$B145,'Eredeti fejléccel'!$AP:$AP)</f>
        <v>505070</v>
      </c>
      <c r="BD145" s="6">
        <f>SUMIF('Eredeti fejléccel'!$B:$B,'Felosztás eredménykim'!$B145,'Eredeti fejléccel'!$AS:$AS)</f>
        <v>0</v>
      </c>
      <c r="BE145" s="8">
        <f t="shared" si="238"/>
        <v>714082.98166532512</v>
      </c>
      <c r="BF145" s="36">
        <f t="shared" si="218"/>
        <v>86175.497631232458</v>
      </c>
      <c r="BG145" s="8">
        <f t="shared" si="219"/>
        <v>22357.821303997851</v>
      </c>
      <c r="BH145" s="6">
        <f t="shared" si="125"/>
        <v>0</v>
      </c>
      <c r="BI145" s="6">
        <f>SUMIF('Eredeti fejléccel'!$B:$B,'Felosztás eredménykim'!$B145,'Eredeti fejléccel'!$AH:$AH)</f>
        <v>0</v>
      </c>
      <c r="BJ145" s="6">
        <f>SUMIF('Eredeti fejléccel'!$B:$B,'Felosztás eredménykim'!$B145,'Eredeti fejléccel'!$AO:$AO)</f>
        <v>0</v>
      </c>
      <c r="BK145" s="6">
        <f>SUMIF('Eredeti fejléccel'!$B:$B,'Felosztás eredménykim'!$B145,'Eredeti fejléccel'!$BF:$BF)</f>
        <v>0</v>
      </c>
      <c r="BL145" s="8">
        <f t="shared" si="126"/>
        <v>22357.821303997851</v>
      </c>
      <c r="BM145" s="36">
        <f t="shared" si="220"/>
        <v>322870.86445835099</v>
      </c>
      <c r="BN145" s="8">
        <f t="shared" si="221"/>
        <v>83767.303818978617</v>
      </c>
      <c r="BP145" s="8">
        <f t="shared" si="127"/>
        <v>0</v>
      </c>
      <c r="BQ145" s="6">
        <f>SUMIF('Eredeti fejléccel'!$B:$B,'Felosztás eredménykim'!$B145,'Eredeti fejléccel'!$N:$N)</f>
        <v>0</v>
      </c>
      <c r="BR145" s="6">
        <f>SUMIF('Eredeti fejléccel'!$B:$B,'Felosztás eredménykim'!$B145,'Eredeti fejléccel'!$S:$S)</f>
        <v>0</v>
      </c>
      <c r="BT145" s="6">
        <f>SUMIF('Eredeti fejléccel'!$B:$B,'Felosztás eredménykim'!$B145,'Eredeti fejléccel'!$AR:$AR)</f>
        <v>0</v>
      </c>
      <c r="BU145" s="6">
        <f>SUMIF('Eredeti fejléccel'!$B:$B,'Felosztás eredménykim'!$B145,'Eredeti fejléccel'!$AU:$AU)</f>
        <v>0</v>
      </c>
      <c r="BV145" s="6">
        <f>SUMIF('Eredeti fejléccel'!$B:$B,'Felosztás eredménykim'!$B145,'Eredeti fejléccel'!$AV:$AV)</f>
        <v>45000</v>
      </c>
      <c r="BW145" s="6">
        <f>SUMIF('Eredeti fejléccel'!$B:$B,'Felosztás eredménykim'!$B145,'Eredeti fejléccel'!$AW:$AW)</f>
        <v>0</v>
      </c>
      <c r="BX145" s="6">
        <f>SUMIF('Eredeti fejléccel'!$B:$B,'Felosztás eredménykim'!$B145,'Eredeti fejléccel'!$AX:$AX)</f>
        <v>0</v>
      </c>
      <c r="BY145" s="6">
        <f>SUMIF('Eredeti fejléccel'!$B:$B,'Felosztás eredménykim'!$B145,'Eredeti fejléccel'!$AY:$AY)</f>
        <v>0</v>
      </c>
      <c r="BZ145" s="6">
        <f>SUMIF('Eredeti fejléccel'!$B:$B,'Felosztás eredménykim'!$B145,'Eredeti fejléccel'!$AZ:$AZ)</f>
        <v>0</v>
      </c>
      <c r="CA145" s="6">
        <f>SUMIF('Eredeti fejléccel'!$B:$B,'Felosztás eredménykim'!$B145,'Eredeti fejléccel'!$BA:$BA)</f>
        <v>1420760</v>
      </c>
      <c r="CB145" s="6">
        <f t="shared" si="253"/>
        <v>1549527.3038189786</v>
      </c>
      <c r="CC145" s="36">
        <f t="shared" si="222"/>
        <v>87899.007583857107</v>
      </c>
      <c r="CD145" s="8">
        <f t="shared" si="223"/>
        <v>22804.977730077808</v>
      </c>
      <c r="CE145" s="6">
        <f>SUMIF('Eredeti fejléccel'!$B:$B,'Felosztás eredménykim'!$B145,'Eredeti fejléccel'!$BC:$BC)</f>
        <v>0</v>
      </c>
      <c r="CF145" s="8">
        <f t="shared" si="135"/>
        <v>0</v>
      </c>
      <c r="CG145" s="6">
        <f>SUMIF('Eredeti fejléccel'!$B:$B,'Felosztás eredménykim'!$B145,'Eredeti fejléccel'!$H:$H)</f>
        <v>0</v>
      </c>
      <c r="CH145" s="6">
        <f>SUMIF('Eredeti fejléccel'!$B:$B,'Felosztás eredménykim'!$B145,'Eredeti fejléccel'!$BE:$BE)</f>
        <v>0</v>
      </c>
      <c r="CI145" s="6">
        <f t="shared" si="239"/>
        <v>22804.977730077808</v>
      </c>
      <c r="CJ145" s="36">
        <f t="shared" si="224"/>
        <v>63195.364929570482</v>
      </c>
      <c r="CK145" s="8">
        <f t="shared" si="225"/>
        <v>16395.735622931756</v>
      </c>
      <c r="CL145" s="8">
        <f t="shared" si="136"/>
        <v>0</v>
      </c>
      <c r="CM145" s="6">
        <f>SUMIF('Eredeti fejléccel'!$B:$B,'Felosztás eredménykim'!$B145,'Eredeti fejléccel'!$BD:$BD)</f>
        <v>136486</v>
      </c>
      <c r="CN145" s="8">
        <f t="shared" si="240"/>
        <v>152881.73562293177</v>
      </c>
      <c r="CO145" s="8">
        <f t="shared" si="254"/>
        <v>4356979.3983580163</v>
      </c>
      <c r="CR145" s="36">
        <f t="shared" si="226"/>
        <v>379601.88058596267</v>
      </c>
      <c r="CS145" s="6">
        <f>SUMIF('Eredeti fejléccel'!$B:$B,'Felosztás eredménykim'!$B145,'Eredeti fejléccel'!$I:$I)</f>
        <v>0</v>
      </c>
      <c r="CT145" s="6">
        <f>SUMIF('Eredeti fejléccel'!$B:$B,'Felosztás eredménykim'!$B145,'Eredeti fejléccel'!$BG:$BG)</f>
        <v>0</v>
      </c>
      <c r="CU145" s="6">
        <f>SUMIF('Eredeti fejléccel'!$B:$B,'Felosztás eredménykim'!$B145,'Eredeti fejléccel'!$BH:$BH)</f>
        <v>0</v>
      </c>
      <c r="CV145" s="6">
        <f>SUMIF('Eredeti fejléccel'!$B:$B,'Felosztás eredménykim'!$B145,'Eredeti fejléccel'!$BI:$BI)</f>
        <v>0</v>
      </c>
      <c r="CW145" s="6">
        <f>SUMIF('Eredeti fejléccel'!$B:$B,'Felosztás eredménykim'!$B145,'Eredeti fejléccel'!$BL:$BL)</f>
        <v>1095100</v>
      </c>
      <c r="CX145" s="6">
        <f t="shared" si="241"/>
        <v>1095100</v>
      </c>
      <c r="CY145" s="6">
        <f>SUMIF('Eredeti fejléccel'!$B:$B,'Felosztás eredménykim'!$B145,'Eredeti fejléccel'!$BJ:$BJ)</f>
        <v>0</v>
      </c>
      <c r="CZ145" s="6">
        <f>SUMIF('Eredeti fejléccel'!$B:$B,'Felosztás eredménykim'!$B145,'Eredeti fejléccel'!$BK:$BK)</f>
        <v>0</v>
      </c>
      <c r="DA145" s="99">
        <f t="shared" si="242"/>
        <v>1095100</v>
      </c>
      <c r="DC145" s="36">
        <f t="shared" si="227"/>
        <v>332479.84153251781</v>
      </c>
      <c r="DD145" s="6">
        <f>SUMIF('Eredeti fejléccel'!$B:$B,'Felosztás eredménykim'!$B145,'Eredeti fejléccel'!$J:$J)</f>
        <v>0</v>
      </c>
      <c r="DE145" s="6">
        <f>SUMIF('Eredeti fejléccel'!$B:$B,'Felosztás eredménykim'!$B145,'Eredeti fejléccel'!$BM:$BM)</f>
        <v>487889</v>
      </c>
      <c r="DF145" s="6">
        <f t="shared" si="128"/>
        <v>0</v>
      </c>
      <c r="DG145" s="8">
        <f t="shared" si="255"/>
        <v>0</v>
      </c>
      <c r="DH145" s="8">
        <f t="shared" si="129"/>
        <v>487889</v>
      </c>
      <c r="DJ145" s="6">
        <f>SUMIF('Eredeti fejléccel'!$B:$B,'Felosztás eredménykim'!$B145,'Eredeti fejléccel'!$BN:$BN)</f>
        <v>0</v>
      </c>
      <c r="DK145" s="6">
        <f>SUMIF('Eredeti fejléccel'!$B:$B,'Felosztás eredménykim'!$B145,'Eredeti fejléccel'!$BZ:$BZ)</f>
        <v>0</v>
      </c>
      <c r="DL145" s="8">
        <f t="shared" si="130"/>
        <v>0</v>
      </c>
      <c r="DM145" s="6">
        <f>SUMIF('Eredeti fejléccel'!$B:$B,'Felosztás eredménykim'!$B145,'Eredeti fejléccel'!$BR:$BR)</f>
        <v>0</v>
      </c>
      <c r="DN145" s="6">
        <f>SUMIF('Eredeti fejléccel'!$B:$B,'Felosztás eredménykim'!$B145,'Eredeti fejléccel'!$BS:$BS)</f>
        <v>0</v>
      </c>
      <c r="DO145" s="6">
        <f>SUMIF('Eredeti fejléccel'!$B:$B,'Felosztás eredménykim'!$B145,'Eredeti fejléccel'!$BO:$BO)</f>
        <v>0</v>
      </c>
      <c r="DP145" s="6">
        <f>SUMIF('Eredeti fejléccel'!$B:$B,'Felosztás eredménykim'!$B145,'Eredeti fejléccel'!$BP:$BP)</f>
        <v>0</v>
      </c>
      <c r="DQ145" s="6">
        <f>SUMIF('Eredeti fejléccel'!$B:$B,'Felosztás eredménykim'!$B145,'Eredeti fejléccel'!$BQ:$BQ)</f>
        <v>0</v>
      </c>
      <c r="DS145" s="8"/>
      <c r="DU145" s="6">
        <f>SUMIF('Eredeti fejléccel'!$B:$B,'Felosztás eredménykim'!$B145,'Eredeti fejléccel'!$BT:$BT)</f>
        <v>0</v>
      </c>
      <c r="DV145" s="6">
        <f>SUMIF('Eredeti fejléccel'!$B:$B,'Felosztás eredménykim'!$B145,'Eredeti fejléccel'!$BU:$BU)</f>
        <v>0</v>
      </c>
      <c r="DW145" s="6">
        <f>SUMIF('Eredeti fejléccel'!$B:$B,'Felosztás eredménykim'!$B145,'Eredeti fejléccel'!$BV:$BV)</f>
        <v>0</v>
      </c>
      <c r="DX145" s="6">
        <f>SUMIF('Eredeti fejléccel'!$B:$B,'Felosztás eredménykim'!$B145,'Eredeti fejléccel'!$BW:$BW)</f>
        <v>0</v>
      </c>
      <c r="DY145" s="6">
        <f>SUMIF('Eredeti fejléccel'!$B:$B,'Felosztás eredménykim'!$B145,'Eredeti fejléccel'!$BX:$BX)</f>
        <v>0</v>
      </c>
      <c r="EA145" s="6"/>
      <c r="EC145" s="6"/>
      <c r="EE145" s="6">
        <f>SUMIF('Eredeti fejléccel'!$B:$B,'Felosztás eredménykim'!$B145,'Eredeti fejléccel'!$CA:$CA)</f>
        <v>0</v>
      </c>
      <c r="EF145" s="6">
        <f>SUMIF('Eredeti fejléccel'!$B:$B,'Felosztás eredménykim'!$B145,'Eredeti fejléccel'!$CB:$CB)</f>
        <v>0</v>
      </c>
      <c r="EG145" s="6">
        <f>SUMIF('Eredeti fejléccel'!$B:$B,'Felosztás eredménykim'!$B145,'Eredeti fejléccel'!$CC:$CC)</f>
        <v>0</v>
      </c>
      <c r="EH145" s="6">
        <f>SUMIF('Eredeti fejléccel'!$B:$B,'Felosztás eredménykim'!$B145,'Eredeti fejléccel'!$CD:$CD)</f>
        <v>0</v>
      </c>
      <c r="EK145" s="6">
        <f>SUMIF('Eredeti fejléccel'!$B:$B,'Felosztás eredménykim'!$B145,'Eredeti fejléccel'!$CE:$CE)</f>
        <v>0</v>
      </c>
      <c r="EN145" s="6">
        <f>SUMIF('Eredeti fejléccel'!$B:$B,'Felosztás eredménykim'!$B145,'Eredeti fejléccel'!$CF:$CF)</f>
        <v>0</v>
      </c>
      <c r="EP145" s="6">
        <f>SUMIF('Eredeti fejléccel'!$B:$B,'Felosztás eredménykim'!$B145,'Eredeti fejléccel'!$CG:$CG)</f>
        <v>0</v>
      </c>
      <c r="ES145" s="6">
        <f>SUMIF('Eredeti fejléccel'!$B:$B,'Felosztás eredménykim'!$B145,'Eredeti fejléccel'!$CH:$CH)</f>
        <v>0</v>
      </c>
      <c r="ET145" s="6">
        <f>SUMIF('Eredeti fejléccel'!$B:$B,'Felosztás eredménykim'!$B145,'Eredeti fejléccel'!$CI:$CI)</f>
        <v>0</v>
      </c>
      <c r="EW145" s="8">
        <f t="shared" si="288"/>
        <v>0</v>
      </c>
      <c r="EX145" s="8">
        <f t="shared" si="243"/>
        <v>0</v>
      </c>
      <c r="EY145" s="8">
        <f t="shared" si="244"/>
        <v>487889</v>
      </c>
      <c r="EZ145" s="8">
        <f t="shared" si="289"/>
        <v>487889</v>
      </c>
      <c r="FA145" s="8">
        <f t="shared" si="290"/>
        <v>487889</v>
      </c>
      <c r="FC145" s="6">
        <f>SUMIF('Eredeti fejléccel'!$B:$B,'Felosztás eredménykim'!$B145,'Eredeti fejléccel'!$L:$L)</f>
        <v>0</v>
      </c>
      <c r="FD145" s="6">
        <f>SUMIF('Eredeti fejléccel'!$B:$B,'Felosztás eredménykim'!$B145,'Eredeti fejléccel'!$CJ:$CJ)</f>
        <v>271270</v>
      </c>
      <c r="FE145" s="6">
        <f>SUMIF('Eredeti fejléccel'!$B:$B,'Felosztás eredménykim'!$B145,'Eredeti fejléccel'!$CL:$CL)</f>
        <v>0</v>
      </c>
      <c r="FG145" s="99">
        <f t="shared" si="245"/>
        <v>271270</v>
      </c>
      <c r="FH145" s="6">
        <f>SUMIF('Eredeti fejléccel'!$B:$B,'Felosztás eredménykim'!$B145,'Eredeti fejléccel'!$CK:$CK)</f>
        <v>0</v>
      </c>
      <c r="FI145" s="36">
        <f t="shared" si="228"/>
        <v>391183.60435351613</v>
      </c>
      <c r="FJ145" s="101">
        <f t="shared" si="229"/>
        <v>60153.080840743736</v>
      </c>
      <c r="FK145" s="6">
        <f>SUMIF('Eredeti fejléccel'!$B:$B,'Felosztás eredménykim'!$B145,'Eredeti fejléccel'!$CM:$CM)</f>
        <v>0</v>
      </c>
      <c r="FL145" s="6">
        <f>SUMIF('Eredeti fejléccel'!$B:$B,'Felosztás eredménykim'!$B145,'Eredeti fejléccel'!$CN:$CN)</f>
        <v>0</v>
      </c>
      <c r="FM145" s="8">
        <f t="shared" si="246"/>
        <v>60153.080840743736</v>
      </c>
      <c r="FN145" s="36">
        <f t="shared" si="230"/>
        <v>332570.23891811876</v>
      </c>
      <c r="FO145" s="101">
        <f t="shared" si="231"/>
        <v>51139.987065481007</v>
      </c>
      <c r="FP145" s="6">
        <f>SUMIF('Eredeti fejléccel'!$B:$B,'Felosztás eredménykim'!$B145,'Eredeti fejléccel'!$CO:$CO)</f>
        <v>242248</v>
      </c>
      <c r="FQ145" s="6">
        <f>'Eredeti fejléccel'!CP145</f>
        <v>0</v>
      </c>
      <c r="FR145" s="6">
        <f>'Eredeti fejléccel'!CQ145</f>
        <v>0</v>
      </c>
      <c r="FS145" s="103">
        <f t="shared" si="247"/>
        <v>293387.98706548102</v>
      </c>
      <c r="FT145" s="36">
        <f t="shared" si="232"/>
        <v>917990.83529842645</v>
      </c>
      <c r="FU145" s="101">
        <f t="shared" si="233"/>
        <v>141161.27647534359</v>
      </c>
      <c r="FV145" s="101"/>
      <c r="FW145" s="6">
        <f>SUMIF('Eredeti fejléccel'!$B:$B,'Felosztás eredménykim'!$B145,'Eredeti fejléccel'!$CR:$CR)</f>
        <v>148278</v>
      </c>
      <c r="FX145" s="6">
        <f>SUMIF('Eredeti fejléccel'!$B:$B,'Felosztás eredménykim'!$B145,'Eredeti fejléccel'!$CS:$CS)</f>
        <v>0</v>
      </c>
      <c r="FY145" s="6">
        <f>SUMIF('Eredeti fejléccel'!$B:$B,'Felosztás eredménykim'!$B145,'Eredeti fejléccel'!$CT:$CT)</f>
        <v>0</v>
      </c>
      <c r="FZ145" s="6">
        <f>SUMIF('Eredeti fejléccel'!$B:$B,'Felosztás eredménykim'!$B145,'Eredeti fejléccel'!$CU:$CU)</f>
        <v>0</v>
      </c>
      <c r="GA145" s="103">
        <f t="shared" si="248"/>
        <v>289439.27647534362</v>
      </c>
      <c r="GB145" s="36">
        <f t="shared" si="234"/>
        <v>122360.74828119462</v>
      </c>
      <c r="GC145" s="101">
        <f t="shared" si="235"/>
        <v>18815.655618431691</v>
      </c>
      <c r="GD145" s="6">
        <f>SUMIF('Eredeti fejléccel'!$B:$B,'Felosztás eredménykim'!$B145,'Eredeti fejléccel'!$CV:$CV)</f>
        <v>0</v>
      </c>
      <c r="GE145" s="6">
        <f>SUMIF('Eredeti fejléccel'!$B:$B,'Felosztás eredménykim'!$B145,'Eredeti fejléccel'!$CW:$CW)</f>
        <v>0</v>
      </c>
      <c r="GF145" s="103">
        <f t="shared" si="249"/>
        <v>18815.655618431691</v>
      </c>
      <c r="GG145" s="36">
        <f t="shared" si="236"/>
        <v>0</v>
      </c>
      <c r="GM145" s="6">
        <f>SUMIF('Eredeti fejléccel'!$B:$B,'Felosztás eredménykim'!$B145,'Eredeti fejléccel'!$CX:$CX)</f>
        <v>0</v>
      </c>
      <c r="GN145" s="6">
        <f>SUMIF('Eredeti fejléccel'!$B:$B,'Felosztás eredménykim'!$B145,'Eredeti fejléccel'!$CY:$CY)</f>
        <v>0</v>
      </c>
      <c r="GO145" s="6">
        <f>SUMIF('Eredeti fejléccel'!$B:$B,'Felosztás eredménykim'!$B145,'Eredeti fejléccel'!$CZ:$CZ)</f>
        <v>0</v>
      </c>
      <c r="GP145" s="6">
        <f>SUMIF('Eredeti fejléccel'!$B:$B,'Felosztás eredménykim'!$B145,'Eredeti fejléccel'!$DA:$DA)</f>
        <v>0</v>
      </c>
      <c r="GQ145" s="6">
        <f>SUMIF('Eredeti fejléccel'!$B:$B,'Felosztás eredménykim'!$B145,'Eredeti fejléccel'!$DB:$DB)</f>
        <v>0</v>
      </c>
      <c r="GR145" s="103">
        <f t="shared" si="250"/>
        <v>0</v>
      </c>
      <c r="GW145" s="36">
        <f t="shared" si="237"/>
        <v>210045.45267224728</v>
      </c>
      <c r="GX145" s="6">
        <f>SUMIF('Eredeti fejléccel'!$B:$B,'Felosztás eredménykim'!$B145,'Eredeti fejléccel'!$M:$M)</f>
        <v>0</v>
      </c>
      <c r="GY145" s="6">
        <f>SUMIF('Eredeti fejléccel'!$B:$B,'Felosztás eredménykim'!$B145,'Eredeti fejléccel'!$DC:$DC)</f>
        <v>145659</v>
      </c>
      <c r="GZ145" s="6">
        <f>SUMIF('Eredeti fejléccel'!$B:$B,'Felosztás eredménykim'!$B145,'Eredeti fejléccel'!$DD:$DD)</f>
        <v>0</v>
      </c>
      <c r="HA145" s="6">
        <f>SUMIF('Eredeti fejléccel'!$B:$B,'Felosztás eredménykim'!$B145,'Eredeti fejléccel'!$DE:$DE)</f>
        <v>0</v>
      </c>
      <c r="HB145" s="103">
        <f t="shared" si="251"/>
        <v>145659</v>
      </c>
      <c r="HD145" s="9">
        <f t="shared" si="256"/>
        <v>9433656.0000000037</v>
      </c>
      <c r="HE145" s="9">
        <v>9433656</v>
      </c>
      <c r="HF145" s="476"/>
      <c r="HH145" s="34">
        <f t="shared" si="252"/>
        <v>0</v>
      </c>
    </row>
    <row r="146" spans="1:218" x14ac:dyDescent="0.25">
      <c r="A146" s="4" t="s">
        <v>272</v>
      </c>
      <c r="B146" s="4" t="s">
        <v>272</v>
      </c>
      <c r="C146" s="1" t="s">
        <v>992</v>
      </c>
      <c r="D146" s="6">
        <f>SUMIF('Eredeti fejléccel'!$B:$B,'Felosztás eredménykim'!$B146,'Eredeti fejléccel'!$D:$D)</f>
        <v>0</v>
      </c>
      <c r="E146" s="6">
        <f>SUMIF('Eredeti fejléccel'!$B:$B,'Felosztás eredménykim'!$B146,'Eredeti fejléccel'!$E:$E)</f>
        <v>0</v>
      </c>
      <c r="F146" s="6">
        <f>SUMIF('Eredeti fejléccel'!$B:$B,'Felosztás eredménykim'!$B146,'Eredeti fejléccel'!$F:$F)</f>
        <v>0</v>
      </c>
      <c r="G146" s="6">
        <f>SUMIF('Eredeti fejléccel'!$B:$B,'Felosztás eredménykim'!$B146,'Eredeti fejléccel'!$G:$G)</f>
        <v>0</v>
      </c>
      <c r="H146" s="6"/>
      <c r="I146" s="6">
        <f>SUMIF('Eredeti fejléccel'!$B:$B,'Felosztás eredménykim'!$B146,'Eredeti fejléccel'!$O:$O)</f>
        <v>0</v>
      </c>
      <c r="J146" s="6">
        <f>SUMIF('Eredeti fejléccel'!$B:$B,'Felosztás eredménykim'!$B146,'Eredeti fejléccel'!$P:$P)</f>
        <v>0</v>
      </c>
      <c r="K146" s="6">
        <f>SUMIF('Eredeti fejléccel'!$B:$B,'Felosztás eredménykim'!$B146,'Eredeti fejléccel'!$Q:$Q)</f>
        <v>0</v>
      </c>
      <c r="L146" s="6">
        <f>SUMIF('Eredeti fejléccel'!$B:$B,'Felosztás eredménykim'!$B146,'Eredeti fejléccel'!$R:$R)</f>
        <v>0</v>
      </c>
      <c r="M146" s="6">
        <f>SUMIF('Eredeti fejléccel'!$B:$B,'Felosztás eredménykim'!$B146,'Eredeti fejléccel'!$T:$T)</f>
        <v>0</v>
      </c>
      <c r="N146" s="6">
        <f>SUMIF('Eredeti fejléccel'!$B:$B,'Felosztás eredménykim'!$B146,'Eredeti fejléccel'!$U:$U)</f>
        <v>0</v>
      </c>
      <c r="O146" s="6">
        <f>SUMIF('Eredeti fejléccel'!$B:$B,'Felosztás eredménykim'!$B146,'Eredeti fejléccel'!$V:$V)</f>
        <v>0</v>
      </c>
      <c r="P146" s="6">
        <f>SUMIF('Eredeti fejléccel'!$B:$B,'Felosztás eredménykim'!$B146,'Eredeti fejléccel'!$W:$W)</f>
        <v>0</v>
      </c>
      <c r="Q146" s="6">
        <f>SUMIF('Eredeti fejléccel'!$B:$B,'Felosztás eredménykim'!$B146,'Eredeti fejléccel'!$X:$X)</f>
        <v>0</v>
      </c>
      <c r="R146" s="6">
        <f>SUMIF('Eredeti fejléccel'!$B:$B,'Felosztás eredménykim'!$B146,'Eredeti fejléccel'!$Y:$Y)</f>
        <v>0</v>
      </c>
      <c r="S146" s="6">
        <f>SUMIF('Eredeti fejléccel'!$B:$B,'Felosztás eredménykim'!$B146,'Eredeti fejléccel'!$Z:$Z)</f>
        <v>0</v>
      </c>
      <c r="T146" s="6">
        <f>SUMIF('Eredeti fejléccel'!$B:$B,'Felosztás eredménykim'!$B146,'Eredeti fejléccel'!$AA:$AA)</f>
        <v>0</v>
      </c>
      <c r="U146" s="6">
        <f>SUMIF('Eredeti fejléccel'!$B:$B,'Felosztás eredménykim'!$B146,'Eredeti fejléccel'!$D:$D)</f>
        <v>0</v>
      </c>
      <c r="V146" s="6">
        <f>SUMIF('Eredeti fejléccel'!$B:$B,'Felosztás eredménykim'!$B146,'Eredeti fejléccel'!$AT:$AT)</f>
        <v>0</v>
      </c>
      <c r="X146" s="36">
        <f t="shared" si="211"/>
        <v>0</v>
      </c>
      <c r="Z146" s="6">
        <f>SUMIF('Eredeti fejléccel'!$B:$B,'Felosztás eredménykim'!$B146,'Eredeti fejléccel'!$K:$K)</f>
        <v>0</v>
      </c>
      <c r="AB146" s="6">
        <f>SUMIF('Eredeti fejléccel'!$B:$B,'Felosztás eredménykim'!$B146,'Eredeti fejléccel'!$AB:$AB)</f>
        <v>0</v>
      </c>
      <c r="AC146" s="6">
        <f>SUMIF('Eredeti fejléccel'!$B:$B,'Felosztás eredménykim'!$B146,'Eredeti fejléccel'!$AQ:$AQ)</f>
        <v>0</v>
      </c>
      <c r="AE146" s="73">
        <f t="shared" si="131"/>
        <v>0</v>
      </c>
      <c r="AF146" s="36">
        <f t="shared" si="212"/>
        <v>0</v>
      </c>
      <c r="AG146" s="8">
        <f t="shared" si="213"/>
        <v>0</v>
      </c>
      <c r="AI146" s="6">
        <f>SUMIF('Eredeti fejléccel'!$B:$B,'Felosztás eredménykim'!$B146,'Eredeti fejléccel'!$BB:$BB)</f>
        <v>0</v>
      </c>
      <c r="AJ146" s="6">
        <f>SUMIF('Eredeti fejléccel'!$B:$B,'Felosztás eredménykim'!$B146,'Eredeti fejléccel'!$AF:$AF)</f>
        <v>0</v>
      </c>
      <c r="AK146" s="8">
        <f t="shared" si="177"/>
        <v>0</v>
      </c>
      <c r="AL146" s="36">
        <f t="shared" si="214"/>
        <v>0</v>
      </c>
      <c r="AM146" s="8">
        <f t="shared" si="215"/>
        <v>0</v>
      </c>
      <c r="AN146" s="6">
        <f t="shared" si="123"/>
        <v>0</v>
      </c>
      <c r="AO146" s="6">
        <f>SUMIF('Eredeti fejléccel'!$B:$B,'Felosztás eredménykim'!$B146,'Eredeti fejléccel'!$AC:$AC)</f>
        <v>0</v>
      </c>
      <c r="AP146" s="6">
        <f>SUMIF('Eredeti fejléccel'!$B:$B,'Felosztás eredménykim'!$B146,'Eredeti fejléccel'!$AD:$AD)</f>
        <v>0</v>
      </c>
      <c r="AQ146" s="6">
        <f>SUMIF('Eredeti fejléccel'!$B:$B,'Felosztás eredménykim'!$B146,'Eredeti fejléccel'!$AE:$AE)</f>
        <v>0</v>
      </c>
      <c r="AR146" s="6">
        <f>SUMIF('Eredeti fejléccel'!$B:$B,'Felosztás eredménykim'!$B146,'Eredeti fejléccel'!$AG:$AG)</f>
        <v>0</v>
      </c>
      <c r="AS146" s="6">
        <f t="shared" si="124"/>
        <v>0</v>
      </c>
      <c r="AT146" s="36">
        <f t="shared" si="216"/>
        <v>0</v>
      </c>
      <c r="AU146" s="8">
        <f t="shared" si="217"/>
        <v>0</v>
      </c>
      <c r="AV146" s="6">
        <f>SUMIF('Eredeti fejléccel'!$B:$B,'Felosztás eredménykim'!$B146,'Eredeti fejléccel'!$AI:$AI)</f>
        <v>0</v>
      </c>
      <c r="AW146" s="6">
        <f>SUMIF('Eredeti fejléccel'!$B:$B,'Felosztás eredménykim'!$B146,'Eredeti fejléccel'!$AJ:$AJ)</f>
        <v>0</v>
      </c>
      <c r="AX146" s="6">
        <f>SUMIF('Eredeti fejléccel'!$B:$B,'Felosztás eredménykim'!$B146,'Eredeti fejléccel'!$AK:$AK)</f>
        <v>0</v>
      </c>
      <c r="AY146" s="6">
        <f>SUMIF('Eredeti fejléccel'!$B:$B,'Felosztás eredménykim'!$B146,'Eredeti fejléccel'!$AL:$AL)</f>
        <v>0</v>
      </c>
      <c r="AZ146" s="6">
        <f>SUMIF('Eredeti fejléccel'!$B:$B,'Felosztás eredménykim'!$B146,'Eredeti fejléccel'!$AM:$AM)</f>
        <v>0</v>
      </c>
      <c r="BA146" s="6">
        <f>SUMIF('Eredeti fejléccel'!$B:$B,'Felosztás eredménykim'!$B146,'Eredeti fejléccel'!$AN:$AN)</f>
        <v>0</v>
      </c>
      <c r="BB146" s="6">
        <f>SUMIF('Eredeti fejléccel'!$B:$B,'Felosztás eredménykim'!$B146,'Eredeti fejléccel'!$AP:$AP)</f>
        <v>0</v>
      </c>
      <c r="BD146" s="6">
        <f>SUMIF('Eredeti fejléccel'!$B:$B,'Felosztás eredménykim'!$B146,'Eredeti fejléccel'!$AS:$AS)</f>
        <v>0</v>
      </c>
      <c r="BE146" s="8">
        <f t="shared" si="238"/>
        <v>0</v>
      </c>
      <c r="BF146" s="36">
        <f t="shared" si="218"/>
        <v>0</v>
      </c>
      <c r="BG146" s="8">
        <f t="shared" si="219"/>
        <v>0</v>
      </c>
      <c r="BH146" s="6">
        <f t="shared" si="125"/>
        <v>0</v>
      </c>
      <c r="BI146" s="6">
        <f>SUMIF('Eredeti fejléccel'!$B:$B,'Felosztás eredménykim'!$B146,'Eredeti fejléccel'!$AH:$AH)</f>
        <v>0</v>
      </c>
      <c r="BJ146" s="6">
        <f>SUMIF('Eredeti fejléccel'!$B:$B,'Felosztás eredménykim'!$B146,'Eredeti fejléccel'!$AO:$AO)</f>
        <v>0</v>
      </c>
      <c r="BK146" s="6">
        <f>SUMIF('Eredeti fejléccel'!$B:$B,'Felosztás eredménykim'!$B146,'Eredeti fejléccel'!$BF:$BF)</f>
        <v>0</v>
      </c>
      <c r="BL146" s="8">
        <f t="shared" si="126"/>
        <v>0</v>
      </c>
      <c r="BM146" s="36">
        <f t="shared" si="220"/>
        <v>0</v>
      </c>
      <c r="BN146" s="8">
        <f t="shared" si="221"/>
        <v>0</v>
      </c>
      <c r="BP146" s="8">
        <f t="shared" si="127"/>
        <v>0</v>
      </c>
      <c r="BQ146" s="6">
        <f>SUMIF('Eredeti fejléccel'!$B:$B,'Felosztás eredménykim'!$B146,'Eredeti fejléccel'!$N:$N)</f>
        <v>0</v>
      </c>
      <c r="BR146" s="6">
        <f>SUMIF('Eredeti fejléccel'!$B:$B,'Felosztás eredménykim'!$B146,'Eredeti fejléccel'!$S:$S)</f>
        <v>0</v>
      </c>
      <c r="BT146" s="6">
        <f>SUMIF('Eredeti fejléccel'!$B:$B,'Felosztás eredménykim'!$B146,'Eredeti fejléccel'!$AR:$AR)</f>
        <v>0</v>
      </c>
      <c r="BU146" s="6">
        <f>SUMIF('Eredeti fejléccel'!$B:$B,'Felosztás eredménykim'!$B146,'Eredeti fejléccel'!$AU:$AU)</f>
        <v>0</v>
      </c>
      <c r="BV146" s="6">
        <f>SUMIF('Eredeti fejléccel'!$B:$B,'Felosztás eredménykim'!$B146,'Eredeti fejléccel'!$AV:$AV)</f>
        <v>0</v>
      </c>
      <c r="BW146" s="6">
        <f>SUMIF('Eredeti fejléccel'!$B:$B,'Felosztás eredménykim'!$B146,'Eredeti fejléccel'!$AW:$AW)</f>
        <v>0</v>
      </c>
      <c r="BX146" s="6">
        <f>SUMIF('Eredeti fejléccel'!$B:$B,'Felosztás eredménykim'!$B146,'Eredeti fejléccel'!$AX:$AX)</f>
        <v>0</v>
      </c>
      <c r="BY146" s="6">
        <f>SUMIF('Eredeti fejléccel'!$B:$B,'Felosztás eredménykim'!$B146,'Eredeti fejléccel'!$AY:$AY)</f>
        <v>0</v>
      </c>
      <c r="BZ146" s="6">
        <f>SUMIF('Eredeti fejléccel'!$B:$B,'Felosztás eredménykim'!$B146,'Eredeti fejléccel'!$AZ:$AZ)</f>
        <v>0</v>
      </c>
      <c r="CA146" s="6">
        <f>SUMIF('Eredeti fejléccel'!$B:$B,'Felosztás eredménykim'!$B146,'Eredeti fejléccel'!$BA:$BA)</f>
        <v>0</v>
      </c>
      <c r="CB146" s="6">
        <f t="shared" si="253"/>
        <v>0</v>
      </c>
      <c r="CC146" s="36">
        <f t="shared" si="222"/>
        <v>0</v>
      </c>
      <c r="CD146" s="8">
        <f t="shared" si="223"/>
        <v>0</v>
      </c>
      <c r="CE146" s="6">
        <f>SUMIF('Eredeti fejléccel'!$B:$B,'Felosztás eredménykim'!$B146,'Eredeti fejléccel'!$BC:$BC)</f>
        <v>0</v>
      </c>
      <c r="CF146" s="8">
        <f t="shared" si="135"/>
        <v>0</v>
      </c>
      <c r="CG146" s="6">
        <f>SUMIF('Eredeti fejléccel'!$B:$B,'Felosztás eredménykim'!$B146,'Eredeti fejléccel'!$H:$H)</f>
        <v>0</v>
      </c>
      <c r="CH146" s="6">
        <f>SUMIF('Eredeti fejléccel'!$B:$B,'Felosztás eredménykim'!$B146,'Eredeti fejléccel'!$BE:$BE)</f>
        <v>0</v>
      </c>
      <c r="CI146" s="6">
        <f t="shared" si="239"/>
        <v>0</v>
      </c>
      <c r="CJ146" s="36">
        <f t="shared" si="224"/>
        <v>0</v>
      </c>
      <c r="CK146" s="8">
        <f t="shared" si="225"/>
        <v>0</v>
      </c>
      <c r="CL146" s="8">
        <f t="shared" si="136"/>
        <v>0</v>
      </c>
      <c r="CM146" s="6">
        <f>SUMIF('Eredeti fejléccel'!$B:$B,'Felosztás eredménykim'!$B146,'Eredeti fejléccel'!$BD:$BD)</f>
        <v>0</v>
      </c>
      <c r="CN146" s="8">
        <f t="shared" si="240"/>
        <v>0</v>
      </c>
      <c r="CO146" s="8">
        <f t="shared" si="254"/>
        <v>0</v>
      </c>
      <c r="CR146" s="36">
        <f t="shared" si="226"/>
        <v>0</v>
      </c>
      <c r="CS146" s="6">
        <f>SUMIF('Eredeti fejléccel'!$B:$B,'Felosztás eredménykim'!$B146,'Eredeti fejléccel'!$I:$I)</f>
        <v>0</v>
      </c>
      <c r="CT146" s="6">
        <f>SUMIF('Eredeti fejléccel'!$B:$B,'Felosztás eredménykim'!$B146,'Eredeti fejléccel'!$BG:$BG)</f>
        <v>0</v>
      </c>
      <c r="CU146" s="6">
        <f>SUMIF('Eredeti fejléccel'!$B:$B,'Felosztás eredménykim'!$B146,'Eredeti fejléccel'!$BH:$BH)</f>
        <v>0</v>
      </c>
      <c r="CV146" s="6">
        <f>SUMIF('Eredeti fejléccel'!$B:$B,'Felosztás eredménykim'!$B146,'Eredeti fejléccel'!$BI:$BI)</f>
        <v>0</v>
      </c>
      <c r="CW146" s="6">
        <f>SUMIF('Eredeti fejléccel'!$B:$B,'Felosztás eredménykim'!$B146,'Eredeti fejléccel'!$BL:$BL)</f>
        <v>0</v>
      </c>
      <c r="CX146" s="6">
        <f t="shared" si="241"/>
        <v>0</v>
      </c>
      <c r="CY146" s="6">
        <f>SUMIF('Eredeti fejléccel'!$B:$B,'Felosztás eredménykim'!$B146,'Eredeti fejléccel'!$BJ:$BJ)</f>
        <v>0</v>
      </c>
      <c r="CZ146" s="6">
        <f>SUMIF('Eredeti fejléccel'!$B:$B,'Felosztás eredménykim'!$B146,'Eredeti fejléccel'!$BK:$BK)</f>
        <v>0</v>
      </c>
      <c r="DA146" s="99">
        <f t="shared" si="242"/>
        <v>0</v>
      </c>
      <c r="DC146" s="36">
        <f t="shared" si="227"/>
        <v>0</v>
      </c>
      <c r="DD146" s="6">
        <f>SUMIF('Eredeti fejléccel'!$B:$B,'Felosztás eredménykim'!$B146,'Eredeti fejléccel'!$J:$J)</f>
        <v>0</v>
      </c>
      <c r="DE146" s="6">
        <f>SUMIF('Eredeti fejléccel'!$B:$B,'Felosztás eredménykim'!$B146,'Eredeti fejléccel'!$BM:$BM)</f>
        <v>0</v>
      </c>
      <c r="DF146" s="6">
        <f t="shared" si="128"/>
        <v>0</v>
      </c>
      <c r="DG146" s="8">
        <f t="shared" si="255"/>
        <v>0</v>
      </c>
      <c r="DH146" s="8">
        <f t="shared" si="129"/>
        <v>0</v>
      </c>
      <c r="DJ146" s="6">
        <f>SUMIF('Eredeti fejléccel'!$B:$B,'Felosztás eredménykim'!$B146,'Eredeti fejléccel'!$BN:$BN)</f>
        <v>0</v>
      </c>
      <c r="DK146" s="6">
        <f>SUMIF('Eredeti fejléccel'!$B:$B,'Felosztás eredménykim'!$B146,'Eredeti fejléccel'!$BZ:$BZ)</f>
        <v>0</v>
      </c>
      <c r="DL146" s="8">
        <f t="shared" si="130"/>
        <v>0</v>
      </c>
      <c r="DM146" s="6">
        <f>SUMIF('Eredeti fejléccel'!$B:$B,'Felosztás eredménykim'!$B146,'Eredeti fejléccel'!$BR:$BR)</f>
        <v>0</v>
      </c>
      <c r="DN146" s="6">
        <f>SUMIF('Eredeti fejléccel'!$B:$B,'Felosztás eredménykim'!$B146,'Eredeti fejléccel'!$BS:$BS)</f>
        <v>0</v>
      </c>
      <c r="DO146" s="6">
        <f>SUMIF('Eredeti fejléccel'!$B:$B,'Felosztás eredménykim'!$B146,'Eredeti fejléccel'!$BO:$BO)</f>
        <v>0</v>
      </c>
      <c r="DP146" s="6">
        <f>SUMIF('Eredeti fejléccel'!$B:$B,'Felosztás eredménykim'!$B146,'Eredeti fejléccel'!$BP:$BP)</f>
        <v>0</v>
      </c>
      <c r="DQ146" s="6">
        <f>SUMIF('Eredeti fejléccel'!$B:$B,'Felosztás eredménykim'!$B146,'Eredeti fejléccel'!$BQ:$BQ)</f>
        <v>0</v>
      </c>
      <c r="DS146" s="8"/>
      <c r="DU146" s="6">
        <f>SUMIF('Eredeti fejléccel'!$B:$B,'Felosztás eredménykim'!$B146,'Eredeti fejléccel'!$BT:$BT)</f>
        <v>0</v>
      </c>
      <c r="DV146" s="6">
        <f>SUMIF('Eredeti fejléccel'!$B:$B,'Felosztás eredménykim'!$B146,'Eredeti fejléccel'!$BU:$BU)</f>
        <v>0</v>
      </c>
      <c r="DW146" s="6">
        <f>SUMIF('Eredeti fejléccel'!$B:$B,'Felosztás eredménykim'!$B146,'Eredeti fejléccel'!$BV:$BV)</f>
        <v>0</v>
      </c>
      <c r="DX146" s="6">
        <f>SUMIF('Eredeti fejléccel'!$B:$B,'Felosztás eredménykim'!$B146,'Eredeti fejléccel'!$BW:$BW)</f>
        <v>0</v>
      </c>
      <c r="DY146" s="6">
        <f>SUMIF('Eredeti fejléccel'!$B:$B,'Felosztás eredménykim'!$B146,'Eredeti fejléccel'!$BX:$BX)</f>
        <v>0</v>
      </c>
      <c r="EA146" s="6"/>
      <c r="EC146" s="6"/>
      <c r="EE146" s="6">
        <f>SUMIF('Eredeti fejléccel'!$B:$B,'Felosztás eredménykim'!$B146,'Eredeti fejléccel'!$CA:$CA)</f>
        <v>0</v>
      </c>
      <c r="EF146" s="6">
        <f>SUMIF('Eredeti fejléccel'!$B:$B,'Felosztás eredménykim'!$B146,'Eredeti fejléccel'!$CB:$CB)</f>
        <v>0</v>
      </c>
      <c r="EG146" s="6">
        <f>SUMIF('Eredeti fejléccel'!$B:$B,'Felosztás eredménykim'!$B146,'Eredeti fejléccel'!$CC:$CC)</f>
        <v>0</v>
      </c>
      <c r="EH146" s="6">
        <f>SUMIF('Eredeti fejléccel'!$B:$B,'Felosztás eredménykim'!$B146,'Eredeti fejléccel'!$CD:$CD)</f>
        <v>0</v>
      </c>
      <c r="EK146" s="6">
        <f>SUMIF('Eredeti fejléccel'!$B:$B,'Felosztás eredménykim'!$B146,'Eredeti fejléccel'!$CE:$CE)</f>
        <v>0</v>
      </c>
      <c r="EN146" s="6">
        <f>SUMIF('Eredeti fejléccel'!$B:$B,'Felosztás eredménykim'!$B146,'Eredeti fejléccel'!$CF:$CF)</f>
        <v>0</v>
      </c>
      <c r="EP146" s="6">
        <f>SUMIF('Eredeti fejléccel'!$B:$B,'Felosztás eredménykim'!$B146,'Eredeti fejléccel'!$CG:$CG)</f>
        <v>0</v>
      </c>
      <c r="ES146" s="6">
        <f>SUMIF('Eredeti fejléccel'!$B:$B,'Felosztás eredménykim'!$B146,'Eredeti fejléccel'!$CH:$CH)</f>
        <v>0</v>
      </c>
      <c r="ET146" s="6">
        <f>SUMIF('Eredeti fejléccel'!$B:$B,'Felosztás eredménykim'!$B146,'Eredeti fejléccel'!$CI:$CI)</f>
        <v>0</v>
      </c>
      <c r="EW146" s="8">
        <f t="shared" si="288"/>
        <v>0</v>
      </c>
      <c r="EX146" s="8">
        <f t="shared" si="243"/>
        <v>0</v>
      </c>
      <c r="EY146" s="8">
        <f t="shared" si="244"/>
        <v>0</v>
      </c>
      <c r="EZ146" s="8">
        <f t="shared" si="289"/>
        <v>0</v>
      </c>
      <c r="FA146" s="8">
        <f t="shared" si="290"/>
        <v>0</v>
      </c>
      <c r="FC146" s="6">
        <f>SUMIF('Eredeti fejléccel'!$B:$B,'Felosztás eredménykim'!$B146,'Eredeti fejléccel'!$L:$L)</f>
        <v>0</v>
      </c>
      <c r="FD146" s="6">
        <f>SUMIF('Eredeti fejléccel'!$B:$B,'Felosztás eredménykim'!$B146,'Eredeti fejléccel'!$CJ:$CJ)</f>
        <v>0</v>
      </c>
      <c r="FE146" s="6">
        <f>SUMIF('Eredeti fejléccel'!$B:$B,'Felosztás eredménykim'!$B146,'Eredeti fejléccel'!$CL:$CL)</f>
        <v>0</v>
      </c>
      <c r="FG146" s="99">
        <f t="shared" si="245"/>
        <v>0</v>
      </c>
      <c r="FH146" s="6">
        <f>SUMIF('Eredeti fejléccel'!$B:$B,'Felosztás eredménykim'!$B146,'Eredeti fejléccel'!$CK:$CK)</f>
        <v>0</v>
      </c>
      <c r="FI146" s="36">
        <f t="shared" si="228"/>
        <v>0</v>
      </c>
      <c r="FJ146" s="101">
        <f t="shared" si="229"/>
        <v>0</v>
      </c>
      <c r="FK146" s="6">
        <f>SUMIF('Eredeti fejléccel'!$B:$B,'Felosztás eredménykim'!$B146,'Eredeti fejléccel'!$CM:$CM)</f>
        <v>0</v>
      </c>
      <c r="FL146" s="6">
        <f>SUMIF('Eredeti fejléccel'!$B:$B,'Felosztás eredménykim'!$B146,'Eredeti fejléccel'!$CN:$CN)</f>
        <v>0</v>
      </c>
      <c r="FM146" s="8">
        <f t="shared" si="246"/>
        <v>0</v>
      </c>
      <c r="FN146" s="36">
        <f t="shared" si="230"/>
        <v>0</v>
      </c>
      <c r="FO146" s="101">
        <f t="shared" si="231"/>
        <v>0</v>
      </c>
      <c r="FP146" s="6">
        <f>SUMIF('Eredeti fejléccel'!$B:$B,'Felosztás eredménykim'!$B146,'Eredeti fejléccel'!$CO:$CO)</f>
        <v>0</v>
      </c>
      <c r="FQ146" s="6">
        <f>'Eredeti fejléccel'!CP146</f>
        <v>0</v>
      </c>
      <c r="FR146" s="6">
        <f>'Eredeti fejléccel'!CQ146</f>
        <v>0</v>
      </c>
      <c r="FS146" s="103">
        <f t="shared" si="247"/>
        <v>0</v>
      </c>
      <c r="FT146" s="36">
        <f t="shared" si="232"/>
        <v>0</v>
      </c>
      <c r="FU146" s="101">
        <f t="shared" si="233"/>
        <v>0</v>
      </c>
      <c r="FV146" s="101"/>
      <c r="FW146" s="6">
        <f>SUMIF('Eredeti fejléccel'!$B:$B,'Felosztás eredménykim'!$B146,'Eredeti fejléccel'!$CR:$CR)</f>
        <v>0</v>
      </c>
      <c r="FX146" s="6">
        <f>SUMIF('Eredeti fejléccel'!$B:$B,'Felosztás eredménykim'!$B146,'Eredeti fejléccel'!$CS:$CS)</f>
        <v>0</v>
      </c>
      <c r="FY146" s="6">
        <f>SUMIF('Eredeti fejléccel'!$B:$B,'Felosztás eredménykim'!$B146,'Eredeti fejléccel'!$CT:$CT)</f>
        <v>0</v>
      </c>
      <c r="FZ146" s="6">
        <f>SUMIF('Eredeti fejléccel'!$B:$B,'Felosztás eredménykim'!$B146,'Eredeti fejléccel'!$CU:$CU)</f>
        <v>0</v>
      </c>
      <c r="GA146" s="103">
        <f t="shared" si="248"/>
        <v>0</v>
      </c>
      <c r="GB146" s="36">
        <f t="shared" si="234"/>
        <v>0</v>
      </c>
      <c r="GC146" s="101">
        <f t="shared" si="235"/>
        <v>0</v>
      </c>
      <c r="GD146" s="6">
        <f>SUMIF('Eredeti fejléccel'!$B:$B,'Felosztás eredménykim'!$B146,'Eredeti fejléccel'!$CV:$CV)</f>
        <v>0</v>
      </c>
      <c r="GE146" s="6">
        <f>SUMIF('Eredeti fejléccel'!$B:$B,'Felosztás eredménykim'!$B146,'Eredeti fejléccel'!$CW:$CW)</f>
        <v>0</v>
      </c>
      <c r="GF146" s="103">
        <f t="shared" si="249"/>
        <v>0</v>
      </c>
      <c r="GG146" s="36">
        <f t="shared" si="236"/>
        <v>0</v>
      </c>
      <c r="GM146" s="6">
        <f>SUMIF('Eredeti fejléccel'!$B:$B,'Felosztás eredménykim'!$B146,'Eredeti fejléccel'!$CX:$CX)</f>
        <v>0</v>
      </c>
      <c r="GN146" s="6">
        <f>SUMIF('Eredeti fejléccel'!$B:$B,'Felosztás eredménykim'!$B146,'Eredeti fejléccel'!$CY:$CY)</f>
        <v>0</v>
      </c>
      <c r="GO146" s="6">
        <f>SUMIF('Eredeti fejléccel'!$B:$B,'Felosztás eredménykim'!$B146,'Eredeti fejléccel'!$CZ:$CZ)</f>
        <v>0</v>
      </c>
      <c r="GP146" s="6">
        <f>SUMIF('Eredeti fejléccel'!$B:$B,'Felosztás eredménykim'!$B146,'Eredeti fejléccel'!$DA:$DA)</f>
        <v>0</v>
      </c>
      <c r="GQ146" s="6">
        <f>SUMIF('Eredeti fejléccel'!$B:$B,'Felosztás eredménykim'!$B146,'Eredeti fejléccel'!$DB:$DB)</f>
        <v>0</v>
      </c>
      <c r="GR146" s="103">
        <f t="shared" si="250"/>
        <v>0</v>
      </c>
      <c r="GW146" s="36">
        <f t="shared" si="237"/>
        <v>0</v>
      </c>
      <c r="GX146" s="6">
        <f>SUMIF('Eredeti fejléccel'!$B:$B,'Felosztás eredménykim'!$B146,'Eredeti fejléccel'!$M:$M)</f>
        <v>0</v>
      </c>
      <c r="GY146" s="6">
        <f>SUMIF('Eredeti fejléccel'!$B:$B,'Felosztás eredménykim'!$B146,'Eredeti fejléccel'!$DC:$DC)</f>
        <v>0</v>
      </c>
      <c r="GZ146" s="6">
        <f>SUMIF('Eredeti fejléccel'!$B:$B,'Felosztás eredménykim'!$B146,'Eredeti fejléccel'!$DD:$DD)</f>
        <v>0</v>
      </c>
      <c r="HA146" s="6">
        <f>SUMIF('Eredeti fejléccel'!$B:$B,'Felosztás eredménykim'!$B146,'Eredeti fejléccel'!$DE:$DE)</f>
        <v>0</v>
      </c>
      <c r="HB146" s="103">
        <f t="shared" si="251"/>
        <v>0</v>
      </c>
      <c r="HD146" s="9">
        <f t="shared" si="256"/>
        <v>0</v>
      </c>
      <c r="HE146" s="9"/>
      <c r="HF146" s="476"/>
      <c r="HH146" s="34">
        <f t="shared" si="252"/>
        <v>0</v>
      </c>
      <c r="HI146" s="31">
        <f>SUM(HD142:HD146)</f>
        <v>80840338</v>
      </c>
      <c r="HJ146" s="31">
        <f>SUM(HE142:HE146)</f>
        <v>80840338</v>
      </c>
    </row>
    <row r="147" spans="1:218" x14ac:dyDescent="0.25">
      <c r="A147" s="4" t="s">
        <v>273</v>
      </c>
      <c r="B147" s="4" t="s">
        <v>273</v>
      </c>
      <c r="C147" s="1" t="s">
        <v>274</v>
      </c>
      <c r="D147" s="6">
        <f>SUMIF('Eredeti fejléccel'!$B:$B,'Felosztás eredménykim'!$B147,'Eredeti fejléccel'!$D:$D)</f>
        <v>0</v>
      </c>
      <c r="E147" s="6">
        <f>SUMIF('Eredeti fejléccel'!$B:$B,'Felosztás eredménykim'!$B147,'Eredeti fejléccel'!$E:$E)</f>
        <v>15185.82</v>
      </c>
      <c r="F147" s="6">
        <f>SUMIF('Eredeti fejléccel'!$B:$B,'Felosztás eredménykim'!$B147,'Eredeti fejléccel'!$F:$F)</f>
        <v>0</v>
      </c>
      <c r="G147" s="6">
        <f>SUMIF('Eredeti fejléccel'!$B:$B,'Felosztás eredménykim'!$B147,'Eredeti fejléccel'!$G:$G)</f>
        <v>0</v>
      </c>
      <c r="H147" s="6"/>
      <c r="I147" s="6">
        <f>SUMIF('Eredeti fejléccel'!$B:$B,'Felosztás eredménykim'!$B147,'Eredeti fejléccel'!$O:$O)</f>
        <v>0</v>
      </c>
      <c r="J147" s="6">
        <f>SUMIF('Eredeti fejléccel'!$B:$B,'Felosztás eredménykim'!$B147,'Eredeti fejléccel'!$P:$P)</f>
        <v>0</v>
      </c>
      <c r="K147" s="6">
        <f>SUMIF('Eredeti fejléccel'!$B:$B,'Felosztás eredménykim'!$B147,'Eredeti fejléccel'!$Q:$Q)</f>
        <v>0</v>
      </c>
      <c r="L147" s="6">
        <f>SUMIF('Eredeti fejléccel'!$B:$B,'Felosztás eredménykim'!$B147,'Eredeti fejléccel'!$R:$R)</f>
        <v>1148.03</v>
      </c>
      <c r="M147" s="6">
        <f>SUMIF('Eredeti fejléccel'!$B:$B,'Felosztás eredménykim'!$B147,'Eredeti fejléccel'!$T:$T)</f>
        <v>0</v>
      </c>
      <c r="N147" s="6">
        <f>SUMIF('Eredeti fejléccel'!$B:$B,'Felosztás eredménykim'!$B147,'Eredeti fejléccel'!$U:$U)</f>
        <v>0</v>
      </c>
      <c r="O147" s="6">
        <f>SUMIF('Eredeti fejléccel'!$B:$B,'Felosztás eredménykim'!$B147,'Eredeti fejléccel'!$V:$V)</f>
        <v>0</v>
      </c>
      <c r="P147" s="6">
        <f>SUMIF('Eredeti fejléccel'!$B:$B,'Felosztás eredménykim'!$B147,'Eredeti fejléccel'!$W:$W)</f>
        <v>7042.52</v>
      </c>
      <c r="Q147" s="6">
        <f>SUMIF('Eredeti fejléccel'!$B:$B,'Felosztás eredménykim'!$B147,'Eredeti fejléccel'!$X:$X)</f>
        <v>0</v>
      </c>
      <c r="R147" s="6">
        <f>SUMIF('Eredeti fejléccel'!$B:$B,'Felosztás eredménykim'!$B147,'Eredeti fejléccel'!$Y:$Y)</f>
        <v>2309.4499999999998</v>
      </c>
      <c r="S147" s="6">
        <f>SUMIF('Eredeti fejléccel'!$B:$B,'Felosztás eredménykim'!$B147,'Eredeti fejléccel'!$Z:$Z)</f>
        <v>0</v>
      </c>
      <c r="T147" s="6">
        <f>SUMIF('Eredeti fejléccel'!$B:$B,'Felosztás eredménykim'!$B147,'Eredeti fejléccel'!$AA:$AA)</f>
        <v>0</v>
      </c>
      <c r="U147" s="6">
        <f>SUMIF('Eredeti fejléccel'!$B:$B,'Felosztás eredménykim'!$B147,'Eredeti fejléccel'!$D:$D)</f>
        <v>0</v>
      </c>
      <c r="V147" s="6">
        <f>SUMIF('Eredeti fejléccel'!$B:$B,'Felosztás eredménykim'!$B147,'Eredeti fejléccel'!$AT:$AT)</f>
        <v>0</v>
      </c>
      <c r="W147" s="36">
        <v>-25686</v>
      </c>
      <c r="X147" s="36">
        <f t="shared" si="211"/>
        <v>-0.17999999999665306</v>
      </c>
      <c r="Z147" s="6">
        <f>SUMIF('Eredeti fejléccel'!$B:$B,'Felosztás eredménykim'!$B147,'Eredeti fejléccel'!$K:$K)</f>
        <v>0</v>
      </c>
      <c r="AB147" s="6">
        <f>SUMIF('Eredeti fejléccel'!$B:$B,'Felosztás eredménykim'!$B147,'Eredeti fejléccel'!$AB:$AB)</f>
        <v>0</v>
      </c>
      <c r="AC147" s="6">
        <f>SUMIF('Eredeti fejléccel'!$B:$B,'Felosztás eredménykim'!$B147,'Eredeti fejléccel'!$AQ:$AQ)</f>
        <v>0</v>
      </c>
      <c r="AE147" s="73">
        <f t="shared" si="131"/>
        <v>0</v>
      </c>
      <c r="AF147" s="36">
        <f t="shared" si="212"/>
        <v>-2.1473035475741059E-2</v>
      </c>
      <c r="AG147" s="8">
        <f t="shared" si="213"/>
        <v>0</v>
      </c>
      <c r="AI147" s="6">
        <f>SUMIF('Eredeti fejléccel'!$B:$B,'Felosztás eredménykim'!$B147,'Eredeti fejléccel'!$BB:$BB)</f>
        <v>0</v>
      </c>
      <c r="AJ147" s="6">
        <f>SUMIF('Eredeti fejléccel'!$B:$B,'Felosztás eredménykim'!$B147,'Eredeti fejléccel'!$AF:$AF)</f>
        <v>0</v>
      </c>
      <c r="AK147" s="8">
        <f t="shared" si="177"/>
        <v>0</v>
      </c>
      <c r="AL147" s="36">
        <f t="shared" si="214"/>
        <v>-8.5289812717108966E-3</v>
      </c>
      <c r="AM147" s="8">
        <f t="shared" si="215"/>
        <v>0</v>
      </c>
      <c r="AN147" s="6">
        <f t="shared" ref="AN147:AN231" si="291">-AO147/2</f>
        <v>0</v>
      </c>
      <c r="AO147" s="6">
        <f>SUMIF('Eredeti fejléccel'!$B:$B,'Felosztás eredménykim'!$B147,'Eredeti fejléccel'!$AC:$AC)</f>
        <v>0</v>
      </c>
      <c r="AP147" s="6">
        <f>SUMIF('Eredeti fejléccel'!$B:$B,'Felosztás eredménykim'!$B147,'Eredeti fejléccel'!$AD:$AD)</f>
        <v>0</v>
      </c>
      <c r="AQ147" s="6">
        <f>SUMIF('Eredeti fejléccel'!$B:$B,'Felosztás eredménykim'!$B147,'Eredeti fejléccel'!$AE:$AE)</f>
        <v>0</v>
      </c>
      <c r="AR147" s="6">
        <f>SUMIF('Eredeti fejléccel'!$B:$B,'Felosztás eredménykim'!$B147,'Eredeti fejléccel'!$AG:$AG)</f>
        <v>13066.119999999997</v>
      </c>
      <c r="AS147" s="6">
        <f t="shared" ref="AS147:AS231" si="292">SUM(AM147:AR147)</f>
        <v>13066.119999999997</v>
      </c>
      <c r="AT147" s="36">
        <f t="shared" si="216"/>
        <v>-1.3853571274671654E-2</v>
      </c>
      <c r="AU147" s="8">
        <f t="shared" si="217"/>
        <v>0</v>
      </c>
      <c r="AV147" s="6">
        <f>SUMIF('Eredeti fejléccel'!$B:$B,'Felosztás eredménykim'!$B147,'Eredeti fejléccel'!$AI:$AI)</f>
        <v>0</v>
      </c>
      <c r="AW147" s="6">
        <f>SUMIF('Eredeti fejléccel'!$B:$B,'Felosztás eredménykim'!$B147,'Eredeti fejléccel'!$AJ:$AJ)</f>
        <v>0</v>
      </c>
      <c r="AX147" s="6">
        <f>SUMIF('Eredeti fejléccel'!$B:$B,'Felosztás eredménykim'!$B147,'Eredeti fejléccel'!$AK:$AK)</f>
        <v>60000</v>
      </c>
      <c r="AY147" s="6">
        <f>SUMIF('Eredeti fejléccel'!$B:$B,'Felosztás eredménykim'!$B147,'Eredeti fejléccel'!$AL:$AL)</f>
        <v>0</v>
      </c>
      <c r="AZ147" s="6">
        <f>SUMIF('Eredeti fejléccel'!$B:$B,'Felosztás eredménykim'!$B147,'Eredeti fejléccel'!$AM:$AM)</f>
        <v>0</v>
      </c>
      <c r="BA147" s="6">
        <f>SUMIF('Eredeti fejléccel'!$B:$B,'Felosztás eredménykim'!$B147,'Eredeti fejléccel'!$AN:$AN)</f>
        <v>0</v>
      </c>
      <c r="BB147" s="6">
        <f>SUMIF('Eredeti fejléccel'!$B:$B,'Felosztás eredménykim'!$B147,'Eredeti fejléccel'!$AP:$AP)</f>
        <v>0</v>
      </c>
      <c r="BD147" s="6">
        <f>SUMIF('Eredeti fejléccel'!$B:$B,'Felosztás eredménykim'!$B147,'Eredeti fejléccel'!$AS:$AS)</f>
        <v>0</v>
      </c>
      <c r="BE147" s="8">
        <f t="shared" si="238"/>
        <v>60000</v>
      </c>
      <c r="BF147" s="36">
        <f t="shared" si="218"/>
        <v>-3.613975115131735E-3</v>
      </c>
      <c r="BG147" s="8">
        <f t="shared" si="219"/>
        <v>0</v>
      </c>
      <c r="BH147" s="6">
        <f t="shared" ref="BH147:BH231" si="293">AO147/2</f>
        <v>0</v>
      </c>
      <c r="BI147" s="6">
        <f>SUMIF('Eredeti fejléccel'!$B:$B,'Felosztás eredménykim'!$B147,'Eredeti fejléccel'!$AH:$AH)</f>
        <v>0</v>
      </c>
      <c r="BJ147" s="6">
        <f>SUMIF('Eredeti fejléccel'!$B:$B,'Felosztás eredménykim'!$B147,'Eredeti fejléccel'!$AO:$AO)</f>
        <v>0</v>
      </c>
      <c r="BK147" s="6">
        <f>SUMIF('Eredeti fejléccel'!$B:$B,'Felosztás eredménykim'!$B147,'Eredeti fejléccel'!$BF:$BF)</f>
        <v>0</v>
      </c>
      <c r="BL147" s="8">
        <f t="shared" ref="BL147:BL231" si="294">SUM(BG147:BK147)</f>
        <v>0</v>
      </c>
      <c r="BM147" s="36">
        <f t="shared" si="220"/>
        <v>-1.3540360098026904E-2</v>
      </c>
      <c r="BN147" s="8">
        <f t="shared" si="221"/>
        <v>0</v>
      </c>
      <c r="BP147" s="8">
        <f t="shared" ref="BP147:BP231" si="295">-FV147</f>
        <v>0</v>
      </c>
      <c r="BQ147" s="6">
        <f>SUMIF('Eredeti fejléccel'!$B:$B,'Felosztás eredménykim'!$B147,'Eredeti fejléccel'!$N:$N)</f>
        <v>0</v>
      </c>
      <c r="BR147" s="6">
        <f>SUMIF('Eredeti fejléccel'!$B:$B,'Felosztás eredménykim'!$B147,'Eredeti fejléccel'!$S:$S)</f>
        <v>0</v>
      </c>
      <c r="BT147" s="6">
        <f>SUMIF('Eredeti fejléccel'!$B:$B,'Felosztás eredménykim'!$B147,'Eredeti fejléccel'!$AR:$AR)</f>
        <v>0</v>
      </c>
      <c r="BU147" s="6">
        <f>SUMIF('Eredeti fejléccel'!$B:$B,'Felosztás eredménykim'!$B147,'Eredeti fejléccel'!$AU:$AU)</f>
        <v>0</v>
      </c>
      <c r="BV147" s="6">
        <f>SUMIF('Eredeti fejléccel'!$B:$B,'Felosztás eredménykim'!$B147,'Eredeti fejléccel'!$AV:$AV)</f>
        <v>1002.36</v>
      </c>
      <c r="BW147" s="6">
        <f>SUMIF('Eredeti fejléccel'!$B:$B,'Felosztás eredménykim'!$B147,'Eredeti fejléccel'!$AW:$AW)</f>
        <v>0</v>
      </c>
      <c r="BX147" s="6">
        <f>SUMIF('Eredeti fejléccel'!$B:$B,'Felosztás eredménykim'!$B147,'Eredeti fejléccel'!$AX:$AX)</f>
        <v>0</v>
      </c>
      <c r="BY147" s="6">
        <f>SUMIF('Eredeti fejléccel'!$B:$B,'Felosztás eredménykim'!$B147,'Eredeti fejléccel'!$AY:$AY)</f>
        <v>0</v>
      </c>
      <c r="BZ147" s="6">
        <f>SUMIF('Eredeti fejléccel'!$B:$B,'Felosztás eredménykim'!$B147,'Eredeti fejléccel'!$AZ:$AZ)</f>
        <v>0</v>
      </c>
      <c r="CA147" s="6">
        <f>SUMIF('Eredeti fejléccel'!$B:$B,'Felosztás eredménykim'!$B147,'Eredeti fejléccel'!$BA:$BA)</f>
        <v>0</v>
      </c>
      <c r="CB147" s="6">
        <f t="shared" si="253"/>
        <v>1002.36</v>
      </c>
      <c r="CC147" s="36">
        <f t="shared" si="222"/>
        <v>-3.68625461743437E-3</v>
      </c>
      <c r="CD147" s="8">
        <f t="shared" si="223"/>
        <v>0</v>
      </c>
      <c r="CE147" s="6">
        <f>SUMIF('Eredeti fejléccel'!$B:$B,'Felosztás eredménykim'!$B147,'Eredeti fejléccel'!$BC:$BC)</f>
        <v>0</v>
      </c>
      <c r="CF147" s="8">
        <f t="shared" si="135"/>
        <v>0</v>
      </c>
      <c r="CG147" s="6">
        <f>SUMIF('Eredeti fejléccel'!$B:$B,'Felosztás eredménykim'!$B147,'Eredeti fejléccel'!$H:$H)</f>
        <v>0</v>
      </c>
      <c r="CH147" s="6">
        <f>SUMIF('Eredeti fejléccel'!$B:$B,'Felosztás eredménykim'!$B147,'Eredeti fejléccel'!$BE:$BE)</f>
        <v>840.95</v>
      </c>
      <c r="CI147" s="6">
        <f t="shared" si="239"/>
        <v>840.95</v>
      </c>
      <c r="CJ147" s="36">
        <f t="shared" si="224"/>
        <v>-2.6502484177632732E-3</v>
      </c>
      <c r="CK147" s="8">
        <f t="shared" si="225"/>
        <v>0</v>
      </c>
      <c r="CL147" s="8">
        <f t="shared" si="136"/>
        <v>0</v>
      </c>
      <c r="CM147" s="6">
        <f>SUMIF('Eredeti fejléccel'!$B:$B,'Felosztás eredménykim'!$B147,'Eredeti fejléccel'!$BD:$BD)</f>
        <v>0</v>
      </c>
      <c r="CN147" s="8">
        <f t="shared" si="240"/>
        <v>0</v>
      </c>
      <c r="CO147" s="8">
        <f t="shared" si="254"/>
        <v>74909.362653573728</v>
      </c>
      <c r="CR147" s="36">
        <f t="shared" si="226"/>
        <v>-1.5919510624301546E-2</v>
      </c>
      <c r="CS147" s="6">
        <f>SUMIF('Eredeti fejléccel'!$B:$B,'Felosztás eredménykim'!$B147,'Eredeti fejléccel'!$I:$I)</f>
        <v>0</v>
      </c>
      <c r="CT147" s="6">
        <f>SUMIF('Eredeti fejléccel'!$B:$B,'Felosztás eredménykim'!$B147,'Eredeti fejléccel'!$BG:$BG)</f>
        <v>0</v>
      </c>
      <c r="CU147" s="6">
        <f>SUMIF('Eredeti fejléccel'!$B:$B,'Felosztás eredménykim'!$B147,'Eredeti fejléccel'!$BH:$BH)</f>
        <v>31388.189999999995</v>
      </c>
      <c r="CV147" s="6">
        <f>SUMIF('Eredeti fejléccel'!$B:$B,'Felosztás eredménykim'!$B147,'Eredeti fejléccel'!$BI:$BI)</f>
        <v>0</v>
      </c>
      <c r="CW147" s="6">
        <f>SUMIF('Eredeti fejléccel'!$B:$B,'Felosztás eredménykim'!$B147,'Eredeti fejléccel'!$BL:$BL)</f>
        <v>0</v>
      </c>
      <c r="CX147" s="6">
        <f t="shared" si="241"/>
        <v>31388.189999999995</v>
      </c>
      <c r="CY147" s="6">
        <f>SUMIF('Eredeti fejléccel'!$B:$B,'Felosztás eredménykim'!$B147,'Eredeti fejléccel'!$BJ:$BJ)</f>
        <v>0</v>
      </c>
      <c r="CZ147" s="6">
        <f>SUMIF('Eredeti fejléccel'!$B:$B,'Felosztás eredménykim'!$B147,'Eredeti fejléccel'!$BK:$BK)</f>
        <v>0</v>
      </c>
      <c r="DA147" s="99">
        <f t="shared" si="242"/>
        <v>31388.189999999995</v>
      </c>
      <c r="DC147" s="36">
        <f t="shared" si="227"/>
        <v>-1.3943335479457416E-2</v>
      </c>
      <c r="DD147" s="6">
        <f>SUMIF('Eredeti fejléccel'!$B:$B,'Felosztás eredménykim'!$B147,'Eredeti fejléccel'!$J:$J)</f>
        <v>0</v>
      </c>
      <c r="DE147" s="6">
        <f>SUMIF('Eredeti fejléccel'!$B:$B,'Felosztás eredménykim'!$B147,'Eredeti fejléccel'!$BM:$BM)</f>
        <v>1036.22</v>
      </c>
      <c r="DF147" s="6">
        <f t="shared" ref="DF147:DF231" si="296">-DI147</f>
        <v>0</v>
      </c>
      <c r="DG147" s="8">
        <f t="shared" si="255"/>
        <v>0</v>
      </c>
      <c r="DH147" s="8">
        <f t="shared" ref="DH147:DH231" si="297">SUM(DD147:DG147)</f>
        <v>1036.22</v>
      </c>
      <c r="DJ147" s="6">
        <f>SUMIF('Eredeti fejléccel'!$B:$B,'Felosztás eredménykim'!$B147,'Eredeti fejléccel'!$BN:$BN)</f>
        <v>0</v>
      </c>
      <c r="DK147" s="6">
        <f>SUMIF('Eredeti fejléccel'!$B:$B,'Felosztás eredménykim'!$B147,'Eredeti fejléccel'!$BZ:$BZ)</f>
        <v>0</v>
      </c>
      <c r="DL147" s="8">
        <f t="shared" ref="DL147:DL231" si="298">SUM(DI147:DK147)</f>
        <v>0</v>
      </c>
      <c r="DM147" s="6">
        <f>SUMIF('Eredeti fejléccel'!$B:$B,'Felosztás eredménykim'!$B147,'Eredeti fejléccel'!$BR:$BR)</f>
        <v>0</v>
      </c>
      <c r="DN147" s="6">
        <f>SUMIF('Eredeti fejléccel'!$B:$B,'Felosztás eredménykim'!$B147,'Eredeti fejléccel'!$BS:$BS)</f>
        <v>0</v>
      </c>
      <c r="DO147" s="6">
        <f>SUMIF('Eredeti fejléccel'!$B:$B,'Felosztás eredménykim'!$B147,'Eredeti fejléccel'!$BO:$BO)</f>
        <v>0</v>
      </c>
      <c r="DP147" s="6">
        <f>SUMIF('Eredeti fejléccel'!$B:$B,'Felosztás eredménykim'!$B147,'Eredeti fejléccel'!$BP:$BP)</f>
        <v>0</v>
      </c>
      <c r="DQ147" s="6">
        <f>SUMIF('Eredeti fejléccel'!$B:$B,'Felosztás eredménykim'!$B147,'Eredeti fejléccel'!$BQ:$BQ)</f>
        <v>0</v>
      </c>
      <c r="DS147" s="8"/>
      <c r="DU147" s="6">
        <f>SUMIF('Eredeti fejléccel'!$B:$B,'Felosztás eredménykim'!$B147,'Eredeti fejléccel'!$BT:$BT)</f>
        <v>283068</v>
      </c>
      <c r="DV147" s="6">
        <f>SUMIF('Eredeti fejléccel'!$B:$B,'Felosztás eredménykim'!$B147,'Eredeti fejléccel'!$BU:$BU)</f>
        <v>0</v>
      </c>
      <c r="DW147" s="6">
        <f>SUMIF('Eredeti fejléccel'!$B:$B,'Felosztás eredménykim'!$B147,'Eredeti fejléccel'!$BV:$BV)</f>
        <v>0</v>
      </c>
      <c r="DX147" s="6">
        <f>SUMIF('Eredeti fejléccel'!$B:$B,'Felosztás eredménykim'!$B147,'Eredeti fejléccel'!$BW:$BW)</f>
        <v>0</v>
      </c>
      <c r="DY147" s="6">
        <f>SUMIF('Eredeti fejléccel'!$B:$B,'Felosztás eredménykim'!$B147,'Eredeti fejléccel'!$BX:$BX)</f>
        <v>0</v>
      </c>
      <c r="EA147" s="6"/>
      <c r="EC147" s="6"/>
      <c r="EE147" s="6">
        <f>SUMIF('Eredeti fejléccel'!$B:$B,'Felosztás eredménykim'!$B147,'Eredeti fejléccel'!$CA:$CA)</f>
        <v>0</v>
      </c>
      <c r="EF147" s="6">
        <f>SUMIF('Eredeti fejléccel'!$B:$B,'Felosztás eredménykim'!$B147,'Eredeti fejléccel'!$CB:$CB)</f>
        <v>0</v>
      </c>
      <c r="EG147" s="6">
        <f>SUMIF('Eredeti fejléccel'!$B:$B,'Felosztás eredménykim'!$B147,'Eredeti fejléccel'!$CC:$CC)</f>
        <v>0</v>
      </c>
      <c r="EH147" s="6">
        <f>SUMIF('Eredeti fejléccel'!$B:$B,'Felosztás eredménykim'!$B147,'Eredeti fejléccel'!$CD:$CD)</f>
        <v>0</v>
      </c>
      <c r="EK147" s="6">
        <f>SUMIF('Eredeti fejléccel'!$B:$B,'Felosztás eredménykim'!$B147,'Eredeti fejléccel'!$CE:$CE)</f>
        <v>0</v>
      </c>
      <c r="EN147" s="6">
        <f>SUMIF('Eredeti fejléccel'!$B:$B,'Felosztás eredménykim'!$B147,'Eredeti fejléccel'!$CF:$CF)</f>
        <v>0</v>
      </c>
      <c r="EP147" s="6">
        <f>SUMIF('Eredeti fejléccel'!$B:$B,'Felosztás eredménykim'!$B147,'Eredeti fejléccel'!$CG:$CG)</f>
        <v>0</v>
      </c>
      <c r="ES147" s="6">
        <f>SUMIF('Eredeti fejléccel'!$B:$B,'Felosztás eredménykim'!$B147,'Eredeti fejléccel'!$CH:$CH)</f>
        <v>0</v>
      </c>
      <c r="ET147" s="6">
        <f>SUMIF('Eredeti fejléccel'!$B:$B,'Felosztás eredménykim'!$B147,'Eredeti fejléccel'!$CI:$CI)</f>
        <v>0</v>
      </c>
      <c r="EW147" s="8">
        <f t="shared" si="288"/>
        <v>283068</v>
      </c>
      <c r="EX147" s="8">
        <f t="shared" si="243"/>
        <v>0</v>
      </c>
      <c r="EY147" s="8">
        <f t="shared" si="244"/>
        <v>284104.21999999997</v>
      </c>
      <c r="EZ147" s="8">
        <f t="shared" si="289"/>
        <v>284104.21999999997</v>
      </c>
      <c r="FA147" s="8">
        <f t="shared" si="290"/>
        <v>284104.21999999997</v>
      </c>
      <c r="FC147" s="6">
        <f>SUMIF('Eredeti fejléccel'!$B:$B,'Felosztás eredménykim'!$B147,'Eredeti fejléccel'!$L:$L)</f>
        <v>0</v>
      </c>
      <c r="FD147" s="6">
        <f>SUMIF('Eredeti fejléccel'!$B:$B,'Felosztás eredménykim'!$B147,'Eredeti fejléccel'!$CJ:$CJ)</f>
        <v>0</v>
      </c>
      <c r="FE147" s="6">
        <f>SUMIF('Eredeti fejléccel'!$B:$B,'Felosztás eredménykim'!$B147,'Eredeti fejléccel'!$CL:$CL)</f>
        <v>0</v>
      </c>
      <c r="FG147" s="99">
        <f t="shared" si="245"/>
        <v>0</v>
      </c>
      <c r="FH147" s="6">
        <f>SUMIF('Eredeti fejléccel'!$B:$B,'Felosztás eredménykim'!$B147,'Eredeti fejléccel'!$CK:$CK)</f>
        <v>0</v>
      </c>
      <c r="FI147" s="36">
        <f t="shared" si="228"/>
        <v>-1.6405217845458318E-2</v>
      </c>
      <c r="FJ147" s="101">
        <f t="shared" si="229"/>
        <v>0</v>
      </c>
      <c r="FK147" s="6">
        <f>SUMIF('Eredeti fejléccel'!$B:$B,'Felosztás eredménykim'!$B147,'Eredeti fejléccel'!$CM:$CM)</f>
        <v>0</v>
      </c>
      <c r="FL147" s="6">
        <f>SUMIF('Eredeti fejléccel'!$B:$B,'Felosztás eredménykim'!$B147,'Eredeti fejléccel'!$CN:$CN)</f>
        <v>0</v>
      </c>
      <c r="FM147" s="8">
        <f t="shared" si="246"/>
        <v>0</v>
      </c>
      <c r="FN147" s="36">
        <f t="shared" si="230"/>
        <v>-1.3947126509518338E-2</v>
      </c>
      <c r="FO147" s="101">
        <f t="shared" si="231"/>
        <v>0</v>
      </c>
      <c r="FP147" s="6">
        <f>SUMIF('Eredeti fejléccel'!$B:$B,'Felosztás eredménykim'!$B147,'Eredeti fejléccel'!$CO:$CO)</f>
        <v>0</v>
      </c>
      <c r="FQ147" s="6">
        <f>'Eredeti fejléccel'!CP147</f>
        <v>0</v>
      </c>
      <c r="FR147" s="6">
        <f>'Eredeti fejléccel'!CQ147</f>
        <v>0</v>
      </c>
      <c r="FS147" s="103">
        <f t="shared" si="247"/>
        <v>0</v>
      </c>
      <c r="FT147" s="36">
        <f t="shared" si="232"/>
        <v>-3.8498136081376304E-2</v>
      </c>
      <c r="FU147" s="101">
        <f t="shared" si="233"/>
        <v>0</v>
      </c>
      <c r="FV147" s="101"/>
      <c r="FW147" s="6">
        <f>SUMIF('Eredeti fejléccel'!$B:$B,'Felosztás eredménykim'!$B147,'Eredeti fejléccel'!$CR:$CR)</f>
        <v>0</v>
      </c>
      <c r="FX147" s="6">
        <f>SUMIF('Eredeti fejléccel'!$B:$B,'Felosztás eredménykim'!$B147,'Eredeti fejléccel'!$CS:$CS)</f>
        <v>0</v>
      </c>
      <c r="FY147" s="6">
        <f>SUMIF('Eredeti fejléccel'!$B:$B,'Felosztás eredménykim'!$B147,'Eredeti fejléccel'!$CT:$CT)</f>
        <v>0</v>
      </c>
      <c r="FZ147" s="6">
        <f>SUMIF('Eredeti fejléccel'!$B:$B,'Felosztás eredménykim'!$B147,'Eredeti fejléccel'!$CU:$CU)</f>
        <v>0</v>
      </c>
      <c r="GA147" s="103">
        <f t="shared" si="248"/>
        <v>0</v>
      </c>
      <c r="GB147" s="36">
        <f t="shared" si="234"/>
        <v>-5.1314899421812743E-3</v>
      </c>
      <c r="GC147" s="101">
        <f t="shared" si="235"/>
        <v>0</v>
      </c>
      <c r="GD147" s="6">
        <f>SUMIF('Eredeti fejléccel'!$B:$B,'Felosztás eredménykim'!$B147,'Eredeti fejléccel'!$CV:$CV)</f>
        <v>110260.95000000001</v>
      </c>
      <c r="GE147" s="6">
        <f>SUMIF('Eredeti fejléccel'!$B:$B,'Felosztás eredménykim'!$B147,'Eredeti fejléccel'!$CW:$CW)</f>
        <v>0</v>
      </c>
      <c r="GF147" s="103">
        <f t="shared" si="249"/>
        <v>110260.95000000001</v>
      </c>
      <c r="GG147" s="36">
        <f t="shared" si="236"/>
        <v>0</v>
      </c>
      <c r="GM147" s="6">
        <f>SUMIF('Eredeti fejléccel'!$B:$B,'Felosztás eredménykim'!$B147,'Eredeti fejléccel'!$CX:$CX)</f>
        <v>0</v>
      </c>
      <c r="GN147" s="6">
        <f>SUMIF('Eredeti fejléccel'!$B:$B,'Felosztás eredménykim'!$B147,'Eredeti fejléccel'!$CY:$CY)</f>
        <v>0</v>
      </c>
      <c r="GO147" s="6">
        <f>SUMIF('Eredeti fejléccel'!$B:$B,'Felosztás eredménykim'!$B147,'Eredeti fejléccel'!$CZ:$CZ)</f>
        <v>0</v>
      </c>
      <c r="GP147" s="6">
        <f>SUMIF('Eredeti fejléccel'!$B:$B,'Felosztás eredménykim'!$B147,'Eredeti fejléccel'!$DA:$DA)</f>
        <v>0</v>
      </c>
      <c r="GQ147" s="6">
        <f>SUMIF('Eredeti fejléccel'!$B:$B,'Felosztás eredménykim'!$B147,'Eredeti fejléccel'!$DB:$DB)</f>
        <v>0</v>
      </c>
      <c r="GR147" s="103">
        <f t="shared" si="250"/>
        <v>0</v>
      </c>
      <c r="GW147" s="36">
        <f t="shared" si="237"/>
        <v>-8.8087572438799965E-3</v>
      </c>
      <c r="GX147" s="6">
        <f>SUMIF('Eredeti fejléccel'!$B:$B,'Felosztás eredménykim'!$B147,'Eredeti fejléccel'!$M:$M)</f>
        <v>0</v>
      </c>
      <c r="GY147" s="6">
        <f>SUMIF('Eredeti fejléccel'!$B:$B,'Felosztás eredménykim'!$B147,'Eredeti fejléccel'!$DC:$DC)</f>
        <v>0</v>
      </c>
      <c r="GZ147" s="6">
        <f>SUMIF('Eredeti fejléccel'!$B:$B,'Felosztás eredménykim'!$B147,'Eredeti fejléccel'!$DD:$DD)</f>
        <v>0</v>
      </c>
      <c r="HA147" s="6">
        <f>SUMIF('Eredeti fejléccel'!$B:$B,'Felosztás eredménykim'!$B147,'Eredeti fejléccel'!$DE:$DE)</f>
        <v>0</v>
      </c>
      <c r="HB147" s="103">
        <f t="shared" si="251"/>
        <v>0</v>
      </c>
      <c r="HD147" s="9">
        <f t="shared" si="256"/>
        <v>526348.61000000022</v>
      </c>
      <c r="HE147" s="9">
        <v>526348.61</v>
      </c>
      <c r="HF147" s="476"/>
      <c r="HH147" s="34">
        <f t="shared" si="252"/>
        <v>0</v>
      </c>
    </row>
    <row r="148" spans="1:218" x14ac:dyDescent="0.25">
      <c r="A148" s="4" t="s">
        <v>1501</v>
      </c>
      <c r="B148" s="4" t="s">
        <v>1501</v>
      </c>
      <c r="C148" s="1" t="s">
        <v>1502</v>
      </c>
      <c r="D148" s="6">
        <f>SUMIF('Eredeti fejléccel'!$B:$B,'Felosztás eredménykim'!$B148,'Eredeti fejléccel'!$D:$D)</f>
        <v>0</v>
      </c>
      <c r="E148" s="6">
        <f>SUMIF('Eredeti fejléccel'!$B:$B,'Felosztás eredménykim'!$B148,'Eredeti fejléccel'!$E:$E)</f>
        <v>0</v>
      </c>
      <c r="F148" s="6">
        <f>SUMIF('Eredeti fejléccel'!$B:$B,'Felosztás eredménykim'!$B148,'Eredeti fejléccel'!$F:$F)</f>
        <v>0</v>
      </c>
      <c r="G148" s="6">
        <f>SUMIF('Eredeti fejléccel'!$B:$B,'Felosztás eredménykim'!$B148,'Eredeti fejléccel'!$G:$G)</f>
        <v>0</v>
      </c>
      <c r="H148" s="6"/>
      <c r="I148" s="6">
        <f>SUMIF('Eredeti fejléccel'!$B:$B,'Felosztás eredménykim'!$B148,'Eredeti fejléccel'!$O:$O)</f>
        <v>0</v>
      </c>
      <c r="J148" s="6">
        <f>SUMIF('Eredeti fejléccel'!$B:$B,'Felosztás eredménykim'!$B148,'Eredeti fejléccel'!$P:$P)</f>
        <v>0</v>
      </c>
      <c r="K148" s="6">
        <f>SUMIF('Eredeti fejléccel'!$B:$B,'Felosztás eredménykim'!$B148,'Eredeti fejléccel'!$Q:$Q)</f>
        <v>0</v>
      </c>
      <c r="L148" s="6">
        <f>SUMIF('Eredeti fejléccel'!$B:$B,'Felosztás eredménykim'!$B148,'Eredeti fejléccel'!$R:$R)</f>
        <v>0</v>
      </c>
      <c r="M148" s="6">
        <f>SUMIF('Eredeti fejléccel'!$B:$B,'Felosztás eredménykim'!$B148,'Eredeti fejléccel'!$T:$T)</f>
        <v>0</v>
      </c>
      <c r="N148" s="6">
        <f>SUMIF('Eredeti fejléccel'!$B:$B,'Felosztás eredménykim'!$B148,'Eredeti fejléccel'!$U:$U)</f>
        <v>0</v>
      </c>
      <c r="O148" s="6">
        <f>SUMIF('Eredeti fejléccel'!$B:$B,'Felosztás eredménykim'!$B148,'Eredeti fejléccel'!$V:$V)</f>
        <v>0</v>
      </c>
      <c r="P148" s="6">
        <f>SUMIF('Eredeti fejléccel'!$B:$B,'Felosztás eredménykim'!$B148,'Eredeti fejléccel'!$W:$W)</f>
        <v>0</v>
      </c>
      <c r="Q148" s="6">
        <f>SUMIF('Eredeti fejléccel'!$B:$B,'Felosztás eredménykim'!$B148,'Eredeti fejléccel'!$X:$X)</f>
        <v>0</v>
      </c>
      <c r="R148" s="6">
        <f>SUMIF('Eredeti fejléccel'!$B:$B,'Felosztás eredménykim'!$B148,'Eredeti fejléccel'!$Y:$Y)</f>
        <v>0</v>
      </c>
      <c r="S148" s="6">
        <f>SUMIF('Eredeti fejléccel'!$B:$B,'Felosztás eredménykim'!$B148,'Eredeti fejléccel'!$Z:$Z)</f>
        <v>0</v>
      </c>
      <c r="T148" s="6">
        <f>SUMIF('Eredeti fejléccel'!$B:$B,'Felosztás eredménykim'!$B148,'Eredeti fejléccel'!$AA:$AA)</f>
        <v>0</v>
      </c>
      <c r="U148" s="6">
        <f>SUMIF('Eredeti fejléccel'!$B:$B,'Felosztás eredménykim'!$B148,'Eredeti fejléccel'!$D:$D)</f>
        <v>0</v>
      </c>
      <c r="V148" s="6">
        <f>SUMIF('Eredeti fejléccel'!$B:$B,'Felosztás eredménykim'!$B148,'Eredeti fejléccel'!$AT:$AT)</f>
        <v>0</v>
      </c>
      <c r="X148" s="36">
        <f t="shared" si="211"/>
        <v>0</v>
      </c>
      <c r="Z148" s="6">
        <f>SUMIF('Eredeti fejléccel'!$B:$B,'Felosztás eredménykim'!$B148,'Eredeti fejléccel'!$K:$K)</f>
        <v>0</v>
      </c>
      <c r="AB148" s="6">
        <f>SUMIF('Eredeti fejléccel'!$B:$B,'Felosztás eredménykim'!$B148,'Eredeti fejléccel'!$AB:$AB)</f>
        <v>0</v>
      </c>
      <c r="AC148" s="6">
        <f>SUMIF('Eredeti fejléccel'!$B:$B,'Felosztás eredménykim'!$B148,'Eredeti fejléccel'!$AQ:$AQ)</f>
        <v>0</v>
      </c>
      <c r="AE148" s="73">
        <f>SUM(Z148:AD148)</f>
        <v>0</v>
      </c>
      <c r="AF148" s="36">
        <f t="shared" si="212"/>
        <v>0</v>
      </c>
      <c r="AG148" s="8">
        <f t="shared" si="213"/>
        <v>0</v>
      </c>
      <c r="AI148" s="6">
        <f>SUMIF('Eredeti fejléccel'!$B:$B,'Felosztás eredménykim'!$B148,'Eredeti fejléccel'!$BB:$BB)</f>
        <v>0</v>
      </c>
      <c r="AJ148" s="6">
        <f>SUMIF('Eredeti fejléccel'!$B:$B,'Felosztás eredménykim'!$B148,'Eredeti fejléccel'!$AF:$AF)</f>
        <v>0</v>
      </c>
      <c r="AK148" s="8">
        <f>SUM(AG148:AJ148)</f>
        <v>0</v>
      </c>
      <c r="AL148" s="36">
        <f t="shared" si="214"/>
        <v>0</v>
      </c>
      <c r="AM148" s="8">
        <f t="shared" si="215"/>
        <v>0</v>
      </c>
      <c r="AN148" s="6">
        <f>-AO148/2</f>
        <v>0</v>
      </c>
      <c r="AO148" s="6">
        <f>SUMIF('Eredeti fejléccel'!$B:$B,'Felosztás eredménykim'!$B148,'Eredeti fejléccel'!$AC:$AC)</f>
        <v>0</v>
      </c>
      <c r="AP148" s="6">
        <f>SUMIF('Eredeti fejléccel'!$B:$B,'Felosztás eredménykim'!$B148,'Eredeti fejléccel'!$AD:$AD)</f>
        <v>0</v>
      </c>
      <c r="AQ148" s="6">
        <f>SUMIF('Eredeti fejléccel'!$B:$B,'Felosztás eredménykim'!$B148,'Eredeti fejléccel'!$AE:$AE)</f>
        <v>0</v>
      </c>
      <c r="AR148" s="6">
        <f>SUMIF('Eredeti fejléccel'!$B:$B,'Felosztás eredménykim'!$B148,'Eredeti fejléccel'!$AG:$AG)</f>
        <v>0</v>
      </c>
      <c r="AS148" s="6">
        <f>SUM(AM148:AR148)</f>
        <v>0</v>
      </c>
      <c r="AT148" s="36">
        <f t="shared" si="216"/>
        <v>0</v>
      </c>
      <c r="AU148" s="8">
        <f t="shared" si="217"/>
        <v>0</v>
      </c>
      <c r="AV148" s="6">
        <f>SUMIF('Eredeti fejléccel'!$B:$B,'Felosztás eredménykim'!$B148,'Eredeti fejléccel'!$AI:$AI)</f>
        <v>0</v>
      </c>
      <c r="AW148" s="6">
        <f>SUMIF('Eredeti fejléccel'!$B:$B,'Felosztás eredménykim'!$B148,'Eredeti fejléccel'!$AJ:$AJ)</f>
        <v>0</v>
      </c>
      <c r="AX148" s="6">
        <f>SUMIF('Eredeti fejléccel'!$B:$B,'Felosztás eredménykim'!$B148,'Eredeti fejléccel'!$AK:$AK)</f>
        <v>0</v>
      </c>
      <c r="AY148" s="6">
        <f>SUMIF('Eredeti fejléccel'!$B:$B,'Felosztás eredménykim'!$B148,'Eredeti fejléccel'!$AL:$AL)</f>
        <v>0</v>
      </c>
      <c r="AZ148" s="6">
        <f>SUMIF('Eredeti fejléccel'!$B:$B,'Felosztás eredménykim'!$B148,'Eredeti fejléccel'!$AM:$AM)</f>
        <v>0</v>
      </c>
      <c r="BA148" s="6">
        <f>SUMIF('Eredeti fejléccel'!$B:$B,'Felosztás eredménykim'!$B148,'Eredeti fejléccel'!$AN:$AN)</f>
        <v>0</v>
      </c>
      <c r="BB148" s="6">
        <f>SUMIF('Eredeti fejléccel'!$B:$B,'Felosztás eredménykim'!$B148,'Eredeti fejléccel'!$AP:$AP)</f>
        <v>0</v>
      </c>
      <c r="BD148" s="6">
        <f>SUMIF('Eredeti fejléccel'!$B:$B,'Felosztás eredménykim'!$B148,'Eredeti fejléccel'!$AS:$AS)</f>
        <v>0</v>
      </c>
      <c r="BE148" s="8">
        <f>SUM(AU148:BD148)</f>
        <v>0</v>
      </c>
      <c r="BF148" s="36">
        <f t="shared" si="218"/>
        <v>0</v>
      </c>
      <c r="BG148" s="8">
        <f t="shared" si="219"/>
        <v>0</v>
      </c>
      <c r="BH148" s="6">
        <f>AO148/2</f>
        <v>0</v>
      </c>
      <c r="BI148" s="6">
        <f>SUMIF('Eredeti fejléccel'!$B:$B,'Felosztás eredménykim'!$B148,'Eredeti fejléccel'!$AH:$AH)</f>
        <v>0</v>
      </c>
      <c r="BJ148" s="6">
        <f>SUMIF('Eredeti fejléccel'!$B:$B,'Felosztás eredménykim'!$B148,'Eredeti fejléccel'!$AO:$AO)</f>
        <v>0</v>
      </c>
      <c r="BK148" s="6">
        <f>SUMIF('Eredeti fejléccel'!$B:$B,'Felosztás eredménykim'!$B148,'Eredeti fejléccel'!$BF:$BF)</f>
        <v>0</v>
      </c>
      <c r="BL148" s="8">
        <f>SUM(BG148:BK148)</f>
        <v>0</v>
      </c>
      <c r="BM148" s="36">
        <f t="shared" si="220"/>
        <v>0</v>
      </c>
      <c r="BN148" s="8">
        <f t="shared" si="221"/>
        <v>0</v>
      </c>
      <c r="BP148" s="8">
        <f>-FV148</f>
        <v>0</v>
      </c>
      <c r="BQ148" s="6">
        <f>SUMIF('Eredeti fejléccel'!$B:$B,'Felosztás eredménykim'!$B148,'Eredeti fejléccel'!$N:$N)</f>
        <v>0</v>
      </c>
      <c r="BR148" s="6">
        <f>SUMIF('Eredeti fejléccel'!$B:$B,'Felosztás eredménykim'!$B148,'Eredeti fejléccel'!$S:$S)</f>
        <v>0</v>
      </c>
      <c r="BT148" s="6">
        <f>SUMIF('Eredeti fejléccel'!$B:$B,'Felosztás eredménykim'!$B148,'Eredeti fejléccel'!$AR:$AR)</f>
        <v>0</v>
      </c>
      <c r="BU148" s="6">
        <f>SUMIF('Eredeti fejléccel'!$B:$B,'Felosztás eredménykim'!$B148,'Eredeti fejléccel'!$AU:$AU)</f>
        <v>0</v>
      </c>
      <c r="BV148" s="6">
        <f>SUMIF('Eredeti fejléccel'!$B:$B,'Felosztás eredménykim'!$B148,'Eredeti fejléccel'!$AV:$AV)</f>
        <v>7768027</v>
      </c>
      <c r="BW148" s="6">
        <f>SUMIF('Eredeti fejléccel'!$B:$B,'Felosztás eredménykim'!$B148,'Eredeti fejléccel'!$AW:$AW)</f>
        <v>0</v>
      </c>
      <c r="BX148" s="6">
        <f>SUMIF('Eredeti fejléccel'!$B:$B,'Felosztás eredménykim'!$B148,'Eredeti fejléccel'!$AX:$AX)</f>
        <v>0</v>
      </c>
      <c r="BY148" s="6">
        <f>SUMIF('Eredeti fejléccel'!$B:$B,'Felosztás eredménykim'!$B148,'Eredeti fejléccel'!$AY:$AY)</f>
        <v>0</v>
      </c>
      <c r="BZ148" s="6">
        <f>SUMIF('Eredeti fejléccel'!$B:$B,'Felosztás eredménykim'!$B148,'Eredeti fejléccel'!$AZ:$AZ)</f>
        <v>0</v>
      </c>
      <c r="CA148" s="6">
        <f>SUMIF('Eredeti fejléccel'!$B:$B,'Felosztás eredménykim'!$B148,'Eredeti fejléccel'!$BA:$BA)</f>
        <v>11978679.870000003</v>
      </c>
      <c r="CB148" s="6">
        <f t="shared" si="253"/>
        <v>19746706.870000005</v>
      </c>
      <c r="CC148" s="36">
        <f t="shared" si="222"/>
        <v>0</v>
      </c>
      <c r="CD148" s="8">
        <f t="shared" si="223"/>
        <v>0</v>
      </c>
      <c r="CE148" s="6">
        <f>SUMIF('Eredeti fejléccel'!$B:$B,'Felosztás eredménykim'!$B148,'Eredeti fejléccel'!$BC:$BC)</f>
        <v>0</v>
      </c>
      <c r="CF148" s="8">
        <f>-CE148/2</f>
        <v>0</v>
      </c>
      <c r="CG148" s="6">
        <f>SUMIF('Eredeti fejléccel'!$B:$B,'Felosztás eredménykim'!$B148,'Eredeti fejléccel'!$H:$H)</f>
        <v>0</v>
      </c>
      <c r="CH148" s="6">
        <f>SUMIF('Eredeti fejléccel'!$B:$B,'Felosztás eredménykim'!$B148,'Eredeti fejléccel'!$BE:$BE)</f>
        <v>0</v>
      </c>
      <c r="CI148" s="6">
        <f>SUM(CD148:CH148)</f>
        <v>0</v>
      </c>
      <c r="CJ148" s="36">
        <f t="shared" si="224"/>
        <v>0</v>
      </c>
      <c r="CK148" s="8">
        <f t="shared" si="225"/>
        <v>0</v>
      </c>
      <c r="CL148" s="8">
        <f>CE148/2</f>
        <v>0</v>
      </c>
      <c r="CM148" s="6">
        <f>SUMIF('Eredeti fejléccel'!$B:$B,'Felosztás eredménykim'!$B148,'Eredeti fejléccel'!$BD:$BD)</f>
        <v>0</v>
      </c>
      <c r="CN148" s="8">
        <f>SUM(CK148:CM148)</f>
        <v>0</v>
      </c>
      <c r="CO148" s="8">
        <f t="shared" si="254"/>
        <v>19746706.870000005</v>
      </c>
      <c r="CR148" s="36">
        <f t="shared" si="226"/>
        <v>0</v>
      </c>
      <c r="CS148" s="6">
        <f>SUMIF('Eredeti fejléccel'!$B:$B,'Felosztás eredménykim'!$B148,'Eredeti fejléccel'!$I:$I)</f>
        <v>0</v>
      </c>
      <c r="CT148" s="6">
        <f>SUMIF('Eredeti fejléccel'!$B:$B,'Felosztás eredménykim'!$B148,'Eredeti fejléccel'!$BG:$BG)</f>
        <v>0</v>
      </c>
      <c r="CU148" s="6">
        <f>SUMIF('Eredeti fejléccel'!$B:$B,'Felosztás eredménykim'!$B148,'Eredeti fejléccel'!$BH:$BH)</f>
        <v>0</v>
      </c>
      <c r="CV148" s="6">
        <f>SUMIF('Eredeti fejléccel'!$B:$B,'Felosztás eredménykim'!$B148,'Eredeti fejléccel'!$BI:$BI)</f>
        <v>0</v>
      </c>
      <c r="CW148" s="6">
        <f>SUMIF('Eredeti fejléccel'!$B:$B,'Felosztás eredménykim'!$B148,'Eredeti fejléccel'!$BL:$BL)</f>
        <v>0</v>
      </c>
      <c r="CX148" s="6">
        <f>SUM(CS148:CW148)</f>
        <v>0</v>
      </c>
      <c r="CY148" s="6">
        <f>SUMIF('Eredeti fejléccel'!$B:$B,'Felosztás eredménykim'!$B148,'Eredeti fejléccel'!$BJ:$BJ)</f>
        <v>0</v>
      </c>
      <c r="CZ148" s="6">
        <f>SUMIF('Eredeti fejléccel'!$B:$B,'Felosztás eredménykim'!$B148,'Eredeti fejléccel'!$BK:$BK)</f>
        <v>0</v>
      </c>
      <c r="DA148" s="99">
        <f t="shared" si="242"/>
        <v>0</v>
      </c>
      <c r="DC148" s="36">
        <f t="shared" si="227"/>
        <v>0</v>
      </c>
      <c r="DD148" s="6">
        <f>SUMIF('Eredeti fejléccel'!$B:$B,'Felosztás eredménykim'!$B148,'Eredeti fejléccel'!$J:$J)</f>
        <v>0</v>
      </c>
      <c r="DE148" s="6">
        <f>SUMIF('Eredeti fejléccel'!$B:$B,'Felosztás eredménykim'!$B148,'Eredeti fejléccel'!$BM:$BM)</f>
        <v>0</v>
      </c>
      <c r="DF148" s="6">
        <f>-DI148</f>
        <v>0</v>
      </c>
      <c r="DG148" s="8">
        <f t="shared" si="255"/>
        <v>0</v>
      </c>
      <c r="DH148" s="8">
        <f>SUM(DD148:DG148)</f>
        <v>0</v>
      </c>
      <c r="DJ148" s="6">
        <f>SUMIF('Eredeti fejléccel'!$B:$B,'Felosztás eredménykim'!$B148,'Eredeti fejléccel'!$BN:$BN)</f>
        <v>0</v>
      </c>
      <c r="DK148" s="6">
        <f>SUMIF('Eredeti fejléccel'!$B:$B,'Felosztás eredménykim'!$B148,'Eredeti fejléccel'!$BZ:$BZ)</f>
        <v>0</v>
      </c>
      <c r="DL148" s="8">
        <f>SUM(DI148:DK148)</f>
        <v>0</v>
      </c>
      <c r="DM148" s="6">
        <f>SUMIF('Eredeti fejléccel'!$B:$B,'Felosztás eredménykim'!$B148,'Eredeti fejléccel'!$BR:$BR)</f>
        <v>0</v>
      </c>
      <c r="DN148" s="6">
        <f>SUMIF('Eredeti fejléccel'!$B:$B,'Felosztás eredménykim'!$B148,'Eredeti fejléccel'!$BS:$BS)</f>
        <v>0</v>
      </c>
      <c r="DO148" s="6">
        <f>SUMIF('Eredeti fejléccel'!$B:$B,'Felosztás eredménykim'!$B148,'Eredeti fejléccel'!$BO:$BO)</f>
        <v>0</v>
      </c>
      <c r="DP148" s="6">
        <f>SUMIF('Eredeti fejléccel'!$B:$B,'Felosztás eredménykim'!$B148,'Eredeti fejléccel'!$BP:$BP)</f>
        <v>0</v>
      </c>
      <c r="DQ148" s="6">
        <f>SUMIF('Eredeti fejléccel'!$B:$B,'Felosztás eredménykim'!$B148,'Eredeti fejléccel'!$BQ:$BQ)</f>
        <v>0</v>
      </c>
      <c r="DS148" s="8"/>
      <c r="DU148" s="6">
        <f>SUMIF('Eredeti fejléccel'!$B:$B,'Felosztás eredménykim'!$B148,'Eredeti fejléccel'!$BT:$BT)</f>
        <v>0</v>
      </c>
      <c r="DV148" s="6">
        <f>SUMIF('Eredeti fejléccel'!$B:$B,'Felosztás eredménykim'!$B148,'Eredeti fejléccel'!$BU:$BU)</f>
        <v>0</v>
      </c>
      <c r="DW148" s="6">
        <f>SUMIF('Eredeti fejléccel'!$B:$B,'Felosztás eredménykim'!$B148,'Eredeti fejléccel'!$BV:$BV)</f>
        <v>0</v>
      </c>
      <c r="DX148" s="6">
        <f>SUMIF('Eredeti fejléccel'!$B:$B,'Felosztás eredménykim'!$B148,'Eredeti fejléccel'!$BW:$BW)</f>
        <v>0</v>
      </c>
      <c r="DY148" s="6">
        <f>SUMIF('Eredeti fejléccel'!$B:$B,'Felosztás eredménykim'!$B148,'Eredeti fejléccel'!$BX:$BX)</f>
        <v>0</v>
      </c>
      <c r="EA148" s="6"/>
      <c r="EC148" s="6"/>
      <c r="EE148" s="6">
        <f>SUMIF('Eredeti fejléccel'!$B:$B,'Felosztás eredménykim'!$B148,'Eredeti fejléccel'!$CA:$CA)</f>
        <v>0</v>
      </c>
      <c r="EF148" s="6">
        <f>SUMIF('Eredeti fejléccel'!$B:$B,'Felosztás eredménykim'!$B148,'Eredeti fejléccel'!$CB:$CB)</f>
        <v>0</v>
      </c>
      <c r="EG148" s="6">
        <f>SUMIF('Eredeti fejléccel'!$B:$B,'Felosztás eredménykim'!$B148,'Eredeti fejléccel'!$CC:$CC)</f>
        <v>0</v>
      </c>
      <c r="EH148" s="6">
        <f>SUMIF('Eredeti fejléccel'!$B:$B,'Felosztás eredménykim'!$B148,'Eredeti fejléccel'!$CD:$CD)</f>
        <v>0</v>
      </c>
      <c r="EK148" s="6">
        <f>SUMIF('Eredeti fejléccel'!$B:$B,'Felosztás eredménykim'!$B148,'Eredeti fejléccel'!$CE:$CE)</f>
        <v>0</v>
      </c>
      <c r="EN148" s="6">
        <f>SUMIF('Eredeti fejléccel'!$B:$B,'Felosztás eredménykim'!$B148,'Eredeti fejléccel'!$CF:$CF)</f>
        <v>0</v>
      </c>
      <c r="EP148" s="6">
        <f>SUMIF('Eredeti fejléccel'!$B:$B,'Felosztás eredménykim'!$B148,'Eredeti fejléccel'!$CG:$CG)</f>
        <v>0</v>
      </c>
      <c r="ES148" s="6">
        <f>SUMIF('Eredeti fejléccel'!$B:$B,'Felosztás eredménykim'!$B148,'Eredeti fejléccel'!$CH:$CH)</f>
        <v>0</v>
      </c>
      <c r="ET148" s="6">
        <f>SUMIF('Eredeti fejléccel'!$B:$B,'Felosztás eredménykim'!$B148,'Eredeti fejléccel'!$CI:$CI)</f>
        <v>0</v>
      </c>
      <c r="EW148" s="8">
        <f>SUM(DR148:ED148)</f>
        <v>0</v>
      </c>
      <c r="EX148" s="8">
        <f>SUM(EE148:EV148)</f>
        <v>0</v>
      </c>
      <c r="EY148" s="8">
        <f t="shared" si="244"/>
        <v>0</v>
      </c>
      <c r="EZ148" s="8">
        <f>EY148+DL148+DM148+DN148+DO148+DP148+DQ148</f>
        <v>0</v>
      </c>
      <c r="FA148" s="8">
        <f>EZ148-DL148-DM148</f>
        <v>0</v>
      </c>
      <c r="FC148" s="6">
        <f>SUMIF('Eredeti fejléccel'!$B:$B,'Felosztás eredménykim'!$B148,'Eredeti fejléccel'!$L:$L)</f>
        <v>0</v>
      </c>
      <c r="FD148" s="6">
        <f>SUMIF('Eredeti fejléccel'!$B:$B,'Felosztás eredménykim'!$B148,'Eredeti fejléccel'!$CJ:$CJ)</f>
        <v>0</v>
      </c>
      <c r="FE148" s="6">
        <f>SUMIF('Eredeti fejléccel'!$B:$B,'Felosztás eredménykim'!$B148,'Eredeti fejléccel'!$CL:$CL)</f>
        <v>0</v>
      </c>
      <c r="FG148" s="99">
        <f>SUM(FC148:FF148)</f>
        <v>0</v>
      </c>
      <c r="FH148" s="6">
        <f>SUMIF('Eredeti fejléccel'!$B:$B,'Felosztás eredménykim'!$B148,'Eredeti fejléccel'!$CK:$CK)</f>
        <v>0</v>
      </c>
      <c r="FI148" s="36">
        <f t="shared" si="228"/>
        <v>0</v>
      </c>
      <c r="FJ148" s="101">
        <f t="shared" si="229"/>
        <v>0</v>
      </c>
      <c r="FK148" s="6">
        <f>SUMIF('Eredeti fejléccel'!$B:$B,'Felosztás eredménykim'!$B148,'Eredeti fejléccel'!$CM:$CM)</f>
        <v>0</v>
      </c>
      <c r="FL148" s="6">
        <f>SUMIF('Eredeti fejléccel'!$B:$B,'Felosztás eredménykim'!$B148,'Eredeti fejléccel'!$CN:$CN)</f>
        <v>0</v>
      </c>
      <c r="FM148" s="8">
        <f>SUM(FJ148:FL148)</f>
        <v>0</v>
      </c>
      <c r="FN148" s="36">
        <f t="shared" si="230"/>
        <v>0</v>
      </c>
      <c r="FO148" s="101">
        <f t="shared" si="231"/>
        <v>0</v>
      </c>
      <c r="FP148" s="6">
        <f>SUMIF('Eredeti fejléccel'!$B:$B,'Felosztás eredménykim'!$B148,'Eredeti fejléccel'!$CO:$CO)</f>
        <v>16052774</v>
      </c>
      <c r="FQ148" s="6">
        <f>'Eredeti fejléccel'!CP148</f>
        <v>0</v>
      </c>
      <c r="FR148" s="6">
        <f>'Eredeti fejléccel'!CQ148</f>
        <v>2615506</v>
      </c>
      <c r="FS148" s="103">
        <f t="shared" si="247"/>
        <v>18668280</v>
      </c>
      <c r="FT148" s="36">
        <f t="shared" si="232"/>
        <v>0</v>
      </c>
      <c r="FU148" s="101">
        <f t="shared" si="233"/>
        <v>0</v>
      </c>
      <c r="FV148" s="101"/>
      <c r="FW148" s="6">
        <f>SUMIF('Eredeti fejléccel'!$B:$B,'Felosztás eredménykim'!$B148,'Eredeti fejléccel'!$CR:$CR)</f>
        <v>0</v>
      </c>
      <c r="FX148" s="6">
        <f>SUMIF('Eredeti fejléccel'!$B:$B,'Felosztás eredménykim'!$B148,'Eredeti fejléccel'!$CS:$CS)</f>
        <v>0</v>
      </c>
      <c r="FY148" s="6">
        <f>SUMIF('Eredeti fejléccel'!$B:$B,'Felosztás eredménykim'!$B148,'Eredeti fejléccel'!$CT:$CT)</f>
        <v>0</v>
      </c>
      <c r="FZ148" s="6">
        <f>SUMIF('Eredeti fejléccel'!$B:$B,'Felosztás eredménykim'!$B148,'Eredeti fejléccel'!$CU:$CU)</f>
        <v>0</v>
      </c>
      <c r="GA148" s="103">
        <f>SUM(FU148:FZ148)</f>
        <v>0</v>
      </c>
      <c r="GB148" s="36">
        <f t="shared" si="234"/>
        <v>0</v>
      </c>
      <c r="GC148" s="101">
        <f t="shared" si="235"/>
        <v>0</v>
      </c>
      <c r="GD148" s="6">
        <f>SUMIF('Eredeti fejléccel'!$B:$B,'Felosztás eredménykim'!$B148,'Eredeti fejléccel'!$CV:$CV)</f>
        <v>24628125</v>
      </c>
      <c r="GE148" s="6">
        <f>SUMIF('Eredeti fejléccel'!$B:$B,'Felosztás eredménykim'!$B148,'Eredeti fejléccel'!$CW:$CW)</f>
        <v>429491</v>
      </c>
      <c r="GF148" s="103">
        <f>SUM(GC148:GE148)</f>
        <v>25057616</v>
      </c>
      <c r="GG148" s="36">
        <f t="shared" si="236"/>
        <v>0</v>
      </c>
      <c r="GM148" s="6">
        <f>SUMIF('Eredeti fejléccel'!$B:$B,'Felosztás eredménykim'!$B148,'Eredeti fejléccel'!$CX:$CX)</f>
        <v>0</v>
      </c>
      <c r="GN148" s="6">
        <f>SUMIF('Eredeti fejléccel'!$B:$B,'Felosztás eredménykim'!$B148,'Eredeti fejléccel'!$CY:$CY)</f>
        <v>0</v>
      </c>
      <c r="GO148" s="6">
        <f>SUMIF('Eredeti fejléccel'!$B:$B,'Felosztás eredménykim'!$B148,'Eredeti fejléccel'!$CZ:$CZ)</f>
        <v>0</v>
      </c>
      <c r="GP148" s="6">
        <f>SUMIF('Eredeti fejléccel'!$B:$B,'Felosztás eredménykim'!$B148,'Eredeti fejléccel'!$DA:$DA)</f>
        <v>0</v>
      </c>
      <c r="GQ148" s="6">
        <f>SUMIF('Eredeti fejléccel'!$B:$B,'Felosztás eredménykim'!$B148,'Eredeti fejléccel'!$DB:$DB)</f>
        <v>0</v>
      </c>
      <c r="GR148" s="103">
        <f>SUM(GH148:GQ148)</f>
        <v>0</v>
      </c>
      <c r="GW148" s="36">
        <f t="shared" si="237"/>
        <v>0</v>
      </c>
      <c r="GX148" s="6">
        <f>SUMIF('Eredeti fejléccel'!$B:$B,'Felosztás eredménykim'!$B148,'Eredeti fejléccel'!$M:$M)</f>
        <v>0</v>
      </c>
      <c r="GY148" s="6">
        <f>SUMIF('Eredeti fejléccel'!$B:$B,'Felosztás eredménykim'!$B148,'Eredeti fejléccel'!$DC:$DC)</f>
        <v>0</v>
      </c>
      <c r="GZ148" s="6">
        <f>SUMIF('Eredeti fejléccel'!$B:$B,'Felosztás eredménykim'!$B148,'Eredeti fejléccel'!$DD:$DD)</f>
        <v>0</v>
      </c>
      <c r="HA148" s="6">
        <f>SUMIF('Eredeti fejléccel'!$B:$B,'Felosztás eredménykim'!$B148,'Eredeti fejléccel'!$DE:$DE)</f>
        <v>0</v>
      </c>
      <c r="HB148" s="103">
        <f>SUM(GX148:HA148)</f>
        <v>0</v>
      </c>
      <c r="HD148" s="9">
        <f t="shared" si="256"/>
        <v>63472602.870000005</v>
      </c>
      <c r="HE148" s="9">
        <v>63472602.870000005</v>
      </c>
      <c r="HF148" s="476"/>
      <c r="HH148" s="34">
        <f>+HD148-HE148</f>
        <v>0</v>
      </c>
    </row>
    <row r="149" spans="1:218" x14ac:dyDescent="0.25">
      <c r="A149" s="325" t="s">
        <v>993</v>
      </c>
      <c r="B149" s="4" t="s">
        <v>993</v>
      </c>
      <c r="C149" s="1" t="s">
        <v>994</v>
      </c>
      <c r="D149" s="6">
        <f>SUMIF('Eredeti fejléccel'!$B:$B,'Felosztás eredménykim'!$B149,'Eredeti fejléccel'!$D:$D)</f>
        <v>0</v>
      </c>
      <c r="E149" s="6">
        <f>SUMIF('Eredeti fejléccel'!$B:$B,'Felosztás eredménykim'!$B149,'Eredeti fejléccel'!$E:$E)</f>
        <v>0</v>
      </c>
      <c r="F149" s="6">
        <f>SUMIF('Eredeti fejléccel'!$B:$B,'Felosztás eredménykim'!$B149,'Eredeti fejléccel'!$F:$F)</f>
        <v>0</v>
      </c>
      <c r="G149" s="6">
        <f>SUMIF('Eredeti fejléccel'!$B:$B,'Felosztás eredménykim'!$B149,'Eredeti fejléccel'!$G:$G)</f>
        <v>0</v>
      </c>
      <c r="H149" s="6"/>
      <c r="I149" s="6">
        <f>SUMIF('Eredeti fejléccel'!$B:$B,'Felosztás eredménykim'!$B149,'Eredeti fejléccel'!$O:$O)</f>
        <v>0</v>
      </c>
      <c r="J149" s="6">
        <f>SUMIF('Eredeti fejléccel'!$B:$B,'Felosztás eredménykim'!$B149,'Eredeti fejléccel'!$P:$P)</f>
        <v>0</v>
      </c>
      <c r="K149" s="6">
        <f>SUMIF('Eredeti fejléccel'!$B:$B,'Felosztás eredménykim'!$B149,'Eredeti fejléccel'!$Q:$Q)</f>
        <v>0</v>
      </c>
      <c r="L149" s="6">
        <f>SUMIF('Eredeti fejléccel'!$B:$B,'Felosztás eredménykim'!$B149,'Eredeti fejléccel'!$R:$R)</f>
        <v>0</v>
      </c>
      <c r="M149" s="6">
        <f>SUMIF('Eredeti fejléccel'!$B:$B,'Felosztás eredménykim'!$B149,'Eredeti fejléccel'!$T:$T)</f>
        <v>0</v>
      </c>
      <c r="N149" s="6">
        <f>SUMIF('Eredeti fejléccel'!$B:$B,'Felosztás eredménykim'!$B149,'Eredeti fejléccel'!$U:$U)</f>
        <v>0</v>
      </c>
      <c r="O149" s="6">
        <f>SUMIF('Eredeti fejléccel'!$B:$B,'Felosztás eredménykim'!$B149,'Eredeti fejléccel'!$V:$V)</f>
        <v>0</v>
      </c>
      <c r="P149" s="6">
        <f>SUMIF('Eredeti fejléccel'!$B:$B,'Felosztás eredménykim'!$B149,'Eredeti fejléccel'!$W:$W)</f>
        <v>0</v>
      </c>
      <c r="Q149" s="6">
        <f>SUMIF('Eredeti fejléccel'!$B:$B,'Felosztás eredménykim'!$B149,'Eredeti fejléccel'!$X:$X)</f>
        <v>0</v>
      </c>
      <c r="R149" s="6">
        <f>SUMIF('Eredeti fejléccel'!$B:$B,'Felosztás eredménykim'!$B149,'Eredeti fejléccel'!$Y:$Y)</f>
        <v>0</v>
      </c>
      <c r="S149" s="6">
        <f>SUMIF('Eredeti fejléccel'!$B:$B,'Felosztás eredménykim'!$B149,'Eredeti fejléccel'!$Z:$Z)</f>
        <v>0</v>
      </c>
      <c r="T149" s="6">
        <f>SUMIF('Eredeti fejléccel'!$B:$B,'Felosztás eredménykim'!$B149,'Eredeti fejléccel'!$AA:$AA)</f>
        <v>0</v>
      </c>
      <c r="U149" s="6">
        <f>SUMIF('Eredeti fejléccel'!$B:$B,'Felosztás eredménykim'!$B149,'Eredeti fejléccel'!$D:$D)</f>
        <v>0</v>
      </c>
      <c r="V149" s="6">
        <f>SUMIF('Eredeti fejléccel'!$B:$B,'Felosztás eredménykim'!$B149,'Eredeti fejléccel'!$AT:$AT)</f>
        <v>0</v>
      </c>
      <c r="X149" s="36">
        <f t="shared" si="211"/>
        <v>0</v>
      </c>
      <c r="Z149" s="6">
        <f>SUMIF('Eredeti fejléccel'!$B:$B,'Felosztás eredménykim'!$B149,'Eredeti fejléccel'!$K:$K)</f>
        <v>0</v>
      </c>
      <c r="AB149" s="6">
        <f>SUMIF('Eredeti fejléccel'!$B:$B,'Felosztás eredménykim'!$B149,'Eredeti fejléccel'!$AB:$AB)</f>
        <v>0</v>
      </c>
      <c r="AC149" s="6">
        <f>SUMIF('Eredeti fejléccel'!$B:$B,'Felosztás eredménykim'!$B149,'Eredeti fejléccel'!$AQ:$AQ)</f>
        <v>0</v>
      </c>
      <c r="AE149" s="73">
        <f>SUM(Z149:AD149)</f>
        <v>0</v>
      </c>
      <c r="AF149" s="36">
        <f t="shared" si="212"/>
        <v>0</v>
      </c>
      <c r="AG149" s="8">
        <f t="shared" si="213"/>
        <v>0</v>
      </c>
      <c r="AI149" s="6">
        <f>SUMIF('Eredeti fejléccel'!$B:$B,'Felosztás eredménykim'!$B149,'Eredeti fejléccel'!$BB:$BB)</f>
        <v>0</v>
      </c>
      <c r="AJ149" s="6">
        <f>SUMIF('Eredeti fejléccel'!$B:$B,'Felosztás eredménykim'!$B149,'Eredeti fejléccel'!$AF:$AF)</f>
        <v>0</v>
      </c>
      <c r="AK149" s="8">
        <f>SUM(AG149:AJ149)</f>
        <v>0</v>
      </c>
      <c r="AL149" s="36">
        <f t="shared" si="214"/>
        <v>0</v>
      </c>
      <c r="AM149" s="8">
        <f t="shared" si="215"/>
        <v>0</v>
      </c>
      <c r="AN149" s="6">
        <f t="shared" si="291"/>
        <v>0</v>
      </c>
      <c r="AO149" s="6">
        <f>SUMIF('Eredeti fejléccel'!$B:$B,'Felosztás eredménykim'!$B149,'Eredeti fejléccel'!$AC:$AC)</f>
        <v>0</v>
      </c>
      <c r="AP149" s="6">
        <f>SUMIF('Eredeti fejléccel'!$B:$B,'Felosztás eredménykim'!$B149,'Eredeti fejléccel'!$AD:$AD)</f>
        <v>0</v>
      </c>
      <c r="AQ149" s="6">
        <f>SUMIF('Eredeti fejléccel'!$B:$B,'Felosztás eredménykim'!$B149,'Eredeti fejléccel'!$AE:$AE)</f>
        <v>0</v>
      </c>
      <c r="AR149" s="6">
        <f>SUMIF('Eredeti fejléccel'!$B:$B,'Felosztás eredménykim'!$B149,'Eredeti fejléccel'!$AG:$AG)</f>
        <v>0</v>
      </c>
      <c r="AS149" s="6">
        <f t="shared" si="292"/>
        <v>0</v>
      </c>
      <c r="AT149" s="36">
        <f t="shared" si="216"/>
        <v>0</v>
      </c>
      <c r="AU149" s="8">
        <f t="shared" si="217"/>
        <v>0</v>
      </c>
      <c r="AV149" s="6">
        <f>SUMIF('Eredeti fejléccel'!$B:$B,'Felosztás eredménykim'!$B149,'Eredeti fejléccel'!$AI:$AI)</f>
        <v>0</v>
      </c>
      <c r="AW149" s="6">
        <f>SUMIF('Eredeti fejléccel'!$B:$B,'Felosztás eredménykim'!$B149,'Eredeti fejléccel'!$AJ:$AJ)</f>
        <v>0</v>
      </c>
      <c r="AX149" s="6">
        <f>SUMIF('Eredeti fejléccel'!$B:$B,'Felosztás eredménykim'!$B149,'Eredeti fejléccel'!$AK:$AK)</f>
        <v>0</v>
      </c>
      <c r="AY149" s="6">
        <f>SUMIF('Eredeti fejléccel'!$B:$B,'Felosztás eredménykim'!$B149,'Eredeti fejléccel'!$AL:$AL)</f>
        <v>0</v>
      </c>
      <c r="AZ149" s="6">
        <f>SUMIF('Eredeti fejléccel'!$B:$B,'Felosztás eredménykim'!$B149,'Eredeti fejléccel'!$AM:$AM)</f>
        <v>0</v>
      </c>
      <c r="BA149" s="6">
        <f>SUMIF('Eredeti fejléccel'!$B:$B,'Felosztás eredménykim'!$B149,'Eredeti fejléccel'!$AN:$AN)</f>
        <v>0</v>
      </c>
      <c r="BB149" s="6">
        <f>SUMIF('Eredeti fejléccel'!$B:$B,'Felosztás eredménykim'!$B149,'Eredeti fejléccel'!$AP:$AP)</f>
        <v>0</v>
      </c>
      <c r="BD149" s="6">
        <f>SUMIF('Eredeti fejléccel'!$B:$B,'Felosztás eredménykim'!$B149,'Eredeti fejléccel'!$AS:$AS)</f>
        <v>0</v>
      </c>
      <c r="BE149" s="8">
        <f>SUM(AU149:BD149)</f>
        <v>0</v>
      </c>
      <c r="BF149" s="36">
        <f t="shared" si="218"/>
        <v>0</v>
      </c>
      <c r="BG149" s="8">
        <f t="shared" si="219"/>
        <v>0</v>
      </c>
      <c r="BH149" s="6">
        <f t="shared" si="293"/>
        <v>0</v>
      </c>
      <c r="BI149" s="6">
        <f>SUMIF('Eredeti fejléccel'!$B:$B,'Felosztás eredménykim'!$B149,'Eredeti fejléccel'!$AH:$AH)</f>
        <v>0</v>
      </c>
      <c r="BJ149" s="6">
        <f>SUMIF('Eredeti fejléccel'!$B:$B,'Felosztás eredménykim'!$B149,'Eredeti fejléccel'!$AO:$AO)</f>
        <v>0</v>
      </c>
      <c r="BK149" s="6">
        <f>SUMIF('Eredeti fejléccel'!$B:$B,'Felosztás eredménykim'!$B149,'Eredeti fejléccel'!$BF:$BF)</f>
        <v>0</v>
      </c>
      <c r="BL149" s="8">
        <f t="shared" si="294"/>
        <v>0</v>
      </c>
      <c r="BM149" s="36">
        <f t="shared" si="220"/>
        <v>0</v>
      </c>
      <c r="BN149" s="8">
        <f t="shared" si="221"/>
        <v>0</v>
      </c>
      <c r="BP149" s="8">
        <f t="shared" si="295"/>
        <v>0</v>
      </c>
      <c r="BQ149" s="6">
        <f>SUMIF('Eredeti fejléccel'!$B:$B,'Felosztás eredménykim'!$B149,'Eredeti fejléccel'!$N:$N)</f>
        <v>0</v>
      </c>
      <c r="BR149" s="6">
        <f>SUMIF('Eredeti fejléccel'!$B:$B,'Felosztás eredménykim'!$B149,'Eredeti fejléccel'!$S:$S)</f>
        <v>0</v>
      </c>
      <c r="BT149" s="6">
        <f>SUMIF('Eredeti fejléccel'!$B:$B,'Felosztás eredménykim'!$B149,'Eredeti fejléccel'!$AR:$AR)</f>
        <v>0</v>
      </c>
      <c r="BU149" s="6">
        <f>SUMIF('Eredeti fejléccel'!$B:$B,'Felosztás eredménykim'!$B149,'Eredeti fejléccel'!$AU:$AU)</f>
        <v>0</v>
      </c>
      <c r="BV149" s="6">
        <f>SUMIF('Eredeti fejléccel'!$B:$B,'Felosztás eredménykim'!$B149,'Eredeti fejléccel'!$AV:$AV)</f>
        <v>0</v>
      </c>
      <c r="BW149" s="6">
        <f>SUMIF('Eredeti fejléccel'!$B:$B,'Felosztás eredménykim'!$B149,'Eredeti fejléccel'!$AW:$AW)</f>
        <v>0</v>
      </c>
      <c r="BX149" s="6">
        <f>SUMIF('Eredeti fejléccel'!$B:$B,'Felosztás eredménykim'!$B149,'Eredeti fejléccel'!$AX:$AX)</f>
        <v>0</v>
      </c>
      <c r="BY149" s="6">
        <f>SUMIF('Eredeti fejléccel'!$B:$B,'Felosztás eredménykim'!$B149,'Eredeti fejléccel'!$AY:$AY)</f>
        <v>0</v>
      </c>
      <c r="BZ149" s="6">
        <f>SUMIF('Eredeti fejléccel'!$B:$B,'Felosztás eredménykim'!$B149,'Eredeti fejléccel'!$AZ:$AZ)</f>
        <v>0</v>
      </c>
      <c r="CA149" s="6">
        <f>SUMIF('Eredeti fejléccel'!$B:$B,'Felosztás eredménykim'!$B149,'Eredeti fejléccel'!$BA:$BA)</f>
        <v>616500</v>
      </c>
      <c r="CB149" s="6">
        <f t="shared" si="253"/>
        <v>616500</v>
      </c>
      <c r="CC149" s="36">
        <f t="shared" si="222"/>
        <v>0</v>
      </c>
      <c r="CD149" s="8">
        <f t="shared" si="223"/>
        <v>0</v>
      </c>
      <c r="CE149" s="6">
        <f>SUMIF('Eredeti fejléccel'!$B:$B,'Felosztás eredménykim'!$B149,'Eredeti fejléccel'!$BC:$BC)</f>
        <v>0</v>
      </c>
      <c r="CF149" s="8">
        <f>-CE149/2</f>
        <v>0</v>
      </c>
      <c r="CG149" s="6">
        <f>SUMIF('Eredeti fejléccel'!$B:$B,'Felosztás eredménykim'!$B149,'Eredeti fejléccel'!$H:$H)</f>
        <v>0</v>
      </c>
      <c r="CH149" s="6">
        <f>SUMIF('Eredeti fejléccel'!$B:$B,'Felosztás eredménykim'!$B149,'Eredeti fejléccel'!$BE:$BE)</f>
        <v>0</v>
      </c>
      <c r="CI149" s="6">
        <f>SUM(CD149:CH149)</f>
        <v>0</v>
      </c>
      <c r="CJ149" s="36">
        <f t="shared" si="224"/>
        <v>0</v>
      </c>
      <c r="CK149" s="8">
        <f t="shared" si="225"/>
        <v>0</v>
      </c>
      <c r="CL149" s="8">
        <f>CE149/2</f>
        <v>0</v>
      </c>
      <c r="CM149" s="6">
        <f>SUMIF('Eredeti fejléccel'!$B:$B,'Felosztás eredménykim'!$B149,'Eredeti fejléccel'!$BD:$BD)</f>
        <v>0</v>
      </c>
      <c r="CN149" s="8">
        <f>SUM(CK149:CM149)</f>
        <v>0</v>
      </c>
      <c r="CO149" s="8">
        <f t="shared" si="254"/>
        <v>616500</v>
      </c>
      <c r="CR149" s="36">
        <f t="shared" si="226"/>
        <v>0</v>
      </c>
      <c r="CS149" s="6">
        <f>SUMIF('Eredeti fejléccel'!$B:$B,'Felosztás eredménykim'!$B149,'Eredeti fejléccel'!$I:$I)</f>
        <v>0</v>
      </c>
      <c r="CT149" s="6">
        <f>SUMIF('Eredeti fejléccel'!$B:$B,'Felosztás eredménykim'!$B149,'Eredeti fejléccel'!$BG:$BG)</f>
        <v>0</v>
      </c>
      <c r="CU149" s="6">
        <f>SUMIF('Eredeti fejléccel'!$B:$B,'Felosztás eredménykim'!$B149,'Eredeti fejléccel'!$BH:$BH)</f>
        <v>0</v>
      </c>
      <c r="CV149" s="6">
        <f>SUMIF('Eredeti fejléccel'!$B:$B,'Felosztás eredménykim'!$B149,'Eredeti fejléccel'!$BI:$BI)</f>
        <v>0</v>
      </c>
      <c r="CW149" s="6">
        <f>SUMIF('Eredeti fejléccel'!$B:$B,'Felosztás eredménykim'!$B149,'Eredeti fejléccel'!$BL:$BL)</f>
        <v>0</v>
      </c>
      <c r="CX149" s="6">
        <f>SUM(CS149:CW149)</f>
        <v>0</v>
      </c>
      <c r="CY149" s="6">
        <f>SUMIF('Eredeti fejléccel'!$B:$B,'Felosztás eredménykim'!$B149,'Eredeti fejléccel'!$BJ:$BJ)</f>
        <v>0</v>
      </c>
      <c r="CZ149" s="6">
        <f>SUMIF('Eredeti fejléccel'!$B:$B,'Felosztás eredménykim'!$B149,'Eredeti fejléccel'!$BK:$BK)</f>
        <v>0</v>
      </c>
      <c r="DA149" s="99">
        <f t="shared" si="242"/>
        <v>0</v>
      </c>
      <c r="DC149" s="36">
        <f t="shared" si="227"/>
        <v>0</v>
      </c>
      <c r="DD149" s="6">
        <f>SUMIF('Eredeti fejléccel'!$B:$B,'Felosztás eredménykim'!$B149,'Eredeti fejléccel'!$J:$J)</f>
        <v>0</v>
      </c>
      <c r="DE149" s="6">
        <f>SUMIF('Eredeti fejléccel'!$B:$B,'Felosztás eredménykim'!$B149,'Eredeti fejléccel'!$BM:$BM)</f>
        <v>0</v>
      </c>
      <c r="DF149" s="6">
        <f t="shared" si="296"/>
        <v>0</v>
      </c>
      <c r="DG149" s="8">
        <f t="shared" si="255"/>
        <v>0</v>
      </c>
      <c r="DH149" s="8">
        <f t="shared" si="297"/>
        <v>0</v>
      </c>
      <c r="DJ149" s="6">
        <f>SUMIF('Eredeti fejléccel'!$B:$B,'Felosztás eredménykim'!$B149,'Eredeti fejléccel'!$BN:$BN)</f>
        <v>0</v>
      </c>
      <c r="DK149" s="6">
        <f>SUMIF('Eredeti fejléccel'!$B:$B,'Felosztás eredménykim'!$B149,'Eredeti fejléccel'!$BZ:$BZ)</f>
        <v>0</v>
      </c>
      <c r="DL149" s="8">
        <f t="shared" si="298"/>
        <v>0</v>
      </c>
      <c r="DM149" s="6">
        <f>SUMIF('Eredeti fejléccel'!$B:$B,'Felosztás eredménykim'!$B149,'Eredeti fejléccel'!$BR:$BR)</f>
        <v>0</v>
      </c>
      <c r="DN149" s="6">
        <f>SUMIF('Eredeti fejléccel'!$B:$B,'Felosztás eredménykim'!$B149,'Eredeti fejléccel'!$BS:$BS)</f>
        <v>0</v>
      </c>
      <c r="DO149" s="6">
        <f>SUMIF('Eredeti fejléccel'!$B:$B,'Felosztás eredménykim'!$B149,'Eredeti fejléccel'!$BO:$BO)</f>
        <v>0</v>
      </c>
      <c r="DP149" s="6">
        <f>SUMIF('Eredeti fejléccel'!$B:$B,'Felosztás eredménykim'!$B149,'Eredeti fejléccel'!$BP:$BP)</f>
        <v>0</v>
      </c>
      <c r="DQ149" s="6">
        <f>SUMIF('Eredeti fejléccel'!$B:$B,'Felosztás eredménykim'!$B149,'Eredeti fejléccel'!$BQ:$BQ)</f>
        <v>0</v>
      </c>
      <c r="DS149" s="8"/>
      <c r="DU149" s="6">
        <f>SUMIF('Eredeti fejléccel'!$B:$B,'Felosztás eredménykim'!$B149,'Eredeti fejléccel'!$BT:$BT)</f>
        <v>0</v>
      </c>
      <c r="DV149" s="6">
        <f>SUMIF('Eredeti fejléccel'!$B:$B,'Felosztás eredménykim'!$B149,'Eredeti fejléccel'!$BU:$BU)</f>
        <v>0</v>
      </c>
      <c r="DW149" s="6">
        <f>SUMIF('Eredeti fejléccel'!$B:$B,'Felosztás eredménykim'!$B149,'Eredeti fejléccel'!$BV:$BV)</f>
        <v>0</v>
      </c>
      <c r="DX149" s="6">
        <f>SUMIF('Eredeti fejléccel'!$B:$B,'Felosztás eredménykim'!$B149,'Eredeti fejléccel'!$BW:$BW)</f>
        <v>0</v>
      </c>
      <c r="DY149" s="6">
        <f>SUMIF('Eredeti fejléccel'!$B:$B,'Felosztás eredménykim'!$B149,'Eredeti fejléccel'!$BX:$BX)</f>
        <v>0</v>
      </c>
      <c r="EA149" s="6"/>
      <c r="EC149" s="6"/>
      <c r="EE149" s="6">
        <f>SUMIF('Eredeti fejléccel'!$B:$B,'Felosztás eredménykim'!$B149,'Eredeti fejléccel'!$CA:$CA)</f>
        <v>0</v>
      </c>
      <c r="EF149" s="6">
        <f>SUMIF('Eredeti fejléccel'!$B:$B,'Felosztás eredménykim'!$B149,'Eredeti fejléccel'!$CB:$CB)</f>
        <v>0</v>
      </c>
      <c r="EG149" s="6">
        <f>SUMIF('Eredeti fejléccel'!$B:$B,'Felosztás eredménykim'!$B149,'Eredeti fejléccel'!$CC:$CC)</f>
        <v>0</v>
      </c>
      <c r="EH149" s="6">
        <f>SUMIF('Eredeti fejléccel'!$B:$B,'Felosztás eredménykim'!$B149,'Eredeti fejléccel'!$CD:$CD)</f>
        <v>0</v>
      </c>
      <c r="EK149" s="6">
        <f>SUMIF('Eredeti fejléccel'!$B:$B,'Felosztás eredménykim'!$B149,'Eredeti fejléccel'!$CE:$CE)</f>
        <v>0</v>
      </c>
      <c r="EN149" s="6">
        <f>SUMIF('Eredeti fejléccel'!$B:$B,'Felosztás eredménykim'!$B149,'Eredeti fejléccel'!$CF:$CF)</f>
        <v>0</v>
      </c>
      <c r="EP149" s="6">
        <f>SUMIF('Eredeti fejléccel'!$B:$B,'Felosztás eredménykim'!$B149,'Eredeti fejléccel'!$CG:$CG)</f>
        <v>0</v>
      </c>
      <c r="ES149" s="6">
        <f>SUMIF('Eredeti fejléccel'!$B:$B,'Felosztás eredménykim'!$B149,'Eredeti fejléccel'!$CH:$CH)</f>
        <v>0</v>
      </c>
      <c r="ET149" s="6">
        <f>SUMIF('Eredeti fejléccel'!$B:$B,'Felosztás eredménykim'!$B149,'Eredeti fejléccel'!$CI:$CI)</f>
        <v>0</v>
      </c>
      <c r="EW149" s="8">
        <f t="shared" si="288"/>
        <v>0</v>
      </c>
      <c r="EX149" s="8">
        <f>SUM(EE149:EV149)</f>
        <v>0</v>
      </c>
      <c r="EY149" s="8">
        <f t="shared" si="244"/>
        <v>0</v>
      </c>
      <c r="EZ149" s="8">
        <f t="shared" si="289"/>
        <v>0</v>
      </c>
      <c r="FA149" s="8">
        <f t="shared" si="290"/>
        <v>0</v>
      </c>
      <c r="FC149" s="6">
        <f>SUMIF('Eredeti fejléccel'!$B:$B,'Felosztás eredménykim'!$B149,'Eredeti fejléccel'!$L:$L)</f>
        <v>0</v>
      </c>
      <c r="FD149" s="6">
        <f>SUMIF('Eredeti fejléccel'!$B:$B,'Felosztás eredménykim'!$B149,'Eredeti fejléccel'!$CJ:$CJ)</f>
        <v>0</v>
      </c>
      <c r="FE149" s="6">
        <f>SUMIF('Eredeti fejléccel'!$B:$B,'Felosztás eredménykim'!$B149,'Eredeti fejléccel'!$CL:$CL)</f>
        <v>0</v>
      </c>
      <c r="FG149" s="99">
        <f>SUM(FC149:FF149)</f>
        <v>0</v>
      </c>
      <c r="FH149" s="6">
        <f>SUMIF('Eredeti fejléccel'!$B:$B,'Felosztás eredménykim'!$B149,'Eredeti fejléccel'!$CK:$CK)</f>
        <v>0</v>
      </c>
      <c r="FI149" s="36">
        <f t="shared" si="228"/>
        <v>0</v>
      </c>
      <c r="FJ149" s="101">
        <f t="shared" si="229"/>
        <v>0</v>
      </c>
      <c r="FK149" s="6">
        <f>SUMIF('Eredeti fejléccel'!$B:$B,'Felosztás eredménykim'!$B149,'Eredeti fejléccel'!$CM:$CM)</f>
        <v>0</v>
      </c>
      <c r="FL149" s="6">
        <f>SUMIF('Eredeti fejléccel'!$B:$B,'Felosztás eredménykim'!$B149,'Eredeti fejléccel'!$CN:$CN)</f>
        <v>0</v>
      </c>
      <c r="FM149" s="8">
        <f>SUM(FJ149:FL149)</f>
        <v>0</v>
      </c>
      <c r="FN149" s="36">
        <f t="shared" si="230"/>
        <v>0</v>
      </c>
      <c r="FO149" s="101">
        <f t="shared" si="231"/>
        <v>0</v>
      </c>
      <c r="FP149" s="6">
        <f>SUMIF('Eredeti fejléccel'!$B:$B,'Felosztás eredménykim'!$B149,'Eredeti fejléccel'!$CO:$CO)</f>
        <v>0</v>
      </c>
      <c r="FQ149" s="6">
        <f>'Eredeti fejléccel'!CP149</f>
        <v>0</v>
      </c>
      <c r="FR149" s="6">
        <f>'Eredeti fejléccel'!CQ149</f>
        <v>0</v>
      </c>
      <c r="FS149" s="103">
        <f t="shared" si="247"/>
        <v>0</v>
      </c>
      <c r="FT149" s="36">
        <f t="shared" si="232"/>
        <v>0</v>
      </c>
      <c r="FU149" s="101">
        <f t="shared" si="233"/>
        <v>0</v>
      </c>
      <c r="FV149" s="101"/>
      <c r="FW149" s="6">
        <f>SUMIF('Eredeti fejléccel'!$B:$B,'Felosztás eredménykim'!$B149,'Eredeti fejléccel'!$CR:$CR)</f>
        <v>0</v>
      </c>
      <c r="FX149" s="6">
        <f>SUMIF('Eredeti fejléccel'!$B:$B,'Felosztás eredménykim'!$B149,'Eredeti fejléccel'!$CS:$CS)</f>
        <v>0</v>
      </c>
      <c r="FY149" s="6">
        <f>SUMIF('Eredeti fejléccel'!$B:$B,'Felosztás eredménykim'!$B149,'Eredeti fejléccel'!$CT:$CT)</f>
        <v>0</v>
      </c>
      <c r="FZ149" s="6">
        <f>SUMIF('Eredeti fejléccel'!$B:$B,'Felosztás eredménykim'!$B149,'Eredeti fejléccel'!$CU:$CU)</f>
        <v>0</v>
      </c>
      <c r="GA149" s="103">
        <f>SUM(FU149:FZ149)</f>
        <v>0</v>
      </c>
      <c r="GB149" s="36">
        <f t="shared" si="234"/>
        <v>0</v>
      </c>
      <c r="GC149" s="101">
        <f t="shared" si="235"/>
        <v>0</v>
      </c>
      <c r="GD149" s="6">
        <f>SUMIF('Eredeti fejléccel'!$B:$B,'Felosztás eredménykim'!$B149,'Eredeti fejléccel'!$CV:$CV)</f>
        <v>0</v>
      </c>
      <c r="GE149" s="6">
        <f>SUMIF('Eredeti fejléccel'!$B:$B,'Felosztás eredménykim'!$B149,'Eredeti fejléccel'!$CW:$CW)</f>
        <v>0</v>
      </c>
      <c r="GF149" s="103">
        <f>SUM(GC149:GE149)</f>
        <v>0</v>
      </c>
      <c r="GG149" s="36">
        <f t="shared" si="236"/>
        <v>0</v>
      </c>
      <c r="GM149" s="6">
        <f>SUMIF('Eredeti fejléccel'!$B:$B,'Felosztás eredménykim'!$B149,'Eredeti fejléccel'!$CX:$CX)</f>
        <v>0</v>
      </c>
      <c r="GN149" s="6">
        <f>SUMIF('Eredeti fejléccel'!$B:$B,'Felosztás eredménykim'!$B149,'Eredeti fejléccel'!$CY:$CY)</f>
        <v>0</v>
      </c>
      <c r="GO149" s="6">
        <f>SUMIF('Eredeti fejléccel'!$B:$B,'Felosztás eredménykim'!$B149,'Eredeti fejléccel'!$CZ:$CZ)</f>
        <v>0</v>
      </c>
      <c r="GP149" s="6">
        <f>SUMIF('Eredeti fejléccel'!$B:$B,'Felosztás eredménykim'!$B149,'Eredeti fejléccel'!$DA:$DA)</f>
        <v>0</v>
      </c>
      <c r="GQ149" s="6">
        <f>SUMIF('Eredeti fejléccel'!$B:$B,'Felosztás eredménykim'!$B149,'Eredeti fejléccel'!$DB:$DB)</f>
        <v>0</v>
      </c>
      <c r="GR149" s="103">
        <f>SUM(GH149:GQ149)</f>
        <v>0</v>
      </c>
      <c r="GW149" s="36">
        <f t="shared" si="237"/>
        <v>0</v>
      </c>
      <c r="GX149" s="6">
        <f>SUMIF('Eredeti fejléccel'!$B:$B,'Felosztás eredménykim'!$B149,'Eredeti fejléccel'!$M:$M)</f>
        <v>0</v>
      </c>
      <c r="GY149" s="6">
        <f>SUMIF('Eredeti fejléccel'!$B:$B,'Felosztás eredménykim'!$B149,'Eredeti fejléccel'!$DC:$DC)</f>
        <v>0</v>
      </c>
      <c r="GZ149" s="6">
        <f>SUMIF('Eredeti fejléccel'!$B:$B,'Felosztás eredménykim'!$B149,'Eredeti fejléccel'!$DD:$DD)</f>
        <v>0</v>
      </c>
      <c r="HA149" s="6">
        <f>SUMIF('Eredeti fejléccel'!$B:$B,'Felosztás eredménykim'!$B149,'Eredeti fejléccel'!$DE:$DE)</f>
        <v>0</v>
      </c>
      <c r="HB149" s="103">
        <f>SUM(GX149:HA149)</f>
        <v>0</v>
      </c>
      <c r="HD149" s="9">
        <f t="shared" si="256"/>
        <v>616500</v>
      </c>
      <c r="HE149" s="9">
        <v>616500</v>
      </c>
      <c r="HF149" s="476"/>
      <c r="HH149" s="34">
        <f>+HD149-HE149</f>
        <v>0</v>
      </c>
    </row>
    <row r="150" spans="1:218" x14ac:dyDescent="0.25">
      <c r="A150" s="4" t="s">
        <v>275</v>
      </c>
      <c r="B150" s="4" t="s">
        <v>275</v>
      </c>
      <c r="C150" s="1" t="s">
        <v>276</v>
      </c>
      <c r="D150" s="6">
        <f>SUMIF('Eredeti fejléccel'!$B:$B,'Felosztás eredménykim'!$B150,'Eredeti fejléccel'!$D:$D)</f>
        <v>0</v>
      </c>
      <c r="E150" s="6">
        <f>SUMIF('Eredeti fejléccel'!$B:$B,'Felosztás eredménykim'!$B150,'Eredeti fejléccel'!$E:$E)</f>
        <v>0</v>
      </c>
      <c r="F150" s="6">
        <f>SUMIF('Eredeti fejléccel'!$B:$B,'Felosztás eredménykim'!$B150,'Eredeti fejléccel'!$F:$F)</f>
        <v>0</v>
      </c>
      <c r="G150" s="6">
        <f>SUMIF('Eredeti fejléccel'!$B:$B,'Felosztás eredménykim'!$B150,'Eredeti fejléccel'!$G:$G)</f>
        <v>0</v>
      </c>
      <c r="H150" s="6"/>
      <c r="I150" s="6">
        <f>SUMIF('Eredeti fejléccel'!$B:$B,'Felosztás eredménykim'!$B150,'Eredeti fejléccel'!$O:$O)</f>
        <v>0</v>
      </c>
      <c r="J150" s="6">
        <f>SUMIF('Eredeti fejléccel'!$B:$B,'Felosztás eredménykim'!$B150,'Eredeti fejléccel'!$P:$P)</f>
        <v>0</v>
      </c>
      <c r="K150" s="6">
        <f>SUMIF('Eredeti fejléccel'!$B:$B,'Felosztás eredménykim'!$B150,'Eredeti fejléccel'!$Q:$Q)</f>
        <v>0</v>
      </c>
      <c r="L150" s="6">
        <f>SUMIF('Eredeti fejléccel'!$B:$B,'Felosztás eredménykim'!$B150,'Eredeti fejléccel'!$R:$R)</f>
        <v>0</v>
      </c>
      <c r="M150" s="6">
        <f>SUMIF('Eredeti fejléccel'!$B:$B,'Felosztás eredménykim'!$B150,'Eredeti fejléccel'!$T:$T)</f>
        <v>0</v>
      </c>
      <c r="N150" s="6">
        <f>SUMIF('Eredeti fejléccel'!$B:$B,'Felosztás eredménykim'!$B150,'Eredeti fejléccel'!$U:$U)</f>
        <v>0</v>
      </c>
      <c r="O150" s="6">
        <f>SUMIF('Eredeti fejléccel'!$B:$B,'Felosztás eredménykim'!$B150,'Eredeti fejléccel'!$V:$V)</f>
        <v>0</v>
      </c>
      <c r="P150" s="6">
        <f>SUMIF('Eredeti fejléccel'!$B:$B,'Felosztás eredménykim'!$B150,'Eredeti fejléccel'!$W:$W)</f>
        <v>0</v>
      </c>
      <c r="Q150" s="6">
        <f>SUMIF('Eredeti fejléccel'!$B:$B,'Felosztás eredménykim'!$B150,'Eredeti fejléccel'!$X:$X)</f>
        <v>0</v>
      </c>
      <c r="R150" s="6">
        <f>SUMIF('Eredeti fejléccel'!$B:$B,'Felosztás eredménykim'!$B150,'Eredeti fejléccel'!$Y:$Y)</f>
        <v>0</v>
      </c>
      <c r="S150" s="6">
        <f>SUMIF('Eredeti fejléccel'!$B:$B,'Felosztás eredménykim'!$B150,'Eredeti fejléccel'!$Z:$Z)</f>
        <v>0</v>
      </c>
      <c r="T150" s="6">
        <f>SUMIF('Eredeti fejléccel'!$B:$B,'Felosztás eredménykim'!$B150,'Eredeti fejléccel'!$AA:$AA)</f>
        <v>0</v>
      </c>
      <c r="U150" s="6">
        <f>SUMIF('Eredeti fejléccel'!$B:$B,'Felosztás eredménykim'!$B150,'Eredeti fejléccel'!$D:$D)</f>
        <v>0</v>
      </c>
      <c r="V150" s="6">
        <f>SUMIF('Eredeti fejléccel'!$B:$B,'Felosztás eredménykim'!$B150,'Eredeti fejléccel'!$AT:$AT)</f>
        <v>0</v>
      </c>
      <c r="X150" s="36">
        <f t="shared" si="211"/>
        <v>0</v>
      </c>
      <c r="Z150" s="6">
        <f>SUMIF('Eredeti fejléccel'!$B:$B,'Felosztás eredménykim'!$B150,'Eredeti fejléccel'!$K:$K)</f>
        <v>0</v>
      </c>
      <c r="AB150" s="6">
        <f>SUMIF('Eredeti fejléccel'!$B:$B,'Felosztás eredménykim'!$B150,'Eredeti fejléccel'!$AB:$AB)</f>
        <v>0</v>
      </c>
      <c r="AC150" s="6">
        <f>SUMIF('Eredeti fejléccel'!$B:$B,'Felosztás eredménykim'!$B150,'Eredeti fejléccel'!$AQ:$AQ)</f>
        <v>0</v>
      </c>
      <c r="AE150" s="73">
        <f t="shared" si="131"/>
        <v>0</v>
      </c>
      <c r="AF150" s="36">
        <f t="shared" si="212"/>
        <v>0</v>
      </c>
      <c r="AG150" s="8">
        <f t="shared" si="213"/>
        <v>0</v>
      </c>
      <c r="AI150" s="6">
        <f>SUMIF('Eredeti fejléccel'!$B:$B,'Felosztás eredménykim'!$B150,'Eredeti fejléccel'!$BB:$BB)</f>
        <v>0</v>
      </c>
      <c r="AJ150" s="6">
        <f>SUMIF('Eredeti fejléccel'!$B:$B,'Felosztás eredménykim'!$B150,'Eredeti fejléccel'!$AF:$AF)</f>
        <v>0</v>
      </c>
      <c r="AK150" s="8">
        <f t="shared" si="177"/>
        <v>0</v>
      </c>
      <c r="AL150" s="36">
        <f t="shared" si="214"/>
        <v>0</v>
      </c>
      <c r="AM150" s="8">
        <f t="shared" si="215"/>
        <v>0</v>
      </c>
      <c r="AN150" s="6">
        <f t="shared" si="291"/>
        <v>0</v>
      </c>
      <c r="AO150" s="6">
        <f>SUMIF('Eredeti fejléccel'!$B:$B,'Felosztás eredménykim'!$B150,'Eredeti fejléccel'!$AC:$AC)</f>
        <v>0</v>
      </c>
      <c r="AP150" s="6">
        <f>SUMIF('Eredeti fejléccel'!$B:$B,'Felosztás eredménykim'!$B150,'Eredeti fejléccel'!$AD:$AD)</f>
        <v>0</v>
      </c>
      <c r="AQ150" s="6">
        <f>SUMIF('Eredeti fejléccel'!$B:$B,'Felosztás eredménykim'!$B150,'Eredeti fejléccel'!$AE:$AE)</f>
        <v>0</v>
      </c>
      <c r="AR150" s="6">
        <f>SUMIF('Eredeti fejléccel'!$B:$B,'Felosztás eredménykim'!$B150,'Eredeti fejléccel'!$AG:$AG)</f>
        <v>0</v>
      </c>
      <c r="AS150" s="6">
        <f t="shared" si="292"/>
        <v>0</v>
      </c>
      <c r="AT150" s="36">
        <f t="shared" si="216"/>
        <v>0</v>
      </c>
      <c r="AU150" s="8">
        <f t="shared" si="217"/>
        <v>0</v>
      </c>
      <c r="AV150" s="6">
        <f>SUMIF('Eredeti fejléccel'!$B:$B,'Felosztás eredménykim'!$B150,'Eredeti fejléccel'!$AI:$AI)</f>
        <v>0</v>
      </c>
      <c r="AW150" s="6">
        <f>SUMIF('Eredeti fejléccel'!$B:$B,'Felosztás eredménykim'!$B150,'Eredeti fejléccel'!$AJ:$AJ)</f>
        <v>0</v>
      </c>
      <c r="AX150" s="6">
        <f>SUMIF('Eredeti fejléccel'!$B:$B,'Felosztás eredménykim'!$B150,'Eredeti fejléccel'!$AK:$AK)</f>
        <v>0</v>
      </c>
      <c r="AY150" s="6">
        <f>SUMIF('Eredeti fejléccel'!$B:$B,'Felosztás eredménykim'!$B150,'Eredeti fejléccel'!$AL:$AL)</f>
        <v>0</v>
      </c>
      <c r="AZ150" s="6">
        <f>SUMIF('Eredeti fejléccel'!$B:$B,'Felosztás eredménykim'!$B150,'Eredeti fejléccel'!$AM:$AM)</f>
        <v>0</v>
      </c>
      <c r="BA150" s="6">
        <f>SUMIF('Eredeti fejléccel'!$B:$B,'Felosztás eredménykim'!$B150,'Eredeti fejléccel'!$AN:$AN)</f>
        <v>0</v>
      </c>
      <c r="BB150" s="6">
        <f>SUMIF('Eredeti fejléccel'!$B:$B,'Felosztás eredménykim'!$B150,'Eredeti fejléccel'!$AP:$AP)</f>
        <v>0</v>
      </c>
      <c r="BD150" s="6">
        <f>SUMIF('Eredeti fejléccel'!$B:$B,'Felosztás eredménykim'!$B150,'Eredeti fejléccel'!$AS:$AS)</f>
        <v>0</v>
      </c>
      <c r="BE150" s="8">
        <f t="shared" si="238"/>
        <v>0</v>
      </c>
      <c r="BF150" s="36">
        <f t="shared" si="218"/>
        <v>0</v>
      </c>
      <c r="BG150" s="8">
        <f t="shared" si="219"/>
        <v>0</v>
      </c>
      <c r="BH150" s="6">
        <f t="shared" si="293"/>
        <v>0</v>
      </c>
      <c r="BI150" s="6">
        <f>SUMIF('Eredeti fejléccel'!$B:$B,'Felosztás eredménykim'!$B150,'Eredeti fejléccel'!$AH:$AH)</f>
        <v>0</v>
      </c>
      <c r="BJ150" s="6">
        <f>SUMIF('Eredeti fejléccel'!$B:$B,'Felosztás eredménykim'!$B150,'Eredeti fejléccel'!$AO:$AO)</f>
        <v>0</v>
      </c>
      <c r="BK150" s="6">
        <f>SUMIF('Eredeti fejléccel'!$B:$B,'Felosztás eredménykim'!$B150,'Eredeti fejléccel'!$BF:$BF)</f>
        <v>0</v>
      </c>
      <c r="BL150" s="8">
        <f t="shared" si="294"/>
        <v>0</v>
      </c>
      <c r="BM150" s="36">
        <f t="shared" si="220"/>
        <v>0</v>
      </c>
      <c r="BN150" s="8">
        <f t="shared" si="221"/>
        <v>0</v>
      </c>
      <c r="BP150" s="8">
        <f t="shared" si="295"/>
        <v>0</v>
      </c>
      <c r="BQ150" s="6">
        <f>SUMIF('Eredeti fejléccel'!$B:$B,'Felosztás eredménykim'!$B150,'Eredeti fejléccel'!$N:$N)</f>
        <v>0</v>
      </c>
      <c r="BR150" s="6">
        <f>SUMIF('Eredeti fejléccel'!$B:$B,'Felosztás eredménykim'!$B150,'Eredeti fejléccel'!$S:$S)</f>
        <v>0</v>
      </c>
      <c r="BT150" s="6">
        <f>SUMIF('Eredeti fejléccel'!$B:$B,'Felosztás eredménykim'!$B150,'Eredeti fejléccel'!$AR:$AR)</f>
        <v>0</v>
      </c>
      <c r="BU150" s="6">
        <f>SUMIF('Eredeti fejléccel'!$B:$B,'Felosztás eredménykim'!$B150,'Eredeti fejléccel'!$AU:$AU)</f>
        <v>0</v>
      </c>
      <c r="BV150" s="6">
        <f>SUMIF('Eredeti fejléccel'!$B:$B,'Felosztás eredménykim'!$B150,'Eredeti fejléccel'!$AV:$AV)</f>
        <v>0</v>
      </c>
      <c r="BW150" s="6">
        <f>SUMIF('Eredeti fejléccel'!$B:$B,'Felosztás eredménykim'!$B150,'Eredeti fejléccel'!$AW:$AW)</f>
        <v>0</v>
      </c>
      <c r="BX150" s="6">
        <f>SUMIF('Eredeti fejléccel'!$B:$B,'Felosztás eredménykim'!$B150,'Eredeti fejléccel'!$AX:$AX)</f>
        <v>0</v>
      </c>
      <c r="BY150" s="6">
        <f>SUMIF('Eredeti fejléccel'!$B:$B,'Felosztás eredménykim'!$B150,'Eredeti fejléccel'!$AY:$AY)</f>
        <v>0</v>
      </c>
      <c r="BZ150" s="6">
        <f>SUMIF('Eredeti fejléccel'!$B:$B,'Felosztás eredménykim'!$B150,'Eredeti fejléccel'!$AZ:$AZ)</f>
        <v>0</v>
      </c>
      <c r="CA150" s="6">
        <f>SUMIF('Eredeti fejléccel'!$B:$B,'Felosztás eredménykim'!$B150,'Eredeti fejléccel'!$BA:$BA)</f>
        <v>75000</v>
      </c>
      <c r="CB150" s="6">
        <f t="shared" si="253"/>
        <v>75000</v>
      </c>
      <c r="CC150" s="36">
        <f t="shared" si="222"/>
        <v>0</v>
      </c>
      <c r="CD150" s="8">
        <f t="shared" si="223"/>
        <v>0</v>
      </c>
      <c r="CE150" s="6">
        <f>SUMIF('Eredeti fejléccel'!$B:$B,'Felosztás eredménykim'!$B150,'Eredeti fejléccel'!$BC:$BC)</f>
        <v>0</v>
      </c>
      <c r="CF150" s="8">
        <f t="shared" si="135"/>
        <v>0</v>
      </c>
      <c r="CG150" s="6">
        <f>SUMIF('Eredeti fejléccel'!$B:$B,'Felosztás eredménykim'!$B150,'Eredeti fejléccel'!$H:$H)</f>
        <v>0</v>
      </c>
      <c r="CH150" s="6">
        <f>SUMIF('Eredeti fejléccel'!$B:$B,'Felosztás eredménykim'!$B150,'Eredeti fejléccel'!$BE:$BE)</f>
        <v>0</v>
      </c>
      <c r="CI150" s="6">
        <f t="shared" si="239"/>
        <v>0</v>
      </c>
      <c r="CJ150" s="36">
        <f t="shared" si="224"/>
        <v>0</v>
      </c>
      <c r="CK150" s="8">
        <f t="shared" si="225"/>
        <v>0</v>
      </c>
      <c r="CL150" s="8">
        <f t="shared" si="136"/>
        <v>0</v>
      </c>
      <c r="CM150" s="6">
        <f>SUMIF('Eredeti fejléccel'!$B:$B,'Felosztás eredménykim'!$B150,'Eredeti fejléccel'!$BD:$BD)</f>
        <v>0</v>
      </c>
      <c r="CN150" s="8">
        <f t="shared" si="240"/>
        <v>0</v>
      </c>
      <c r="CO150" s="8">
        <f t="shared" si="254"/>
        <v>75000</v>
      </c>
      <c r="CR150" s="36">
        <f t="shared" si="226"/>
        <v>0</v>
      </c>
      <c r="CS150" s="6">
        <f>SUMIF('Eredeti fejléccel'!$B:$B,'Felosztás eredménykim'!$B150,'Eredeti fejléccel'!$I:$I)</f>
        <v>0</v>
      </c>
      <c r="CT150" s="6">
        <f>SUMIF('Eredeti fejléccel'!$B:$B,'Felosztás eredménykim'!$B150,'Eredeti fejléccel'!$BG:$BG)</f>
        <v>0</v>
      </c>
      <c r="CU150" s="6">
        <f>SUMIF('Eredeti fejléccel'!$B:$B,'Felosztás eredménykim'!$B150,'Eredeti fejléccel'!$BH:$BH)</f>
        <v>0</v>
      </c>
      <c r="CV150" s="6">
        <f>SUMIF('Eredeti fejléccel'!$B:$B,'Felosztás eredménykim'!$B150,'Eredeti fejléccel'!$BI:$BI)</f>
        <v>0</v>
      </c>
      <c r="CW150" s="6">
        <f>SUMIF('Eredeti fejléccel'!$B:$B,'Felosztás eredménykim'!$B150,'Eredeti fejléccel'!$BL:$BL)</f>
        <v>0</v>
      </c>
      <c r="CX150" s="6">
        <f t="shared" si="241"/>
        <v>0</v>
      </c>
      <c r="CY150" s="6">
        <f>SUMIF('Eredeti fejléccel'!$B:$B,'Felosztás eredménykim'!$B150,'Eredeti fejléccel'!$BJ:$BJ)</f>
        <v>0</v>
      </c>
      <c r="CZ150" s="6">
        <f>SUMIF('Eredeti fejléccel'!$B:$B,'Felosztás eredménykim'!$B150,'Eredeti fejléccel'!$BK:$BK)</f>
        <v>0</v>
      </c>
      <c r="DA150" s="99">
        <f t="shared" si="242"/>
        <v>0</v>
      </c>
      <c r="DC150" s="36">
        <f t="shared" si="227"/>
        <v>0</v>
      </c>
      <c r="DD150" s="6">
        <f>SUMIF('Eredeti fejléccel'!$B:$B,'Felosztás eredménykim'!$B150,'Eredeti fejléccel'!$J:$J)</f>
        <v>0</v>
      </c>
      <c r="DE150" s="6">
        <f>SUMIF('Eredeti fejléccel'!$B:$B,'Felosztás eredménykim'!$B150,'Eredeti fejléccel'!$BM:$BM)</f>
        <v>0</v>
      </c>
      <c r="DF150" s="6">
        <f t="shared" si="296"/>
        <v>0</v>
      </c>
      <c r="DG150" s="8">
        <f t="shared" si="255"/>
        <v>0</v>
      </c>
      <c r="DH150" s="8">
        <f t="shared" si="297"/>
        <v>0</v>
      </c>
      <c r="DJ150" s="6">
        <f>SUMIF('Eredeti fejléccel'!$B:$B,'Felosztás eredménykim'!$B150,'Eredeti fejléccel'!$BN:$BN)</f>
        <v>0</v>
      </c>
      <c r="DK150" s="6">
        <f>SUMIF('Eredeti fejléccel'!$B:$B,'Felosztás eredménykim'!$B150,'Eredeti fejléccel'!$BZ:$BZ)</f>
        <v>0</v>
      </c>
      <c r="DL150" s="8">
        <f t="shared" si="298"/>
        <v>0</v>
      </c>
      <c r="DM150" s="6">
        <f>SUMIF('Eredeti fejléccel'!$B:$B,'Felosztás eredménykim'!$B150,'Eredeti fejléccel'!$BR:$BR)</f>
        <v>286260.76999999984</v>
      </c>
      <c r="DN150" s="6">
        <f>SUMIF('Eredeti fejléccel'!$B:$B,'Felosztás eredménykim'!$B150,'Eredeti fejléccel'!$BS:$BS)</f>
        <v>0</v>
      </c>
      <c r="DO150" s="6">
        <f>SUMIF('Eredeti fejléccel'!$B:$B,'Felosztás eredménykim'!$B150,'Eredeti fejléccel'!$BO:$BO)</f>
        <v>0</v>
      </c>
      <c r="DP150" s="6">
        <f>SUMIF('Eredeti fejléccel'!$B:$B,'Felosztás eredménykim'!$B150,'Eredeti fejléccel'!$BP:$BP)</f>
        <v>0</v>
      </c>
      <c r="DQ150" s="6">
        <f>SUMIF('Eredeti fejléccel'!$B:$B,'Felosztás eredménykim'!$B150,'Eredeti fejléccel'!$BQ:$BQ)</f>
        <v>0</v>
      </c>
      <c r="DS150" s="8"/>
      <c r="DU150" s="6">
        <f>SUMIF('Eredeti fejléccel'!$B:$B,'Felosztás eredménykim'!$B150,'Eredeti fejléccel'!$BT:$BT)</f>
        <v>0</v>
      </c>
      <c r="DV150" s="6">
        <f>SUMIF('Eredeti fejléccel'!$B:$B,'Felosztás eredménykim'!$B150,'Eredeti fejléccel'!$BU:$BU)</f>
        <v>0</v>
      </c>
      <c r="DW150" s="6">
        <f>SUMIF('Eredeti fejléccel'!$B:$B,'Felosztás eredménykim'!$B150,'Eredeti fejléccel'!$BV:$BV)</f>
        <v>0</v>
      </c>
      <c r="DX150" s="6">
        <f>SUMIF('Eredeti fejléccel'!$B:$B,'Felosztás eredménykim'!$B150,'Eredeti fejléccel'!$BW:$BW)</f>
        <v>0</v>
      </c>
      <c r="DY150" s="6">
        <f>SUMIF('Eredeti fejléccel'!$B:$B,'Felosztás eredménykim'!$B150,'Eredeti fejléccel'!$BX:$BX)</f>
        <v>0</v>
      </c>
      <c r="EA150" s="6"/>
      <c r="EC150" s="6"/>
      <c r="EE150" s="6">
        <f>SUMIF('Eredeti fejléccel'!$B:$B,'Felosztás eredménykim'!$B150,'Eredeti fejléccel'!$CA:$CA)</f>
        <v>0</v>
      </c>
      <c r="EF150" s="6">
        <f>SUMIF('Eredeti fejléccel'!$B:$B,'Felosztás eredménykim'!$B150,'Eredeti fejléccel'!$CB:$CB)</f>
        <v>0</v>
      </c>
      <c r="EG150" s="6">
        <f>SUMIF('Eredeti fejléccel'!$B:$B,'Felosztás eredménykim'!$B150,'Eredeti fejléccel'!$CC:$CC)</f>
        <v>0</v>
      </c>
      <c r="EH150" s="6">
        <f>SUMIF('Eredeti fejléccel'!$B:$B,'Felosztás eredménykim'!$B150,'Eredeti fejléccel'!$CD:$CD)</f>
        <v>0</v>
      </c>
      <c r="EK150" s="6">
        <f>SUMIF('Eredeti fejléccel'!$B:$B,'Felosztás eredménykim'!$B150,'Eredeti fejléccel'!$CE:$CE)</f>
        <v>0</v>
      </c>
      <c r="EN150" s="6">
        <f>SUMIF('Eredeti fejléccel'!$B:$B,'Felosztás eredménykim'!$B150,'Eredeti fejléccel'!$CF:$CF)</f>
        <v>0</v>
      </c>
      <c r="EP150" s="6">
        <f>SUMIF('Eredeti fejléccel'!$B:$B,'Felosztás eredménykim'!$B150,'Eredeti fejléccel'!$CG:$CG)</f>
        <v>0</v>
      </c>
      <c r="ES150" s="6">
        <f>SUMIF('Eredeti fejléccel'!$B:$B,'Felosztás eredménykim'!$B150,'Eredeti fejléccel'!$CH:$CH)</f>
        <v>0</v>
      </c>
      <c r="ET150" s="6">
        <f>SUMIF('Eredeti fejléccel'!$B:$B,'Felosztás eredménykim'!$B150,'Eredeti fejléccel'!$CI:$CI)</f>
        <v>0</v>
      </c>
      <c r="EW150" s="8">
        <f t="shared" si="288"/>
        <v>0</v>
      </c>
      <c r="EX150" s="8">
        <f t="shared" si="243"/>
        <v>0</v>
      </c>
      <c r="EY150" s="8">
        <f t="shared" si="244"/>
        <v>0</v>
      </c>
      <c r="EZ150" s="8">
        <f t="shared" si="289"/>
        <v>286260.76999999984</v>
      </c>
      <c r="FA150" s="8">
        <f t="shared" si="290"/>
        <v>0</v>
      </c>
      <c r="FC150" s="6">
        <f>SUMIF('Eredeti fejléccel'!$B:$B,'Felosztás eredménykim'!$B150,'Eredeti fejléccel'!$L:$L)</f>
        <v>0</v>
      </c>
      <c r="FD150" s="6">
        <f>SUMIF('Eredeti fejléccel'!$B:$B,'Felosztás eredménykim'!$B150,'Eredeti fejléccel'!$CJ:$CJ)</f>
        <v>0</v>
      </c>
      <c r="FE150" s="6">
        <f>SUMIF('Eredeti fejléccel'!$B:$B,'Felosztás eredménykim'!$B150,'Eredeti fejléccel'!$CL:$CL)</f>
        <v>0</v>
      </c>
      <c r="FG150" s="99">
        <f t="shared" si="245"/>
        <v>0</v>
      </c>
      <c r="FH150" s="6">
        <f>SUMIF('Eredeti fejléccel'!$B:$B,'Felosztás eredménykim'!$B150,'Eredeti fejléccel'!$CK:$CK)</f>
        <v>0</v>
      </c>
      <c r="FI150" s="36">
        <f t="shared" si="228"/>
        <v>0</v>
      </c>
      <c r="FJ150" s="101">
        <f t="shared" si="229"/>
        <v>0</v>
      </c>
      <c r="FK150" s="6">
        <f>SUMIF('Eredeti fejléccel'!$B:$B,'Felosztás eredménykim'!$B150,'Eredeti fejléccel'!$CM:$CM)</f>
        <v>0</v>
      </c>
      <c r="FL150" s="6">
        <f>SUMIF('Eredeti fejléccel'!$B:$B,'Felosztás eredménykim'!$B150,'Eredeti fejléccel'!$CN:$CN)</f>
        <v>0</v>
      </c>
      <c r="FM150" s="8">
        <f t="shared" si="246"/>
        <v>0</v>
      </c>
      <c r="FN150" s="36">
        <f t="shared" si="230"/>
        <v>0</v>
      </c>
      <c r="FO150" s="101">
        <f t="shared" si="231"/>
        <v>0</v>
      </c>
      <c r="FP150" s="6">
        <f>SUMIF('Eredeti fejléccel'!$B:$B,'Felosztás eredménykim'!$B150,'Eredeti fejléccel'!$CO:$CO)</f>
        <v>0</v>
      </c>
      <c r="FQ150" s="6">
        <f>'Eredeti fejléccel'!CP150</f>
        <v>0</v>
      </c>
      <c r="FR150" s="6">
        <f>'Eredeti fejléccel'!CQ150</f>
        <v>0</v>
      </c>
      <c r="FS150" s="103">
        <f t="shared" si="247"/>
        <v>0</v>
      </c>
      <c r="FT150" s="36">
        <f t="shared" si="232"/>
        <v>0</v>
      </c>
      <c r="FU150" s="101">
        <f t="shared" si="233"/>
        <v>0</v>
      </c>
      <c r="FV150" s="101"/>
      <c r="FW150" s="6">
        <f>SUMIF('Eredeti fejléccel'!$B:$B,'Felosztás eredménykim'!$B150,'Eredeti fejléccel'!$CR:$CR)</f>
        <v>0</v>
      </c>
      <c r="FX150" s="6">
        <f>SUMIF('Eredeti fejléccel'!$B:$B,'Felosztás eredménykim'!$B150,'Eredeti fejléccel'!$CS:$CS)</f>
        <v>0</v>
      </c>
      <c r="FY150" s="6">
        <f>SUMIF('Eredeti fejléccel'!$B:$B,'Felosztás eredménykim'!$B150,'Eredeti fejléccel'!$CT:$CT)</f>
        <v>0</v>
      </c>
      <c r="FZ150" s="6">
        <f>SUMIF('Eredeti fejléccel'!$B:$B,'Felosztás eredménykim'!$B150,'Eredeti fejléccel'!$CU:$CU)</f>
        <v>0</v>
      </c>
      <c r="GA150" s="103">
        <f t="shared" si="248"/>
        <v>0</v>
      </c>
      <c r="GB150" s="36">
        <f t="shared" si="234"/>
        <v>0</v>
      </c>
      <c r="GC150" s="101">
        <f t="shared" si="235"/>
        <v>0</v>
      </c>
      <c r="GD150" s="6">
        <f>SUMIF('Eredeti fejléccel'!$B:$B,'Felosztás eredménykim'!$B150,'Eredeti fejléccel'!$CV:$CV)</f>
        <v>0</v>
      </c>
      <c r="GE150" s="6">
        <f>SUMIF('Eredeti fejléccel'!$B:$B,'Felosztás eredménykim'!$B150,'Eredeti fejléccel'!$CW:$CW)</f>
        <v>0</v>
      </c>
      <c r="GF150" s="103">
        <f t="shared" si="249"/>
        <v>0</v>
      </c>
      <c r="GG150" s="36">
        <f t="shared" si="236"/>
        <v>0</v>
      </c>
      <c r="GM150" s="6">
        <f>SUMIF('Eredeti fejléccel'!$B:$B,'Felosztás eredménykim'!$B150,'Eredeti fejléccel'!$CX:$CX)</f>
        <v>0</v>
      </c>
      <c r="GN150" s="6">
        <f>SUMIF('Eredeti fejléccel'!$B:$B,'Felosztás eredménykim'!$B150,'Eredeti fejléccel'!$CY:$CY)</f>
        <v>0</v>
      </c>
      <c r="GO150" s="6">
        <f>SUMIF('Eredeti fejléccel'!$B:$B,'Felosztás eredménykim'!$B150,'Eredeti fejléccel'!$CZ:$CZ)</f>
        <v>0</v>
      </c>
      <c r="GP150" s="6">
        <f>SUMIF('Eredeti fejléccel'!$B:$B,'Felosztás eredménykim'!$B150,'Eredeti fejléccel'!$DA:$DA)</f>
        <v>0</v>
      </c>
      <c r="GQ150" s="6">
        <f>SUMIF('Eredeti fejléccel'!$B:$B,'Felosztás eredménykim'!$B150,'Eredeti fejléccel'!$DB:$DB)</f>
        <v>0</v>
      </c>
      <c r="GR150" s="103">
        <f t="shared" si="250"/>
        <v>0</v>
      </c>
      <c r="GW150" s="36">
        <f t="shared" si="237"/>
        <v>0</v>
      </c>
      <c r="GX150" s="6">
        <f>SUMIF('Eredeti fejléccel'!$B:$B,'Felosztás eredménykim'!$B150,'Eredeti fejléccel'!$M:$M)</f>
        <v>0</v>
      </c>
      <c r="GY150" s="6">
        <f>SUMIF('Eredeti fejléccel'!$B:$B,'Felosztás eredménykim'!$B150,'Eredeti fejléccel'!$DC:$DC)</f>
        <v>0</v>
      </c>
      <c r="GZ150" s="6">
        <f>SUMIF('Eredeti fejléccel'!$B:$B,'Felosztás eredménykim'!$B150,'Eredeti fejléccel'!$DD:$DD)</f>
        <v>0</v>
      </c>
      <c r="HA150" s="6">
        <f>SUMIF('Eredeti fejléccel'!$B:$B,'Felosztás eredménykim'!$B150,'Eredeti fejléccel'!$DE:$DE)</f>
        <v>0</v>
      </c>
      <c r="HB150" s="103">
        <f t="shared" si="251"/>
        <v>0</v>
      </c>
      <c r="HD150" s="9">
        <f t="shared" si="256"/>
        <v>361260.76999999984</v>
      </c>
      <c r="HE150" s="9">
        <v>361260.76999999984</v>
      </c>
      <c r="HF150" s="476"/>
      <c r="HH150" s="34">
        <f t="shared" si="252"/>
        <v>0</v>
      </c>
    </row>
    <row r="151" spans="1:218" x14ac:dyDescent="0.25">
      <c r="A151" s="4" t="s">
        <v>1772</v>
      </c>
      <c r="B151" s="4" t="s">
        <v>1772</v>
      </c>
      <c r="C151" s="1" t="s">
        <v>1773</v>
      </c>
      <c r="D151" s="6">
        <f>SUMIF('Eredeti fejléccel'!$B:$B,'Felosztás eredménykim'!$B151,'Eredeti fejléccel'!$D:$D)</f>
        <v>0</v>
      </c>
      <c r="E151" s="6">
        <f>SUMIF('Eredeti fejléccel'!$B:$B,'Felosztás eredménykim'!$B151,'Eredeti fejléccel'!$E:$E)</f>
        <v>0</v>
      </c>
      <c r="F151" s="6">
        <f>SUMIF('Eredeti fejléccel'!$B:$B,'Felosztás eredménykim'!$B151,'Eredeti fejléccel'!$F:$F)</f>
        <v>0</v>
      </c>
      <c r="G151" s="6">
        <f>SUMIF('Eredeti fejléccel'!$B:$B,'Felosztás eredménykim'!$B151,'Eredeti fejléccel'!$G:$G)</f>
        <v>0</v>
      </c>
      <c r="H151" s="6"/>
      <c r="I151" s="6">
        <f>SUMIF('Eredeti fejléccel'!$B:$B,'Felosztás eredménykim'!$B151,'Eredeti fejléccel'!$O:$O)</f>
        <v>0</v>
      </c>
      <c r="J151" s="6">
        <f>SUMIF('Eredeti fejléccel'!$B:$B,'Felosztás eredménykim'!$B151,'Eredeti fejléccel'!$P:$P)</f>
        <v>0</v>
      </c>
      <c r="K151" s="6">
        <f>SUMIF('Eredeti fejléccel'!$B:$B,'Felosztás eredménykim'!$B151,'Eredeti fejléccel'!$Q:$Q)</f>
        <v>0</v>
      </c>
      <c r="L151" s="6">
        <f>SUMIF('Eredeti fejléccel'!$B:$B,'Felosztás eredménykim'!$B151,'Eredeti fejléccel'!$R:$R)</f>
        <v>0</v>
      </c>
      <c r="M151" s="6">
        <f>SUMIF('Eredeti fejléccel'!$B:$B,'Felosztás eredménykim'!$B151,'Eredeti fejléccel'!$T:$T)</f>
        <v>0</v>
      </c>
      <c r="N151" s="6">
        <f>SUMIF('Eredeti fejléccel'!$B:$B,'Felosztás eredménykim'!$B151,'Eredeti fejléccel'!$U:$U)</f>
        <v>0</v>
      </c>
      <c r="O151" s="6">
        <f>SUMIF('Eredeti fejléccel'!$B:$B,'Felosztás eredménykim'!$B151,'Eredeti fejléccel'!$V:$V)</f>
        <v>0</v>
      </c>
      <c r="P151" s="6">
        <f>SUMIF('Eredeti fejléccel'!$B:$B,'Felosztás eredménykim'!$B151,'Eredeti fejléccel'!$W:$W)</f>
        <v>0</v>
      </c>
      <c r="Q151" s="6">
        <f>SUMIF('Eredeti fejléccel'!$B:$B,'Felosztás eredménykim'!$B151,'Eredeti fejléccel'!$X:$X)</f>
        <v>0</v>
      </c>
      <c r="R151" s="6">
        <f>SUMIF('Eredeti fejléccel'!$B:$B,'Felosztás eredménykim'!$B151,'Eredeti fejléccel'!$Y:$Y)</f>
        <v>0</v>
      </c>
      <c r="S151" s="6">
        <f>SUMIF('Eredeti fejléccel'!$B:$B,'Felosztás eredménykim'!$B151,'Eredeti fejléccel'!$Z:$Z)</f>
        <v>0</v>
      </c>
      <c r="T151" s="6">
        <f>SUMIF('Eredeti fejléccel'!$B:$B,'Felosztás eredménykim'!$B151,'Eredeti fejléccel'!$AA:$AA)</f>
        <v>0</v>
      </c>
      <c r="U151" s="6">
        <f>SUMIF('Eredeti fejléccel'!$B:$B,'Felosztás eredménykim'!$B151,'Eredeti fejléccel'!$D:$D)</f>
        <v>0</v>
      </c>
      <c r="V151" s="6">
        <f>SUMIF('Eredeti fejléccel'!$B:$B,'Felosztás eredménykim'!$B151,'Eredeti fejléccel'!$AT:$AT)</f>
        <v>0</v>
      </c>
      <c r="X151" s="36">
        <f t="shared" si="211"/>
        <v>0</v>
      </c>
      <c r="Z151" s="6">
        <f>SUMIF('Eredeti fejléccel'!$B:$B,'Felosztás eredménykim'!$B151,'Eredeti fejléccel'!$K:$K)</f>
        <v>0</v>
      </c>
      <c r="AB151" s="6">
        <f>SUMIF('Eredeti fejléccel'!$B:$B,'Felosztás eredménykim'!$B151,'Eredeti fejléccel'!$AB:$AB)</f>
        <v>0</v>
      </c>
      <c r="AC151" s="6">
        <f>SUMIF('Eredeti fejléccel'!$B:$B,'Felosztás eredménykim'!$B151,'Eredeti fejléccel'!$AQ:$AQ)</f>
        <v>0</v>
      </c>
      <c r="AE151" s="73">
        <f t="shared" si="131"/>
        <v>0</v>
      </c>
      <c r="AF151" s="36">
        <f t="shared" si="212"/>
        <v>0</v>
      </c>
      <c r="AG151" s="8">
        <f t="shared" si="213"/>
        <v>0</v>
      </c>
      <c r="AI151" s="6">
        <f>SUMIF('Eredeti fejléccel'!$B:$B,'Felosztás eredménykim'!$B151,'Eredeti fejléccel'!$BB:$BB)</f>
        <v>0</v>
      </c>
      <c r="AJ151" s="6">
        <f>SUMIF('Eredeti fejléccel'!$B:$B,'Felosztás eredménykim'!$B151,'Eredeti fejléccel'!$AF:$AF)</f>
        <v>0</v>
      </c>
      <c r="AK151" s="8">
        <f t="shared" si="177"/>
        <v>0</v>
      </c>
      <c r="AL151" s="36">
        <f t="shared" si="214"/>
        <v>0</v>
      </c>
      <c r="AM151" s="8">
        <f t="shared" si="215"/>
        <v>0</v>
      </c>
      <c r="AN151" s="6">
        <f t="shared" si="291"/>
        <v>0</v>
      </c>
      <c r="AO151" s="6">
        <f>SUMIF('Eredeti fejléccel'!$B:$B,'Felosztás eredménykim'!$B151,'Eredeti fejléccel'!$AC:$AC)</f>
        <v>0</v>
      </c>
      <c r="AP151" s="6">
        <f>SUMIF('Eredeti fejléccel'!$B:$B,'Felosztás eredménykim'!$B151,'Eredeti fejléccel'!$AD:$AD)</f>
        <v>0</v>
      </c>
      <c r="AQ151" s="6">
        <f>SUMIF('Eredeti fejléccel'!$B:$B,'Felosztás eredménykim'!$B151,'Eredeti fejléccel'!$AE:$AE)</f>
        <v>0</v>
      </c>
      <c r="AR151" s="6">
        <f>SUMIF('Eredeti fejléccel'!$B:$B,'Felosztás eredménykim'!$B151,'Eredeti fejléccel'!$AG:$AG)</f>
        <v>0</v>
      </c>
      <c r="AS151" s="6">
        <f t="shared" si="292"/>
        <v>0</v>
      </c>
      <c r="AT151" s="36">
        <f t="shared" si="216"/>
        <v>0</v>
      </c>
      <c r="AU151" s="8">
        <f t="shared" si="217"/>
        <v>0</v>
      </c>
      <c r="AV151" s="6">
        <f>SUMIF('Eredeti fejléccel'!$B:$B,'Felosztás eredménykim'!$B151,'Eredeti fejléccel'!$AI:$AI)</f>
        <v>0</v>
      </c>
      <c r="AW151" s="6">
        <f>SUMIF('Eredeti fejléccel'!$B:$B,'Felosztás eredménykim'!$B151,'Eredeti fejléccel'!$AJ:$AJ)</f>
        <v>0</v>
      </c>
      <c r="AX151" s="6">
        <f>SUMIF('Eredeti fejléccel'!$B:$B,'Felosztás eredménykim'!$B151,'Eredeti fejléccel'!$AK:$AK)</f>
        <v>0</v>
      </c>
      <c r="AY151" s="6">
        <f>SUMIF('Eredeti fejléccel'!$B:$B,'Felosztás eredménykim'!$B151,'Eredeti fejléccel'!$AL:$AL)</f>
        <v>0</v>
      </c>
      <c r="AZ151" s="6">
        <f>SUMIF('Eredeti fejléccel'!$B:$B,'Felosztás eredménykim'!$B151,'Eredeti fejléccel'!$AM:$AM)</f>
        <v>0</v>
      </c>
      <c r="BA151" s="6">
        <f>SUMIF('Eredeti fejléccel'!$B:$B,'Felosztás eredménykim'!$B151,'Eredeti fejléccel'!$AN:$AN)</f>
        <v>0</v>
      </c>
      <c r="BB151" s="6">
        <f>SUMIF('Eredeti fejléccel'!$B:$B,'Felosztás eredménykim'!$B151,'Eredeti fejléccel'!$AP:$AP)</f>
        <v>0</v>
      </c>
      <c r="BD151" s="6">
        <f>SUMIF('Eredeti fejléccel'!$B:$B,'Felosztás eredménykim'!$B151,'Eredeti fejléccel'!$AS:$AS)</f>
        <v>0</v>
      </c>
      <c r="BE151" s="8">
        <f t="shared" si="238"/>
        <v>0</v>
      </c>
      <c r="BF151" s="36">
        <f t="shared" si="218"/>
        <v>0</v>
      </c>
      <c r="BG151" s="8">
        <f t="shared" si="219"/>
        <v>0</v>
      </c>
      <c r="BH151" s="6">
        <f t="shared" si="293"/>
        <v>0</v>
      </c>
      <c r="BI151" s="6">
        <f>SUMIF('Eredeti fejléccel'!$B:$B,'Felosztás eredménykim'!$B151,'Eredeti fejléccel'!$AH:$AH)</f>
        <v>0</v>
      </c>
      <c r="BJ151" s="6">
        <f>SUMIF('Eredeti fejléccel'!$B:$B,'Felosztás eredménykim'!$B151,'Eredeti fejléccel'!$AO:$AO)</f>
        <v>0</v>
      </c>
      <c r="BK151" s="6">
        <f>SUMIF('Eredeti fejléccel'!$B:$B,'Felosztás eredménykim'!$B151,'Eredeti fejléccel'!$BF:$BF)</f>
        <v>0</v>
      </c>
      <c r="BL151" s="8">
        <f t="shared" si="294"/>
        <v>0</v>
      </c>
      <c r="BM151" s="36">
        <f t="shared" si="220"/>
        <v>0</v>
      </c>
      <c r="BN151" s="8">
        <f t="shared" si="221"/>
        <v>0</v>
      </c>
      <c r="BP151" s="8">
        <f t="shared" si="295"/>
        <v>0</v>
      </c>
      <c r="BQ151" s="6">
        <f>SUMIF('Eredeti fejléccel'!$B:$B,'Felosztás eredménykim'!$B151,'Eredeti fejléccel'!$N:$N)</f>
        <v>0</v>
      </c>
      <c r="BR151" s="6">
        <f>SUMIF('Eredeti fejléccel'!$B:$B,'Felosztás eredménykim'!$B151,'Eredeti fejléccel'!$S:$S)</f>
        <v>0</v>
      </c>
      <c r="BT151" s="6">
        <f>SUMIF('Eredeti fejléccel'!$B:$B,'Felosztás eredménykim'!$B151,'Eredeti fejléccel'!$AR:$AR)</f>
        <v>0</v>
      </c>
      <c r="BU151" s="6">
        <f>SUMIF('Eredeti fejléccel'!$B:$B,'Felosztás eredménykim'!$B151,'Eredeti fejléccel'!$AU:$AU)</f>
        <v>0</v>
      </c>
      <c r="BV151" s="6">
        <f>SUMIF('Eredeti fejléccel'!$B:$B,'Felosztás eredménykim'!$B151,'Eredeti fejléccel'!$AV:$AV)</f>
        <v>0</v>
      </c>
      <c r="BW151" s="6">
        <f>SUMIF('Eredeti fejléccel'!$B:$B,'Felosztás eredménykim'!$B151,'Eredeti fejléccel'!$AW:$AW)</f>
        <v>0</v>
      </c>
      <c r="BX151" s="6">
        <f>SUMIF('Eredeti fejléccel'!$B:$B,'Felosztás eredménykim'!$B151,'Eredeti fejléccel'!$AX:$AX)</f>
        <v>0</v>
      </c>
      <c r="BY151" s="6">
        <f>SUMIF('Eredeti fejléccel'!$B:$B,'Felosztás eredménykim'!$B151,'Eredeti fejléccel'!$AY:$AY)</f>
        <v>0</v>
      </c>
      <c r="BZ151" s="6">
        <f>SUMIF('Eredeti fejléccel'!$B:$B,'Felosztás eredménykim'!$B151,'Eredeti fejléccel'!$AZ:$AZ)</f>
        <v>0</v>
      </c>
      <c r="CA151" s="6">
        <f>SUMIF('Eredeti fejléccel'!$B:$B,'Felosztás eredménykim'!$B151,'Eredeti fejléccel'!$BA:$BA)</f>
        <v>0</v>
      </c>
      <c r="CB151" s="6">
        <f t="shared" si="253"/>
        <v>0</v>
      </c>
      <c r="CC151" s="36">
        <f t="shared" si="222"/>
        <v>0</v>
      </c>
      <c r="CD151" s="8">
        <f t="shared" si="223"/>
        <v>0</v>
      </c>
      <c r="CE151" s="6">
        <f>SUMIF('Eredeti fejléccel'!$B:$B,'Felosztás eredménykim'!$B151,'Eredeti fejléccel'!$BC:$BC)</f>
        <v>0</v>
      </c>
      <c r="CF151" s="8">
        <f t="shared" si="135"/>
        <v>0</v>
      </c>
      <c r="CG151" s="6">
        <f>SUMIF('Eredeti fejléccel'!$B:$B,'Felosztás eredménykim'!$B151,'Eredeti fejléccel'!$H:$H)</f>
        <v>0</v>
      </c>
      <c r="CH151" s="6">
        <f>SUMIF('Eredeti fejléccel'!$B:$B,'Felosztás eredménykim'!$B151,'Eredeti fejléccel'!$BE:$BE)</f>
        <v>0</v>
      </c>
      <c r="CI151" s="6">
        <f t="shared" si="239"/>
        <v>0</v>
      </c>
      <c r="CJ151" s="36">
        <f t="shared" si="224"/>
        <v>0</v>
      </c>
      <c r="CK151" s="8">
        <f t="shared" si="225"/>
        <v>0</v>
      </c>
      <c r="CL151" s="8">
        <f t="shared" si="136"/>
        <v>0</v>
      </c>
      <c r="CM151" s="6">
        <f>SUMIF('Eredeti fejléccel'!$B:$B,'Felosztás eredménykim'!$B151,'Eredeti fejléccel'!$BD:$BD)</f>
        <v>0</v>
      </c>
      <c r="CN151" s="8">
        <f t="shared" si="240"/>
        <v>0</v>
      </c>
      <c r="CO151" s="8">
        <f t="shared" si="254"/>
        <v>0</v>
      </c>
      <c r="CR151" s="36">
        <f t="shared" si="226"/>
        <v>0</v>
      </c>
      <c r="CS151" s="6">
        <f>SUMIF('Eredeti fejléccel'!$B:$B,'Felosztás eredménykim'!$B151,'Eredeti fejléccel'!$I:$I)</f>
        <v>0</v>
      </c>
      <c r="CT151" s="6">
        <f>SUMIF('Eredeti fejléccel'!$B:$B,'Felosztás eredménykim'!$B151,'Eredeti fejléccel'!$BG:$BG)</f>
        <v>0</v>
      </c>
      <c r="CU151" s="6">
        <f>SUMIF('Eredeti fejléccel'!$B:$B,'Felosztás eredménykim'!$B151,'Eredeti fejléccel'!$BH:$BH)</f>
        <v>0</v>
      </c>
      <c r="CV151" s="6">
        <f>SUMIF('Eredeti fejléccel'!$B:$B,'Felosztás eredménykim'!$B151,'Eredeti fejléccel'!$BI:$BI)</f>
        <v>0</v>
      </c>
      <c r="CW151" s="6">
        <f>SUMIF('Eredeti fejléccel'!$B:$B,'Felosztás eredménykim'!$B151,'Eredeti fejléccel'!$BL:$BL)</f>
        <v>0</v>
      </c>
      <c r="CX151" s="6">
        <f t="shared" si="241"/>
        <v>0</v>
      </c>
      <c r="CY151" s="6">
        <f>SUMIF('Eredeti fejléccel'!$B:$B,'Felosztás eredménykim'!$B151,'Eredeti fejléccel'!$BJ:$BJ)</f>
        <v>0</v>
      </c>
      <c r="CZ151" s="6">
        <f>SUMIF('Eredeti fejléccel'!$B:$B,'Felosztás eredménykim'!$B151,'Eredeti fejléccel'!$BK:$BK)</f>
        <v>0</v>
      </c>
      <c r="DA151" s="99">
        <f t="shared" si="242"/>
        <v>0</v>
      </c>
      <c r="DC151" s="36">
        <f t="shared" si="227"/>
        <v>0</v>
      </c>
      <c r="DD151" s="6">
        <f>SUMIF('Eredeti fejléccel'!$B:$B,'Felosztás eredménykim'!$B151,'Eredeti fejléccel'!$J:$J)</f>
        <v>0</v>
      </c>
      <c r="DE151" s="6">
        <f>SUMIF('Eredeti fejléccel'!$B:$B,'Felosztás eredménykim'!$B151,'Eredeti fejléccel'!$BM:$BM)</f>
        <v>0</v>
      </c>
      <c r="DF151" s="6">
        <f t="shared" si="296"/>
        <v>0</v>
      </c>
      <c r="DG151" s="8">
        <f t="shared" si="255"/>
        <v>0</v>
      </c>
      <c r="DH151" s="8">
        <f t="shared" si="297"/>
        <v>0</v>
      </c>
      <c r="DJ151" s="6">
        <f>SUMIF('Eredeti fejléccel'!$B:$B,'Felosztás eredménykim'!$B151,'Eredeti fejléccel'!$BN:$BN)</f>
        <v>0</v>
      </c>
      <c r="DK151" s="6">
        <f>SUMIF('Eredeti fejléccel'!$B:$B,'Felosztás eredménykim'!$B151,'Eredeti fejléccel'!$BZ:$BZ)</f>
        <v>0</v>
      </c>
      <c r="DL151" s="8">
        <f t="shared" si="298"/>
        <v>0</v>
      </c>
      <c r="DM151" s="6">
        <f>SUMIF('Eredeti fejléccel'!$B:$B,'Felosztás eredménykim'!$B151,'Eredeti fejléccel'!$BR:$BR)</f>
        <v>0</v>
      </c>
      <c r="DN151" s="6">
        <f>SUMIF('Eredeti fejléccel'!$B:$B,'Felosztás eredménykim'!$B151,'Eredeti fejléccel'!$BS:$BS)</f>
        <v>0</v>
      </c>
      <c r="DO151" s="6">
        <f>SUMIF('Eredeti fejléccel'!$B:$B,'Felosztás eredménykim'!$B151,'Eredeti fejléccel'!$BO:$BO)</f>
        <v>0</v>
      </c>
      <c r="DP151" s="6">
        <f>SUMIF('Eredeti fejléccel'!$B:$B,'Felosztás eredménykim'!$B151,'Eredeti fejléccel'!$BP:$BP)</f>
        <v>0</v>
      </c>
      <c r="DQ151" s="6">
        <f>SUMIF('Eredeti fejléccel'!$B:$B,'Felosztás eredménykim'!$B151,'Eredeti fejléccel'!$BQ:$BQ)</f>
        <v>0</v>
      </c>
      <c r="DS151" s="8"/>
      <c r="DU151" s="6">
        <f>SUMIF('Eredeti fejléccel'!$B:$B,'Felosztás eredménykim'!$B151,'Eredeti fejléccel'!$BT:$BT)</f>
        <v>0</v>
      </c>
      <c r="DV151" s="6">
        <f>SUMIF('Eredeti fejléccel'!$B:$B,'Felosztás eredménykim'!$B151,'Eredeti fejléccel'!$BU:$BU)</f>
        <v>0</v>
      </c>
      <c r="DW151" s="6">
        <f>SUMIF('Eredeti fejléccel'!$B:$B,'Felosztás eredménykim'!$B151,'Eredeti fejléccel'!$BV:$BV)</f>
        <v>0</v>
      </c>
      <c r="DX151" s="6">
        <f>SUMIF('Eredeti fejléccel'!$B:$B,'Felosztás eredménykim'!$B151,'Eredeti fejléccel'!$BW:$BW)</f>
        <v>0</v>
      </c>
      <c r="DY151" s="6">
        <f>SUMIF('Eredeti fejléccel'!$B:$B,'Felosztás eredménykim'!$B151,'Eredeti fejléccel'!$BX:$BX)</f>
        <v>0</v>
      </c>
      <c r="EA151" s="6"/>
      <c r="EC151" s="6"/>
      <c r="EE151" s="6">
        <f>SUMIF('Eredeti fejléccel'!$B:$B,'Felosztás eredménykim'!$B151,'Eredeti fejléccel'!$CA:$CA)</f>
        <v>0</v>
      </c>
      <c r="EF151" s="6">
        <f>SUMIF('Eredeti fejléccel'!$B:$B,'Felosztás eredménykim'!$B151,'Eredeti fejléccel'!$CB:$CB)</f>
        <v>0</v>
      </c>
      <c r="EG151" s="6">
        <f>SUMIF('Eredeti fejléccel'!$B:$B,'Felosztás eredménykim'!$B151,'Eredeti fejléccel'!$CC:$CC)</f>
        <v>0</v>
      </c>
      <c r="EH151" s="6">
        <f>SUMIF('Eredeti fejléccel'!$B:$B,'Felosztás eredménykim'!$B151,'Eredeti fejléccel'!$CD:$CD)</f>
        <v>0</v>
      </c>
      <c r="EK151" s="6">
        <f>SUMIF('Eredeti fejléccel'!$B:$B,'Felosztás eredménykim'!$B151,'Eredeti fejléccel'!$CE:$CE)</f>
        <v>0</v>
      </c>
      <c r="EN151" s="6">
        <f>SUMIF('Eredeti fejléccel'!$B:$B,'Felosztás eredménykim'!$B151,'Eredeti fejléccel'!$CF:$CF)</f>
        <v>0</v>
      </c>
      <c r="EP151" s="6">
        <f>SUMIF('Eredeti fejléccel'!$B:$B,'Felosztás eredménykim'!$B151,'Eredeti fejléccel'!$CG:$CG)</f>
        <v>0</v>
      </c>
      <c r="ES151" s="6">
        <f>SUMIF('Eredeti fejléccel'!$B:$B,'Felosztás eredménykim'!$B151,'Eredeti fejléccel'!$CH:$CH)</f>
        <v>0</v>
      </c>
      <c r="ET151" s="6">
        <f>SUMIF('Eredeti fejléccel'!$B:$B,'Felosztás eredménykim'!$B151,'Eredeti fejléccel'!$CI:$CI)</f>
        <v>0</v>
      </c>
      <c r="EW151" s="8">
        <f t="shared" si="288"/>
        <v>0</v>
      </c>
      <c r="EX151" s="8">
        <f t="shared" si="243"/>
        <v>0</v>
      </c>
      <c r="EY151" s="8">
        <f t="shared" si="244"/>
        <v>0</v>
      </c>
      <c r="EZ151" s="8">
        <f t="shared" si="289"/>
        <v>0</v>
      </c>
      <c r="FA151" s="8">
        <f t="shared" si="290"/>
        <v>0</v>
      </c>
      <c r="FC151" s="6">
        <f>SUMIF('Eredeti fejléccel'!$B:$B,'Felosztás eredménykim'!$B151,'Eredeti fejléccel'!$L:$L)</f>
        <v>0</v>
      </c>
      <c r="FD151" s="6">
        <f>SUMIF('Eredeti fejléccel'!$B:$B,'Felosztás eredménykim'!$B151,'Eredeti fejléccel'!$CJ:$CJ)</f>
        <v>0</v>
      </c>
      <c r="FE151" s="6">
        <f>SUMIF('Eredeti fejléccel'!$B:$B,'Felosztás eredménykim'!$B151,'Eredeti fejléccel'!$CL:$CL)</f>
        <v>0</v>
      </c>
      <c r="FG151" s="99">
        <f t="shared" si="245"/>
        <v>0</v>
      </c>
      <c r="FH151" s="6">
        <f>SUMIF('Eredeti fejléccel'!$B:$B,'Felosztás eredménykim'!$B151,'Eredeti fejléccel'!$CK:$CK)</f>
        <v>0</v>
      </c>
      <c r="FI151" s="36">
        <f t="shared" si="228"/>
        <v>0</v>
      </c>
      <c r="FJ151" s="101">
        <f t="shared" si="229"/>
        <v>0</v>
      </c>
      <c r="FK151" s="6">
        <f>SUMIF('Eredeti fejléccel'!$B:$B,'Felosztás eredménykim'!$B151,'Eredeti fejléccel'!$CM:$CM)</f>
        <v>0</v>
      </c>
      <c r="FL151" s="6">
        <f>SUMIF('Eredeti fejléccel'!$B:$B,'Felosztás eredménykim'!$B151,'Eredeti fejléccel'!$CN:$CN)</f>
        <v>0</v>
      </c>
      <c r="FM151" s="8">
        <f t="shared" si="246"/>
        <v>0</v>
      </c>
      <c r="FN151" s="36">
        <f t="shared" si="230"/>
        <v>0</v>
      </c>
      <c r="FO151" s="101">
        <f t="shared" si="231"/>
        <v>0</v>
      </c>
      <c r="FP151" s="6">
        <f>SUMIF('Eredeti fejléccel'!$B:$B,'Felosztás eredménykim'!$B151,'Eredeti fejléccel'!$CO:$CO)</f>
        <v>0</v>
      </c>
      <c r="FQ151" s="6">
        <f>'Eredeti fejléccel'!CP151</f>
        <v>0</v>
      </c>
      <c r="FR151" s="6">
        <f>'Eredeti fejléccel'!CQ151</f>
        <v>0</v>
      </c>
      <c r="FS151" s="103">
        <f t="shared" si="247"/>
        <v>0</v>
      </c>
      <c r="FT151" s="36">
        <f t="shared" si="232"/>
        <v>0</v>
      </c>
      <c r="FU151" s="101">
        <f t="shared" si="233"/>
        <v>0</v>
      </c>
      <c r="FV151" s="101"/>
      <c r="FW151" s="6">
        <f>SUMIF('Eredeti fejléccel'!$B:$B,'Felosztás eredménykim'!$B151,'Eredeti fejléccel'!$CR:$CR)</f>
        <v>0</v>
      </c>
      <c r="FX151" s="6">
        <f>SUMIF('Eredeti fejléccel'!$B:$B,'Felosztás eredménykim'!$B151,'Eredeti fejléccel'!$CS:$CS)</f>
        <v>0</v>
      </c>
      <c r="FY151" s="6">
        <f>SUMIF('Eredeti fejléccel'!$B:$B,'Felosztás eredménykim'!$B151,'Eredeti fejléccel'!$CT:$CT)</f>
        <v>0</v>
      </c>
      <c r="FZ151" s="6">
        <f>SUMIF('Eredeti fejléccel'!$B:$B,'Felosztás eredménykim'!$B151,'Eredeti fejléccel'!$CU:$CU)</f>
        <v>0</v>
      </c>
      <c r="GA151" s="103">
        <f t="shared" si="248"/>
        <v>0</v>
      </c>
      <c r="GB151" s="36">
        <f t="shared" si="234"/>
        <v>0</v>
      </c>
      <c r="GC151" s="101">
        <f t="shared" si="235"/>
        <v>0</v>
      </c>
      <c r="GD151" s="6">
        <f>SUMIF('Eredeti fejléccel'!$B:$B,'Felosztás eredménykim'!$B151,'Eredeti fejléccel'!$CV:$CV)</f>
        <v>0</v>
      </c>
      <c r="GE151" s="6">
        <f>SUMIF('Eredeti fejléccel'!$B:$B,'Felosztás eredménykim'!$B151,'Eredeti fejléccel'!$CW:$CW)</f>
        <v>115965</v>
      </c>
      <c r="GF151" s="103">
        <f t="shared" si="249"/>
        <v>115965</v>
      </c>
      <c r="GG151" s="36">
        <f t="shared" si="236"/>
        <v>0</v>
      </c>
      <c r="GM151" s="6">
        <f>SUMIF('Eredeti fejléccel'!$B:$B,'Felosztás eredménykim'!$B151,'Eredeti fejléccel'!$CX:$CX)</f>
        <v>0</v>
      </c>
      <c r="GN151" s="6">
        <f>SUMIF('Eredeti fejléccel'!$B:$B,'Felosztás eredménykim'!$B151,'Eredeti fejléccel'!$CY:$CY)</f>
        <v>0</v>
      </c>
      <c r="GO151" s="6">
        <f>SUMIF('Eredeti fejléccel'!$B:$B,'Felosztás eredménykim'!$B151,'Eredeti fejléccel'!$CZ:$CZ)</f>
        <v>0</v>
      </c>
      <c r="GP151" s="6">
        <f>SUMIF('Eredeti fejléccel'!$B:$B,'Felosztás eredménykim'!$B151,'Eredeti fejléccel'!$DA:$DA)</f>
        <v>0</v>
      </c>
      <c r="GQ151" s="6">
        <f>SUMIF('Eredeti fejléccel'!$B:$B,'Felosztás eredménykim'!$B151,'Eredeti fejléccel'!$DB:$DB)</f>
        <v>0</v>
      </c>
      <c r="GR151" s="103">
        <f t="shared" si="250"/>
        <v>0</v>
      </c>
      <c r="GW151" s="36">
        <f t="shared" si="237"/>
        <v>0</v>
      </c>
      <c r="GX151" s="6">
        <f>SUMIF('Eredeti fejléccel'!$B:$B,'Felosztás eredménykim'!$B151,'Eredeti fejléccel'!$M:$M)</f>
        <v>0</v>
      </c>
      <c r="GY151" s="6">
        <f>SUMIF('Eredeti fejléccel'!$B:$B,'Felosztás eredménykim'!$B151,'Eredeti fejléccel'!$DC:$DC)</f>
        <v>0</v>
      </c>
      <c r="GZ151" s="6">
        <f>SUMIF('Eredeti fejléccel'!$B:$B,'Felosztás eredménykim'!$B151,'Eredeti fejléccel'!$DD:$DD)</f>
        <v>0</v>
      </c>
      <c r="HA151" s="6">
        <f>SUMIF('Eredeti fejléccel'!$B:$B,'Felosztás eredménykim'!$B151,'Eredeti fejléccel'!$DE:$DE)</f>
        <v>0</v>
      </c>
      <c r="HB151" s="103">
        <f t="shared" si="251"/>
        <v>0</v>
      </c>
      <c r="HD151" s="9">
        <f t="shared" si="256"/>
        <v>115965</v>
      </c>
      <c r="HE151" s="9">
        <v>115965</v>
      </c>
      <c r="HF151" s="476"/>
      <c r="HH151" s="34">
        <f t="shared" si="252"/>
        <v>0</v>
      </c>
    </row>
    <row r="152" spans="1:218" x14ac:dyDescent="0.25">
      <c r="A152" s="4" t="s">
        <v>277</v>
      </c>
      <c r="B152" s="4" t="s">
        <v>277</v>
      </c>
      <c r="C152" s="1" t="s">
        <v>278</v>
      </c>
      <c r="D152" s="6">
        <f>SUMIF('Eredeti fejléccel'!$B:$B,'Felosztás eredménykim'!$B152,'Eredeti fejléccel'!$D:$D)</f>
        <v>0</v>
      </c>
      <c r="E152" s="6">
        <f>SUMIF('Eredeti fejléccel'!$B:$B,'Felosztás eredménykim'!$B152,'Eredeti fejléccel'!$E:$E)</f>
        <v>0</v>
      </c>
      <c r="F152" s="6">
        <f>SUMIF('Eredeti fejléccel'!$B:$B,'Felosztás eredménykim'!$B152,'Eredeti fejléccel'!$F:$F)</f>
        <v>0</v>
      </c>
      <c r="G152" s="6">
        <f>SUMIF('Eredeti fejléccel'!$B:$B,'Felosztás eredménykim'!$B152,'Eredeti fejléccel'!$G:$G)</f>
        <v>0</v>
      </c>
      <c r="H152" s="6"/>
      <c r="I152" s="6">
        <f>SUMIF('Eredeti fejléccel'!$B:$B,'Felosztás eredménykim'!$B152,'Eredeti fejléccel'!$O:$O)</f>
        <v>0</v>
      </c>
      <c r="J152" s="6">
        <f>SUMIF('Eredeti fejléccel'!$B:$B,'Felosztás eredménykim'!$B152,'Eredeti fejléccel'!$P:$P)</f>
        <v>0</v>
      </c>
      <c r="K152" s="6">
        <f>SUMIF('Eredeti fejléccel'!$B:$B,'Felosztás eredménykim'!$B152,'Eredeti fejléccel'!$Q:$Q)</f>
        <v>0</v>
      </c>
      <c r="L152" s="6">
        <f>SUMIF('Eredeti fejléccel'!$B:$B,'Felosztás eredménykim'!$B152,'Eredeti fejléccel'!$R:$R)</f>
        <v>0</v>
      </c>
      <c r="M152" s="6">
        <f>SUMIF('Eredeti fejléccel'!$B:$B,'Felosztás eredménykim'!$B152,'Eredeti fejléccel'!$T:$T)</f>
        <v>0</v>
      </c>
      <c r="N152" s="6">
        <f>SUMIF('Eredeti fejléccel'!$B:$B,'Felosztás eredménykim'!$B152,'Eredeti fejléccel'!$U:$U)</f>
        <v>0</v>
      </c>
      <c r="O152" s="6">
        <f>SUMIF('Eredeti fejléccel'!$B:$B,'Felosztás eredménykim'!$B152,'Eredeti fejléccel'!$V:$V)</f>
        <v>0</v>
      </c>
      <c r="P152" s="6">
        <f>SUMIF('Eredeti fejléccel'!$B:$B,'Felosztás eredménykim'!$B152,'Eredeti fejléccel'!$W:$W)</f>
        <v>0</v>
      </c>
      <c r="Q152" s="6">
        <f>SUMIF('Eredeti fejléccel'!$B:$B,'Felosztás eredménykim'!$B152,'Eredeti fejléccel'!$X:$X)</f>
        <v>0</v>
      </c>
      <c r="R152" s="6">
        <f>SUMIF('Eredeti fejléccel'!$B:$B,'Felosztás eredménykim'!$B152,'Eredeti fejléccel'!$Y:$Y)</f>
        <v>0</v>
      </c>
      <c r="S152" s="6">
        <f>SUMIF('Eredeti fejléccel'!$B:$B,'Felosztás eredménykim'!$B152,'Eredeti fejléccel'!$Z:$Z)</f>
        <v>0</v>
      </c>
      <c r="T152" s="6">
        <f>SUMIF('Eredeti fejléccel'!$B:$B,'Felosztás eredménykim'!$B152,'Eredeti fejléccel'!$AA:$AA)</f>
        <v>0</v>
      </c>
      <c r="U152" s="6">
        <f>SUMIF('Eredeti fejléccel'!$B:$B,'Felosztás eredménykim'!$B152,'Eredeti fejléccel'!$D:$D)</f>
        <v>0</v>
      </c>
      <c r="V152" s="6">
        <f>SUMIF('Eredeti fejléccel'!$B:$B,'Felosztás eredménykim'!$B152,'Eredeti fejléccel'!$AT:$AT)</f>
        <v>0</v>
      </c>
      <c r="X152" s="36">
        <f t="shared" si="211"/>
        <v>0</v>
      </c>
      <c r="Z152" s="6">
        <f>SUMIF('Eredeti fejléccel'!$B:$B,'Felosztás eredménykim'!$B152,'Eredeti fejléccel'!$K:$K)</f>
        <v>0</v>
      </c>
      <c r="AB152" s="6">
        <f>SUMIF('Eredeti fejléccel'!$B:$B,'Felosztás eredménykim'!$B152,'Eredeti fejléccel'!$AB:$AB)</f>
        <v>0</v>
      </c>
      <c r="AC152" s="6">
        <f>SUMIF('Eredeti fejléccel'!$B:$B,'Felosztás eredménykim'!$B152,'Eredeti fejléccel'!$AQ:$AQ)</f>
        <v>0</v>
      </c>
      <c r="AE152" s="73">
        <f t="shared" ref="AE152:AE234" si="299">SUM(Z152:AD152)</f>
        <v>0</v>
      </c>
      <c r="AF152" s="36">
        <f t="shared" si="212"/>
        <v>0</v>
      </c>
      <c r="AG152" s="8">
        <f t="shared" si="213"/>
        <v>0</v>
      </c>
      <c r="AI152" s="6">
        <f>SUMIF('Eredeti fejléccel'!$B:$B,'Felosztás eredménykim'!$B152,'Eredeti fejléccel'!$BB:$BB)</f>
        <v>0</v>
      </c>
      <c r="AJ152" s="6">
        <f>SUMIF('Eredeti fejléccel'!$B:$B,'Felosztás eredménykim'!$B152,'Eredeti fejléccel'!$AF:$AF)</f>
        <v>0</v>
      </c>
      <c r="AK152" s="8">
        <f t="shared" si="177"/>
        <v>0</v>
      </c>
      <c r="AL152" s="36">
        <f t="shared" si="214"/>
        <v>0</v>
      </c>
      <c r="AM152" s="8">
        <f t="shared" si="215"/>
        <v>0</v>
      </c>
      <c r="AN152" s="6">
        <f t="shared" si="291"/>
        <v>0</v>
      </c>
      <c r="AO152" s="6">
        <f>SUMIF('Eredeti fejléccel'!$B:$B,'Felosztás eredménykim'!$B152,'Eredeti fejléccel'!$AC:$AC)</f>
        <v>0</v>
      </c>
      <c r="AP152" s="6">
        <f>SUMIF('Eredeti fejléccel'!$B:$B,'Felosztás eredménykim'!$B152,'Eredeti fejléccel'!$AD:$AD)</f>
        <v>0</v>
      </c>
      <c r="AQ152" s="6">
        <f>SUMIF('Eredeti fejléccel'!$B:$B,'Felosztás eredménykim'!$B152,'Eredeti fejléccel'!$AE:$AE)</f>
        <v>0</v>
      </c>
      <c r="AR152" s="6">
        <f>SUMIF('Eredeti fejléccel'!$B:$B,'Felosztás eredménykim'!$B152,'Eredeti fejléccel'!$AG:$AG)</f>
        <v>0</v>
      </c>
      <c r="AS152" s="6">
        <f t="shared" si="292"/>
        <v>0</v>
      </c>
      <c r="AT152" s="36">
        <f t="shared" si="216"/>
        <v>0</v>
      </c>
      <c r="AU152" s="8">
        <f t="shared" si="217"/>
        <v>0</v>
      </c>
      <c r="AV152" s="6">
        <f>SUMIF('Eredeti fejléccel'!$B:$B,'Felosztás eredménykim'!$B152,'Eredeti fejléccel'!$AI:$AI)</f>
        <v>0</v>
      </c>
      <c r="AW152" s="6">
        <f>SUMIF('Eredeti fejléccel'!$B:$B,'Felosztás eredménykim'!$B152,'Eredeti fejléccel'!$AJ:$AJ)</f>
        <v>0</v>
      </c>
      <c r="AX152" s="6">
        <f>SUMIF('Eredeti fejléccel'!$B:$B,'Felosztás eredménykim'!$B152,'Eredeti fejléccel'!$AK:$AK)</f>
        <v>0</v>
      </c>
      <c r="AY152" s="6">
        <f>SUMIF('Eredeti fejléccel'!$B:$B,'Felosztás eredménykim'!$B152,'Eredeti fejléccel'!$AL:$AL)</f>
        <v>0</v>
      </c>
      <c r="AZ152" s="6">
        <f>SUMIF('Eredeti fejléccel'!$B:$B,'Felosztás eredménykim'!$B152,'Eredeti fejléccel'!$AM:$AM)</f>
        <v>0</v>
      </c>
      <c r="BA152" s="6">
        <f>SUMIF('Eredeti fejléccel'!$B:$B,'Felosztás eredménykim'!$B152,'Eredeti fejléccel'!$AN:$AN)</f>
        <v>0</v>
      </c>
      <c r="BB152" s="6">
        <f>SUMIF('Eredeti fejléccel'!$B:$B,'Felosztás eredménykim'!$B152,'Eredeti fejléccel'!$AP:$AP)</f>
        <v>0</v>
      </c>
      <c r="BD152" s="6">
        <f>SUMIF('Eredeti fejléccel'!$B:$B,'Felosztás eredménykim'!$B152,'Eredeti fejléccel'!$AS:$AS)</f>
        <v>0</v>
      </c>
      <c r="BE152" s="8">
        <f t="shared" si="238"/>
        <v>0</v>
      </c>
      <c r="BF152" s="36">
        <f t="shared" si="218"/>
        <v>0</v>
      </c>
      <c r="BG152" s="8">
        <f t="shared" si="219"/>
        <v>0</v>
      </c>
      <c r="BH152" s="6">
        <f t="shared" si="293"/>
        <v>0</v>
      </c>
      <c r="BI152" s="6">
        <f>SUMIF('Eredeti fejléccel'!$B:$B,'Felosztás eredménykim'!$B152,'Eredeti fejléccel'!$AH:$AH)</f>
        <v>0</v>
      </c>
      <c r="BJ152" s="6">
        <f>SUMIF('Eredeti fejléccel'!$B:$B,'Felosztás eredménykim'!$B152,'Eredeti fejléccel'!$AO:$AO)</f>
        <v>0</v>
      </c>
      <c r="BK152" s="6">
        <f>SUMIF('Eredeti fejléccel'!$B:$B,'Felosztás eredménykim'!$B152,'Eredeti fejléccel'!$BF:$BF)</f>
        <v>0</v>
      </c>
      <c r="BL152" s="8">
        <f t="shared" si="294"/>
        <v>0</v>
      </c>
      <c r="BM152" s="36">
        <f t="shared" si="220"/>
        <v>0</v>
      </c>
      <c r="BN152" s="8">
        <f t="shared" si="221"/>
        <v>0</v>
      </c>
      <c r="BP152" s="8">
        <f t="shared" si="295"/>
        <v>0</v>
      </c>
      <c r="BQ152" s="6">
        <f>SUMIF('Eredeti fejléccel'!$B:$B,'Felosztás eredménykim'!$B152,'Eredeti fejléccel'!$N:$N)</f>
        <v>0</v>
      </c>
      <c r="BR152" s="6">
        <f>SUMIF('Eredeti fejléccel'!$B:$B,'Felosztás eredménykim'!$B152,'Eredeti fejléccel'!$S:$S)</f>
        <v>0</v>
      </c>
      <c r="BT152" s="6">
        <f>SUMIF('Eredeti fejléccel'!$B:$B,'Felosztás eredménykim'!$B152,'Eredeti fejléccel'!$AR:$AR)</f>
        <v>0</v>
      </c>
      <c r="BU152" s="6">
        <f>SUMIF('Eredeti fejléccel'!$B:$B,'Felosztás eredménykim'!$B152,'Eredeti fejléccel'!$AU:$AU)</f>
        <v>0</v>
      </c>
      <c r="BV152" s="6">
        <f>SUMIF('Eredeti fejléccel'!$B:$B,'Felosztás eredménykim'!$B152,'Eredeti fejléccel'!$AV:$AV)</f>
        <v>0</v>
      </c>
      <c r="BW152" s="6">
        <f>SUMIF('Eredeti fejléccel'!$B:$B,'Felosztás eredménykim'!$B152,'Eredeti fejléccel'!$AW:$AW)</f>
        <v>0</v>
      </c>
      <c r="BX152" s="6">
        <f>SUMIF('Eredeti fejléccel'!$B:$B,'Felosztás eredménykim'!$B152,'Eredeti fejléccel'!$AX:$AX)</f>
        <v>0</v>
      </c>
      <c r="BY152" s="6">
        <f>SUMIF('Eredeti fejléccel'!$B:$B,'Felosztás eredménykim'!$B152,'Eredeti fejléccel'!$AY:$AY)</f>
        <v>0</v>
      </c>
      <c r="BZ152" s="6">
        <f>SUMIF('Eredeti fejléccel'!$B:$B,'Felosztás eredménykim'!$B152,'Eredeti fejléccel'!$AZ:$AZ)</f>
        <v>0</v>
      </c>
      <c r="CA152" s="6">
        <f>SUMIF('Eredeti fejléccel'!$B:$B,'Felosztás eredménykim'!$B152,'Eredeti fejléccel'!$BA:$BA)</f>
        <v>0</v>
      </c>
      <c r="CB152" s="6">
        <f t="shared" si="253"/>
        <v>0</v>
      </c>
      <c r="CC152" s="36">
        <f t="shared" si="222"/>
        <v>0</v>
      </c>
      <c r="CD152" s="8">
        <f t="shared" si="223"/>
        <v>0</v>
      </c>
      <c r="CE152" s="6">
        <f>SUMIF('Eredeti fejléccel'!$B:$B,'Felosztás eredménykim'!$B152,'Eredeti fejléccel'!$BC:$BC)</f>
        <v>0</v>
      </c>
      <c r="CF152" s="8">
        <f t="shared" si="135"/>
        <v>0</v>
      </c>
      <c r="CG152" s="6">
        <f>SUMIF('Eredeti fejléccel'!$B:$B,'Felosztás eredménykim'!$B152,'Eredeti fejléccel'!$H:$H)</f>
        <v>0</v>
      </c>
      <c r="CH152" s="6">
        <f>SUMIF('Eredeti fejléccel'!$B:$B,'Felosztás eredménykim'!$B152,'Eredeti fejléccel'!$BE:$BE)</f>
        <v>0</v>
      </c>
      <c r="CI152" s="6">
        <f t="shared" si="239"/>
        <v>0</v>
      </c>
      <c r="CJ152" s="36">
        <f t="shared" si="224"/>
        <v>0</v>
      </c>
      <c r="CK152" s="8">
        <f t="shared" si="225"/>
        <v>0</v>
      </c>
      <c r="CL152" s="8">
        <f t="shared" si="136"/>
        <v>0</v>
      </c>
      <c r="CM152" s="6">
        <f>SUMIF('Eredeti fejléccel'!$B:$B,'Felosztás eredménykim'!$B152,'Eredeti fejléccel'!$BD:$BD)</f>
        <v>0</v>
      </c>
      <c r="CN152" s="8">
        <f t="shared" si="240"/>
        <v>0</v>
      </c>
      <c r="CO152" s="8">
        <f t="shared" si="254"/>
        <v>0</v>
      </c>
      <c r="CR152" s="36">
        <f t="shared" si="226"/>
        <v>0</v>
      </c>
      <c r="CS152" s="6">
        <f>SUMIF('Eredeti fejléccel'!$B:$B,'Felosztás eredménykim'!$B152,'Eredeti fejléccel'!$I:$I)</f>
        <v>0</v>
      </c>
      <c r="CT152" s="6">
        <f>SUMIF('Eredeti fejléccel'!$B:$B,'Felosztás eredménykim'!$B152,'Eredeti fejléccel'!$BG:$BG)</f>
        <v>0</v>
      </c>
      <c r="CU152" s="6">
        <f>SUMIF('Eredeti fejléccel'!$B:$B,'Felosztás eredménykim'!$B152,'Eredeti fejléccel'!$BH:$BH)</f>
        <v>0</v>
      </c>
      <c r="CV152" s="6">
        <f>SUMIF('Eredeti fejléccel'!$B:$B,'Felosztás eredménykim'!$B152,'Eredeti fejléccel'!$BI:$BI)</f>
        <v>0</v>
      </c>
      <c r="CW152" s="6">
        <f>SUMIF('Eredeti fejléccel'!$B:$B,'Felosztás eredménykim'!$B152,'Eredeti fejléccel'!$BL:$BL)</f>
        <v>0</v>
      </c>
      <c r="CX152" s="6">
        <f t="shared" si="241"/>
        <v>0</v>
      </c>
      <c r="CY152" s="6">
        <f>SUMIF('Eredeti fejléccel'!$B:$B,'Felosztás eredménykim'!$B152,'Eredeti fejléccel'!$BJ:$BJ)</f>
        <v>0</v>
      </c>
      <c r="CZ152" s="6">
        <f>SUMIF('Eredeti fejléccel'!$B:$B,'Felosztás eredménykim'!$B152,'Eredeti fejléccel'!$BK:$BK)</f>
        <v>0</v>
      </c>
      <c r="DA152" s="99">
        <f t="shared" si="242"/>
        <v>0</v>
      </c>
      <c r="DC152" s="36">
        <f t="shared" si="227"/>
        <v>0</v>
      </c>
      <c r="DD152" s="6">
        <f>SUMIF('Eredeti fejléccel'!$B:$B,'Felosztás eredménykim'!$B152,'Eredeti fejléccel'!$J:$J)</f>
        <v>0</v>
      </c>
      <c r="DE152" s="6">
        <f>SUMIF('Eredeti fejléccel'!$B:$B,'Felosztás eredménykim'!$B152,'Eredeti fejléccel'!$BM:$BM)</f>
        <v>0</v>
      </c>
      <c r="DF152" s="6">
        <f t="shared" si="296"/>
        <v>0</v>
      </c>
      <c r="DG152" s="8">
        <f t="shared" si="255"/>
        <v>0</v>
      </c>
      <c r="DH152" s="8">
        <f t="shared" si="297"/>
        <v>0</v>
      </c>
      <c r="DJ152" s="6">
        <f>SUMIF('Eredeti fejléccel'!$B:$B,'Felosztás eredménykim'!$B152,'Eredeti fejléccel'!$BN:$BN)</f>
        <v>0</v>
      </c>
      <c r="DK152" s="6">
        <f>SUMIF('Eredeti fejléccel'!$B:$B,'Felosztás eredménykim'!$B152,'Eredeti fejléccel'!$BZ:$BZ)</f>
        <v>0</v>
      </c>
      <c r="DL152" s="8">
        <f t="shared" si="298"/>
        <v>0</v>
      </c>
      <c r="DM152" s="6">
        <f>SUMIF('Eredeti fejléccel'!$B:$B,'Felosztás eredménykim'!$B152,'Eredeti fejléccel'!$BR:$BR)</f>
        <v>0</v>
      </c>
      <c r="DN152" s="6">
        <f>SUMIF('Eredeti fejléccel'!$B:$B,'Felosztás eredménykim'!$B152,'Eredeti fejléccel'!$BS:$BS)</f>
        <v>0</v>
      </c>
      <c r="DO152" s="6">
        <f>SUMIF('Eredeti fejléccel'!$B:$B,'Felosztás eredménykim'!$B152,'Eredeti fejléccel'!$BO:$BO)</f>
        <v>0</v>
      </c>
      <c r="DP152" s="6">
        <f>SUMIF('Eredeti fejléccel'!$B:$B,'Felosztás eredménykim'!$B152,'Eredeti fejléccel'!$BP:$BP)</f>
        <v>0</v>
      </c>
      <c r="DQ152" s="6">
        <f>SUMIF('Eredeti fejléccel'!$B:$B,'Felosztás eredménykim'!$B152,'Eredeti fejléccel'!$BQ:$BQ)</f>
        <v>0</v>
      </c>
      <c r="DS152" s="8"/>
      <c r="DU152" s="6">
        <f>SUMIF('Eredeti fejléccel'!$B:$B,'Felosztás eredménykim'!$B152,'Eredeti fejléccel'!$BT:$BT)</f>
        <v>0</v>
      </c>
      <c r="DV152" s="6">
        <f>SUMIF('Eredeti fejléccel'!$B:$B,'Felosztás eredménykim'!$B152,'Eredeti fejléccel'!$BU:$BU)</f>
        <v>0</v>
      </c>
      <c r="DW152" s="6">
        <f>SUMIF('Eredeti fejléccel'!$B:$B,'Felosztás eredménykim'!$B152,'Eredeti fejléccel'!$BV:$BV)</f>
        <v>0</v>
      </c>
      <c r="DX152" s="6">
        <f>SUMIF('Eredeti fejléccel'!$B:$B,'Felosztás eredménykim'!$B152,'Eredeti fejléccel'!$BW:$BW)</f>
        <v>0</v>
      </c>
      <c r="DY152" s="6">
        <f>SUMIF('Eredeti fejléccel'!$B:$B,'Felosztás eredménykim'!$B152,'Eredeti fejléccel'!$BX:$BX)</f>
        <v>0</v>
      </c>
      <c r="EA152" s="6"/>
      <c r="EC152" s="6"/>
      <c r="EE152" s="6">
        <f>SUMIF('Eredeti fejléccel'!$B:$B,'Felosztás eredménykim'!$B152,'Eredeti fejléccel'!$CA:$CA)</f>
        <v>0</v>
      </c>
      <c r="EF152" s="6">
        <f>SUMIF('Eredeti fejléccel'!$B:$B,'Felosztás eredménykim'!$B152,'Eredeti fejléccel'!$CB:$CB)</f>
        <v>0</v>
      </c>
      <c r="EG152" s="6">
        <f>SUMIF('Eredeti fejléccel'!$B:$B,'Felosztás eredménykim'!$B152,'Eredeti fejléccel'!$CC:$CC)</f>
        <v>0</v>
      </c>
      <c r="EH152" s="6">
        <f>SUMIF('Eredeti fejléccel'!$B:$B,'Felosztás eredménykim'!$B152,'Eredeti fejléccel'!$CD:$CD)</f>
        <v>0</v>
      </c>
      <c r="EK152" s="6">
        <f>SUMIF('Eredeti fejléccel'!$B:$B,'Felosztás eredménykim'!$B152,'Eredeti fejléccel'!$CE:$CE)</f>
        <v>0</v>
      </c>
      <c r="EN152" s="6">
        <f>SUMIF('Eredeti fejléccel'!$B:$B,'Felosztás eredménykim'!$B152,'Eredeti fejléccel'!$CF:$CF)</f>
        <v>0</v>
      </c>
      <c r="EP152" s="6">
        <f>SUMIF('Eredeti fejléccel'!$B:$B,'Felosztás eredménykim'!$B152,'Eredeti fejléccel'!$CG:$CG)</f>
        <v>0</v>
      </c>
      <c r="ES152" s="6">
        <f>SUMIF('Eredeti fejléccel'!$B:$B,'Felosztás eredménykim'!$B152,'Eredeti fejléccel'!$CH:$CH)</f>
        <v>0</v>
      </c>
      <c r="ET152" s="6">
        <f>SUMIF('Eredeti fejléccel'!$B:$B,'Felosztás eredménykim'!$B152,'Eredeti fejléccel'!$CI:$CI)</f>
        <v>0</v>
      </c>
      <c r="EW152" s="8">
        <f t="shared" si="288"/>
        <v>0</v>
      </c>
      <c r="EX152" s="8">
        <f t="shared" si="243"/>
        <v>0</v>
      </c>
      <c r="EY152" s="8">
        <f t="shared" si="244"/>
        <v>0</v>
      </c>
      <c r="EZ152" s="8">
        <f t="shared" si="289"/>
        <v>0</v>
      </c>
      <c r="FA152" s="8">
        <f t="shared" si="290"/>
        <v>0</v>
      </c>
      <c r="FC152" s="6">
        <f>SUMIF('Eredeti fejléccel'!$B:$B,'Felosztás eredménykim'!$B152,'Eredeti fejléccel'!$L:$L)</f>
        <v>0</v>
      </c>
      <c r="FD152" s="6">
        <f>SUMIF('Eredeti fejléccel'!$B:$B,'Felosztás eredménykim'!$B152,'Eredeti fejléccel'!$CJ:$CJ)</f>
        <v>0</v>
      </c>
      <c r="FE152" s="6">
        <f>SUMIF('Eredeti fejléccel'!$B:$B,'Felosztás eredménykim'!$B152,'Eredeti fejléccel'!$CL:$CL)</f>
        <v>0</v>
      </c>
      <c r="FG152" s="99">
        <f t="shared" si="245"/>
        <v>0</v>
      </c>
      <c r="FH152" s="6">
        <f>SUMIF('Eredeti fejléccel'!$B:$B,'Felosztás eredménykim'!$B152,'Eredeti fejléccel'!$CK:$CK)</f>
        <v>0</v>
      </c>
      <c r="FI152" s="36">
        <f t="shared" si="228"/>
        <v>0</v>
      </c>
      <c r="FJ152" s="101">
        <f t="shared" si="229"/>
        <v>0</v>
      </c>
      <c r="FK152" s="6">
        <f>SUMIF('Eredeti fejléccel'!$B:$B,'Felosztás eredménykim'!$B152,'Eredeti fejléccel'!$CM:$CM)</f>
        <v>0</v>
      </c>
      <c r="FL152" s="6">
        <f>SUMIF('Eredeti fejléccel'!$B:$B,'Felosztás eredménykim'!$B152,'Eredeti fejléccel'!$CN:$CN)</f>
        <v>0</v>
      </c>
      <c r="FM152" s="8">
        <f t="shared" si="246"/>
        <v>0</v>
      </c>
      <c r="FN152" s="36">
        <f t="shared" si="230"/>
        <v>0</v>
      </c>
      <c r="FO152" s="101">
        <f t="shared" si="231"/>
        <v>0</v>
      </c>
      <c r="FP152" s="6">
        <f>SUMIF('Eredeti fejléccel'!$B:$B,'Felosztás eredménykim'!$B152,'Eredeti fejléccel'!$CO:$CO)</f>
        <v>0</v>
      </c>
      <c r="FQ152" s="6">
        <f>'Eredeti fejléccel'!CP152</f>
        <v>0</v>
      </c>
      <c r="FR152" s="6">
        <f>'Eredeti fejléccel'!CQ152</f>
        <v>0</v>
      </c>
      <c r="FS152" s="103">
        <f t="shared" si="247"/>
        <v>0</v>
      </c>
      <c r="FT152" s="36">
        <f t="shared" si="232"/>
        <v>0</v>
      </c>
      <c r="FU152" s="101">
        <f t="shared" si="233"/>
        <v>0</v>
      </c>
      <c r="FV152" s="101"/>
      <c r="FW152" s="6">
        <f>SUMIF('Eredeti fejléccel'!$B:$B,'Felosztás eredménykim'!$B152,'Eredeti fejléccel'!$CR:$CR)</f>
        <v>0</v>
      </c>
      <c r="FX152" s="6">
        <f>SUMIF('Eredeti fejléccel'!$B:$B,'Felosztás eredménykim'!$B152,'Eredeti fejléccel'!$CS:$CS)</f>
        <v>0</v>
      </c>
      <c r="FY152" s="6">
        <f>SUMIF('Eredeti fejléccel'!$B:$B,'Felosztás eredménykim'!$B152,'Eredeti fejléccel'!$CT:$CT)</f>
        <v>0</v>
      </c>
      <c r="FZ152" s="6">
        <f>SUMIF('Eredeti fejléccel'!$B:$B,'Felosztás eredménykim'!$B152,'Eredeti fejléccel'!$CU:$CU)</f>
        <v>0</v>
      </c>
      <c r="GA152" s="103">
        <f t="shared" si="248"/>
        <v>0</v>
      </c>
      <c r="GB152" s="36">
        <f t="shared" si="234"/>
        <v>0</v>
      </c>
      <c r="GC152" s="101">
        <f t="shared" si="235"/>
        <v>0</v>
      </c>
      <c r="GD152" s="6">
        <f>SUMIF('Eredeti fejléccel'!$B:$B,'Felosztás eredménykim'!$B152,'Eredeti fejléccel'!$CV:$CV)</f>
        <v>0</v>
      </c>
      <c r="GE152" s="6">
        <f>SUMIF('Eredeti fejléccel'!$B:$B,'Felosztás eredménykim'!$B152,'Eredeti fejléccel'!$CW:$CW)</f>
        <v>0</v>
      </c>
      <c r="GF152" s="103">
        <f t="shared" si="249"/>
        <v>0</v>
      </c>
      <c r="GG152" s="36">
        <f t="shared" si="236"/>
        <v>0</v>
      </c>
      <c r="GM152" s="6">
        <f>SUMIF('Eredeti fejléccel'!$B:$B,'Felosztás eredménykim'!$B152,'Eredeti fejléccel'!$CX:$CX)</f>
        <v>0</v>
      </c>
      <c r="GN152" s="6">
        <f>SUMIF('Eredeti fejléccel'!$B:$B,'Felosztás eredménykim'!$B152,'Eredeti fejléccel'!$CY:$CY)</f>
        <v>0</v>
      </c>
      <c r="GO152" s="6">
        <f>SUMIF('Eredeti fejléccel'!$B:$B,'Felosztás eredménykim'!$B152,'Eredeti fejléccel'!$CZ:$CZ)</f>
        <v>0</v>
      </c>
      <c r="GP152" s="6">
        <f>SUMIF('Eredeti fejléccel'!$B:$B,'Felosztás eredménykim'!$B152,'Eredeti fejléccel'!$DA:$DA)</f>
        <v>0</v>
      </c>
      <c r="GQ152" s="6">
        <f>SUMIF('Eredeti fejléccel'!$B:$B,'Felosztás eredménykim'!$B152,'Eredeti fejléccel'!$DB:$DB)</f>
        <v>0</v>
      </c>
      <c r="GR152" s="103">
        <f t="shared" si="250"/>
        <v>0</v>
      </c>
      <c r="GW152" s="36">
        <f t="shared" si="237"/>
        <v>0</v>
      </c>
      <c r="GX152" s="6">
        <f>SUMIF('Eredeti fejléccel'!$B:$B,'Felosztás eredménykim'!$B152,'Eredeti fejléccel'!$M:$M)</f>
        <v>0</v>
      </c>
      <c r="GY152" s="6">
        <f>SUMIF('Eredeti fejléccel'!$B:$B,'Felosztás eredménykim'!$B152,'Eredeti fejléccel'!$DC:$DC)</f>
        <v>0</v>
      </c>
      <c r="GZ152" s="6">
        <f>SUMIF('Eredeti fejléccel'!$B:$B,'Felosztás eredménykim'!$B152,'Eredeti fejléccel'!$DD:$DD)</f>
        <v>0</v>
      </c>
      <c r="HA152" s="6">
        <f>SUMIF('Eredeti fejléccel'!$B:$B,'Felosztás eredménykim'!$B152,'Eredeti fejléccel'!$DE:$DE)</f>
        <v>0</v>
      </c>
      <c r="HB152" s="103">
        <f t="shared" si="251"/>
        <v>0</v>
      </c>
      <c r="HD152" s="9">
        <f t="shared" si="256"/>
        <v>0</v>
      </c>
      <c r="HE152" s="9"/>
      <c r="HF152" s="476"/>
      <c r="HH152" s="34">
        <f t="shared" si="252"/>
        <v>0</v>
      </c>
    </row>
    <row r="153" spans="1:218" x14ac:dyDescent="0.25">
      <c r="A153" s="4" t="s">
        <v>279</v>
      </c>
      <c r="B153" s="4" t="s">
        <v>279</v>
      </c>
      <c r="C153" s="1" t="s">
        <v>280</v>
      </c>
      <c r="D153" s="6">
        <f>SUMIF('Eredeti fejléccel'!$B:$B,'Felosztás eredménykim'!$B153,'Eredeti fejléccel'!$D:$D)</f>
        <v>0</v>
      </c>
      <c r="E153" s="6">
        <f>SUMIF('Eredeti fejléccel'!$B:$B,'Felosztás eredménykim'!$B153,'Eredeti fejléccel'!$E:$E)</f>
        <v>0</v>
      </c>
      <c r="F153" s="6">
        <f>SUMIF('Eredeti fejléccel'!$B:$B,'Felosztás eredménykim'!$B153,'Eredeti fejléccel'!$F:$F)</f>
        <v>0</v>
      </c>
      <c r="G153" s="6">
        <f>SUMIF('Eredeti fejléccel'!$B:$B,'Felosztás eredménykim'!$B153,'Eredeti fejléccel'!$G:$G)</f>
        <v>0</v>
      </c>
      <c r="H153" s="6"/>
      <c r="I153" s="6">
        <f>SUMIF('Eredeti fejléccel'!$B:$B,'Felosztás eredménykim'!$B153,'Eredeti fejléccel'!$O:$O)</f>
        <v>0</v>
      </c>
      <c r="J153" s="6">
        <f>SUMIF('Eredeti fejléccel'!$B:$B,'Felosztás eredménykim'!$B153,'Eredeti fejléccel'!$P:$P)</f>
        <v>0</v>
      </c>
      <c r="K153" s="6">
        <f>SUMIF('Eredeti fejléccel'!$B:$B,'Felosztás eredménykim'!$B153,'Eredeti fejléccel'!$Q:$Q)</f>
        <v>0</v>
      </c>
      <c r="L153" s="6">
        <f>SUMIF('Eredeti fejléccel'!$B:$B,'Felosztás eredménykim'!$B153,'Eredeti fejléccel'!$R:$R)</f>
        <v>0</v>
      </c>
      <c r="M153" s="6">
        <f>SUMIF('Eredeti fejléccel'!$B:$B,'Felosztás eredménykim'!$B153,'Eredeti fejléccel'!$T:$T)</f>
        <v>0</v>
      </c>
      <c r="N153" s="6">
        <f>SUMIF('Eredeti fejléccel'!$B:$B,'Felosztás eredménykim'!$B153,'Eredeti fejléccel'!$U:$U)</f>
        <v>0</v>
      </c>
      <c r="O153" s="6">
        <f>SUMIF('Eredeti fejléccel'!$B:$B,'Felosztás eredménykim'!$B153,'Eredeti fejléccel'!$V:$V)</f>
        <v>0</v>
      </c>
      <c r="P153" s="6">
        <f>SUMIF('Eredeti fejléccel'!$B:$B,'Felosztás eredménykim'!$B153,'Eredeti fejléccel'!$W:$W)</f>
        <v>0</v>
      </c>
      <c r="Q153" s="6">
        <f>SUMIF('Eredeti fejléccel'!$B:$B,'Felosztás eredménykim'!$B153,'Eredeti fejléccel'!$X:$X)</f>
        <v>0</v>
      </c>
      <c r="R153" s="6">
        <f>SUMIF('Eredeti fejléccel'!$B:$B,'Felosztás eredménykim'!$B153,'Eredeti fejléccel'!$Y:$Y)</f>
        <v>0</v>
      </c>
      <c r="S153" s="6">
        <f>SUMIF('Eredeti fejléccel'!$B:$B,'Felosztás eredménykim'!$B153,'Eredeti fejléccel'!$Z:$Z)</f>
        <v>0</v>
      </c>
      <c r="T153" s="6">
        <f>SUMIF('Eredeti fejléccel'!$B:$B,'Felosztás eredménykim'!$B153,'Eredeti fejléccel'!$AA:$AA)</f>
        <v>0</v>
      </c>
      <c r="U153" s="6">
        <f>SUMIF('Eredeti fejléccel'!$B:$B,'Felosztás eredménykim'!$B153,'Eredeti fejléccel'!$D:$D)</f>
        <v>0</v>
      </c>
      <c r="V153" s="6">
        <f>SUMIF('Eredeti fejléccel'!$B:$B,'Felosztás eredménykim'!$B153,'Eredeti fejléccel'!$AT:$AT)</f>
        <v>0</v>
      </c>
      <c r="X153" s="36">
        <f t="shared" si="211"/>
        <v>0</v>
      </c>
      <c r="Z153" s="6">
        <f>SUMIF('Eredeti fejléccel'!$B:$B,'Felosztás eredménykim'!$B153,'Eredeti fejléccel'!$K:$K)</f>
        <v>0</v>
      </c>
      <c r="AB153" s="6">
        <f>SUMIF('Eredeti fejléccel'!$B:$B,'Felosztás eredménykim'!$B153,'Eredeti fejléccel'!$AB:$AB)</f>
        <v>0</v>
      </c>
      <c r="AC153" s="6">
        <f>SUMIF('Eredeti fejléccel'!$B:$B,'Felosztás eredménykim'!$B153,'Eredeti fejléccel'!$AQ:$AQ)</f>
        <v>0</v>
      </c>
      <c r="AE153" s="73">
        <f t="shared" si="299"/>
        <v>0</v>
      </c>
      <c r="AF153" s="36">
        <f t="shared" si="212"/>
        <v>0</v>
      </c>
      <c r="AG153" s="8">
        <f t="shared" si="213"/>
        <v>0</v>
      </c>
      <c r="AI153" s="6">
        <f>SUMIF('Eredeti fejléccel'!$B:$B,'Felosztás eredménykim'!$B153,'Eredeti fejléccel'!$BB:$BB)</f>
        <v>0</v>
      </c>
      <c r="AJ153" s="6">
        <f>SUMIF('Eredeti fejléccel'!$B:$B,'Felosztás eredménykim'!$B153,'Eredeti fejléccel'!$AF:$AF)</f>
        <v>0</v>
      </c>
      <c r="AK153" s="8">
        <f t="shared" si="177"/>
        <v>0</v>
      </c>
      <c r="AL153" s="36">
        <f t="shared" si="214"/>
        <v>0</v>
      </c>
      <c r="AM153" s="8">
        <f t="shared" si="215"/>
        <v>0</v>
      </c>
      <c r="AN153" s="6">
        <f t="shared" si="291"/>
        <v>0</v>
      </c>
      <c r="AO153" s="6">
        <f>SUMIF('Eredeti fejléccel'!$B:$B,'Felosztás eredménykim'!$B153,'Eredeti fejléccel'!$AC:$AC)</f>
        <v>0</v>
      </c>
      <c r="AP153" s="6">
        <f>SUMIF('Eredeti fejléccel'!$B:$B,'Felosztás eredménykim'!$B153,'Eredeti fejléccel'!$AD:$AD)</f>
        <v>0</v>
      </c>
      <c r="AQ153" s="6">
        <f>SUMIF('Eredeti fejléccel'!$B:$B,'Felosztás eredménykim'!$B153,'Eredeti fejléccel'!$AE:$AE)</f>
        <v>0</v>
      </c>
      <c r="AR153" s="6">
        <f>SUMIF('Eredeti fejléccel'!$B:$B,'Felosztás eredménykim'!$B153,'Eredeti fejléccel'!$AG:$AG)</f>
        <v>0</v>
      </c>
      <c r="AS153" s="6">
        <f t="shared" si="292"/>
        <v>0</v>
      </c>
      <c r="AT153" s="36">
        <f t="shared" si="216"/>
        <v>0</v>
      </c>
      <c r="AU153" s="8">
        <f t="shared" si="217"/>
        <v>0</v>
      </c>
      <c r="AV153" s="6">
        <f>SUMIF('Eredeti fejléccel'!$B:$B,'Felosztás eredménykim'!$B153,'Eredeti fejléccel'!$AI:$AI)</f>
        <v>0</v>
      </c>
      <c r="AW153" s="6">
        <f>SUMIF('Eredeti fejléccel'!$B:$B,'Felosztás eredménykim'!$B153,'Eredeti fejléccel'!$AJ:$AJ)</f>
        <v>0</v>
      </c>
      <c r="AX153" s="6">
        <f>SUMIF('Eredeti fejléccel'!$B:$B,'Felosztás eredménykim'!$B153,'Eredeti fejléccel'!$AK:$AK)</f>
        <v>0</v>
      </c>
      <c r="AY153" s="6">
        <f>SUMIF('Eredeti fejléccel'!$B:$B,'Felosztás eredménykim'!$B153,'Eredeti fejléccel'!$AL:$AL)</f>
        <v>0</v>
      </c>
      <c r="AZ153" s="6">
        <f>SUMIF('Eredeti fejléccel'!$B:$B,'Felosztás eredménykim'!$B153,'Eredeti fejléccel'!$AM:$AM)</f>
        <v>0</v>
      </c>
      <c r="BA153" s="6">
        <f>SUMIF('Eredeti fejléccel'!$B:$B,'Felosztás eredménykim'!$B153,'Eredeti fejléccel'!$AN:$AN)</f>
        <v>0</v>
      </c>
      <c r="BB153" s="6">
        <f>SUMIF('Eredeti fejléccel'!$B:$B,'Felosztás eredménykim'!$B153,'Eredeti fejléccel'!$AP:$AP)</f>
        <v>0</v>
      </c>
      <c r="BD153" s="6">
        <f>SUMIF('Eredeti fejléccel'!$B:$B,'Felosztás eredménykim'!$B153,'Eredeti fejléccel'!$AS:$AS)</f>
        <v>0</v>
      </c>
      <c r="BE153" s="8">
        <f t="shared" si="238"/>
        <v>0</v>
      </c>
      <c r="BF153" s="36">
        <f t="shared" si="218"/>
        <v>0</v>
      </c>
      <c r="BG153" s="8">
        <f t="shared" si="219"/>
        <v>0</v>
      </c>
      <c r="BH153" s="6">
        <f t="shared" si="293"/>
        <v>0</v>
      </c>
      <c r="BI153" s="6">
        <f>SUMIF('Eredeti fejléccel'!$B:$B,'Felosztás eredménykim'!$B153,'Eredeti fejléccel'!$AH:$AH)</f>
        <v>0</v>
      </c>
      <c r="BJ153" s="6">
        <f>SUMIF('Eredeti fejléccel'!$B:$B,'Felosztás eredménykim'!$B153,'Eredeti fejléccel'!$AO:$AO)</f>
        <v>0</v>
      </c>
      <c r="BK153" s="6">
        <f>SUMIF('Eredeti fejléccel'!$B:$B,'Felosztás eredménykim'!$B153,'Eredeti fejléccel'!$BF:$BF)</f>
        <v>0</v>
      </c>
      <c r="BL153" s="8">
        <f t="shared" si="294"/>
        <v>0</v>
      </c>
      <c r="BM153" s="36">
        <f t="shared" si="220"/>
        <v>0</v>
      </c>
      <c r="BN153" s="8">
        <f t="shared" si="221"/>
        <v>0</v>
      </c>
      <c r="BP153" s="8">
        <f t="shared" si="295"/>
        <v>0</v>
      </c>
      <c r="BQ153" s="6">
        <f>SUMIF('Eredeti fejléccel'!$B:$B,'Felosztás eredménykim'!$B153,'Eredeti fejléccel'!$N:$N)</f>
        <v>0</v>
      </c>
      <c r="BR153" s="6">
        <f>SUMIF('Eredeti fejléccel'!$B:$B,'Felosztás eredménykim'!$B153,'Eredeti fejléccel'!$S:$S)</f>
        <v>0</v>
      </c>
      <c r="BT153" s="6">
        <f>SUMIF('Eredeti fejléccel'!$B:$B,'Felosztás eredménykim'!$B153,'Eredeti fejléccel'!$AR:$AR)</f>
        <v>0</v>
      </c>
      <c r="BU153" s="6">
        <f>SUMIF('Eredeti fejléccel'!$B:$B,'Felosztás eredménykim'!$B153,'Eredeti fejléccel'!$AU:$AU)</f>
        <v>0</v>
      </c>
      <c r="BV153" s="6">
        <f>SUMIF('Eredeti fejléccel'!$B:$B,'Felosztás eredménykim'!$B153,'Eredeti fejléccel'!$AV:$AV)</f>
        <v>0</v>
      </c>
      <c r="BW153" s="6">
        <f>SUMIF('Eredeti fejléccel'!$B:$B,'Felosztás eredménykim'!$B153,'Eredeti fejléccel'!$AW:$AW)</f>
        <v>0</v>
      </c>
      <c r="BX153" s="6">
        <f>SUMIF('Eredeti fejléccel'!$B:$B,'Felosztás eredménykim'!$B153,'Eredeti fejléccel'!$AX:$AX)</f>
        <v>0</v>
      </c>
      <c r="BY153" s="6">
        <f>SUMIF('Eredeti fejléccel'!$B:$B,'Felosztás eredménykim'!$B153,'Eredeti fejléccel'!$AY:$AY)</f>
        <v>0</v>
      </c>
      <c r="BZ153" s="6">
        <f>SUMIF('Eredeti fejléccel'!$B:$B,'Felosztás eredménykim'!$B153,'Eredeti fejléccel'!$AZ:$AZ)</f>
        <v>0</v>
      </c>
      <c r="CA153" s="6">
        <f>SUMIF('Eredeti fejléccel'!$B:$B,'Felosztás eredménykim'!$B153,'Eredeti fejléccel'!$BA:$BA)</f>
        <v>0</v>
      </c>
      <c r="CB153" s="6">
        <f t="shared" si="253"/>
        <v>0</v>
      </c>
      <c r="CC153" s="36">
        <f t="shared" si="222"/>
        <v>0</v>
      </c>
      <c r="CD153" s="8">
        <f t="shared" si="223"/>
        <v>0</v>
      </c>
      <c r="CE153" s="6">
        <f>SUMIF('Eredeti fejléccel'!$B:$B,'Felosztás eredménykim'!$B153,'Eredeti fejléccel'!$BC:$BC)</f>
        <v>0</v>
      </c>
      <c r="CF153" s="8">
        <f t="shared" ref="CF153:CF240" si="300">-CE153/2</f>
        <v>0</v>
      </c>
      <c r="CG153" s="6">
        <f>SUMIF('Eredeti fejléccel'!$B:$B,'Felosztás eredménykim'!$B153,'Eredeti fejléccel'!$H:$H)</f>
        <v>0</v>
      </c>
      <c r="CH153" s="6">
        <f>SUMIF('Eredeti fejléccel'!$B:$B,'Felosztás eredménykim'!$B153,'Eredeti fejléccel'!$BE:$BE)</f>
        <v>0</v>
      </c>
      <c r="CI153" s="6">
        <f t="shared" si="239"/>
        <v>0</v>
      </c>
      <c r="CJ153" s="36">
        <f t="shared" si="224"/>
        <v>0</v>
      </c>
      <c r="CK153" s="8">
        <f t="shared" si="225"/>
        <v>0</v>
      </c>
      <c r="CL153" s="8">
        <f t="shared" ref="CL153:CL240" si="301">CE153/2</f>
        <v>0</v>
      </c>
      <c r="CM153" s="6">
        <f>SUMIF('Eredeti fejléccel'!$B:$B,'Felosztás eredménykim'!$B153,'Eredeti fejléccel'!$BD:$BD)</f>
        <v>0</v>
      </c>
      <c r="CN153" s="8">
        <f t="shared" si="240"/>
        <v>0</v>
      </c>
      <c r="CO153" s="8">
        <f t="shared" si="254"/>
        <v>0</v>
      </c>
      <c r="CR153" s="36">
        <f t="shared" si="226"/>
        <v>0</v>
      </c>
      <c r="CS153" s="6">
        <f>SUMIF('Eredeti fejléccel'!$B:$B,'Felosztás eredménykim'!$B153,'Eredeti fejléccel'!$I:$I)</f>
        <v>0</v>
      </c>
      <c r="CT153" s="6">
        <f>SUMIF('Eredeti fejléccel'!$B:$B,'Felosztás eredménykim'!$B153,'Eredeti fejléccel'!$BG:$BG)</f>
        <v>0</v>
      </c>
      <c r="CU153" s="6">
        <f>SUMIF('Eredeti fejléccel'!$B:$B,'Felosztás eredménykim'!$B153,'Eredeti fejléccel'!$BH:$BH)</f>
        <v>0</v>
      </c>
      <c r="CV153" s="6">
        <f>SUMIF('Eredeti fejléccel'!$B:$B,'Felosztás eredménykim'!$B153,'Eredeti fejléccel'!$BI:$BI)</f>
        <v>0</v>
      </c>
      <c r="CW153" s="6">
        <f>SUMIF('Eredeti fejléccel'!$B:$B,'Felosztás eredménykim'!$B153,'Eredeti fejléccel'!$BL:$BL)</f>
        <v>0</v>
      </c>
      <c r="CX153" s="6">
        <f t="shared" si="241"/>
        <v>0</v>
      </c>
      <c r="CY153" s="6">
        <f>SUMIF('Eredeti fejléccel'!$B:$B,'Felosztás eredménykim'!$B153,'Eredeti fejléccel'!$BJ:$BJ)</f>
        <v>0</v>
      </c>
      <c r="CZ153" s="6">
        <f>SUMIF('Eredeti fejléccel'!$B:$B,'Felosztás eredménykim'!$B153,'Eredeti fejléccel'!$BK:$BK)</f>
        <v>0</v>
      </c>
      <c r="DA153" s="99">
        <f t="shared" si="242"/>
        <v>0</v>
      </c>
      <c r="DC153" s="36">
        <f t="shared" si="227"/>
        <v>0</v>
      </c>
      <c r="DD153" s="6">
        <f>SUMIF('Eredeti fejléccel'!$B:$B,'Felosztás eredménykim'!$B153,'Eredeti fejléccel'!$J:$J)</f>
        <v>0</v>
      </c>
      <c r="DE153" s="6">
        <f>SUMIF('Eredeti fejléccel'!$B:$B,'Felosztás eredménykim'!$B153,'Eredeti fejléccel'!$BM:$BM)</f>
        <v>0</v>
      </c>
      <c r="DF153" s="6">
        <f t="shared" si="296"/>
        <v>0</v>
      </c>
      <c r="DG153" s="8">
        <f t="shared" si="255"/>
        <v>0</v>
      </c>
      <c r="DH153" s="8">
        <f t="shared" si="297"/>
        <v>0</v>
      </c>
      <c r="DJ153" s="6">
        <f>SUMIF('Eredeti fejléccel'!$B:$B,'Felosztás eredménykim'!$B153,'Eredeti fejléccel'!$BN:$BN)</f>
        <v>0</v>
      </c>
      <c r="DK153" s="6">
        <f>SUMIF('Eredeti fejléccel'!$B:$B,'Felosztás eredménykim'!$B153,'Eredeti fejléccel'!$BZ:$BZ)</f>
        <v>0</v>
      </c>
      <c r="DL153" s="8">
        <f t="shared" si="298"/>
        <v>0</v>
      </c>
      <c r="DM153" s="6">
        <f>SUMIF('Eredeti fejléccel'!$B:$B,'Felosztás eredménykim'!$B153,'Eredeti fejléccel'!$BR:$BR)</f>
        <v>0</v>
      </c>
      <c r="DN153" s="6">
        <f>SUMIF('Eredeti fejléccel'!$B:$B,'Felosztás eredménykim'!$B153,'Eredeti fejléccel'!$BS:$BS)</f>
        <v>0</v>
      </c>
      <c r="DO153" s="6">
        <f>SUMIF('Eredeti fejléccel'!$B:$B,'Felosztás eredménykim'!$B153,'Eredeti fejléccel'!$BO:$BO)</f>
        <v>0</v>
      </c>
      <c r="DP153" s="6">
        <f>SUMIF('Eredeti fejléccel'!$B:$B,'Felosztás eredménykim'!$B153,'Eredeti fejléccel'!$BP:$BP)</f>
        <v>0</v>
      </c>
      <c r="DQ153" s="6">
        <f>SUMIF('Eredeti fejléccel'!$B:$B,'Felosztás eredménykim'!$B153,'Eredeti fejléccel'!$BQ:$BQ)</f>
        <v>0</v>
      </c>
      <c r="DS153" s="8"/>
      <c r="DU153" s="6">
        <f>SUMIF('Eredeti fejléccel'!$B:$B,'Felosztás eredménykim'!$B153,'Eredeti fejléccel'!$BT:$BT)</f>
        <v>0</v>
      </c>
      <c r="DV153" s="6">
        <f>SUMIF('Eredeti fejléccel'!$B:$B,'Felosztás eredménykim'!$B153,'Eredeti fejléccel'!$BU:$BU)</f>
        <v>0</v>
      </c>
      <c r="DW153" s="6">
        <f>SUMIF('Eredeti fejléccel'!$B:$B,'Felosztás eredménykim'!$B153,'Eredeti fejléccel'!$BV:$BV)</f>
        <v>0</v>
      </c>
      <c r="DX153" s="6">
        <f>SUMIF('Eredeti fejléccel'!$B:$B,'Felosztás eredménykim'!$B153,'Eredeti fejléccel'!$BW:$BW)</f>
        <v>0</v>
      </c>
      <c r="DY153" s="6">
        <f>SUMIF('Eredeti fejléccel'!$B:$B,'Felosztás eredménykim'!$B153,'Eredeti fejléccel'!$BX:$BX)</f>
        <v>0</v>
      </c>
      <c r="EA153" s="6"/>
      <c r="EC153" s="6"/>
      <c r="EE153" s="6">
        <f>SUMIF('Eredeti fejléccel'!$B:$B,'Felosztás eredménykim'!$B153,'Eredeti fejléccel'!$CA:$CA)</f>
        <v>0</v>
      </c>
      <c r="EF153" s="6">
        <f>SUMIF('Eredeti fejléccel'!$B:$B,'Felosztás eredménykim'!$B153,'Eredeti fejléccel'!$CB:$CB)</f>
        <v>0</v>
      </c>
      <c r="EG153" s="6">
        <f>SUMIF('Eredeti fejléccel'!$B:$B,'Felosztás eredménykim'!$B153,'Eredeti fejléccel'!$CC:$CC)</f>
        <v>0</v>
      </c>
      <c r="EH153" s="6">
        <f>SUMIF('Eredeti fejléccel'!$B:$B,'Felosztás eredménykim'!$B153,'Eredeti fejléccel'!$CD:$CD)</f>
        <v>0</v>
      </c>
      <c r="EK153" s="6">
        <f>SUMIF('Eredeti fejléccel'!$B:$B,'Felosztás eredménykim'!$B153,'Eredeti fejléccel'!$CE:$CE)</f>
        <v>0</v>
      </c>
      <c r="EN153" s="6">
        <f>SUMIF('Eredeti fejléccel'!$B:$B,'Felosztás eredménykim'!$B153,'Eredeti fejléccel'!$CF:$CF)</f>
        <v>0</v>
      </c>
      <c r="EP153" s="6">
        <f>SUMIF('Eredeti fejléccel'!$B:$B,'Felosztás eredménykim'!$B153,'Eredeti fejléccel'!$CG:$CG)</f>
        <v>0</v>
      </c>
      <c r="ES153" s="6">
        <f>SUMIF('Eredeti fejléccel'!$B:$B,'Felosztás eredménykim'!$B153,'Eredeti fejléccel'!$CH:$CH)</f>
        <v>0</v>
      </c>
      <c r="ET153" s="6">
        <f>SUMIF('Eredeti fejléccel'!$B:$B,'Felosztás eredménykim'!$B153,'Eredeti fejléccel'!$CI:$CI)</f>
        <v>0</v>
      </c>
      <c r="EW153" s="8">
        <f t="shared" si="288"/>
        <v>0</v>
      </c>
      <c r="EX153" s="8">
        <f t="shared" si="243"/>
        <v>0</v>
      </c>
      <c r="EY153" s="8">
        <f t="shared" si="244"/>
        <v>0</v>
      </c>
      <c r="EZ153" s="8">
        <f t="shared" si="289"/>
        <v>0</v>
      </c>
      <c r="FA153" s="8">
        <f t="shared" si="290"/>
        <v>0</v>
      </c>
      <c r="FC153" s="6">
        <f>SUMIF('Eredeti fejléccel'!$B:$B,'Felosztás eredménykim'!$B153,'Eredeti fejléccel'!$L:$L)</f>
        <v>0</v>
      </c>
      <c r="FD153" s="6">
        <f>SUMIF('Eredeti fejléccel'!$B:$B,'Felosztás eredménykim'!$B153,'Eredeti fejléccel'!$CJ:$CJ)</f>
        <v>0</v>
      </c>
      <c r="FE153" s="6">
        <f>SUMIF('Eredeti fejléccel'!$B:$B,'Felosztás eredménykim'!$B153,'Eredeti fejléccel'!$CL:$CL)</f>
        <v>0</v>
      </c>
      <c r="FG153" s="99">
        <f t="shared" si="245"/>
        <v>0</v>
      </c>
      <c r="FH153" s="6">
        <f>SUMIF('Eredeti fejléccel'!$B:$B,'Felosztás eredménykim'!$B153,'Eredeti fejléccel'!$CK:$CK)</f>
        <v>0</v>
      </c>
      <c r="FI153" s="36">
        <f t="shared" si="228"/>
        <v>0</v>
      </c>
      <c r="FJ153" s="101">
        <f t="shared" si="229"/>
        <v>0</v>
      </c>
      <c r="FK153" s="6">
        <f>SUMIF('Eredeti fejléccel'!$B:$B,'Felosztás eredménykim'!$B153,'Eredeti fejléccel'!$CM:$CM)</f>
        <v>0</v>
      </c>
      <c r="FL153" s="6">
        <f>SUMIF('Eredeti fejléccel'!$B:$B,'Felosztás eredménykim'!$B153,'Eredeti fejléccel'!$CN:$CN)</f>
        <v>0</v>
      </c>
      <c r="FM153" s="8">
        <f t="shared" si="246"/>
        <v>0</v>
      </c>
      <c r="FN153" s="36">
        <f t="shared" si="230"/>
        <v>0</v>
      </c>
      <c r="FO153" s="101">
        <f t="shared" si="231"/>
        <v>0</v>
      </c>
      <c r="FP153" s="6">
        <f>SUMIF('Eredeti fejléccel'!$B:$B,'Felosztás eredménykim'!$B153,'Eredeti fejléccel'!$CO:$CO)</f>
        <v>0</v>
      </c>
      <c r="FQ153" s="6">
        <f>'Eredeti fejléccel'!CP153</f>
        <v>0</v>
      </c>
      <c r="FR153" s="6">
        <f>'Eredeti fejléccel'!CQ153</f>
        <v>0</v>
      </c>
      <c r="FS153" s="103">
        <f t="shared" si="247"/>
        <v>0</v>
      </c>
      <c r="FT153" s="36">
        <f t="shared" si="232"/>
        <v>0</v>
      </c>
      <c r="FU153" s="101">
        <f t="shared" si="233"/>
        <v>0</v>
      </c>
      <c r="FV153" s="101"/>
      <c r="FW153" s="6">
        <f>SUMIF('Eredeti fejléccel'!$B:$B,'Felosztás eredménykim'!$B153,'Eredeti fejléccel'!$CR:$CR)</f>
        <v>0</v>
      </c>
      <c r="FX153" s="6">
        <f>SUMIF('Eredeti fejléccel'!$B:$B,'Felosztás eredménykim'!$B153,'Eredeti fejléccel'!$CS:$CS)</f>
        <v>0</v>
      </c>
      <c r="FY153" s="6">
        <f>SUMIF('Eredeti fejléccel'!$B:$B,'Felosztás eredménykim'!$B153,'Eredeti fejléccel'!$CT:$CT)</f>
        <v>0</v>
      </c>
      <c r="FZ153" s="6">
        <f>SUMIF('Eredeti fejléccel'!$B:$B,'Felosztás eredménykim'!$B153,'Eredeti fejléccel'!$CU:$CU)</f>
        <v>0</v>
      </c>
      <c r="GA153" s="103">
        <f t="shared" si="248"/>
        <v>0</v>
      </c>
      <c r="GB153" s="36">
        <f t="shared" si="234"/>
        <v>0</v>
      </c>
      <c r="GC153" s="101">
        <f t="shared" si="235"/>
        <v>0</v>
      </c>
      <c r="GD153" s="6">
        <f>SUMIF('Eredeti fejléccel'!$B:$B,'Felosztás eredménykim'!$B153,'Eredeti fejléccel'!$CV:$CV)</f>
        <v>0</v>
      </c>
      <c r="GE153" s="6">
        <f>SUMIF('Eredeti fejléccel'!$B:$B,'Felosztás eredménykim'!$B153,'Eredeti fejléccel'!$CW:$CW)</f>
        <v>0</v>
      </c>
      <c r="GF153" s="103">
        <f t="shared" si="249"/>
        <v>0</v>
      </c>
      <c r="GG153" s="36">
        <f t="shared" si="236"/>
        <v>0</v>
      </c>
      <c r="GM153" s="6">
        <f>SUMIF('Eredeti fejléccel'!$B:$B,'Felosztás eredménykim'!$B153,'Eredeti fejléccel'!$CX:$CX)</f>
        <v>0</v>
      </c>
      <c r="GN153" s="6">
        <f>SUMIF('Eredeti fejléccel'!$B:$B,'Felosztás eredménykim'!$B153,'Eredeti fejléccel'!$CY:$CY)</f>
        <v>0</v>
      </c>
      <c r="GO153" s="6">
        <f>SUMIF('Eredeti fejléccel'!$B:$B,'Felosztás eredménykim'!$B153,'Eredeti fejléccel'!$CZ:$CZ)</f>
        <v>0</v>
      </c>
      <c r="GP153" s="6">
        <f>SUMIF('Eredeti fejléccel'!$B:$B,'Felosztás eredménykim'!$B153,'Eredeti fejléccel'!$DA:$DA)</f>
        <v>0</v>
      </c>
      <c r="GQ153" s="6">
        <f>SUMIF('Eredeti fejléccel'!$B:$B,'Felosztás eredménykim'!$B153,'Eredeti fejléccel'!$DB:$DB)</f>
        <v>0</v>
      </c>
      <c r="GR153" s="103">
        <f t="shared" si="250"/>
        <v>0</v>
      </c>
      <c r="GW153" s="36">
        <f t="shared" si="237"/>
        <v>0</v>
      </c>
      <c r="GX153" s="6">
        <f>SUMIF('Eredeti fejléccel'!$B:$B,'Felosztás eredménykim'!$B153,'Eredeti fejléccel'!$M:$M)</f>
        <v>0</v>
      </c>
      <c r="GY153" s="6">
        <f>SUMIF('Eredeti fejléccel'!$B:$B,'Felosztás eredménykim'!$B153,'Eredeti fejléccel'!$DC:$DC)</f>
        <v>0</v>
      </c>
      <c r="GZ153" s="6">
        <f>SUMIF('Eredeti fejléccel'!$B:$B,'Felosztás eredménykim'!$B153,'Eredeti fejléccel'!$DD:$DD)</f>
        <v>0</v>
      </c>
      <c r="HA153" s="6">
        <f>SUMIF('Eredeti fejléccel'!$B:$B,'Felosztás eredménykim'!$B153,'Eredeti fejléccel'!$DE:$DE)</f>
        <v>0</v>
      </c>
      <c r="HB153" s="103">
        <f t="shared" si="251"/>
        <v>0</v>
      </c>
      <c r="HD153" s="9">
        <f t="shared" si="256"/>
        <v>0</v>
      </c>
      <c r="HE153" s="9"/>
      <c r="HF153" s="476"/>
      <c r="HH153" s="34">
        <f t="shared" si="252"/>
        <v>0</v>
      </c>
    </row>
    <row r="154" spans="1:218" x14ac:dyDescent="0.25">
      <c r="A154" s="4" t="s">
        <v>281</v>
      </c>
      <c r="B154" s="4" t="s">
        <v>281</v>
      </c>
      <c r="C154" s="1" t="s">
        <v>282</v>
      </c>
      <c r="D154" s="6">
        <f>SUMIF('Eredeti fejléccel'!$B:$B,'Felosztás eredménykim'!$B154,'Eredeti fejléccel'!$D:$D)</f>
        <v>0</v>
      </c>
      <c r="E154" s="6">
        <f>SUMIF('Eredeti fejléccel'!$B:$B,'Felosztás eredménykim'!$B154,'Eredeti fejléccel'!$E:$E)</f>
        <v>0</v>
      </c>
      <c r="F154" s="6">
        <f>SUMIF('Eredeti fejléccel'!$B:$B,'Felosztás eredménykim'!$B154,'Eredeti fejléccel'!$F:$F)</f>
        <v>0</v>
      </c>
      <c r="G154" s="6">
        <f>SUMIF('Eredeti fejléccel'!$B:$B,'Felosztás eredménykim'!$B154,'Eredeti fejléccel'!$G:$G)</f>
        <v>0</v>
      </c>
      <c r="H154" s="6"/>
      <c r="I154" s="6">
        <f>SUMIF('Eredeti fejléccel'!$B:$B,'Felosztás eredménykim'!$B154,'Eredeti fejléccel'!$O:$O)</f>
        <v>0</v>
      </c>
      <c r="J154" s="6">
        <f>SUMIF('Eredeti fejléccel'!$B:$B,'Felosztás eredménykim'!$B154,'Eredeti fejléccel'!$P:$P)</f>
        <v>0</v>
      </c>
      <c r="K154" s="6">
        <f>SUMIF('Eredeti fejléccel'!$B:$B,'Felosztás eredménykim'!$B154,'Eredeti fejléccel'!$Q:$Q)</f>
        <v>0</v>
      </c>
      <c r="L154" s="6">
        <f>SUMIF('Eredeti fejléccel'!$B:$B,'Felosztás eredménykim'!$B154,'Eredeti fejléccel'!$R:$R)</f>
        <v>0</v>
      </c>
      <c r="M154" s="6">
        <f>SUMIF('Eredeti fejléccel'!$B:$B,'Felosztás eredménykim'!$B154,'Eredeti fejléccel'!$T:$T)</f>
        <v>0</v>
      </c>
      <c r="N154" s="6">
        <f>SUMIF('Eredeti fejléccel'!$B:$B,'Felosztás eredménykim'!$B154,'Eredeti fejléccel'!$U:$U)</f>
        <v>0</v>
      </c>
      <c r="O154" s="6">
        <f>SUMIF('Eredeti fejléccel'!$B:$B,'Felosztás eredménykim'!$B154,'Eredeti fejléccel'!$V:$V)</f>
        <v>0</v>
      </c>
      <c r="P154" s="6">
        <f>SUMIF('Eredeti fejléccel'!$B:$B,'Felosztás eredménykim'!$B154,'Eredeti fejléccel'!$W:$W)</f>
        <v>0</v>
      </c>
      <c r="Q154" s="6">
        <f>SUMIF('Eredeti fejléccel'!$B:$B,'Felosztás eredménykim'!$B154,'Eredeti fejléccel'!$X:$X)</f>
        <v>0</v>
      </c>
      <c r="R154" s="6">
        <f>SUMIF('Eredeti fejléccel'!$B:$B,'Felosztás eredménykim'!$B154,'Eredeti fejléccel'!$Y:$Y)</f>
        <v>0</v>
      </c>
      <c r="S154" s="6">
        <f>SUMIF('Eredeti fejléccel'!$B:$B,'Felosztás eredménykim'!$B154,'Eredeti fejléccel'!$Z:$Z)</f>
        <v>0</v>
      </c>
      <c r="T154" s="6">
        <f>SUMIF('Eredeti fejléccel'!$B:$B,'Felosztás eredménykim'!$B154,'Eredeti fejléccel'!$AA:$AA)</f>
        <v>0</v>
      </c>
      <c r="U154" s="6">
        <f>SUMIF('Eredeti fejléccel'!$B:$B,'Felosztás eredménykim'!$B154,'Eredeti fejléccel'!$D:$D)</f>
        <v>0</v>
      </c>
      <c r="V154" s="6">
        <f>SUMIF('Eredeti fejléccel'!$B:$B,'Felosztás eredménykim'!$B154,'Eredeti fejléccel'!$AT:$AT)</f>
        <v>0</v>
      </c>
      <c r="X154" s="36">
        <f t="shared" si="211"/>
        <v>0</v>
      </c>
      <c r="Z154" s="6">
        <f>SUMIF('Eredeti fejléccel'!$B:$B,'Felosztás eredménykim'!$B154,'Eredeti fejléccel'!$K:$K)</f>
        <v>0</v>
      </c>
      <c r="AB154" s="6">
        <f>SUMIF('Eredeti fejléccel'!$B:$B,'Felosztás eredménykim'!$B154,'Eredeti fejléccel'!$AB:$AB)</f>
        <v>0</v>
      </c>
      <c r="AC154" s="6">
        <f>SUMIF('Eredeti fejléccel'!$B:$B,'Felosztás eredménykim'!$B154,'Eredeti fejléccel'!$AQ:$AQ)</f>
        <v>0</v>
      </c>
      <c r="AE154" s="73">
        <f t="shared" si="299"/>
        <v>0</v>
      </c>
      <c r="AF154" s="36">
        <f t="shared" si="212"/>
        <v>0</v>
      </c>
      <c r="AG154" s="8">
        <f t="shared" si="213"/>
        <v>0</v>
      </c>
      <c r="AI154" s="6">
        <f>SUMIF('Eredeti fejléccel'!$B:$B,'Felosztás eredménykim'!$B154,'Eredeti fejléccel'!$BB:$BB)</f>
        <v>0</v>
      </c>
      <c r="AJ154" s="6">
        <f>SUMIF('Eredeti fejléccel'!$B:$B,'Felosztás eredménykim'!$B154,'Eredeti fejléccel'!$AF:$AF)</f>
        <v>0</v>
      </c>
      <c r="AK154" s="8">
        <f t="shared" si="177"/>
        <v>0</v>
      </c>
      <c r="AL154" s="36">
        <f t="shared" si="214"/>
        <v>0</v>
      </c>
      <c r="AM154" s="8">
        <f t="shared" si="215"/>
        <v>0</v>
      </c>
      <c r="AN154" s="6">
        <f t="shared" si="291"/>
        <v>0</v>
      </c>
      <c r="AO154" s="6">
        <f>SUMIF('Eredeti fejléccel'!$B:$B,'Felosztás eredménykim'!$B154,'Eredeti fejléccel'!$AC:$AC)</f>
        <v>0</v>
      </c>
      <c r="AP154" s="6">
        <f>SUMIF('Eredeti fejléccel'!$B:$B,'Felosztás eredménykim'!$B154,'Eredeti fejléccel'!$AD:$AD)</f>
        <v>0</v>
      </c>
      <c r="AQ154" s="6">
        <f>SUMIF('Eredeti fejléccel'!$B:$B,'Felosztás eredménykim'!$B154,'Eredeti fejléccel'!$AE:$AE)</f>
        <v>0</v>
      </c>
      <c r="AR154" s="6">
        <f>SUMIF('Eredeti fejléccel'!$B:$B,'Felosztás eredménykim'!$B154,'Eredeti fejléccel'!$AG:$AG)</f>
        <v>0</v>
      </c>
      <c r="AS154" s="6">
        <f t="shared" si="292"/>
        <v>0</v>
      </c>
      <c r="AT154" s="36">
        <f t="shared" si="216"/>
        <v>0</v>
      </c>
      <c r="AU154" s="8">
        <f t="shared" si="217"/>
        <v>0</v>
      </c>
      <c r="AV154" s="6">
        <f>SUMIF('Eredeti fejléccel'!$B:$B,'Felosztás eredménykim'!$B154,'Eredeti fejléccel'!$AI:$AI)</f>
        <v>0</v>
      </c>
      <c r="AW154" s="6">
        <f>SUMIF('Eredeti fejléccel'!$B:$B,'Felosztás eredménykim'!$B154,'Eredeti fejléccel'!$AJ:$AJ)</f>
        <v>0</v>
      </c>
      <c r="AX154" s="6">
        <f>SUMIF('Eredeti fejléccel'!$B:$B,'Felosztás eredménykim'!$B154,'Eredeti fejléccel'!$AK:$AK)</f>
        <v>0</v>
      </c>
      <c r="AY154" s="6">
        <f>SUMIF('Eredeti fejléccel'!$B:$B,'Felosztás eredménykim'!$B154,'Eredeti fejléccel'!$AL:$AL)</f>
        <v>0</v>
      </c>
      <c r="AZ154" s="6">
        <f>SUMIF('Eredeti fejléccel'!$B:$B,'Felosztás eredménykim'!$B154,'Eredeti fejléccel'!$AM:$AM)</f>
        <v>0</v>
      </c>
      <c r="BA154" s="6">
        <f>SUMIF('Eredeti fejléccel'!$B:$B,'Felosztás eredménykim'!$B154,'Eredeti fejléccel'!$AN:$AN)</f>
        <v>0</v>
      </c>
      <c r="BB154" s="6">
        <f>SUMIF('Eredeti fejléccel'!$B:$B,'Felosztás eredménykim'!$B154,'Eredeti fejléccel'!$AP:$AP)</f>
        <v>0</v>
      </c>
      <c r="BD154" s="6">
        <f>SUMIF('Eredeti fejléccel'!$B:$B,'Felosztás eredménykim'!$B154,'Eredeti fejléccel'!$AS:$AS)</f>
        <v>0</v>
      </c>
      <c r="BE154" s="8">
        <f t="shared" si="238"/>
        <v>0</v>
      </c>
      <c r="BF154" s="36">
        <f t="shared" si="218"/>
        <v>0</v>
      </c>
      <c r="BG154" s="8">
        <f t="shared" si="219"/>
        <v>0</v>
      </c>
      <c r="BH154" s="6">
        <f t="shared" si="293"/>
        <v>0</v>
      </c>
      <c r="BI154" s="6">
        <f>SUMIF('Eredeti fejléccel'!$B:$B,'Felosztás eredménykim'!$B154,'Eredeti fejléccel'!$AH:$AH)</f>
        <v>0</v>
      </c>
      <c r="BJ154" s="6">
        <f>SUMIF('Eredeti fejléccel'!$B:$B,'Felosztás eredménykim'!$B154,'Eredeti fejléccel'!$AO:$AO)</f>
        <v>0</v>
      </c>
      <c r="BK154" s="6">
        <f>SUMIF('Eredeti fejléccel'!$B:$B,'Felosztás eredménykim'!$B154,'Eredeti fejléccel'!$BF:$BF)</f>
        <v>0</v>
      </c>
      <c r="BL154" s="8">
        <f t="shared" si="294"/>
        <v>0</v>
      </c>
      <c r="BM154" s="36">
        <f t="shared" si="220"/>
        <v>0</v>
      </c>
      <c r="BN154" s="8">
        <f t="shared" si="221"/>
        <v>0</v>
      </c>
      <c r="BP154" s="8">
        <f t="shared" si="295"/>
        <v>0</v>
      </c>
      <c r="BQ154" s="6">
        <f>SUMIF('Eredeti fejléccel'!$B:$B,'Felosztás eredménykim'!$B154,'Eredeti fejléccel'!$N:$N)</f>
        <v>0</v>
      </c>
      <c r="BR154" s="6">
        <f>SUMIF('Eredeti fejléccel'!$B:$B,'Felosztás eredménykim'!$B154,'Eredeti fejléccel'!$S:$S)</f>
        <v>0</v>
      </c>
      <c r="BT154" s="6">
        <f>SUMIF('Eredeti fejléccel'!$B:$B,'Felosztás eredménykim'!$B154,'Eredeti fejléccel'!$AR:$AR)</f>
        <v>0</v>
      </c>
      <c r="BU154" s="6">
        <f>SUMIF('Eredeti fejléccel'!$B:$B,'Felosztás eredménykim'!$B154,'Eredeti fejléccel'!$AU:$AU)</f>
        <v>0</v>
      </c>
      <c r="BV154" s="6">
        <f>SUMIF('Eredeti fejléccel'!$B:$B,'Felosztás eredménykim'!$B154,'Eredeti fejléccel'!$AV:$AV)</f>
        <v>0</v>
      </c>
      <c r="BW154" s="6">
        <f>SUMIF('Eredeti fejléccel'!$B:$B,'Felosztás eredménykim'!$B154,'Eredeti fejléccel'!$AW:$AW)</f>
        <v>0</v>
      </c>
      <c r="BX154" s="6">
        <f>SUMIF('Eredeti fejléccel'!$B:$B,'Felosztás eredménykim'!$B154,'Eredeti fejléccel'!$AX:$AX)</f>
        <v>0</v>
      </c>
      <c r="BY154" s="6">
        <f>SUMIF('Eredeti fejléccel'!$B:$B,'Felosztás eredménykim'!$B154,'Eredeti fejléccel'!$AY:$AY)</f>
        <v>0</v>
      </c>
      <c r="BZ154" s="6">
        <f>SUMIF('Eredeti fejléccel'!$B:$B,'Felosztás eredménykim'!$B154,'Eredeti fejléccel'!$AZ:$AZ)</f>
        <v>0</v>
      </c>
      <c r="CA154" s="6">
        <f>SUMIF('Eredeti fejléccel'!$B:$B,'Felosztás eredménykim'!$B154,'Eredeti fejléccel'!$BA:$BA)</f>
        <v>0</v>
      </c>
      <c r="CB154" s="6">
        <f t="shared" si="253"/>
        <v>0</v>
      </c>
      <c r="CC154" s="36">
        <f t="shared" si="222"/>
        <v>0</v>
      </c>
      <c r="CD154" s="8">
        <f t="shared" si="223"/>
        <v>0</v>
      </c>
      <c r="CE154" s="6">
        <f>SUMIF('Eredeti fejléccel'!$B:$B,'Felosztás eredménykim'!$B154,'Eredeti fejléccel'!$BC:$BC)</f>
        <v>0</v>
      </c>
      <c r="CF154" s="8">
        <f t="shared" si="300"/>
        <v>0</v>
      </c>
      <c r="CG154" s="6">
        <f>SUMIF('Eredeti fejléccel'!$B:$B,'Felosztás eredménykim'!$B154,'Eredeti fejléccel'!$H:$H)</f>
        <v>0</v>
      </c>
      <c r="CH154" s="6">
        <f>SUMIF('Eredeti fejléccel'!$B:$B,'Felosztás eredménykim'!$B154,'Eredeti fejléccel'!$BE:$BE)</f>
        <v>0</v>
      </c>
      <c r="CI154" s="6">
        <f t="shared" si="239"/>
        <v>0</v>
      </c>
      <c r="CJ154" s="36">
        <f t="shared" si="224"/>
        <v>0</v>
      </c>
      <c r="CK154" s="8">
        <f t="shared" si="225"/>
        <v>0</v>
      </c>
      <c r="CL154" s="8">
        <f t="shared" si="301"/>
        <v>0</v>
      </c>
      <c r="CM154" s="6">
        <f>SUMIF('Eredeti fejléccel'!$B:$B,'Felosztás eredménykim'!$B154,'Eredeti fejléccel'!$BD:$BD)</f>
        <v>0</v>
      </c>
      <c r="CN154" s="8">
        <f t="shared" si="240"/>
        <v>0</v>
      </c>
      <c r="CO154" s="8">
        <f t="shared" si="254"/>
        <v>0</v>
      </c>
      <c r="CR154" s="36">
        <f t="shared" si="226"/>
        <v>0</v>
      </c>
      <c r="CS154" s="6">
        <f>SUMIF('Eredeti fejléccel'!$B:$B,'Felosztás eredménykim'!$B154,'Eredeti fejléccel'!$I:$I)</f>
        <v>0</v>
      </c>
      <c r="CT154" s="6">
        <f>SUMIF('Eredeti fejléccel'!$B:$B,'Felosztás eredménykim'!$B154,'Eredeti fejléccel'!$BG:$BG)</f>
        <v>0</v>
      </c>
      <c r="CU154" s="6">
        <f>SUMIF('Eredeti fejléccel'!$B:$B,'Felosztás eredménykim'!$B154,'Eredeti fejléccel'!$BH:$BH)</f>
        <v>0</v>
      </c>
      <c r="CV154" s="6">
        <f>SUMIF('Eredeti fejléccel'!$B:$B,'Felosztás eredménykim'!$B154,'Eredeti fejléccel'!$BI:$BI)</f>
        <v>0</v>
      </c>
      <c r="CW154" s="6">
        <f>SUMIF('Eredeti fejléccel'!$B:$B,'Felosztás eredménykim'!$B154,'Eredeti fejléccel'!$BL:$BL)</f>
        <v>0</v>
      </c>
      <c r="CX154" s="6">
        <f t="shared" si="241"/>
        <v>0</v>
      </c>
      <c r="CY154" s="6">
        <f>SUMIF('Eredeti fejléccel'!$B:$B,'Felosztás eredménykim'!$B154,'Eredeti fejléccel'!$BJ:$BJ)</f>
        <v>0</v>
      </c>
      <c r="CZ154" s="6">
        <f>SUMIF('Eredeti fejléccel'!$B:$B,'Felosztás eredménykim'!$B154,'Eredeti fejléccel'!$BK:$BK)</f>
        <v>0</v>
      </c>
      <c r="DA154" s="99">
        <f t="shared" si="242"/>
        <v>0</v>
      </c>
      <c r="DC154" s="36">
        <f t="shared" si="227"/>
        <v>0</v>
      </c>
      <c r="DD154" s="6">
        <f>SUMIF('Eredeti fejléccel'!$B:$B,'Felosztás eredménykim'!$B154,'Eredeti fejléccel'!$J:$J)</f>
        <v>0</v>
      </c>
      <c r="DE154" s="6">
        <f>SUMIF('Eredeti fejléccel'!$B:$B,'Felosztás eredménykim'!$B154,'Eredeti fejléccel'!$BM:$BM)</f>
        <v>0</v>
      </c>
      <c r="DF154" s="6">
        <f t="shared" si="296"/>
        <v>0</v>
      </c>
      <c r="DG154" s="8">
        <f t="shared" si="255"/>
        <v>0</v>
      </c>
      <c r="DH154" s="8">
        <f t="shared" si="297"/>
        <v>0</v>
      </c>
      <c r="DJ154" s="6">
        <f>SUMIF('Eredeti fejléccel'!$B:$B,'Felosztás eredménykim'!$B154,'Eredeti fejléccel'!$BN:$BN)</f>
        <v>0</v>
      </c>
      <c r="DK154" s="6">
        <f>SUMIF('Eredeti fejléccel'!$B:$B,'Felosztás eredménykim'!$B154,'Eredeti fejléccel'!$BZ:$BZ)</f>
        <v>0</v>
      </c>
      <c r="DL154" s="8">
        <f t="shared" si="298"/>
        <v>0</v>
      </c>
      <c r="DM154" s="6">
        <f>SUMIF('Eredeti fejléccel'!$B:$B,'Felosztás eredménykim'!$B154,'Eredeti fejléccel'!$BR:$BR)</f>
        <v>0</v>
      </c>
      <c r="DN154" s="6">
        <f>SUMIF('Eredeti fejléccel'!$B:$B,'Felosztás eredménykim'!$B154,'Eredeti fejléccel'!$BS:$BS)</f>
        <v>0</v>
      </c>
      <c r="DO154" s="6">
        <f>SUMIF('Eredeti fejléccel'!$B:$B,'Felosztás eredménykim'!$B154,'Eredeti fejléccel'!$BO:$BO)</f>
        <v>0</v>
      </c>
      <c r="DP154" s="6">
        <f>SUMIF('Eredeti fejléccel'!$B:$B,'Felosztás eredménykim'!$B154,'Eredeti fejléccel'!$BP:$BP)</f>
        <v>0</v>
      </c>
      <c r="DQ154" s="6">
        <f>SUMIF('Eredeti fejléccel'!$B:$B,'Felosztás eredménykim'!$B154,'Eredeti fejléccel'!$BQ:$BQ)</f>
        <v>0</v>
      </c>
      <c r="DS154" s="8"/>
      <c r="DU154" s="6">
        <f>SUMIF('Eredeti fejléccel'!$B:$B,'Felosztás eredménykim'!$B154,'Eredeti fejléccel'!$BT:$BT)</f>
        <v>0</v>
      </c>
      <c r="DV154" s="6">
        <f>SUMIF('Eredeti fejléccel'!$B:$B,'Felosztás eredménykim'!$B154,'Eredeti fejléccel'!$BU:$BU)</f>
        <v>0</v>
      </c>
      <c r="DW154" s="6">
        <f>SUMIF('Eredeti fejléccel'!$B:$B,'Felosztás eredménykim'!$B154,'Eredeti fejléccel'!$BV:$BV)</f>
        <v>0</v>
      </c>
      <c r="DX154" s="6">
        <f>SUMIF('Eredeti fejléccel'!$B:$B,'Felosztás eredménykim'!$B154,'Eredeti fejléccel'!$BW:$BW)</f>
        <v>0</v>
      </c>
      <c r="DY154" s="6">
        <f>SUMIF('Eredeti fejléccel'!$B:$B,'Felosztás eredménykim'!$B154,'Eredeti fejléccel'!$BX:$BX)</f>
        <v>0</v>
      </c>
      <c r="EA154" s="6"/>
      <c r="EC154" s="6"/>
      <c r="EE154" s="6">
        <f>SUMIF('Eredeti fejléccel'!$B:$B,'Felosztás eredménykim'!$B154,'Eredeti fejléccel'!$CA:$CA)</f>
        <v>0</v>
      </c>
      <c r="EF154" s="6">
        <f>SUMIF('Eredeti fejléccel'!$B:$B,'Felosztás eredménykim'!$B154,'Eredeti fejléccel'!$CB:$CB)</f>
        <v>0</v>
      </c>
      <c r="EG154" s="6">
        <f>SUMIF('Eredeti fejléccel'!$B:$B,'Felosztás eredménykim'!$B154,'Eredeti fejléccel'!$CC:$CC)</f>
        <v>0</v>
      </c>
      <c r="EH154" s="6">
        <f>SUMIF('Eredeti fejléccel'!$B:$B,'Felosztás eredménykim'!$B154,'Eredeti fejléccel'!$CD:$CD)</f>
        <v>0</v>
      </c>
      <c r="EK154" s="6">
        <f>SUMIF('Eredeti fejléccel'!$B:$B,'Felosztás eredménykim'!$B154,'Eredeti fejléccel'!$CE:$CE)</f>
        <v>0</v>
      </c>
      <c r="EN154" s="6">
        <f>SUMIF('Eredeti fejléccel'!$B:$B,'Felosztás eredménykim'!$B154,'Eredeti fejléccel'!$CF:$CF)</f>
        <v>0</v>
      </c>
      <c r="EP154" s="6">
        <f>SUMIF('Eredeti fejléccel'!$B:$B,'Felosztás eredménykim'!$B154,'Eredeti fejléccel'!$CG:$CG)</f>
        <v>0</v>
      </c>
      <c r="ES154" s="6">
        <f>SUMIF('Eredeti fejléccel'!$B:$B,'Felosztás eredménykim'!$B154,'Eredeti fejléccel'!$CH:$CH)</f>
        <v>0</v>
      </c>
      <c r="ET154" s="6">
        <f>SUMIF('Eredeti fejléccel'!$B:$B,'Felosztás eredménykim'!$B154,'Eredeti fejléccel'!$CI:$CI)</f>
        <v>0</v>
      </c>
      <c r="EW154" s="8">
        <f t="shared" si="288"/>
        <v>0</v>
      </c>
      <c r="EX154" s="8">
        <f t="shared" si="243"/>
        <v>0</v>
      </c>
      <c r="EY154" s="8">
        <f t="shared" si="244"/>
        <v>0</v>
      </c>
      <c r="EZ154" s="8">
        <f t="shared" si="289"/>
        <v>0</v>
      </c>
      <c r="FA154" s="8">
        <f t="shared" si="290"/>
        <v>0</v>
      </c>
      <c r="FC154" s="6">
        <f>SUMIF('Eredeti fejléccel'!$B:$B,'Felosztás eredménykim'!$B154,'Eredeti fejléccel'!$L:$L)</f>
        <v>0</v>
      </c>
      <c r="FD154" s="6">
        <f>SUMIF('Eredeti fejléccel'!$B:$B,'Felosztás eredménykim'!$B154,'Eredeti fejléccel'!$CJ:$CJ)</f>
        <v>0</v>
      </c>
      <c r="FE154" s="6">
        <f>SUMIF('Eredeti fejléccel'!$B:$B,'Felosztás eredménykim'!$B154,'Eredeti fejléccel'!$CL:$CL)</f>
        <v>0</v>
      </c>
      <c r="FG154" s="99">
        <f t="shared" si="245"/>
        <v>0</v>
      </c>
      <c r="FH154" s="6">
        <f>SUMIF('Eredeti fejléccel'!$B:$B,'Felosztás eredménykim'!$B154,'Eredeti fejléccel'!$CK:$CK)</f>
        <v>0</v>
      </c>
      <c r="FI154" s="36">
        <f t="shared" si="228"/>
        <v>0</v>
      </c>
      <c r="FJ154" s="101">
        <f t="shared" si="229"/>
        <v>0</v>
      </c>
      <c r="FK154" s="6">
        <f>SUMIF('Eredeti fejléccel'!$B:$B,'Felosztás eredménykim'!$B154,'Eredeti fejléccel'!$CM:$CM)</f>
        <v>0</v>
      </c>
      <c r="FL154" s="6">
        <f>SUMIF('Eredeti fejléccel'!$B:$B,'Felosztás eredménykim'!$B154,'Eredeti fejléccel'!$CN:$CN)</f>
        <v>0</v>
      </c>
      <c r="FM154" s="8">
        <f t="shared" si="246"/>
        <v>0</v>
      </c>
      <c r="FN154" s="36">
        <f t="shared" si="230"/>
        <v>0</v>
      </c>
      <c r="FO154" s="101">
        <f t="shared" si="231"/>
        <v>0</v>
      </c>
      <c r="FP154" s="6">
        <f>SUMIF('Eredeti fejléccel'!$B:$B,'Felosztás eredménykim'!$B154,'Eredeti fejléccel'!$CO:$CO)</f>
        <v>0</v>
      </c>
      <c r="FQ154" s="6">
        <f>'Eredeti fejléccel'!CP154</f>
        <v>0</v>
      </c>
      <c r="FR154" s="6">
        <f>'Eredeti fejléccel'!CQ154</f>
        <v>0</v>
      </c>
      <c r="FS154" s="103">
        <f t="shared" si="247"/>
        <v>0</v>
      </c>
      <c r="FT154" s="36">
        <f t="shared" si="232"/>
        <v>0</v>
      </c>
      <c r="FU154" s="101">
        <f t="shared" si="233"/>
        <v>0</v>
      </c>
      <c r="FV154" s="101"/>
      <c r="FW154" s="6">
        <f>SUMIF('Eredeti fejléccel'!$B:$B,'Felosztás eredménykim'!$B154,'Eredeti fejléccel'!$CR:$CR)</f>
        <v>0</v>
      </c>
      <c r="FX154" s="6">
        <f>SUMIF('Eredeti fejléccel'!$B:$B,'Felosztás eredménykim'!$B154,'Eredeti fejléccel'!$CS:$CS)</f>
        <v>0</v>
      </c>
      <c r="FY154" s="6">
        <f>SUMIF('Eredeti fejléccel'!$B:$B,'Felosztás eredménykim'!$B154,'Eredeti fejléccel'!$CT:$CT)</f>
        <v>0</v>
      </c>
      <c r="FZ154" s="6">
        <f>SUMIF('Eredeti fejléccel'!$B:$B,'Felosztás eredménykim'!$B154,'Eredeti fejléccel'!$CU:$CU)</f>
        <v>0</v>
      </c>
      <c r="GA154" s="103">
        <f t="shared" si="248"/>
        <v>0</v>
      </c>
      <c r="GB154" s="36">
        <f t="shared" si="234"/>
        <v>0</v>
      </c>
      <c r="GC154" s="101">
        <f t="shared" si="235"/>
        <v>0</v>
      </c>
      <c r="GD154" s="6">
        <f>SUMIF('Eredeti fejléccel'!$B:$B,'Felosztás eredménykim'!$B154,'Eredeti fejléccel'!$CV:$CV)</f>
        <v>0</v>
      </c>
      <c r="GE154" s="6">
        <f>SUMIF('Eredeti fejléccel'!$B:$B,'Felosztás eredménykim'!$B154,'Eredeti fejléccel'!$CW:$CW)</f>
        <v>0</v>
      </c>
      <c r="GF154" s="103">
        <f t="shared" si="249"/>
        <v>0</v>
      </c>
      <c r="GG154" s="36">
        <f t="shared" si="236"/>
        <v>0</v>
      </c>
      <c r="GM154" s="6">
        <f>SUMIF('Eredeti fejléccel'!$B:$B,'Felosztás eredménykim'!$B154,'Eredeti fejléccel'!$CX:$CX)</f>
        <v>0</v>
      </c>
      <c r="GN154" s="6">
        <f>SUMIF('Eredeti fejléccel'!$B:$B,'Felosztás eredménykim'!$B154,'Eredeti fejléccel'!$CY:$CY)</f>
        <v>0</v>
      </c>
      <c r="GO154" s="6">
        <f>SUMIF('Eredeti fejléccel'!$B:$B,'Felosztás eredménykim'!$B154,'Eredeti fejléccel'!$CZ:$CZ)</f>
        <v>0</v>
      </c>
      <c r="GP154" s="6">
        <f>SUMIF('Eredeti fejléccel'!$B:$B,'Felosztás eredménykim'!$B154,'Eredeti fejléccel'!$DA:$DA)</f>
        <v>0</v>
      </c>
      <c r="GQ154" s="6">
        <f>SUMIF('Eredeti fejléccel'!$B:$B,'Felosztás eredménykim'!$B154,'Eredeti fejléccel'!$DB:$DB)</f>
        <v>0</v>
      </c>
      <c r="GR154" s="103">
        <f t="shared" si="250"/>
        <v>0</v>
      </c>
      <c r="GW154" s="36">
        <f t="shared" si="237"/>
        <v>0</v>
      </c>
      <c r="GX154" s="6">
        <f>SUMIF('Eredeti fejléccel'!$B:$B,'Felosztás eredménykim'!$B154,'Eredeti fejléccel'!$M:$M)</f>
        <v>0</v>
      </c>
      <c r="GY154" s="6">
        <f>SUMIF('Eredeti fejléccel'!$B:$B,'Felosztás eredménykim'!$B154,'Eredeti fejléccel'!$DC:$DC)</f>
        <v>0</v>
      </c>
      <c r="GZ154" s="6">
        <f>SUMIF('Eredeti fejléccel'!$B:$B,'Felosztás eredménykim'!$B154,'Eredeti fejléccel'!$DD:$DD)</f>
        <v>0</v>
      </c>
      <c r="HA154" s="6">
        <f>SUMIF('Eredeti fejléccel'!$B:$B,'Felosztás eredménykim'!$B154,'Eredeti fejléccel'!$DE:$DE)</f>
        <v>0</v>
      </c>
      <c r="HB154" s="103">
        <f t="shared" si="251"/>
        <v>0</v>
      </c>
      <c r="HD154" s="9">
        <f t="shared" si="256"/>
        <v>0</v>
      </c>
      <c r="HE154" s="9"/>
      <c r="HF154" s="476"/>
      <c r="HH154" s="34">
        <f t="shared" si="252"/>
        <v>0</v>
      </c>
    </row>
    <row r="155" spans="1:218" x14ac:dyDescent="0.25">
      <c r="A155" s="4" t="s">
        <v>923</v>
      </c>
      <c r="B155" s="4" t="s">
        <v>923</v>
      </c>
      <c r="C155" s="1" t="s">
        <v>924</v>
      </c>
      <c r="D155" s="6">
        <f>SUMIF('Eredeti fejléccel'!$B:$B,'Felosztás eredménykim'!$B155,'Eredeti fejléccel'!$D:$D)</f>
        <v>0</v>
      </c>
      <c r="E155" s="6">
        <f>SUMIF('Eredeti fejléccel'!$B:$B,'Felosztás eredménykim'!$B155,'Eredeti fejléccel'!$E:$E)</f>
        <v>0</v>
      </c>
      <c r="F155" s="6">
        <f>SUMIF('Eredeti fejléccel'!$B:$B,'Felosztás eredménykim'!$B155,'Eredeti fejléccel'!$F:$F)</f>
        <v>0</v>
      </c>
      <c r="G155" s="6">
        <f>SUMIF('Eredeti fejléccel'!$B:$B,'Felosztás eredménykim'!$B155,'Eredeti fejléccel'!$G:$G)</f>
        <v>0</v>
      </c>
      <c r="H155" s="6"/>
      <c r="I155" s="6">
        <f>SUMIF('Eredeti fejléccel'!$B:$B,'Felosztás eredménykim'!$B155,'Eredeti fejléccel'!$O:$O)</f>
        <v>0</v>
      </c>
      <c r="J155" s="6">
        <f>SUMIF('Eredeti fejléccel'!$B:$B,'Felosztás eredménykim'!$B155,'Eredeti fejléccel'!$P:$P)</f>
        <v>0</v>
      </c>
      <c r="K155" s="6">
        <f>SUMIF('Eredeti fejléccel'!$B:$B,'Felosztás eredménykim'!$B155,'Eredeti fejléccel'!$Q:$Q)</f>
        <v>0</v>
      </c>
      <c r="L155" s="6">
        <f>SUMIF('Eredeti fejléccel'!$B:$B,'Felosztás eredménykim'!$B155,'Eredeti fejléccel'!$R:$R)</f>
        <v>0</v>
      </c>
      <c r="M155" s="6">
        <f>SUMIF('Eredeti fejléccel'!$B:$B,'Felosztás eredménykim'!$B155,'Eredeti fejléccel'!$T:$T)</f>
        <v>0</v>
      </c>
      <c r="N155" s="6">
        <f>SUMIF('Eredeti fejléccel'!$B:$B,'Felosztás eredménykim'!$B155,'Eredeti fejléccel'!$U:$U)</f>
        <v>0</v>
      </c>
      <c r="O155" s="6">
        <f>SUMIF('Eredeti fejléccel'!$B:$B,'Felosztás eredménykim'!$B155,'Eredeti fejléccel'!$V:$V)</f>
        <v>0</v>
      </c>
      <c r="P155" s="6">
        <f>SUMIF('Eredeti fejléccel'!$B:$B,'Felosztás eredménykim'!$B155,'Eredeti fejléccel'!$W:$W)</f>
        <v>0</v>
      </c>
      <c r="Q155" s="6">
        <f>SUMIF('Eredeti fejléccel'!$B:$B,'Felosztás eredménykim'!$B155,'Eredeti fejléccel'!$X:$X)</f>
        <v>0</v>
      </c>
      <c r="R155" s="6">
        <f>SUMIF('Eredeti fejléccel'!$B:$B,'Felosztás eredménykim'!$B155,'Eredeti fejléccel'!$Y:$Y)</f>
        <v>0</v>
      </c>
      <c r="S155" s="6">
        <f>SUMIF('Eredeti fejléccel'!$B:$B,'Felosztás eredménykim'!$B155,'Eredeti fejléccel'!$Z:$Z)</f>
        <v>0</v>
      </c>
      <c r="T155" s="6">
        <f>SUMIF('Eredeti fejléccel'!$B:$B,'Felosztás eredménykim'!$B155,'Eredeti fejléccel'!$AA:$AA)</f>
        <v>0</v>
      </c>
      <c r="U155" s="6">
        <f>SUMIF('Eredeti fejléccel'!$B:$B,'Felosztás eredménykim'!$B155,'Eredeti fejléccel'!$D:$D)</f>
        <v>0</v>
      </c>
      <c r="V155" s="6">
        <f>SUMIF('Eredeti fejléccel'!$B:$B,'Felosztás eredménykim'!$B155,'Eredeti fejléccel'!$AT:$AT)</f>
        <v>0</v>
      </c>
      <c r="X155" s="36">
        <f t="shared" si="211"/>
        <v>0</v>
      </c>
      <c r="Z155" s="6">
        <f>SUMIF('Eredeti fejléccel'!$B:$B,'Felosztás eredménykim'!$B155,'Eredeti fejléccel'!$K:$K)</f>
        <v>0</v>
      </c>
      <c r="AB155" s="6">
        <f>SUMIF('Eredeti fejléccel'!$B:$B,'Felosztás eredménykim'!$B155,'Eredeti fejléccel'!$AB:$AB)</f>
        <v>0</v>
      </c>
      <c r="AC155" s="6">
        <f>SUMIF('Eredeti fejléccel'!$B:$B,'Felosztás eredménykim'!$B155,'Eredeti fejléccel'!$AQ:$AQ)</f>
        <v>0</v>
      </c>
      <c r="AE155" s="73">
        <f t="shared" si="299"/>
        <v>0</v>
      </c>
      <c r="AF155" s="36">
        <f t="shared" si="212"/>
        <v>0</v>
      </c>
      <c r="AG155" s="8">
        <f t="shared" si="213"/>
        <v>0</v>
      </c>
      <c r="AI155" s="6">
        <f>SUMIF('Eredeti fejléccel'!$B:$B,'Felosztás eredménykim'!$B155,'Eredeti fejléccel'!$BB:$BB)</f>
        <v>0</v>
      </c>
      <c r="AJ155" s="6">
        <f>SUMIF('Eredeti fejléccel'!$B:$B,'Felosztás eredménykim'!$B155,'Eredeti fejléccel'!$AF:$AF)</f>
        <v>0</v>
      </c>
      <c r="AK155" s="8">
        <f t="shared" si="177"/>
        <v>0</v>
      </c>
      <c r="AL155" s="36">
        <f t="shared" si="214"/>
        <v>0</v>
      </c>
      <c r="AM155" s="8">
        <f t="shared" si="215"/>
        <v>0</v>
      </c>
      <c r="AN155" s="6">
        <f t="shared" si="291"/>
        <v>0</v>
      </c>
      <c r="AO155" s="6">
        <f>SUMIF('Eredeti fejléccel'!$B:$B,'Felosztás eredménykim'!$B155,'Eredeti fejléccel'!$AC:$AC)</f>
        <v>0</v>
      </c>
      <c r="AP155" s="6">
        <f>SUMIF('Eredeti fejléccel'!$B:$B,'Felosztás eredménykim'!$B155,'Eredeti fejléccel'!$AD:$AD)</f>
        <v>0</v>
      </c>
      <c r="AQ155" s="6">
        <f>SUMIF('Eredeti fejléccel'!$B:$B,'Felosztás eredménykim'!$B155,'Eredeti fejléccel'!$AE:$AE)</f>
        <v>0</v>
      </c>
      <c r="AR155" s="6">
        <f>SUMIF('Eredeti fejléccel'!$B:$B,'Felosztás eredménykim'!$B155,'Eredeti fejléccel'!$AG:$AG)</f>
        <v>0</v>
      </c>
      <c r="AS155" s="6">
        <f t="shared" si="292"/>
        <v>0</v>
      </c>
      <c r="AT155" s="36">
        <f t="shared" si="216"/>
        <v>0</v>
      </c>
      <c r="AU155" s="8">
        <f t="shared" si="217"/>
        <v>0</v>
      </c>
      <c r="AV155" s="6">
        <f>SUMIF('Eredeti fejléccel'!$B:$B,'Felosztás eredménykim'!$B155,'Eredeti fejléccel'!$AI:$AI)</f>
        <v>0</v>
      </c>
      <c r="AW155" s="6">
        <f>SUMIF('Eredeti fejléccel'!$B:$B,'Felosztás eredménykim'!$B155,'Eredeti fejléccel'!$AJ:$AJ)</f>
        <v>0</v>
      </c>
      <c r="AX155" s="6">
        <f>SUMIF('Eredeti fejléccel'!$B:$B,'Felosztás eredménykim'!$B155,'Eredeti fejléccel'!$AK:$AK)</f>
        <v>0</v>
      </c>
      <c r="AY155" s="6">
        <f>SUMIF('Eredeti fejléccel'!$B:$B,'Felosztás eredménykim'!$B155,'Eredeti fejléccel'!$AL:$AL)</f>
        <v>0</v>
      </c>
      <c r="AZ155" s="6">
        <f>SUMIF('Eredeti fejléccel'!$B:$B,'Felosztás eredménykim'!$B155,'Eredeti fejléccel'!$AM:$AM)</f>
        <v>0</v>
      </c>
      <c r="BA155" s="6">
        <f>SUMIF('Eredeti fejléccel'!$B:$B,'Felosztás eredménykim'!$B155,'Eredeti fejléccel'!$AN:$AN)</f>
        <v>0</v>
      </c>
      <c r="BB155" s="6">
        <f>SUMIF('Eredeti fejléccel'!$B:$B,'Felosztás eredménykim'!$B155,'Eredeti fejléccel'!$AP:$AP)</f>
        <v>0</v>
      </c>
      <c r="BD155" s="6">
        <f>SUMIF('Eredeti fejléccel'!$B:$B,'Felosztás eredménykim'!$B155,'Eredeti fejléccel'!$AS:$AS)</f>
        <v>0</v>
      </c>
      <c r="BE155" s="8">
        <f t="shared" si="238"/>
        <v>0</v>
      </c>
      <c r="BF155" s="36">
        <f t="shared" si="218"/>
        <v>0</v>
      </c>
      <c r="BG155" s="8">
        <f t="shared" si="219"/>
        <v>0</v>
      </c>
      <c r="BH155" s="6">
        <f t="shared" si="293"/>
        <v>0</v>
      </c>
      <c r="BI155" s="6">
        <f>SUMIF('Eredeti fejléccel'!$B:$B,'Felosztás eredménykim'!$B155,'Eredeti fejléccel'!$AH:$AH)</f>
        <v>0</v>
      </c>
      <c r="BJ155" s="6">
        <f>SUMIF('Eredeti fejléccel'!$B:$B,'Felosztás eredménykim'!$B155,'Eredeti fejléccel'!$AO:$AO)</f>
        <v>0</v>
      </c>
      <c r="BK155" s="6">
        <f>SUMIF('Eredeti fejléccel'!$B:$B,'Felosztás eredménykim'!$B155,'Eredeti fejléccel'!$BF:$BF)</f>
        <v>0</v>
      </c>
      <c r="BL155" s="8">
        <f t="shared" si="294"/>
        <v>0</v>
      </c>
      <c r="BM155" s="36">
        <f t="shared" si="220"/>
        <v>0</v>
      </c>
      <c r="BN155" s="8">
        <f t="shared" si="221"/>
        <v>0</v>
      </c>
      <c r="BP155" s="8">
        <f t="shared" si="295"/>
        <v>0</v>
      </c>
      <c r="BQ155" s="6">
        <f>SUMIF('Eredeti fejléccel'!$B:$B,'Felosztás eredménykim'!$B155,'Eredeti fejléccel'!$N:$N)</f>
        <v>0</v>
      </c>
      <c r="BR155" s="6">
        <f>SUMIF('Eredeti fejléccel'!$B:$B,'Felosztás eredménykim'!$B155,'Eredeti fejléccel'!$S:$S)</f>
        <v>0</v>
      </c>
      <c r="BT155" s="6">
        <f>SUMIF('Eredeti fejléccel'!$B:$B,'Felosztás eredménykim'!$B155,'Eredeti fejléccel'!$AR:$AR)</f>
        <v>0</v>
      </c>
      <c r="BU155" s="6">
        <f>SUMIF('Eredeti fejléccel'!$B:$B,'Felosztás eredménykim'!$B155,'Eredeti fejléccel'!$AU:$AU)</f>
        <v>0</v>
      </c>
      <c r="BV155" s="6">
        <f>SUMIF('Eredeti fejléccel'!$B:$B,'Felosztás eredménykim'!$B155,'Eredeti fejléccel'!$AV:$AV)</f>
        <v>0</v>
      </c>
      <c r="BW155" s="6">
        <f>SUMIF('Eredeti fejléccel'!$B:$B,'Felosztás eredménykim'!$B155,'Eredeti fejléccel'!$AW:$AW)</f>
        <v>0</v>
      </c>
      <c r="BX155" s="6">
        <f>SUMIF('Eredeti fejléccel'!$B:$B,'Felosztás eredménykim'!$B155,'Eredeti fejléccel'!$AX:$AX)</f>
        <v>0</v>
      </c>
      <c r="BY155" s="6">
        <f>SUMIF('Eredeti fejléccel'!$B:$B,'Felosztás eredménykim'!$B155,'Eredeti fejléccel'!$AY:$AY)</f>
        <v>0</v>
      </c>
      <c r="BZ155" s="6">
        <f>SUMIF('Eredeti fejléccel'!$B:$B,'Felosztás eredménykim'!$B155,'Eredeti fejléccel'!$AZ:$AZ)</f>
        <v>0</v>
      </c>
      <c r="CA155" s="6">
        <f>SUMIF('Eredeti fejléccel'!$B:$B,'Felosztás eredménykim'!$B155,'Eredeti fejléccel'!$BA:$BA)</f>
        <v>0</v>
      </c>
      <c r="CB155" s="6">
        <f t="shared" si="253"/>
        <v>0</v>
      </c>
      <c r="CC155" s="36">
        <f t="shared" si="222"/>
        <v>0</v>
      </c>
      <c r="CD155" s="8">
        <f t="shared" si="223"/>
        <v>0</v>
      </c>
      <c r="CE155" s="6">
        <f>SUMIF('Eredeti fejléccel'!$B:$B,'Felosztás eredménykim'!$B155,'Eredeti fejléccel'!$BC:$BC)</f>
        <v>0</v>
      </c>
      <c r="CF155" s="8">
        <f t="shared" si="300"/>
        <v>0</v>
      </c>
      <c r="CG155" s="6">
        <f>SUMIF('Eredeti fejléccel'!$B:$B,'Felosztás eredménykim'!$B155,'Eredeti fejléccel'!$H:$H)</f>
        <v>0</v>
      </c>
      <c r="CH155" s="6">
        <f>SUMIF('Eredeti fejléccel'!$B:$B,'Felosztás eredménykim'!$B155,'Eredeti fejléccel'!$BE:$BE)</f>
        <v>0</v>
      </c>
      <c r="CI155" s="6">
        <f t="shared" si="239"/>
        <v>0</v>
      </c>
      <c r="CJ155" s="36">
        <f t="shared" si="224"/>
        <v>0</v>
      </c>
      <c r="CK155" s="8">
        <f t="shared" si="225"/>
        <v>0</v>
      </c>
      <c r="CL155" s="8">
        <f t="shared" si="301"/>
        <v>0</v>
      </c>
      <c r="CM155" s="6">
        <f>SUMIF('Eredeti fejléccel'!$B:$B,'Felosztás eredménykim'!$B155,'Eredeti fejléccel'!$BD:$BD)</f>
        <v>0</v>
      </c>
      <c r="CN155" s="8">
        <f t="shared" si="240"/>
        <v>0</v>
      </c>
      <c r="CO155" s="8">
        <f t="shared" si="254"/>
        <v>0</v>
      </c>
      <c r="CR155" s="36">
        <f t="shared" si="226"/>
        <v>0</v>
      </c>
      <c r="CS155" s="6">
        <f>SUMIF('Eredeti fejléccel'!$B:$B,'Felosztás eredménykim'!$B155,'Eredeti fejléccel'!$I:$I)</f>
        <v>0</v>
      </c>
      <c r="CT155" s="6">
        <f>SUMIF('Eredeti fejléccel'!$B:$B,'Felosztás eredménykim'!$B155,'Eredeti fejléccel'!$BG:$BG)</f>
        <v>0</v>
      </c>
      <c r="CU155" s="6">
        <f>SUMIF('Eredeti fejléccel'!$B:$B,'Felosztás eredménykim'!$B155,'Eredeti fejléccel'!$BH:$BH)</f>
        <v>0</v>
      </c>
      <c r="CV155" s="6">
        <f>SUMIF('Eredeti fejléccel'!$B:$B,'Felosztás eredménykim'!$B155,'Eredeti fejléccel'!$BI:$BI)</f>
        <v>0</v>
      </c>
      <c r="CW155" s="6">
        <f>SUMIF('Eredeti fejléccel'!$B:$B,'Felosztás eredménykim'!$B155,'Eredeti fejléccel'!$BL:$BL)</f>
        <v>0</v>
      </c>
      <c r="CX155" s="6">
        <f t="shared" si="241"/>
        <v>0</v>
      </c>
      <c r="CY155" s="6">
        <f>SUMIF('Eredeti fejléccel'!$B:$B,'Felosztás eredménykim'!$B155,'Eredeti fejléccel'!$BJ:$BJ)</f>
        <v>0</v>
      </c>
      <c r="CZ155" s="6">
        <f>SUMIF('Eredeti fejléccel'!$B:$B,'Felosztás eredménykim'!$B155,'Eredeti fejléccel'!$BK:$BK)</f>
        <v>0</v>
      </c>
      <c r="DA155" s="99">
        <f t="shared" si="242"/>
        <v>0</v>
      </c>
      <c r="DC155" s="36">
        <f t="shared" si="227"/>
        <v>0</v>
      </c>
      <c r="DD155" s="6">
        <f>SUMIF('Eredeti fejléccel'!$B:$B,'Felosztás eredménykim'!$B155,'Eredeti fejléccel'!$J:$J)</f>
        <v>0</v>
      </c>
      <c r="DE155" s="6">
        <f>SUMIF('Eredeti fejléccel'!$B:$B,'Felosztás eredménykim'!$B155,'Eredeti fejléccel'!$BM:$BM)</f>
        <v>0</v>
      </c>
      <c r="DF155" s="6">
        <f t="shared" si="296"/>
        <v>0</v>
      </c>
      <c r="DG155" s="8">
        <f t="shared" si="255"/>
        <v>0</v>
      </c>
      <c r="DH155" s="8">
        <f t="shared" si="297"/>
        <v>0</v>
      </c>
      <c r="DJ155" s="6">
        <f>SUMIF('Eredeti fejléccel'!$B:$B,'Felosztás eredménykim'!$B155,'Eredeti fejléccel'!$BN:$BN)</f>
        <v>0</v>
      </c>
      <c r="DK155" s="6">
        <f>SUMIF('Eredeti fejléccel'!$B:$B,'Felosztás eredménykim'!$B155,'Eredeti fejléccel'!$BZ:$BZ)</f>
        <v>0</v>
      </c>
      <c r="DL155" s="8">
        <f t="shared" si="298"/>
        <v>0</v>
      </c>
      <c r="DM155" s="6">
        <f>SUMIF('Eredeti fejléccel'!$B:$B,'Felosztás eredménykim'!$B155,'Eredeti fejléccel'!$BR:$BR)</f>
        <v>0</v>
      </c>
      <c r="DN155" s="6">
        <f>SUMIF('Eredeti fejléccel'!$B:$B,'Felosztás eredménykim'!$B155,'Eredeti fejléccel'!$BS:$BS)</f>
        <v>0</v>
      </c>
      <c r="DO155" s="6">
        <f>SUMIF('Eredeti fejléccel'!$B:$B,'Felosztás eredménykim'!$B155,'Eredeti fejléccel'!$BO:$BO)</f>
        <v>0</v>
      </c>
      <c r="DP155" s="6">
        <f>SUMIF('Eredeti fejléccel'!$B:$B,'Felosztás eredménykim'!$B155,'Eredeti fejléccel'!$BP:$BP)</f>
        <v>0</v>
      </c>
      <c r="DQ155" s="6">
        <f>SUMIF('Eredeti fejléccel'!$B:$B,'Felosztás eredménykim'!$B155,'Eredeti fejléccel'!$BQ:$BQ)</f>
        <v>0</v>
      </c>
      <c r="DS155" s="8"/>
      <c r="DU155" s="6">
        <f>SUMIF('Eredeti fejléccel'!$B:$B,'Felosztás eredménykim'!$B155,'Eredeti fejléccel'!$BT:$BT)</f>
        <v>0</v>
      </c>
      <c r="DV155" s="6">
        <f>SUMIF('Eredeti fejléccel'!$B:$B,'Felosztás eredménykim'!$B155,'Eredeti fejléccel'!$BU:$BU)</f>
        <v>0</v>
      </c>
      <c r="DW155" s="6">
        <f>SUMIF('Eredeti fejléccel'!$B:$B,'Felosztás eredménykim'!$B155,'Eredeti fejléccel'!$BV:$BV)</f>
        <v>0</v>
      </c>
      <c r="DX155" s="6">
        <f>SUMIF('Eredeti fejléccel'!$B:$B,'Felosztás eredménykim'!$B155,'Eredeti fejléccel'!$BW:$BW)</f>
        <v>0</v>
      </c>
      <c r="DY155" s="6">
        <f>SUMIF('Eredeti fejléccel'!$B:$B,'Felosztás eredménykim'!$B155,'Eredeti fejléccel'!$BX:$BX)</f>
        <v>0</v>
      </c>
      <c r="EA155" s="6"/>
      <c r="EC155" s="6"/>
      <c r="EE155" s="6">
        <f>SUMIF('Eredeti fejléccel'!$B:$B,'Felosztás eredménykim'!$B155,'Eredeti fejléccel'!$CA:$CA)</f>
        <v>0</v>
      </c>
      <c r="EF155" s="6">
        <f>SUMIF('Eredeti fejléccel'!$B:$B,'Felosztás eredménykim'!$B155,'Eredeti fejléccel'!$CB:$CB)</f>
        <v>0</v>
      </c>
      <c r="EG155" s="6">
        <f>SUMIF('Eredeti fejléccel'!$B:$B,'Felosztás eredménykim'!$B155,'Eredeti fejléccel'!$CC:$CC)</f>
        <v>0</v>
      </c>
      <c r="EH155" s="6">
        <f>SUMIF('Eredeti fejléccel'!$B:$B,'Felosztás eredménykim'!$B155,'Eredeti fejléccel'!$CD:$CD)</f>
        <v>0</v>
      </c>
      <c r="EK155" s="6">
        <f>SUMIF('Eredeti fejléccel'!$B:$B,'Felosztás eredménykim'!$B155,'Eredeti fejléccel'!$CE:$CE)</f>
        <v>0</v>
      </c>
      <c r="EN155" s="6">
        <f>SUMIF('Eredeti fejléccel'!$B:$B,'Felosztás eredménykim'!$B155,'Eredeti fejléccel'!$CF:$CF)</f>
        <v>0</v>
      </c>
      <c r="EP155" s="6">
        <f>SUMIF('Eredeti fejléccel'!$B:$B,'Felosztás eredménykim'!$B155,'Eredeti fejléccel'!$CG:$CG)</f>
        <v>0</v>
      </c>
      <c r="ES155" s="6">
        <f>SUMIF('Eredeti fejléccel'!$B:$B,'Felosztás eredménykim'!$B155,'Eredeti fejléccel'!$CH:$CH)</f>
        <v>0</v>
      </c>
      <c r="ET155" s="6">
        <f>SUMIF('Eredeti fejléccel'!$B:$B,'Felosztás eredménykim'!$B155,'Eredeti fejléccel'!$CI:$CI)</f>
        <v>0</v>
      </c>
      <c r="EW155" s="8">
        <f t="shared" si="288"/>
        <v>0</v>
      </c>
      <c r="EX155" s="8">
        <f t="shared" si="243"/>
        <v>0</v>
      </c>
      <c r="EY155" s="8">
        <f t="shared" si="244"/>
        <v>0</v>
      </c>
      <c r="EZ155" s="8">
        <f t="shared" si="289"/>
        <v>0</v>
      </c>
      <c r="FA155" s="8">
        <f t="shared" si="290"/>
        <v>0</v>
      </c>
      <c r="FC155" s="6">
        <f>SUMIF('Eredeti fejléccel'!$B:$B,'Felosztás eredménykim'!$B155,'Eredeti fejléccel'!$L:$L)</f>
        <v>0</v>
      </c>
      <c r="FD155" s="6">
        <f>SUMIF('Eredeti fejléccel'!$B:$B,'Felosztás eredménykim'!$B155,'Eredeti fejléccel'!$CJ:$CJ)</f>
        <v>0</v>
      </c>
      <c r="FE155" s="6">
        <f>SUMIF('Eredeti fejléccel'!$B:$B,'Felosztás eredménykim'!$B155,'Eredeti fejléccel'!$CL:$CL)</f>
        <v>0</v>
      </c>
      <c r="FG155" s="99">
        <f t="shared" si="245"/>
        <v>0</v>
      </c>
      <c r="FH155" s="6">
        <f>SUMIF('Eredeti fejléccel'!$B:$B,'Felosztás eredménykim'!$B155,'Eredeti fejléccel'!$CK:$CK)</f>
        <v>0</v>
      </c>
      <c r="FI155" s="36">
        <f t="shared" si="228"/>
        <v>0</v>
      </c>
      <c r="FJ155" s="101">
        <f t="shared" si="229"/>
        <v>0</v>
      </c>
      <c r="FK155" s="6">
        <f>SUMIF('Eredeti fejléccel'!$B:$B,'Felosztás eredménykim'!$B155,'Eredeti fejléccel'!$CM:$CM)</f>
        <v>0</v>
      </c>
      <c r="FL155" s="6">
        <f>SUMIF('Eredeti fejléccel'!$B:$B,'Felosztás eredménykim'!$B155,'Eredeti fejléccel'!$CN:$CN)</f>
        <v>0</v>
      </c>
      <c r="FM155" s="8">
        <f t="shared" si="246"/>
        <v>0</v>
      </c>
      <c r="FN155" s="36">
        <f t="shared" si="230"/>
        <v>0</v>
      </c>
      <c r="FO155" s="101">
        <f t="shared" si="231"/>
        <v>0</v>
      </c>
      <c r="FP155" s="6">
        <f>SUMIF('Eredeti fejléccel'!$B:$B,'Felosztás eredménykim'!$B155,'Eredeti fejléccel'!$CO:$CO)</f>
        <v>0</v>
      </c>
      <c r="FQ155" s="6">
        <f>'Eredeti fejléccel'!CP155</f>
        <v>0</v>
      </c>
      <c r="FR155" s="6">
        <f>'Eredeti fejléccel'!CQ155</f>
        <v>0</v>
      </c>
      <c r="FS155" s="103">
        <f t="shared" si="247"/>
        <v>0</v>
      </c>
      <c r="FT155" s="36">
        <f t="shared" si="232"/>
        <v>0</v>
      </c>
      <c r="FU155" s="101">
        <f t="shared" si="233"/>
        <v>0</v>
      </c>
      <c r="FV155" s="101"/>
      <c r="FW155" s="6">
        <f>SUMIF('Eredeti fejléccel'!$B:$B,'Felosztás eredménykim'!$B155,'Eredeti fejléccel'!$CR:$CR)</f>
        <v>0</v>
      </c>
      <c r="FX155" s="6">
        <f>SUMIF('Eredeti fejléccel'!$B:$B,'Felosztás eredménykim'!$B155,'Eredeti fejléccel'!$CS:$CS)</f>
        <v>0</v>
      </c>
      <c r="FY155" s="6">
        <f>SUMIF('Eredeti fejléccel'!$B:$B,'Felosztás eredménykim'!$B155,'Eredeti fejléccel'!$CT:$CT)</f>
        <v>0</v>
      </c>
      <c r="FZ155" s="6">
        <f>SUMIF('Eredeti fejléccel'!$B:$B,'Felosztás eredménykim'!$B155,'Eredeti fejléccel'!$CU:$CU)</f>
        <v>0</v>
      </c>
      <c r="GA155" s="103">
        <f t="shared" si="248"/>
        <v>0</v>
      </c>
      <c r="GB155" s="36">
        <f t="shared" si="234"/>
        <v>0</v>
      </c>
      <c r="GC155" s="101">
        <f t="shared" si="235"/>
        <v>0</v>
      </c>
      <c r="GD155" s="6">
        <f>SUMIF('Eredeti fejléccel'!$B:$B,'Felosztás eredménykim'!$B155,'Eredeti fejléccel'!$CV:$CV)</f>
        <v>0</v>
      </c>
      <c r="GE155" s="6">
        <f>SUMIF('Eredeti fejléccel'!$B:$B,'Felosztás eredménykim'!$B155,'Eredeti fejléccel'!$CW:$CW)</f>
        <v>0</v>
      </c>
      <c r="GF155" s="103">
        <f t="shared" si="249"/>
        <v>0</v>
      </c>
      <c r="GG155" s="36">
        <f t="shared" si="236"/>
        <v>0</v>
      </c>
      <c r="GM155" s="6">
        <f>SUMIF('Eredeti fejléccel'!$B:$B,'Felosztás eredménykim'!$B155,'Eredeti fejléccel'!$CX:$CX)</f>
        <v>0</v>
      </c>
      <c r="GN155" s="6">
        <f>SUMIF('Eredeti fejléccel'!$B:$B,'Felosztás eredménykim'!$B155,'Eredeti fejléccel'!$CY:$CY)</f>
        <v>0</v>
      </c>
      <c r="GO155" s="6">
        <f>SUMIF('Eredeti fejléccel'!$B:$B,'Felosztás eredménykim'!$B155,'Eredeti fejléccel'!$CZ:$CZ)</f>
        <v>0</v>
      </c>
      <c r="GP155" s="6">
        <f>SUMIF('Eredeti fejléccel'!$B:$B,'Felosztás eredménykim'!$B155,'Eredeti fejléccel'!$DA:$DA)</f>
        <v>0</v>
      </c>
      <c r="GQ155" s="6">
        <f>SUMIF('Eredeti fejléccel'!$B:$B,'Felosztás eredménykim'!$B155,'Eredeti fejléccel'!$DB:$DB)</f>
        <v>0</v>
      </c>
      <c r="GR155" s="103">
        <f t="shared" si="250"/>
        <v>0</v>
      </c>
      <c r="GW155" s="36">
        <f t="shared" si="237"/>
        <v>0</v>
      </c>
      <c r="GX155" s="6">
        <f>SUMIF('Eredeti fejléccel'!$B:$B,'Felosztás eredménykim'!$B155,'Eredeti fejléccel'!$M:$M)</f>
        <v>0</v>
      </c>
      <c r="GY155" s="6">
        <f>SUMIF('Eredeti fejléccel'!$B:$B,'Felosztás eredménykim'!$B155,'Eredeti fejléccel'!$DC:$DC)</f>
        <v>0</v>
      </c>
      <c r="GZ155" s="6">
        <f>SUMIF('Eredeti fejléccel'!$B:$B,'Felosztás eredménykim'!$B155,'Eredeti fejléccel'!$DD:$DD)</f>
        <v>0</v>
      </c>
      <c r="HA155" s="6">
        <f>SUMIF('Eredeti fejléccel'!$B:$B,'Felosztás eredménykim'!$B155,'Eredeti fejléccel'!$DE:$DE)</f>
        <v>0</v>
      </c>
      <c r="HB155" s="103">
        <f t="shared" si="251"/>
        <v>0</v>
      </c>
      <c r="HD155" s="9">
        <f t="shared" si="256"/>
        <v>0</v>
      </c>
      <c r="HE155" s="9"/>
      <c r="HF155" s="476"/>
      <c r="HH155" s="34">
        <f t="shared" si="252"/>
        <v>0</v>
      </c>
    </row>
    <row r="156" spans="1:218" x14ac:dyDescent="0.25">
      <c r="A156" s="4" t="s">
        <v>1774</v>
      </c>
      <c r="B156" s="4" t="s">
        <v>1774</v>
      </c>
      <c r="C156" s="1" t="s">
        <v>1775</v>
      </c>
      <c r="D156" s="6">
        <f>SUMIF('Eredeti fejléccel'!$B:$B,'Felosztás eredménykim'!$B156,'Eredeti fejléccel'!$D:$D)</f>
        <v>0</v>
      </c>
      <c r="E156" s="6">
        <f>SUMIF('Eredeti fejléccel'!$B:$B,'Felosztás eredménykim'!$B156,'Eredeti fejléccel'!$E:$E)</f>
        <v>0</v>
      </c>
      <c r="F156" s="6">
        <f>SUMIF('Eredeti fejléccel'!$B:$B,'Felosztás eredménykim'!$B156,'Eredeti fejléccel'!$F:$F)</f>
        <v>0</v>
      </c>
      <c r="G156" s="6">
        <f>SUMIF('Eredeti fejléccel'!$B:$B,'Felosztás eredménykim'!$B156,'Eredeti fejléccel'!$G:$G)</f>
        <v>0</v>
      </c>
      <c r="H156" s="6"/>
      <c r="I156" s="6">
        <f>SUMIF('Eredeti fejléccel'!$B:$B,'Felosztás eredménykim'!$B156,'Eredeti fejléccel'!$O:$O)</f>
        <v>0</v>
      </c>
      <c r="J156" s="6">
        <f>SUMIF('Eredeti fejléccel'!$B:$B,'Felosztás eredménykim'!$B156,'Eredeti fejléccel'!$P:$P)</f>
        <v>0</v>
      </c>
      <c r="K156" s="6">
        <f>SUMIF('Eredeti fejléccel'!$B:$B,'Felosztás eredménykim'!$B156,'Eredeti fejléccel'!$Q:$Q)</f>
        <v>0</v>
      </c>
      <c r="L156" s="6">
        <f>SUMIF('Eredeti fejléccel'!$B:$B,'Felosztás eredménykim'!$B156,'Eredeti fejléccel'!$R:$R)</f>
        <v>0</v>
      </c>
      <c r="M156" s="6">
        <f>SUMIF('Eredeti fejléccel'!$B:$B,'Felosztás eredménykim'!$B156,'Eredeti fejléccel'!$T:$T)</f>
        <v>0</v>
      </c>
      <c r="N156" s="6">
        <f>SUMIF('Eredeti fejléccel'!$B:$B,'Felosztás eredménykim'!$B156,'Eredeti fejléccel'!$U:$U)</f>
        <v>0</v>
      </c>
      <c r="O156" s="6">
        <f>SUMIF('Eredeti fejléccel'!$B:$B,'Felosztás eredménykim'!$B156,'Eredeti fejléccel'!$V:$V)</f>
        <v>0</v>
      </c>
      <c r="P156" s="6">
        <f>SUMIF('Eredeti fejléccel'!$B:$B,'Felosztás eredménykim'!$B156,'Eredeti fejléccel'!$W:$W)</f>
        <v>0</v>
      </c>
      <c r="Q156" s="6">
        <f>SUMIF('Eredeti fejléccel'!$B:$B,'Felosztás eredménykim'!$B156,'Eredeti fejléccel'!$X:$X)</f>
        <v>0</v>
      </c>
      <c r="R156" s="6">
        <f>SUMIF('Eredeti fejléccel'!$B:$B,'Felosztás eredménykim'!$B156,'Eredeti fejléccel'!$Y:$Y)</f>
        <v>0</v>
      </c>
      <c r="S156" s="6">
        <f>SUMIF('Eredeti fejléccel'!$B:$B,'Felosztás eredménykim'!$B156,'Eredeti fejléccel'!$Z:$Z)</f>
        <v>0</v>
      </c>
      <c r="T156" s="6">
        <f>SUMIF('Eredeti fejléccel'!$B:$B,'Felosztás eredménykim'!$B156,'Eredeti fejléccel'!$AA:$AA)</f>
        <v>0</v>
      </c>
      <c r="U156" s="6">
        <f>SUMIF('Eredeti fejléccel'!$B:$B,'Felosztás eredménykim'!$B156,'Eredeti fejléccel'!$D:$D)</f>
        <v>0</v>
      </c>
      <c r="V156" s="6">
        <f>SUMIF('Eredeti fejléccel'!$B:$B,'Felosztás eredménykim'!$B156,'Eredeti fejléccel'!$AT:$AT)</f>
        <v>616000</v>
      </c>
      <c r="W156" s="36">
        <f t="shared" ref="W156:W187" si="302">-V156</f>
        <v>-616000</v>
      </c>
      <c r="X156" s="36">
        <f t="shared" si="211"/>
        <v>0</v>
      </c>
      <c r="Z156" s="6">
        <f>SUMIF('Eredeti fejléccel'!$B:$B,'Felosztás eredménykim'!$B156,'Eredeti fejléccel'!$K:$K)</f>
        <v>0</v>
      </c>
      <c r="AB156" s="6">
        <f>SUMIF('Eredeti fejléccel'!$B:$B,'Felosztás eredménykim'!$B156,'Eredeti fejléccel'!$AB:$AB)</f>
        <v>0</v>
      </c>
      <c r="AC156" s="6">
        <f>SUMIF('Eredeti fejléccel'!$B:$B,'Felosztás eredménykim'!$B156,'Eredeti fejléccel'!$AQ:$AQ)</f>
        <v>0</v>
      </c>
      <c r="AE156" s="73">
        <f t="shared" si="299"/>
        <v>0</v>
      </c>
      <c r="AF156" s="36">
        <f t="shared" si="212"/>
        <v>0</v>
      </c>
      <c r="AG156" s="8">
        <f t="shared" si="213"/>
        <v>0</v>
      </c>
      <c r="AI156" s="6">
        <f>SUMIF('Eredeti fejléccel'!$B:$B,'Felosztás eredménykim'!$B156,'Eredeti fejléccel'!$BB:$BB)</f>
        <v>0</v>
      </c>
      <c r="AJ156" s="6">
        <f>SUMIF('Eredeti fejléccel'!$B:$B,'Felosztás eredménykim'!$B156,'Eredeti fejléccel'!$AF:$AF)</f>
        <v>0</v>
      </c>
      <c r="AK156" s="8">
        <f t="shared" si="177"/>
        <v>0</v>
      </c>
      <c r="AL156" s="36">
        <f t="shared" si="214"/>
        <v>0</v>
      </c>
      <c r="AM156" s="8">
        <f t="shared" si="215"/>
        <v>0</v>
      </c>
      <c r="AN156" s="6">
        <f t="shared" si="291"/>
        <v>0</v>
      </c>
      <c r="AO156" s="6">
        <f>SUMIF('Eredeti fejléccel'!$B:$B,'Felosztás eredménykim'!$B156,'Eredeti fejléccel'!$AC:$AC)</f>
        <v>0</v>
      </c>
      <c r="AP156" s="6">
        <f>SUMIF('Eredeti fejléccel'!$B:$B,'Felosztás eredménykim'!$B156,'Eredeti fejléccel'!$AD:$AD)</f>
        <v>0</v>
      </c>
      <c r="AQ156" s="6">
        <f>SUMIF('Eredeti fejléccel'!$B:$B,'Felosztás eredménykim'!$B156,'Eredeti fejléccel'!$AE:$AE)</f>
        <v>0</v>
      </c>
      <c r="AR156" s="6">
        <f>SUMIF('Eredeti fejléccel'!$B:$B,'Felosztás eredménykim'!$B156,'Eredeti fejléccel'!$AG:$AG)</f>
        <v>0</v>
      </c>
      <c r="AS156" s="6">
        <f t="shared" si="292"/>
        <v>0</v>
      </c>
      <c r="AT156" s="36">
        <f t="shared" si="216"/>
        <v>0</v>
      </c>
      <c r="AU156" s="8">
        <f t="shared" si="217"/>
        <v>0</v>
      </c>
      <c r="AV156" s="6">
        <f>SUMIF('Eredeti fejléccel'!$B:$B,'Felosztás eredménykim'!$B156,'Eredeti fejléccel'!$AI:$AI)</f>
        <v>0</v>
      </c>
      <c r="AW156" s="6">
        <f>SUMIF('Eredeti fejléccel'!$B:$B,'Felosztás eredménykim'!$B156,'Eredeti fejléccel'!$AJ:$AJ)</f>
        <v>0</v>
      </c>
      <c r="AX156" s="6">
        <f>SUMIF('Eredeti fejléccel'!$B:$B,'Felosztás eredménykim'!$B156,'Eredeti fejléccel'!$AK:$AK)</f>
        <v>0</v>
      </c>
      <c r="AY156" s="6">
        <f>SUMIF('Eredeti fejléccel'!$B:$B,'Felosztás eredménykim'!$B156,'Eredeti fejléccel'!$AL:$AL)</f>
        <v>0</v>
      </c>
      <c r="AZ156" s="6">
        <f>SUMIF('Eredeti fejléccel'!$B:$B,'Felosztás eredménykim'!$B156,'Eredeti fejléccel'!$AM:$AM)</f>
        <v>0</v>
      </c>
      <c r="BA156" s="6">
        <f>SUMIF('Eredeti fejléccel'!$B:$B,'Felosztás eredménykim'!$B156,'Eredeti fejléccel'!$AN:$AN)</f>
        <v>0</v>
      </c>
      <c r="BB156" s="6">
        <f>SUMIF('Eredeti fejléccel'!$B:$B,'Felosztás eredménykim'!$B156,'Eredeti fejléccel'!$AP:$AP)</f>
        <v>0</v>
      </c>
      <c r="BD156" s="6">
        <f>SUMIF('Eredeti fejléccel'!$B:$B,'Felosztás eredménykim'!$B156,'Eredeti fejléccel'!$AS:$AS)</f>
        <v>0</v>
      </c>
      <c r="BE156" s="8">
        <f t="shared" si="238"/>
        <v>0</v>
      </c>
      <c r="BF156" s="36">
        <f t="shared" si="218"/>
        <v>0</v>
      </c>
      <c r="BG156" s="8">
        <f t="shared" si="219"/>
        <v>0</v>
      </c>
      <c r="BH156" s="6">
        <f t="shared" si="293"/>
        <v>0</v>
      </c>
      <c r="BI156" s="6">
        <f>SUMIF('Eredeti fejléccel'!$B:$B,'Felosztás eredménykim'!$B156,'Eredeti fejléccel'!$AH:$AH)</f>
        <v>0</v>
      </c>
      <c r="BJ156" s="6">
        <f>SUMIF('Eredeti fejléccel'!$B:$B,'Felosztás eredménykim'!$B156,'Eredeti fejléccel'!$AO:$AO)</f>
        <v>0</v>
      </c>
      <c r="BK156" s="6">
        <f>SUMIF('Eredeti fejléccel'!$B:$B,'Felosztás eredménykim'!$B156,'Eredeti fejléccel'!$BF:$BF)</f>
        <v>0</v>
      </c>
      <c r="BL156" s="8">
        <f t="shared" si="294"/>
        <v>0</v>
      </c>
      <c r="BM156" s="36">
        <f t="shared" si="220"/>
        <v>0</v>
      </c>
      <c r="BN156" s="8">
        <f t="shared" si="221"/>
        <v>0</v>
      </c>
      <c r="BP156" s="8">
        <f t="shared" si="295"/>
        <v>0</v>
      </c>
      <c r="BQ156" s="6">
        <f>SUMIF('Eredeti fejléccel'!$B:$B,'Felosztás eredménykim'!$B156,'Eredeti fejléccel'!$N:$N)</f>
        <v>0</v>
      </c>
      <c r="BR156" s="6">
        <f>SUMIF('Eredeti fejléccel'!$B:$B,'Felosztás eredménykim'!$B156,'Eredeti fejléccel'!$S:$S)</f>
        <v>0</v>
      </c>
      <c r="BT156" s="6">
        <f>SUMIF('Eredeti fejléccel'!$B:$B,'Felosztás eredménykim'!$B156,'Eredeti fejléccel'!$AR:$AR)</f>
        <v>0</v>
      </c>
      <c r="BU156" s="6">
        <f>SUMIF('Eredeti fejléccel'!$B:$B,'Felosztás eredménykim'!$B156,'Eredeti fejléccel'!$AU:$AU)</f>
        <v>0</v>
      </c>
      <c r="BV156" s="6">
        <f>SUMIF('Eredeti fejléccel'!$B:$B,'Felosztás eredménykim'!$B156,'Eredeti fejléccel'!$AV:$AV)</f>
        <v>0</v>
      </c>
      <c r="BW156" s="6">
        <f>SUMIF('Eredeti fejléccel'!$B:$B,'Felosztás eredménykim'!$B156,'Eredeti fejléccel'!$AW:$AW)</f>
        <v>0</v>
      </c>
      <c r="BX156" s="6">
        <f>SUMIF('Eredeti fejléccel'!$B:$B,'Felosztás eredménykim'!$B156,'Eredeti fejléccel'!$AX:$AX)</f>
        <v>0</v>
      </c>
      <c r="BY156" s="6">
        <f>SUMIF('Eredeti fejléccel'!$B:$B,'Felosztás eredménykim'!$B156,'Eredeti fejléccel'!$AY:$AY)</f>
        <v>0</v>
      </c>
      <c r="BZ156" s="6">
        <f>SUMIF('Eredeti fejléccel'!$B:$B,'Felosztás eredménykim'!$B156,'Eredeti fejléccel'!$AZ:$AZ)</f>
        <v>0</v>
      </c>
      <c r="CA156" s="6">
        <f>SUMIF('Eredeti fejléccel'!$B:$B,'Felosztás eredménykim'!$B156,'Eredeti fejléccel'!$BA:$BA)</f>
        <v>0</v>
      </c>
      <c r="CB156" s="6">
        <f t="shared" si="253"/>
        <v>0</v>
      </c>
      <c r="CC156" s="36">
        <f t="shared" si="222"/>
        <v>0</v>
      </c>
      <c r="CD156" s="8">
        <f t="shared" si="223"/>
        <v>0</v>
      </c>
      <c r="CE156" s="6">
        <f>SUMIF('Eredeti fejléccel'!$B:$B,'Felosztás eredménykim'!$B156,'Eredeti fejléccel'!$BC:$BC)</f>
        <v>0</v>
      </c>
      <c r="CF156" s="8">
        <f t="shared" si="300"/>
        <v>0</v>
      </c>
      <c r="CG156" s="6">
        <f>SUMIF('Eredeti fejléccel'!$B:$B,'Felosztás eredménykim'!$B156,'Eredeti fejléccel'!$H:$H)</f>
        <v>0</v>
      </c>
      <c r="CH156" s="6">
        <f>SUMIF('Eredeti fejléccel'!$B:$B,'Felosztás eredménykim'!$B156,'Eredeti fejléccel'!$BE:$BE)</f>
        <v>0</v>
      </c>
      <c r="CI156" s="6">
        <f t="shared" si="239"/>
        <v>0</v>
      </c>
      <c r="CJ156" s="36">
        <f t="shared" si="224"/>
        <v>0</v>
      </c>
      <c r="CK156" s="8">
        <f t="shared" si="225"/>
        <v>0</v>
      </c>
      <c r="CL156" s="8">
        <f t="shared" si="301"/>
        <v>0</v>
      </c>
      <c r="CM156" s="6">
        <f>SUMIF('Eredeti fejléccel'!$B:$B,'Felosztás eredménykim'!$B156,'Eredeti fejléccel'!$BD:$BD)</f>
        <v>0</v>
      </c>
      <c r="CN156" s="8">
        <f t="shared" si="240"/>
        <v>0</v>
      </c>
      <c r="CO156" s="8">
        <f t="shared" si="254"/>
        <v>0</v>
      </c>
      <c r="CR156" s="36">
        <f t="shared" si="226"/>
        <v>0</v>
      </c>
      <c r="CS156" s="6">
        <f>SUMIF('Eredeti fejléccel'!$B:$B,'Felosztás eredménykim'!$B156,'Eredeti fejléccel'!$I:$I)</f>
        <v>0</v>
      </c>
      <c r="CT156" s="6">
        <f>SUMIF('Eredeti fejléccel'!$B:$B,'Felosztás eredménykim'!$B156,'Eredeti fejléccel'!$BG:$BG)</f>
        <v>0</v>
      </c>
      <c r="CU156" s="6">
        <f>SUMIF('Eredeti fejléccel'!$B:$B,'Felosztás eredménykim'!$B156,'Eredeti fejléccel'!$BH:$BH)</f>
        <v>0</v>
      </c>
      <c r="CV156" s="6">
        <f>SUMIF('Eredeti fejléccel'!$B:$B,'Felosztás eredménykim'!$B156,'Eredeti fejléccel'!$BI:$BI)</f>
        <v>0</v>
      </c>
      <c r="CW156" s="6">
        <f>SUMIF('Eredeti fejléccel'!$B:$B,'Felosztás eredménykim'!$B156,'Eredeti fejléccel'!$BL:$BL)</f>
        <v>0</v>
      </c>
      <c r="CX156" s="6">
        <f t="shared" si="241"/>
        <v>0</v>
      </c>
      <c r="CY156" s="6">
        <f>SUMIF('Eredeti fejléccel'!$B:$B,'Felosztás eredménykim'!$B156,'Eredeti fejléccel'!$BJ:$BJ)</f>
        <v>0</v>
      </c>
      <c r="CZ156" s="6">
        <f>SUMIF('Eredeti fejléccel'!$B:$B,'Felosztás eredménykim'!$B156,'Eredeti fejléccel'!$BK:$BK)</f>
        <v>0</v>
      </c>
      <c r="DA156" s="99">
        <f t="shared" si="242"/>
        <v>0</v>
      </c>
      <c r="DC156" s="36">
        <f t="shared" si="227"/>
        <v>0</v>
      </c>
      <c r="DD156" s="6">
        <f>SUMIF('Eredeti fejléccel'!$B:$B,'Felosztás eredménykim'!$B156,'Eredeti fejléccel'!$J:$J)</f>
        <v>0</v>
      </c>
      <c r="DE156" s="6">
        <f>SUMIF('Eredeti fejléccel'!$B:$B,'Felosztás eredménykim'!$B156,'Eredeti fejléccel'!$BM:$BM)</f>
        <v>0</v>
      </c>
      <c r="DF156" s="6">
        <f t="shared" si="296"/>
        <v>0</v>
      </c>
      <c r="DG156" s="8">
        <f t="shared" si="255"/>
        <v>0</v>
      </c>
      <c r="DH156" s="8">
        <f t="shared" si="297"/>
        <v>0</v>
      </c>
      <c r="DJ156" s="6">
        <f>SUMIF('Eredeti fejléccel'!$B:$B,'Felosztás eredménykim'!$B156,'Eredeti fejléccel'!$BN:$BN)</f>
        <v>0</v>
      </c>
      <c r="DK156" s="6">
        <f>SUMIF('Eredeti fejléccel'!$B:$B,'Felosztás eredménykim'!$B156,'Eredeti fejléccel'!$BZ:$BZ)</f>
        <v>0</v>
      </c>
      <c r="DL156" s="8">
        <f t="shared" si="298"/>
        <v>0</v>
      </c>
      <c r="DM156" s="6">
        <f>SUMIF('Eredeti fejléccel'!$B:$B,'Felosztás eredménykim'!$B156,'Eredeti fejléccel'!$BR:$BR)</f>
        <v>0</v>
      </c>
      <c r="DN156" s="6">
        <f>SUMIF('Eredeti fejléccel'!$B:$B,'Felosztás eredménykim'!$B156,'Eredeti fejléccel'!$BS:$BS)</f>
        <v>0</v>
      </c>
      <c r="DO156" s="6">
        <f>SUMIF('Eredeti fejléccel'!$B:$B,'Felosztás eredménykim'!$B156,'Eredeti fejléccel'!$BO:$BO)</f>
        <v>0</v>
      </c>
      <c r="DP156" s="6">
        <f>SUMIF('Eredeti fejléccel'!$B:$B,'Felosztás eredménykim'!$B156,'Eredeti fejléccel'!$BP:$BP)</f>
        <v>0</v>
      </c>
      <c r="DQ156" s="6">
        <f>SUMIF('Eredeti fejléccel'!$B:$B,'Felosztás eredménykim'!$B156,'Eredeti fejléccel'!$BQ:$BQ)</f>
        <v>0</v>
      </c>
      <c r="DS156" s="8"/>
      <c r="DU156" s="6">
        <f>SUMIF('Eredeti fejléccel'!$B:$B,'Felosztás eredménykim'!$B156,'Eredeti fejléccel'!$BT:$BT)</f>
        <v>0</v>
      </c>
      <c r="DV156" s="6">
        <f>SUMIF('Eredeti fejléccel'!$B:$B,'Felosztás eredménykim'!$B156,'Eredeti fejléccel'!$BU:$BU)</f>
        <v>0</v>
      </c>
      <c r="DW156" s="6">
        <f>SUMIF('Eredeti fejléccel'!$B:$B,'Felosztás eredménykim'!$B156,'Eredeti fejléccel'!$BV:$BV)</f>
        <v>0</v>
      </c>
      <c r="DX156" s="6">
        <f>SUMIF('Eredeti fejléccel'!$B:$B,'Felosztás eredménykim'!$B156,'Eredeti fejléccel'!$BW:$BW)</f>
        <v>0</v>
      </c>
      <c r="DY156" s="6">
        <f>SUMIF('Eredeti fejléccel'!$B:$B,'Felosztás eredménykim'!$B156,'Eredeti fejléccel'!$BX:$BX)</f>
        <v>0</v>
      </c>
      <c r="EA156" s="6"/>
      <c r="EC156" s="6"/>
      <c r="EE156" s="6">
        <f>SUMIF('Eredeti fejléccel'!$B:$B,'Felosztás eredménykim'!$B156,'Eredeti fejléccel'!$CA:$CA)</f>
        <v>0</v>
      </c>
      <c r="EF156" s="6">
        <f>SUMIF('Eredeti fejléccel'!$B:$B,'Felosztás eredménykim'!$B156,'Eredeti fejléccel'!$CB:$CB)</f>
        <v>0</v>
      </c>
      <c r="EG156" s="6">
        <f>SUMIF('Eredeti fejléccel'!$B:$B,'Felosztás eredménykim'!$B156,'Eredeti fejléccel'!$CC:$CC)</f>
        <v>0</v>
      </c>
      <c r="EH156" s="6">
        <f>SUMIF('Eredeti fejléccel'!$B:$B,'Felosztás eredménykim'!$B156,'Eredeti fejléccel'!$CD:$CD)</f>
        <v>0</v>
      </c>
      <c r="EK156" s="6">
        <f>SUMIF('Eredeti fejléccel'!$B:$B,'Felosztás eredménykim'!$B156,'Eredeti fejléccel'!$CE:$CE)</f>
        <v>0</v>
      </c>
      <c r="EN156" s="6">
        <f>SUMIF('Eredeti fejléccel'!$B:$B,'Felosztás eredménykim'!$B156,'Eredeti fejléccel'!$CF:$CF)</f>
        <v>0</v>
      </c>
      <c r="EP156" s="6">
        <f>SUMIF('Eredeti fejléccel'!$B:$B,'Felosztás eredménykim'!$B156,'Eredeti fejléccel'!$CG:$CG)</f>
        <v>0</v>
      </c>
      <c r="ES156" s="6">
        <f>SUMIF('Eredeti fejléccel'!$B:$B,'Felosztás eredménykim'!$B156,'Eredeti fejléccel'!$CH:$CH)</f>
        <v>0</v>
      </c>
      <c r="ET156" s="6">
        <f>SUMIF('Eredeti fejléccel'!$B:$B,'Felosztás eredménykim'!$B156,'Eredeti fejléccel'!$CI:$CI)</f>
        <v>0</v>
      </c>
      <c r="EW156" s="8">
        <f t="shared" si="288"/>
        <v>0</v>
      </c>
      <c r="EX156" s="8">
        <f t="shared" si="243"/>
        <v>0</v>
      </c>
      <c r="EY156" s="8">
        <f t="shared" si="244"/>
        <v>0</v>
      </c>
      <c r="EZ156" s="8">
        <f t="shared" si="289"/>
        <v>0</v>
      </c>
      <c r="FA156" s="8">
        <f t="shared" si="290"/>
        <v>0</v>
      </c>
      <c r="FC156" s="6">
        <f>SUMIF('Eredeti fejléccel'!$B:$B,'Felosztás eredménykim'!$B156,'Eredeti fejléccel'!$L:$L)</f>
        <v>0</v>
      </c>
      <c r="FD156" s="6">
        <f>SUMIF('Eredeti fejléccel'!$B:$B,'Felosztás eredménykim'!$B156,'Eredeti fejléccel'!$CJ:$CJ)</f>
        <v>0</v>
      </c>
      <c r="FE156" s="6">
        <f>SUMIF('Eredeti fejléccel'!$B:$B,'Felosztás eredménykim'!$B156,'Eredeti fejléccel'!$CL:$CL)</f>
        <v>0</v>
      </c>
      <c r="FG156" s="99">
        <f t="shared" si="245"/>
        <v>0</v>
      </c>
      <c r="FH156" s="6">
        <f>SUMIF('Eredeti fejléccel'!$B:$B,'Felosztás eredménykim'!$B156,'Eredeti fejléccel'!$CK:$CK)</f>
        <v>0</v>
      </c>
      <c r="FI156" s="36">
        <f t="shared" si="228"/>
        <v>0</v>
      </c>
      <c r="FJ156" s="101">
        <f t="shared" si="229"/>
        <v>0</v>
      </c>
      <c r="FK156" s="6">
        <f>SUMIF('Eredeti fejléccel'!$B:$B,'Felosztás eredménykim'!$B156,'Eredeti fejléccel'!$CM:$CM)</f>
        <v>0</v>
      </c>
      <c r="FL156" s="6">
        <f>SUMIF('Eredeti fejléccel'!$B:$B,'Felosztás eredménykim'!$B156,'Eredeti fejléccel'!$CN:$CN)</f>
        <v>0</v>
      </c>
      <c r="FM156" s="8">
        <f t="shared" si="246"/>
        <v>0</v>
      </c>
      <c r="FN156" s="36">
        <f t="shared" si="230"/>
        <v>0</v>
      </c>
      <c r="FO156" s="101">
        <f t="shared" si="231"/>
        <v>0</v>
      </c>
      <c r="FP156" s="6">
        <f>SUMIF('Eredeti fejléccel'!$B:$B,'Felosztás eredménykim'!$B156,'Eredeti fejléccel'!$CO:$CO)</f>
        <v>0</v>
      </c>
      <c r="FQ156" s="6">
        <f>'Eredeti fejléccel'!CP156</f>
        <v>0</v>
      </c>
      <c r="FR156" s="6">
        <f>'Eredeti fejléccel'!CQ156</f>
        <v>0</v>
      </c>
      <c r="FS156" s="103">
        <f t="shared" si="247"/>
        <v>0</v>
      </c>
      <c r="FT156" s="36">
        <f t="shared" si="232"/>
        <v>0</v>
      </c>
      <c r="FU156" s="101">
        <f t="shared" si="233"/>
        <v>0</v>
      </c>
      <c r="FV156" s="101"/>
      <c r="FW156" s="6">
        <f>SUMIF('Eredeti fejléccel'!$B:$B,'Felosztás eredménykim'!$B156,'Eredeti fejléccel'!$CR:$CR)</f>
        <v>0</v>
      </c>
      <c r="FX156" s="6">
        <f>SUMIF('Eredeti fejléccel'!$B:$B,'Felosztás eredménykim'!$B156,'Eredeti fejléccel'!$CS:$CS)</f>
        <v>0</v>
      </c>
      <c r="FY156" s="6">
        <f>SUMIF('Eredeti fejléccel'!$B:$B,'Felosztás eredménykim'!$B156,'Eredeti fejléccel'!$CT:$CT)</f>
        <v>0</v>
      </c>
      <c r="FZ156" s="6">
        <f>SUMIF('Eredeti fejléccel'!$B:$B,'Felosztás eredménykim'!$B156,'Eredeti fejléccel'!$CU:$CU)</f>
        <v>0</v>
      </c>
      <c r="GA156" s="103">
        <f t="shared" si="248"/>
        <v>0</v>
      </c>
      <c r="GB156" s="36">
        <f t="shared" si="234"/>
        <v>0</v>
      </c>
      <c r="GC156" s="101">
        <f t="shared" si="235"/>
        <v>0</v>
      </c>
      <c r="GD156" s="6">
        <f>SUMIF('Eredeti fejléccel'!$B:$B,'Felosztás eredménykim'!$B156,'Eredeti fejléccel'!$CV:$CV)</f>
        <v>0</v>
      </c>
      <c r="GE156" s="6">
        <f>SUMIF('Eredeti fejléccel'!$B:$B,'Felosztás eredménykim'!$B156,'Eredeti fejléccel'!$CW:$CW)</f>
        <v>0</v>
      </c>
      <c r="GF156" s="103">
        <f t="shared" si="249"/>
        <v>0</v>
      </c>
      <c r="GG156" s="36">
        <f t="shared" si="236"/>
        <v>0</v>
      </c>
      <c r="GM156" s="6">
        <f>SUMIF('Eredeti fejléccel'!$B:$B,'Felosztás eredménykim'!$B156,'Eredeti fejléccel'!$CX:$CX)</f>
        <v>0</v>
      </c>
      <c r="GN156" s="6">
        <f>SUMIF('Eredeti fejléccel'!$B:$B,'Felosztás eredménykim'!$B156,'Eredeti fejléccel'!$CY:$CY)</f>
        <v>0</v>
      </c>
      <c r="GO156" s="6">
        <f>SUMIF('Eredeti fejléccel'!$B:$B,'Felosztás eredménykim'!$B156,'Eredeti fejléccel'!$CZ:$CZ)</f>
        <v>0</v>
      </c>
      <c r="GP156" s="6">
        <f>SUMIF('Eredeti fejléccel'!$B:$B,'Felosztás eredménykim'!$B156,'Eredeti fejléccel'!$DA:$DA)</f>
        <v>0</v>
      </c>
      <c r="GQ156" s="6">
        <f>SUMIF('Eredeti fejléccel'!$B:$B,'Felosztás eredménykim'!$B156,'Eredeti fejléccel'!$DB:$DB)</f>
        <v>0</v>
      </c>
      <c r="GR156" s="103">
        <f t="shared" si="250"/>
        <v>0</v>
      </c>
      <c r="GW156" s="36">
        <f t="shared" si="237"/>
        <v>0</v>
      </c>
      <c r="GX156" s="6">
        <f>SUMIF('Eredeti fejléccel'!$B:$B,'Felosztás eredménykim'!$B156,'Eredeti fejléccel'!$M:$M)</f>
        <v>0</v>
      </c>
      <c r="GY156" s="6">
        <f>SUMIF('Eredeti fejléccel'!$B:$B,'Felosztás eredménykim'!$B156,'Eredeti fejléccel'!$DC:$DC)</f>
        <v>0</v>
      </c>
      <c r="GZ156" s="6">
        <f>SUMIF('Eredeti fejléccel'!$B:$B,'Felosztás eredménykim'!$B156,'Eredeti fejléccel'!$DD:$DD)</f>
        <v>0</v>
      </c>
      <c r="HA156" s="6">
        <f>SUMIF('Eredeti fejléccel'!$B:$B,'Felosztás eredménykim'!$B156,'Eredeti fejléccel'!$DE:$DE)</f>
        <v>0</v>
      </c>
      <c r="HB156" s="103">
        <f t="shared" si="251"/>
        <v>0</v>
      </c>
      <c r="HD156" s="9">
        <f t="shared" si="256"/>
        <v>616000</v>
      </c>
      <c r="HE156" s="9">
        <v>616000</v>
      </c>
      <c r="HF156" s="476"/>
      <c r="HH156" s="34">
        <f t="shared" si="252"/>
        <v>0</v>
      </c>
    </row>
    <row r="157" spans="1:218" x14ac:dyDescent="0.25">
      <c r="A157" s="4" t="s">
        <v>860</v>
      </c>
      <c r="B157" s="4" t="s">
        <v>860</v>
      </c>
      <c r="D157" s="6">
        <f>SUMIF('Eredeti fejléccel'!$B:$B,'Felosztás eredménykim'!$B157,'Eredeti fejléccel'!$D:$D)</f>
        <v>0</v>
      </c>
      <c r="E157" s="6">
        <f>SUMIF('Eredeti fejléccel'!$B:$B,'Felosztás eredménykim'!$B157,'Eredeti fejléccel'!$E:$E)</f>
        <v>0</v>
      </c>
      <c r="F157" s="6">
        <f>SUMIF('Eredeti fejléccel'!$B:$B,'Felosztás eredménykim'!$B157,'Eredeti fejléccel'!$F:$F)</f>
        <v>0</v>
      </c>
      <c r="G157" s="6">
        <f>SUMIF('Eredeti fejléccel'!$B:$B,'Felosztás eredménykim'!$B157,'Eredeti fejléccel'!$G:$G)</f>
        <v>0</v>
      </c>
      <c r="H157" s="6"/>
      <c r="I157" s="6">
        <f>SUMIF('Eredeti fejléccel'!$B:$B,'Felosztás eredménykim'!$B157,'Eredeti fejléccel'!$O:$O)</f>
        <v>0</v>
      </c>
      <c r="J157" s="6">
        <f>SUMIF('Eredeti fejléccel'!$B:$B,'Felosztás eredménykim'!$B157,'Eredeti fejléccel'!$P:$P)</f>
        <v>0</v>
      </c>
      <c r="K157" s="6">
        <f>SUMIF('Eredeti fejléccel'!$B:$B,'Felosztás eredménykim'!$B157,'Eredeti fejléccel'!$Q:$Q)</f>
        <v>0</v>
      </c>
      <c r="L157" s="6">
        <f>SUMIF('Eredeti fejléccel'!$B:$B,'Felosztás eredménykim'!$B157,'Eredeti fejléccel'!$R:$R)</f>
        <v>0</v>
      </c>
      <c r="M157" s="6">
        <f>SUMIF('Eredeti fejléccel'!$B:$B,'Felosztás eredménykim'!$B157,'Eredeti fejléccel'!$T:$T)</f>
        <v>0</v>
      </c>
      <c r="N157" s="6">
        <f>SUMIF('Eredeti fejléccel'!$B:$B,'Felosztás eredménykim'!$B157,'Eredeti fejléccel'!$U:$U)</f>
        <v>0</v>
      </c>
      <c r="O157" s="6">
        <f>SUMIF('Eredeti fejléccel'!$B:$B,'Felosztás eredménykim'!$B157,'Eredeti fejléccel'!$V:$V)</f>
        <v>0</v>
      </c>
      <c r="P157" s="6">
        <f>SUMIF('Eredeti fejléccel'!$B:$B,'Felosztás eredménykim'!$B157,'Eredeti fejléccel'!$W:$W)</f>
        <v>0</v>
      </c>
      <c r="Q157" s="6">
        <f>SUMIF('Eredeti fejléccel'!$B:$B,'Felosztás eredménykim'!$B157,'Eredeti fejléccel'!$X:$X)</f>
        <v>0</v>
      </c>
      <c r="R157" s="6">
        <f>SUMIF('Eredeti fejléccel'!$B:$B,'Felosztás eredménykim'!$B157,'Eredeti fejléccel'!$Y:$Y)</f>
        <v>0</v>
      </c>
      <c r="S157" s="6">
        <f>SUMIF('Eredeti fejléccel'!$B:$B,'Felosztás eredménykim'!$B157,'Eredeti fejléccel'!$Z:$Z)</f>
        <v>0</v>
      </c>
      <c r="T157" s="6">
        <f>SUMIF('Eredeti fejléccel'!$B:$B,'Felosztás eredménykim'!$B157,'Eredeti fejléccel'!$AA:$AA)</f>
        <v>0</v>
      </c>
      <c r="U157" s="6">
        <f>SUMIF('Eredeti fejléccel'!$B:$B,'Felosztás eredménykim'!$B157,'Eredeti fejléccel'!$D:$D)</f>
        <v>0</v>
      </c>
      <c r="V157" s="6">
        <f>SUMIF('Eredeti fejléccel'!$B:$B,'Felosztás eredménykim'!$B157,'Eredeti fejléccel'!$AT:$AT)</f>
        <v>-47327</v>
      </c>
      <c r="W157" s="36">
        <f t="shared" si="302"/>
        <v>47327</v>
      </c>
      <c r="X157" s="36">
        <f t="shared" si="211"/>
        <v>0</v>
      </c>
      <c r="Z157" s="6">
        <f>SUMIF('Eredeti fejléccel'!$B:$B,'Felosztás eredménykim'!$B157,'Eredeti fejléccel'!$K:$K)</f>
        <v>0</v>
      </c>
      <c r="AB157" s="6">
        <f>SUMIF('Eredeti fejléccel'!$B:$B,'Felosztás eredménykim'!$B157,'Eredeti fejléccel'!$AB:$AB)</f>
        <v>0</v>
      </c>
      <c r="AC157" s="6">
        <f>SUMIF('Eredeti fejléccel'!$B:$B,'Felosztás eredménykim'!$B157,'Eredeti fejléccel'!$AQ:$AQ)</f>
        <v>0</v>
      </c>
      <c r="AE157" s="73">
        <f t="shared" si="299"/>
        <v>0</v>
      </c>
      <c r="AF157" s="36">
        <f t="shared" si="212"/>
        <v>0</v>
      </c>
      <c r="AG157" s="8">
        <f t="shared" si="213"/>
        <v>0</v>
      </c>
      <c r="AI157" s="6">
        <f>SUMIF('Eredeti fejléccel'!$B:$B,'Felosztás eredménykim'!$B157,'Eredeti fejléccel'!$BB:$BB)</f>
        <v>0</v>
      </c>
      <c r="AJ157" s="6">
        <f>SUMIF('Eredeti fejléccel'!$B:$B,'Felosztás eredménykim'!$B157,'Eredeti fejléccel'!$AF:$AF)</f>
        <v>0</v>
      </c>
      <c r="AK157" s="8">
        <f t="shared" si="177"/>
        <v>0</v>
      </c>
      <c r="AL157" s="36">
        <f t="shared" si="214"/>
        <v>0</v>
      </c>
      <c r="AM157" s="8">
        <f t="shared" si="215"/>
        <v>0</v>
      </c>
      <c r="AN157" s="6">
        <f t="shared" si="291"/>
        <v>0</v>
      </c>
      <c r="AO157" s="6">
        <f>SUMIF('Eredeti fejléccel'!$B:$B,'Felosztás eredménykim'!$B157,'Eredeti fejléccel'!$AC:$AC)</f>
        <v>0</v>
      </c>
      <c r="AP157" s="6">
        <f>SUMIF('Eredeti fejléccel'!$B:$B,'Felosztás eredménykim'!$B157,'Eredeti fejléccel'!$AD:$AD)</f>
        <v>0</v>
      </c>
      <c r="AQ157" s="6">
        <f>SUMIF('Eredeti fejléccel'!$B:$B,'Felosztás eredménykim'!$B157,'Eredeti fejléccel'!$AE:$AE)</f>
        <v>0</v>
      </c>
      <c r="AR157" s="6">
        <f>SUMIF('Eredeti fejléccel'!$B:$B,'Felosztás eredménykim'!$B157,'Eredeti fejléccel'!$AG:$AG)</f>
        <v>0</v>
      </c>
      <c r="AS157" s="6">
        <f t="shared" si="292"/>
        <v>0</v>
      </c>
      <c r="AT157" s="36">
        <f t="shared" si="216"/>
        <v>0</v>
      </c>
      <c r="AU157" s="8">
        <f t="shared" si="217"/>
        <v>0</v>
      </c>
      <c r="AV157" s="6">
        <f>SUMIF('Eredeti fejléccel'!$B:$B,'Felosztás eredménykim'!$B157,'Eredeti fejléccel'!$AI:$AI)</f>
        <v>0</v>
      </c>
      <c r="AW157" s="6">
        <f>SUMIF('Eredeti fejléccel'!$B:$B,'Felosztás eredménykim'!$B157,'Eredeti fejléccel'!$AJ:$AJ)</f>
        <v>0</v>
      </c>
      <c r="AX157" s="6">
        <f>SUMIF('Eredeti fejléccel'!$B:$B,'Felosztás eredménykim'!$B157,'Eredeti fejléccel'!$AK:$AK)</f>
        <v>0</v>
      </c>
      <c r="AY157" s="6">
        <f>SUMIF('Eredeti fejléccel'!$B:$B,'Felosztás eredménykim'!$B157,'Eredeti fejléccel'!$AL:$AL)</f>
        <v>0</v>
      </c>
      <c r="AZ157" s="6">
        <f>SUMIF('Eredeti fejléccel'!$B:$B,'Felosztás eredménykim'!$B157,'Eredeti fejléccel'!$AM:$AM)</f>
        <v>0</v>
      </c>
      <c r="BA157" s="6">
        <f>SUMIF('Eredeti fejléccel'!$B:$B,'Felosztás eredménykim'!$B157,'Eredeti fejléccel'!$AN:$AN)</f>
        <v>0</v>
      </c>
      <c r="BB157" s="6">
        <f>SUMIF('Eredeti fejléccel'!$B:$B,'Felosztás eredménykim'!$B157,'Eredeti fejléccel'!$AP:$AP)</f>
        <v>0</v>
      </c>
      <c r="BD157" s="6">
        <f>SUMIF('Eredeti fejléccel'!$B:$B,'Felosztás eredménykim'!$B157,'Eredeti fejléccel'!$AS:$AS)</f>
        <v>0</v>
      </c>
      <c r="BE157" s="8">
        <f t="shared" si="238"/>
        <v>0</v>
      </c>
      <c r="BF157" s="36">
        <f t="shared" si="218"/>
        <v>0</v>
      </c>
      <c r="BG157" s="8">
        <f t="shared" si="219"/>
        <v>0</v>
      </c>
      <c r="BH157" s="6">
        <f t="shared" si="293"/>
        <v>0</v>
      </c>
      <c r="BI157" s="6">
        <f>SUMIF('Eredeti fejléccel'!$B:$B,'Felosztás eredménykim'!$B157,'Eredeti fejléccel'!$AH:$AH)</f>
        <v>0</v>
      </c>
      <c r="BJ157" s="6">
        <f>SUMIF('Eredeti fejléccel'!$B:$B,'Felosztás eredménykim'!$B157,'Eredeti fejléccel'!$AO:$AO)</f>
        <v>0</v>
      </c>
      <c r="BK157" s="6">
        <f>SUMIF('Eredeti fejléccel'!$B:$B,'Felosztás eredménykim'!$B157,'Eredeti fejléccel'!$BF:$BF)</f>
        <v>0</v>
      </c>
      <c r="BL157" s="8">
        <f t="shared" si="294"/>
        <v>0</v>
      </c>
      <c r="BM157" s="36">
        <f t="shared" si="220"/>
        <v>0</v>
      </c>
      <c r="BN157" s="8">
        <f t="shared" si="221"/>
        <v>0</v>
      </c>
      <c r="BP157" s="8">
        <f t="shared" si="295"/>
        <v>0</v>
      </c>
      <c r="BQ157" s="6">
        <f>SUMIF('Eredeti fejléccel'!$B:$B,'Felosztás eredménykim'!$B157,'Eredeti fejléccel'!$N:$N)</f>
        <v>0</v>
      </c>
      <c r="BR157" s="6">
        <f>SUMIF('Eredeti fejléccel'!$B:$B,'Felosztás eredménykim'!$B157,'Eredeti fejléccel'!$S:$S)</f>
        <v>0</v>
      </c>
      <c r="BT157" s="6">
        <f>SUMIF('Eredeti fejléccel'!$B:$B,'Felosztás eredménykim'!$B157,'Eredeti fejléccel'!$AR:$AR)</f>
        <v>0</v>
      </c>
      <c r="BU157" s="6">
        <f>SUMIF('Eredeti fejléccel'!$B:$B,'Felosztás eredménykim'!$B157,'Eredeti fejléccel'!$AU:$AU)</f>
        <v>0</v>
      </c>
      <c r="BV157" s="6">
        <f>SUMIF('Eredeti fejléccel'!$B:$B,'Felosztás eredménykim'!$B157,'Eredeti fejléccel'!$AV:$AV)</f>
        <v>0</v>
      </c>
      <c r="BW157" s="6">
        <f>SUMIF('Eredeti fejléccel'!$B:$B,'Felosztás eredménykim'!$B157,'Eredeti fejléccel'!$AW:$AW)</f>
        <v>0</v>
      </c>
      <c r="BX157" s="6">
        <f>SUMIF('Eredeti fejléccel'!$B:$B,'Felosztás eredménykim'!$B157,'Eredeti fejléccel'!$AX:$AX)</f>
        <v>0</v>
      </c>
      <c r="BY157" s="6">
        <f>SUMIF('Eredeti fejléccel'!$B:$B,'Felosztás eredménykim'!$B157,'Eredeti fejléccel'!$AY:$AY)</f>
        <v>0</v>
      </c>
      <c r="BZ157" s="6">
        <f>SUMIF('Eredeti fejléccel'!$B:$B,'Felosztás eredménykim'!$B157,'Eredeti fejléccel'!$AZ:$AZ)</f>
        <v>0</v>
      </c>
      <c r="CA157" s="6">
        <f>SUMIF('Eredeti fejléccel'!$B:$B,'Felosztás eredménykim'!$B157,'Eredeti fejléccel'!$BA:$BA)</f>
        <v>0</v>
      </c>
      <c r="CB157" s="6">
        <f t="shared" si="253"/>
        <v>0</v>
      </c>
      <c r="CC157" s="36">
        <f t="shared" si="222"/>
        <v>0</v>
      </c>
      <c r="CD157" s="8">
        <f t="shared" si="223"/>
        <v>0</v>
      </c>
      <c r="CE157" s="6">
        <f>SUMIF('Eredeti fejléccel'!$B:$B,'Felosztás eredménykim'!$B157,'Eredeti fejléccel'!$BC:$BC)</f>
        <v>0</v>
      </c>
      <c r="CF157" s="8">
        <f t="shared" si="300"/>
        <v>0</v>
      </c>
      <c r="CG157" s="6">
        <f>SUMIF('Eredeti fejléccel'!$B:$B,'Felosztás eredménykim'!$B157,'Eredeti fejléccel'!$H:$H)</f>
        <v>0</v>
      </c>
      <c r="CH157" s="6">
        <f>SUMIF('Eredeti fejléccel'!$B:$B,'Felosztás eredménykim'!$B157,'Eredeti fejléccel'!$BE:$BE)</f>
        <v>0</v>
      </c>
      <c r="CI157" s="6">
        <f t="shared" si="239"/>
        <v>0</v>
      </c>
      <c r="CJ157" s="36">
        <f t="shared" si="224"/>
        <v>0</v>
      </c>
      <c r="CK157" s="8">
        <f t="shared" si="225"/>
        <v>0</v>
      </c>
      <c r="CL157" s="8">
        <f t="shared" si="301"/>
        <v>0</v>
      </c>
      <c r="CM157" s="6">
        <f>SUMIF('Eredeti fejléccel'!$B:$B,'Felosztás eredménykim'!$B157,'Eredeti fejléccel'!$BD:$BD)</f>
        <v>0</v>
      </c>
      <c r="CN157" s="8">
        <f t="shared" si="240"/>
        <v>0</v>
      </c>
      <c r="CO157" s="8">
        <f t="shared" si="254"/>
        <v>0</v>
      </c>
      <c r="CR157" s="36">
        <f t="shared" si="226"/>
        <v>0</v>
      </c>
      <c r="CS157" s="6">
        <f>SUMIF('Eredeti fejléccel'!$B:$B,'Felosztás eredménykim'!$B157,'Eredeti fejléccel'!$I:$I)</f>
        <v>0</v>
      </c>
      <c r="CT157" s="6">
        <f>SUMIF('Eredeti fejléccel'!$B:$B,'Felosztás eredménykim'!$B157,'Eredeti fejléccel'!$BG:$BG)</f>
        <v>0</v>
      </c>
      <c r="CU157" s="6">
        <f>SUMIF('Eredeti fejléccel'!$B:$B,'Felosztás eredménykim'!$B157,'Eredeti fejléccel'!$BH:$BH)</f>
        <v>0</v>
      </c>
      <c r="CV157" s="6">
        <f>SUMIF('Eredeti fejléccel'!$B:$B,'Felosztás eredménykim'!$B157,'Eredeti fejléccel'!$BI:$BI)</f>
        <v>0</v>
      </c>
      <c r="CW157" s="6">
        <f>SUMIF('Eredeti fejléccel'!$B:$B,'Felosztás eredménykim'!$B157,'Eredeti fejléccel'!$BL:$BL)</f>
        <v>0</v>
      </c>
      <c r="CX157" s="6">
        <f t="shared" si="241"/>
        <v>0</v>
      </c>
      <c r="CY157" s="6">
        <f>SUMIF('Eredeti fejléccel'!$B:$B,'Felosztás eredménykim'!$B157,'Eredeti fejléccel'!$BJ:$BJ)</f>
        <v>0</v>
      </c>
      <c r="CZ157" s="6">
        <f>SUMIF('Eredeti fejléccel'!$B:$B,'Felosztás eredménykim'!$B157,'Eredeti fejléccel'!$BK:$BK)</f>
        <v>0</v>
      </c>
      <c r="DA157" s="99">
        <f t="shared" si="242"/>
        <v>0</v>
      </c>
      <c r="DC157" s="36">
        <f t="shared" si="227"/>
        <v>0</v>
      </c>
      <c r="DD157" s="6">
        <f>SUMIF('Eredeti fejléccel'!$B:$B,'Felosztás eredménykim'!$B157,'Eredeti fejléccel'!$J:$J)</f>
        <v>0</v>
      </c>
      <c r="DE157" s="6">
        <f>SUMIF('Eredeti fejléccel'!$B:$B,'Felosztás eredménykim'!$B157,'Eredeti fejléccel'!$BM:$BM)</f>
        <v>0</v>
      </c>
      <c r="DF157" s="6">
        <f t="shared" si="296"/>
        <v>0</v>
      </c>
      <c r="DG157" s="8">
        <f t="shared" si="255"/>
        <v>0</v>
      </c>
      <c r="DH157" s="8">
        <f t="shared" si="297"/>
        <v>0</v>
      </c>
      <c r="DJ157" s="6">
        <f>SUMIF('Eredeti fejléccel'!$B:$B,'Felosztás eredménykim'!$B157,'Eredeti fejléccel'!$BN:$BN)</f>
        <v>0</v>
      </c>
      <c r="DK157" s="6">
        <f>SUMIF('Eredeti fejléccel'!$B:$B,'Felosztás eredménykim'!$B157,'Eredeti fejléccel'!$BZ:$BZ)</f>
        <v>0</v>
      </c>
      <c r="DL157" s="8">
        <f t="shared" si="298"/>
        <v>0</v>
      </c>
      <c r="DM157" s="6">
        <f>SUMIF('Eredeti fejléccel'!$B:$B,'Felosztás eredménykim'!$B157,'Eredeti fejléccel'!$BR:$BR)</f>
        <v>0</v>
      </c>
      <c r="DN157" s="6">
        <f>SUMIF('Eredeti fejléccel'!$B:$B,'Felosztás eredménykim'!$B157,'Eredeti fejléccel'!$BS:$BS)</f>
        <v>0</v>
      </c>
      <c r="DO157" s="6">
        <f>SUMIF('Eredeti fejléccel'!$B:$B,'Felosztás eredménykim'!$B157,'Eredeti fejléccel'!$BO:$BO)</f>
        <v>0</v>
      </c>
      <c r="DP157" s="6">
        <f>SUMIF('Eredeti fejléccel'!$B:$B,'Felosztás eredménykim'!$B157,'Eredeti fejléccel'!$BP:$BP)</f>
        <v>0</v>
      </c>
      <c r="DQ157" s="6">
        <f>SUMIF('Eredeti fejléccel'!$B:$B,'Felosztás eredménykim'!$B157,'Eredeti fejléccel'!$BQ:$BQ)</f>
        <v>0</v>
      </c>
      <c r="DS157" s="8"/>
      <c r="DU157" s="6">
        <f>SUMIF('Eredeti fejléccel'!$B:$B,'Felosztás eredménykim'!$B157,'Eredeti fejléccel'!$BT:$BT)</f>
        <v>0</v>
      </c>
      <c r="DV157" s="6">
        <f>SUMIF('Eredeti fejléccel'!$B:$B,'Felosztás eredménykim'!$B157,'Eredeti fejléccel'!$BU:$BU)</f>
        <v>0</v>
      </c>
      <c r="DW157" s="6">
        <f>SUMIF('Eredeti fejléccel'!$B:$B,'Felosztás eredménykim'!$B157,'Eredeti fejléccel'!$BV:$BV)</f>
        <v>0</v>
      </c>
      <c r="DX157" s="6">
        <f>SUMIF('Eredeti fejléccel'!$B:$B,'Felosztás eredménykim'!$B157,'Eredeti fejléccel'!$BW:$BW)</f>
        <v>0</v>
      </c>
      <c r="DY157" s="6">
        <f>SUMIF('Eredeti fejléccel'!$B:$B,'Felosztás eredménykim'!$B157,'Eredeti fejléccel'!$BX:$BX)</f>
        <v>0</v>
      </c>
      <c r="EA157" s="6"/>
      <c r="EC157" s="6"/>
      <c r="EE157" s="6">
        <f>SUMIF('Eredeti fejléccel'!$B:$B,'Felosztás eredménykim'!$B157,'Eredeti fejléccel'!$CA:$CA)</f>
        <v>0</v>
      </c>
      <c r="EF157" s="6">
        <f>SUMIF('Eredeti fejléccel'!$B:$B,'Felosztás eredménykim'!$B157,'Eredeti fejléccel'!$CB:$CB)</f>
        <v>0</v>
      </c>
      <c r="EG157" s="6">
        <f>SUMIF('Eredeti fejléccel'!$B:$B,'Felosztás eredménykim'!$B157,'Eredeti fejléccel'!$CC:$CC)</f>
        <v>0</v>
      </c>
      <c r="EH157" s="6">
        <f>SUMIF('Eredeti fejléccel'!$B:$B,'Felosztás eredménykim'!$B157,'Eredeti fejléccel'!$CD:$CD)</f>
        <v>0</v>
      </c>
      <c r="EK157" s="6">
        <f>SUMIF('Eredeti fejléccel'!$B:$B,'Felosztás eredménykim'!$B157,'Eredeti fejléccel'!$CE:$CE)</f>
        <v>0</v>
      </c>
      <c r="EN157" s="6">
        <f>SUMIF('Eredeti fejléccel'!$B:$B,'Felosztás eredménykim'!$B157,'Eredeti fejléccel'!$CF:$CF)</f>
        <v>0</v>
      </c>
      <c r="EP157" s="6">
        <f>SUMIF('Eredeti fejléccel'!$B:$B,'Felosztás eredménykim'!$B157,'Eredeti fejléccel'!$CG:$CG)</f>
        <v>0</v>
      </c>
      <c r="ES157" s="6">
        <f>SUMIF('Eredeti fejléccel'!$B:$B,'Felosztás eredménykim'!$B157,'Eredeti fejléccel'!$CH:$CH)</f>
        <v>0</v>
      </c>
      <c r="ET157" s="6">
        <f>SUMIF('Eredeti fejléccel'!$B:$B,'Felosztás eredménykim'!$B157,'Eredeti fejléccel'!$CI:$CI)</f>
        <v>0</v>
      </c>
      <c r="EW157" s="8">
        <f t="shared" si="288"/>
        <v>0</v>
      </c>
      <c r="EX157" s="8">
        <f t="shared" si="243"/>
        <v>0</v>
      </c>
      <c r="EY157" s="8">
        <f t="shared" si="244"/>
        <v>0</v>
      </c>
      <c r="EZ157" s="8">
        <f t="shared" si="289"/>
        <v>0</v>
      </c>
      <c r="FA157" s="8">
        <f t="shared" si="290"/>
        <v>0</v>
      </c>
      <c r="FC157" s="6">
        <f>SUMIF('Eredeti fejléccel'!$B:$B,'Felosztás eredménykim'!$B157,'Eredeti fejléccel'!$L:$L)</f>
        <v>0</v>
      </c>
      <c r="FD157" s="6">
        <f>SUMIF('Eredeti fejléccel'!$B:$B,'Felosztás eredménykim'!$B157,'Eredeti fejléccel'!$CJ:$CJ)</f>
        <v>0</v>
      </c>
      <c r="FE157" s="6">
        <f>SUMIF('Eredeti fejléccel'!$B:$B,'Felosztás eredménykim'!$B157,'Eredeti fejléccel'!$CL:$CL)</f>
        <v>0</v>
      </c>
      <c r="FG157" s="99">
        <f t="shared" si="245"/>
        <v>0</v>
      </c>
      <c r="FH157" s="6">
        <f>SUMIF('Eredeti fejléccel'!$B:$B,'Felosztás eredménykim'!$B157,'Eredeti fejléccel'!$CK:$CK)</f>
        <v>0</v>
      </c>
      <c r="FI157" s="36">
        <f t="shared" si="228"/>
        <v>0</v>
      </c>
      <c r="FJ157" s="101">
        <f t="shared" si="229"/>
        <v>0</v>
      </c>
      <c r="FK157" s="6">
        <f>SUMIF('Eredeti fejléccel'!$B:$B,'Felosztás eredménykim'!$B157,'Eredeti fejléccel'!$CM:$CM)</f>
        <v>0</v>
      </c>
      <c r="FL157" s="6">
        <f>SUMIF('Eredeti fejléccel'!$B:$B,'Felosztás eredménykim'!$B157,'Eredeti fejléccel'!$CN:$CN)</f>
        <v>0</v>
      </c>
      <c r="FM157" s="8">
        <f t="shared" si="246"/>
        <v>0</v>
      </c>
      <c r="FN157" s="36">
        <f t="shared" si="230"/>
        <v>0</v>
      </c>
      <c r="FO157" s="101">
        <f t="shared" si="231"/>
        <v>0</v>
      </c>
      <c r="FP157" s="6">
        <f>SUMIF('Eredeti fejléccel'!$B:$B,'Felosztás eredménykim'!$B157,'Eredeti fejléccel'!$CO:$CO)</f>
        <v>0</v>
      </c>
      <c r="FQ157" s="6">
        <f>'Eredeti fejléccel'!CP157</f>
        <v>0</v>
      </c>
      <c r="FR157" s="6">
        <f>'Eredeti fejléccel'!CQ157</f>
        <v>0</v>
      </c>
      <c r="FS157" s="103">
        <f t="shared" si="247"/>
        <v>0</v>
      </c>
      <c r="FT157" s="36">
        <f t="shared" si="232"/>
        <v>0</v>
      </c>
      <c r="FU157" s="101">
        <f t="shared" si="233"/>
        <v>0</v>
      </c>
      <c r="FV157" s="101"/>
      <c r="FW157" s="6">
        <f>SUMIF('Eredeti fejléccel'!$B:$B,'Felosztás eredménykim'!$B157,'Eredeti fejléccel'!$CR:$CR)</f>
        <v>0</v>
      </c>
      <c r="FX157" s="6">
        <f>SUMIF('Eredeti fejléccel'!$B:$B,'Felosztás eredménykim'!$B157,'Eredeti fejléccel'!$CS:$CS)</f>
        <v>0</v>
      </c>
      <c r="FY157" s="6">
        <f>SUMIF('Eredeti fejléccel'!$B:$B,'Felosztás eredménykim'!$B157,'Eredeti fejléccel'!$CT:$CT)</f>
        <v>0</v>
      </c>
      <c r="FZ157" s="6">
        <f>SUMIF('Eredeti fejléccel'!$B:$B,'Felosztás eredménykim'!$B157,'Eredeti fejléccel'!$CU:$CU)</f>
        <v>0</v>
      </c>
      <c r="GA157" s="103">
        <f t="shared" si="248"/>
        <v>0</v>
      </c>
      <c r="GB157" s="36">
        <f t="shared" si="234"/>
        <v>0</v>
      </c>
      <c r="GC157" s="101">
        <f t="shared" si="235"/>
        <v>0</v>
      </c>
      <c r="GD157" s="6">
        <f>SUMIF('Eredeti fejléccel'!$B:$B,'Felosztás eredménykim'!$B157,'Eredeti fejléccel'!$CV:$CV)</f>
        <v>0</v>
      </c>
      <c r="GE157" s="6">
        <f>SUMIF('Eredeti fejléccel'!$B:$B,'Felosztás eredménykim'!$B157,'Eredeti fejléccel'!$CW:$CW)</f>
        <v>0</v>
      </c>
      <c r="GF157" s="103">
        <f t="shared" si="249"/>
        <v>0</v>
      </c>
      <c r="GG157" s="36">
        <f t="shared" si="236"/>
        <v>0</v>
      </c>
      <c r="GM157" s="6">
        <f>SUMIF('Eredeti fejléccel'!$B:$B,'Felosztás eredménykim'!$B157,'Eredeti fejléccel'!$CX:$CX)</f>
        <v>0</v>
      </c>
      <c r="GN157" s="6">
        <f>SUMIF('Eredeti fejléccel'!$B:$B,'Felosztás eredménykim'!$B157,'Eredeti fejléccel'!$CY:$CY)</f>
        <v>0</v>
      </c>
      <c r="GO157" s="6">
        <f>SUMIF('Eredeti fejléccel'!$B:$B,'Felosztás eredménykim'!$B157,'Eredeti fejléccel'!$CZ:$CZ)</f>
        <v>0</v>
      </c>
      <c r="GP157" s="6">
        <f>SUMIF('Eredeti fejléccel'!$B:$B,'Felosztás eredménykim'!$B157,'Eredeti fejléccel'!$DA:$DA)</f>
        <v>0</v>
      </c>
      <c r="GQ157" s="6">
        <f>SUMIF('Eredeti fejléccel'!$B:$B,'Felosztás eredménykim'!$B157,'Eredeti fejléccel'!$DB:$DB)</f>
        <v>0</v>
      </c>
      <c r="GR157" s="103">
        <f t="shared" si="250"/>
        <v>0</v>
      </c>
      <c r="GW157" s="36">
        <f t="shared" si="237"/>
        <v>0</v>
      </c>
      <c r="GX157" s="6">
        <f>SUMIF('Eredeti fejléccel'!$B:$B,'Felosztás eredménykim'!$B157,'Eredeti fejléccel'!$M:$M)</f>
        <v>0</v>
      </c>
      <c r="GY157" s="6">
        <f>SUMIF('Eredeti fejléccel'!$B:$B,'Felosztás eredménykim'!$B157,'Eredeti fejléccel'!$DC:$DC)</f>
        <v>0</v>
      </c>
      <c r="GZ157" s="6">
        <f>SUMIF('Eredeti fejléccel'!$B:$B,'Felosztás eredménykim'!$B157,'Eredeti fejléccel'!$DD:$DD)</f>
        <v>0</v>
      </c>
      <c r="HA157" s="6">
        <f>SUMIF('Eredeti fejléccel'!$B:$B,'Felosztás eredménykim'!$B157,'Eredeti fejléccel'!$DE:$DE)</f>
        <v>0</v>
      </c>
      <c r="HB157" s="103">
        <f t="shared" si="251"/>
        <v>0</v>
      </c>
      <c r="HD157" s="9">
        <f t="shared" si="256"/>
        <v>-47327</v>
      </c>
      <c r="HE157" s="9">
        <v>-47327</v>
      </c>
      <c r="HF157" s="476"/>
      <c r="HH157" s="34">
        <f t="shared" si="252"/>
        <v>0</v>
      </c>
    </row>
    <row r="158" spans="1:218" x14ac:dyDescent="0.25">
      <c r="A158" s="4" t="s">
        <v>861</v>
      </c>
      <c r="B158" s="4" t="s">
        <v>861</v>
      </c>
      <c r="D158" s="6">
        <f>SUMIF('Eredeti fejléccel'!$B:$B,'Felosztás eredménykim'!$B158,'Eredeti fejléccel'!$D:$D)</f>
        <v>0</v>
      </c>
      <c r="E158" s="6">
        <f>SUMIF('Eredeti fejléccel'!$B:$B,'Felosztás eredménykim'!$B158,'Eredeti fejléccel'!$E:$E)</f>
        <v>0</v>
      </c>
      <c r="F158" s="6">
        <f>SUMIF('Eredeti fejléccel'!$B:$B,'Felosztás eredménykim'!$B158,'Eredeti fejléccel'!$F:$F)</f>
        <v>0</v>
      </c>
      <c r="G158" s="6">
        <f>SUMIF('Eredeti fejléccel'!$B:$B,'Felosztás eredménykim'!$B158,'Eredeti fejléccel'!$G:$G)</f>
        <v>0</v>
      </c>
      <c r="H158" s="6"/>
      <c r="I158" s="6">
        <f>SUMIF('Eredeti fejléccel'!$B:$B,'Felosztás eredménykim'!$B158,'Eredeti fejléccel'!$O:$O)</f>
        <v>0</v>
      </c>
      <c r="J158" s="6">
        <f>SUMIF('Eredeti fejléccel'!$B:$B,'Felosztás eredménykim'!$B158,'Eredeti fejléccel'!$P:$P)</f>
        <v>0</v>
      </c>
      <c r="K158" s="6">
        <f>SUMIF('Eredeti fejléccel'!$B:$B,'Felosztás eredménykim'!$B158,'Eredeti fejléccel'!$Q:$Q)</f>
        <v>0</v>
      </c>
      <c r="L158" s="6">
        <f>SUMIF('Eredeti fejléccel'!$B:$B,'Felosztás eredménykim'!$B158,'Eredeti fejléccel'!$R:$R)</f>
        <v>0</v>
      </c>
      <c r="M158" s="6">
        <f>SUMIF('Eredeti fejléccel'!$B:$B,'Felosztás eredménykim'!$B158,'Eredeti fejléccel'!$T:$T)</f>
        <v>0</v>
      </c>
      <c r="N158" s="6">
        <f>SUMIF('Eredeti fejléccel'!$B:$B,'Felosztás eredménykim'!$B158,'Eredeti fejléccel'!$U:$U)</f>
        <v>0</v>
      </c>
      <c r="O158" s="6">
        <f>SUMIF('Eredeti fejléccel'!$B:$B,'Felosztás eredménykim'!$B158,'Eredeti fejléccel'!$V:$V)</f>
        <v>0</v>
      </c>
      <c r="P158" s="6">
        <f>SUMIF('Eredeti fejléccel'!$B:$B,'Felosztás eredménykim'!$B158,'Eredeti fejléccel'!$W:$W)</f>
        <v>0</v>
      </c>
      <c r="Q158" s="6">
        <f>SUMIF('Eredeti fejléccel'!$B:$B,'Felosztás eredménykim'!$B158,'Eredeti fejléccel'!$X:$X)</f>
        <v>0</v>
      </c>
      <c r="R158" s="6">
        <f>SUMIF('Eredeti fejléccel'!$B:$B,'Felosztás eredménykim'!$B158,'Eredeti fejléccel'!$Y:$Y)</f>
        <v>0</v>
      </c>
      <c r="S158" s="6">
        <f>SUMIF('Eredeti fejléccel'!$B:$B,'Felosztás eredménykim'!$B158,'Eredeti fejléccel'!$Z:$Z)</f>
        <v>0</v>
      </c>
      <c r="T158" s="6">
        <f>SUMIF('Eredeti fejléccel'!$B:$B,'Felosztás eredménykim'!$B158,'Eredeti fejléccel'!$AA:$AA)</f>
        <v>0</v>
      </c>
      <c r="U158" s="6">
        <f>SUMIF('Eredeti fejléccel'!$B:$B,'Felosztás eredménykim'!$B158,'Eredeti fejléccel'!$D:$D)</f>
        <v>0</v>
      </c>
      <c r="V158" s="6">
        <f>SUMIF('Eredeti fejléccel'!$B:$B,'Felosztás eredménykim'!$B158,'Eredeti fejléccel'!$AT:$AT)</f>
        <v>1340462.5600000005</v>
      </c>
      <c r="W158" s="36">
        <f t="shared" si="302"/>
        <v>-1340462.5600000005</v>
      </c>
      <c r="X158" s="36">
        <f t="shared" si="211"/>
        <v>0</v>
      </c>
      <c r="Z158" s="6">
        <f>SUMIF('Eredeti fejléccel'!$B:$B,'Felosztás eredménykim'!$B158,'Eredeti fejléccel'!$K:$K)</f>
        <v>0</v>
      </c>
      <c r="AB158" s="6">
        <f>SUMIF('Eredeti fejléccel'!$B:$B,'Felosztás eredménykim'!$B158,'Eredeti fejléccel'!$AB:$AB)</f>
        <v>0</v>
      </c>
      <c r="AC158" s="6">
        <f>SUMIF('Eredeti fejléccel'!$B:$B,'Felosztás eredménykim'!$B158,'Eredeti fejléccel'!$AQ:$AQ)</f>
        <v>0</v>
      </c>
      <c r="AE158" s="73">
        <f t="shared" si="299"/>
        <v>0</v>
      </c>
      <c r="AF158" s="36">
        <f t="shared" si="212"/>
        <v>0</v>
      </c>
      <c r="AG158" s="8">
        <f t="shared" si="213"/>
        <v>0</v>
      </c>
      <c r="AI158" s="6">
        <f>SUMIF('Eredeti fejléccel'!$B:$B,'Felosztás eredménykim'!$B158,'Eredeti fejléccel'!$BB:$BB)</f>
        <v>0</v>
      </c>
      <c r="AJ158" s="6">
        <f>SUMIF('Eredeti fejléccel'!$B:$B,'Felosztás eredménykim'!$B158,'Eredeti fejléccel'!$AF:$AF)</f>
        <v>0</v>
      </c>
      <c r="AK158" s="8">
        <f t="shared" si="177"/>
        <v>0</v>
      </c>
      <c r="AL158" s="36">
        <f t="shared" si="214"/>
        <v>0</v>
      </c>
      <c r="AM158" s="8">
        <f t="shared" si="215"/>
        <v>0</v>
      </c>
      <c r="AN158" s="6">
        <f t="shared" si="291"/>
        <v>0</v>
      </c>
      <c r="AO158" s="6">
        <f>SUMIF('Eredeti fejléccel'!$B:$B,'Felosztás eredménykim'!$B158,'Eredeti fejléccel'!$AC:$AC)</f>
        <v>0</v>
      </c>
      <c r="AP158" s="6">
        <f>SUMIF('Eredeti fejléccel'!$B:$B,'Felosztás eredménykim'!$B158,'Eredeti fejléccel'!$AD:$AD)</f>
        <v>0</v>
      </c>
      <c r="AQ158" s="6">
        <f>SUMIF('Eredeti fejléccel'!$B:$B,'Felosztás eredménykim'!$B158,'Eredeti fejléccel'!$AE:$AE)</f>
        <v>0</v>
      </c>
      <c r="AR158" s="6">
        <f>SUMIF('Eredeti fejléccel'!$B:$B,'Felosztás eredménykim'!$B158,'Eredeti fejléccel'!$AG:$AG)</f>
        <v>0</v>
      </c>
      <c r="AS158" s="6">
        <f t="shared" si="292"/>
        <v>0</v>
      </c>
      <c r="AT158" s="36">
        <f t="shared" si="216"/>
        <v>0</v>
      </c>
      <c r="AU158" s="8">
        <f t="shared" si="217"/>
        <v>0</v>
      </c>
      <c r="AV158" s="6">
        <f>SUMIF('Eredeti fejléccel'!$B:$B,'Felosztás eredménykim'!$B158,'Eredeti fejléccel'!$AI:$AI)</f>
        <v>0</v>
      </c>
      <c r="AW158" s="6">
        <f>SUMIF('Eredeti fejléccel'!$B:$B,'Felosztás eredménykim'!$B158,'Eredeti fejléccel'!$AJ:$AJ)</f>
        <v>0</v>
      </c>
      <c r="AX158" s="6">
        <f>SUMIF('Eredeti fejléccel'!$B:$B,'Felosztás eredménykim'!$B158,'Eredeti fejléccel'!$AK:$AK)</f>
        <v>0</v>
      </c>
      <c r="AY158" s="6">
        <f>SUMIF('Eredeti fejléccel'!$B:$B,'Felosztás eredménykim'!$B158,'Eredeti fejléccel'!$AL:$AL)</f>
        <v>0</v>
      </c>
      <c r="AZ158" s="6">
        <f>SUMIF('Eredeti fejléccel'!$B:$B,'Felosztás eredménykim'!$B158,'Eredeti fejléccel'!$AM:$AM)</f>
        <v>0</v>
      </c>
      <c r="BA158" s="6">
        <f>SUMIF('Eredeti fejléccel'!$B:$B,'Felosztás eredménykim'!$B158,'Eredeti fejléccel'!$AN:$AN)</f>
        <v>0</v>
      </c>
      <c r="BB158" s="6">
        <f>SUMIF('Eredeti fejléccel'!$B:$B,'Felosztás eredménykim'!$B158,'Eredeti fejléccel'!$AP:$AP)</f>
        <v>0</v>
      </c>
      <c r="BD158" s="6">
        <f>SUMIF('Eredeti fejléccel'!$B:$B,'Felosztás eredménykim'!$B158,'Eredeti fejléccel'!$AS:$AS)</f>
        <v>0</v>
      </c>
      <c r="BE158" s="8">
        <f t="shared" si="238"/>
        <v>0</v>
      </c>
      <c r="BF158" s="36">
        <f t="shared" si="218"/>
        <v>0</v>
      </c>
      <c r="BG158" s="8">
        <f t="shared" si="219"/>
        <v>0</v>
      </c>
      <c r="BH158" s="6">
        <f t="shared" si="293"/>
        <v>0</v>
      </c>
      <c r="BI158" s="6">
        <f>SUMIF('Eredeti fejléccel'!$B:$B,'Felosztás eredménykim'!$B158,'Eredeti fejléccel'!$AH:$AH)</f>
        <v>0</v>
      </c>
      <c r="BJ158" s="6">
        <f>SUMIF('Eredeti fejléccel'!$B:$B,'Felosztás eredménykim'!$B158,'Eredeti fejléccel'!$AO:$AO)</f>
        <v>0</v>
      </c>
      <c r="BK158" s="6">
        <f>SUMIF('Eredeti fejléccel'!$B:$B,'Felosztás eredménykim'!$B158,'Eredeti fejléccel'!$BF:$BF)</f>
        <v>0</v>
      </c>
      <c r="BL158" s="8">
        <f t="shared" si="294"/>
        <v>0</v>
      </c>
      <c r="BM158" s="36">
        <f t="shared" si="220"/>
        <v>0</v>
      </c>
      <c r="BN158" s="8">
        <f t="shared" si="221"/>
        <v>0</v>
      </c>
      <c r="BP158" s="8">
        <f t="shared" si="295"/>
        <v>0</v>
      </c>
      <c r="BQ158" s="6">
        <f>SUMIF('Eredeti fejléccel'!$B:$B,'Felosztás eredménykim'!$B158,'Eredeti fejléccel'!$N:$N)</f>
        <v>0</v>
      </c>
      <c r="BR158" s="6">
        <f>SUMIF('Eredeti fejléccel'!$B:$B,'Felosztás eredménykim'!$B158,'Eredeti fejléccel'!$S:$S)</f>
        <v>0</v>
      </c>
      <c r="BT158" s="6">
        <f>SUMIF('Eredeti fejléccel'!$B:$B,'Felosztás eredménykim'!$B158,'Eredeti fejléccel'!$AR:$AR)</f>
        <v>0</v>
      </c>
      <c r="BU158" s="6">
        <f>SUMIF('Eredeti fejléccel'!$B:$B,'Felosztás eredménykim'!$B158,'Eredeti fejléccel'!$AU:$AU)</f>
        <v>0</v>
      </c>
      <c r="BV158" s="6">
        <f>SUMIF('Eredeti fejléccel'!$B:$B,'Felosztás eredménykim'!$B158,'Eredeti fejléccel'!$AV:$AV)</f>
        <v>0</v>
      </c>
      <c r="BW158" s="6">
        <f>SUMIF('Eredeti fejléccel'!$B:$B,'Felosztás eredménykim'!$B158,'Eredeti fejléccel'!$AW:$AW)</f>
        <v>0</v>
      </c>
      <c r="BX158" s="6">
        <f>SUMIF('Eredeti fejléccel'!$B:$B,'Felosztás eredménykim'!$B158,'Eredeti fejléccel'!$AX:$AX)</f>
        <v>0</v>
      </c>
      <c r="BY158" s="6">
        <f>SUMIF('Eredeti fejléccel'!$B:$B,'Felosztás eredménykim'!$B158,'Eredeti fejléccel'!$AY:$AY)</f>
        <v>0</v>
      </c>
      <c r="BZ158" s="6">
        <f>SUMIF('Eredeti fejléccel'!$B:$B,'Felosztás eredménykim'!$B158,'Eredeti fejléccel'!$AZ:$AZ)</f>
        <v>0</v>
      </c>
      <c r="CA158" s="6">
        <f>SUMIF('Eredeti fejléccel'!$B:$B,'Felosztás eredménykim'!$B158,'Eredeti fejléccel'!$BA:$BA)</f>
        <v>0</v>
      </c>
      <c r="CB158" s="6">
        <f t="shared" si="253"/>
        <v>0</v>
      </c>
      <c r="CC158" s="36">
        <f t="shared" si="222"/>
        <v>0</v>
      </c>
      <c r="CD158" s="8">
        <f t="shared" si="223"/>
        <v>0</v>
      </c>
      <c r="CE158" s="6">
        <f>SUMIF('Eredeti fejléccel'!$B:$B,'Felosztás eredménykim'!$B158,'Eredeti fejléccel'!$BC:$BC)</f>
        <v>0</v>
      </c>
      <c r="CF158" s="8">
        <f t="shared" si="300"/>
        <v>0</v>
      </c>
      <c r="CG158" s="6">
        <f>SUMIF('Eredeti fejléccel'!$B:$B,'Felosztás eredménykim'!$B158,'Eredeti fejléccel'!$H:$H)</f>
        <v>0</v>
      </c>
      <c r="CH158" s="6">
        <f>SUMIF('Eredeti fejléccel'!$B:$B,'Felosztás eredménykim'!$B158,'Eredeti fejléccel'!$BE:$BE)</f>
        <v>0</v>
      </c>
      <c r="CI158" s="6">
        <f t="shared" si="239"/>
        <v>0</v>
      </c>
      <c r="CJ158" s="36">
        <f t="shared" si="224"/>
        <v>0</v>
      </c>
      <c r="CK158" s="8">
        <f t="shared" si="225"/>
        <v>0</v>
      </c>
      <c r="CL158" s="8">
        <f t="shared" si="301"/>
        <v>0</v>
      </c>
      <c r="CM158" s="6">
        <f>SUMIF('Eredeti fejléccel'!$B:$B,'Felosztás eredménykim'!$B158,'Eredeti fejléccel'!$BD:$BD)</f>
        <v>0</v>
      </c>
      <c r="CN158" s="8">
        <f t="shared" si="240"/>
        <v>0</v>
      </c>
      <c r="CO158" s="8">
        <f t="shared" si="254"/>
        <v>0</v>
      </c>
      <c r="CR158" s="36">
        <f t="shared" si="226"/>
        <v>0</v>
      </c>
      <c r="CS158" s="6">
        <f>SUMIF('Eredeti fejléccel'!$B:$B,'Felosztás eredménykim'!$B158,'Eredeti fejléccel'!$I:$I)</f>
        <v>0</v>
      </c>
      <c r="CT158" s="6">
        <f>SUMIF('Eredeti fejléccel'!$B:$B,'Felosztás eredménykim'!$B158,'Eredeti fejléccel'!$BG:$BG)</f>
        <v>0</v>
      </c>
      <c r="CU158" s="6">
        <f>SUMIF('Eredeti fejléccel'!$B:$B,'Felosztás eredménykim'!$B158,'Eredeti fejléccel'!$BH:$BH)</f>
        <v>0</v>
      </c>
      <c r="CV158" s="6">
        <f>SUMIF('Eredeti fejléccel'!$B:$B,'Felosztás eredménykim'!$B158,'Eredeti fejléccel'!$BI:$BI)</f>
        <v>0</v>
      </c>
      <c r="CW158" s="6">
        <f>SUMIF('Eredeti fejléccel'!$B:$B,'Felosztás eredménykim'!$B158,'Eredeti fejléccel'!$BL:$BL)</f>
        <v>0</v>
      </c>
      <c r="CX158" s="6">
        <f t="shared" si="241"/>
        <v>0</v>
      </c>
      <c r="CY158" s="6">
        <f>SUMIF('Eredeti fejléccel'!$B:$B,'Felosztás eredménykim'!$B158,'Eredeti fejléccel'!$BJ:$BJ)</f>
        <v>0</v>
      </c>
      <c r="CZ158" s="6">
        <f>SUMIF('Eredeti fejléccel'!$B:$B,'Felosztás eredménykim'!$B158,'Eredeti fejléccel'!$BK:$BK)</f>
        <v>0</v>
      </c>
      <c r="DA158" s="99">
        <f t="shared" si="242"/>
        <v>0</v>
      </c>
      <c r="DC158" s="36">
        <f t="shared" si="227"/>
        <v>0</v>
      </c>
      <c r="DD158" s="6">
        <f>SUMIF('Eredeti fejléccel'!$B:$B,'Felosztás eredménykim'!$B158,'Eredeti fejléccel'!$J:$J)</f>
        <v>0</v>
      </c>
      <c r="DE158" s="6">
        <f>SUMIF('Eredeti fejléccel'!$B:$B,'Felosztás eredménykim'!$B158,'Eredeti fejléccel'!$BM:$BM)</f>
        <v>0</v>
      </c>
      <c r="DF158" s="6">
        <f t="shared" si="296"/>
        <v>0</v>
      </c>
      <c r="DG158" s="8">
        <f t="shared" si="255"/>
        <v>0</v>
      </c>
      <c r="DH158" s="8">
        <f t="shared" si="297"/>
        <v>0</v>
      </c>
      <c r="DJ158" s="6">
        <f>SUMIF('Eredeti fejléccel'!$B:$B,'Felosztás eredménykim'!$B158,'Eredeti fejléccel'!$BN:$BN)</f>
        <v>0</v>
      </c>
      <c r="DK158" s="6">
        <f>SUMIF('Eredeti fejléccel'!$B:$B,'Felosztás eredménykim'!$B158,'Eredeti fejléccel'!$BZ:$BZ)</f>
        <v>0</v>
      </c>
      <c r="DL158" s="8">
        <f t="shared" si="298"/>
        <v>0</v>
      </c>
      <c r="DM158" s="6">
        <f>SUMIF('Eredeti fejléccel'!$B:$B,'Felosztás eredménykim'!$B158,'Eredeti fejléccel'!$BR:$BR)</f>
        <v>0</v>
      </c>
      <c r="DN158" s="6">
        <f>SUMIF('Eredeti fejléccel'!$B:$B,'Felosztás eredménykim'!$B158,'Eredeti fejléccel'!$BS:$BS)</f>
        <v>0</v>
      </c>
      <c r="DO158" s="6">
        <f>SUMIF('Eredeti fejléccel'!$B:$B,'Felosztás eredménykim'!$B158,'Eredeti fejléccel'!$BO:$BO)</f>
        <v>0</v>
      </c>
      <c r="DP158" s="6">
        <f>SUMIF('Eredeti fejléccel'!$B:$B,'Felosztás eredménykim'!$B158,'Eredeti fejléccel'!$BP:$BP)</f>
        <v>0</v>
      </c>
      <c r="DQ158" s="6">
        <f>SUMIF('Eredeti fejléccel'!$B:$B,'Felosztás eredménykim'!$B158,'Eredeti fejléccel'!$BQ:$BQ)</f>
        <v>0</v>
      </c>
      <c r="DS158" s="8"/>
      <c r="DU158" s="6">
        <f>SUMIF('Eredeti fejléccel'!$B:$B,'Felosztás eredménykim'!$B158,'Eredeti fejléccel'!$BT:$BT)</f>
        <v>0</v>
      </c>
      <c r="DV158" s="6">
        <f>SUMIF('Eredeti fejléccel'!$B:$B,'Felosztás eredménykim'!$B158,'Eredeti fejléccel'!$BU:$BU)</f>
        <v>0</v>
      </c>
      <c r="DW158" s="6">
        <f>SUMIF('Eredeti fejléccel'!$B:$B,'Felosztás eredménykim'!$B158,'Eredeti fejléccel'!$BV:$BV)</f>
        <v>0</v>
      </c>
      <c r="DX158" s="6">
        <f>SUMIF('Eredeti fejléccel'!$B:$B,'Felosztás eredménykim'!$B158,'Eredeti fejléccel'!$BW:$BW)</f>
        <v>0</v>
      </c>
      <c r="DY158" s="6">
        <f>SUMIF('Eredeti fejléccel'!$B:$B,'Felosztás eredménykim'!$B158,'Eredeti fejléccel'!$BX:$BX)</f>
        <v>0</v>
      </c>
      <c r="EA158" s="6"/>
      <c r="EC158" s="6"/>
      <c r="EE158" s="6">
        <f>SUMIF('Eredeti fejléccel'!$B:$B,'Felosztás eredménykim'!$B158,'Eredeti fejléccel'!$CA:$CA)</f>
        <v>0</v>
      </c>
      <c r="EF158" s="6">
        <f>SUMIF('Eredeti fejléccel'!$B:$B,'Felosztás eredménykim'!$B158,'Eredeti fejléccel'!$CB:$CB)</f>
        <v>0</v>
      </c>
      <c r="EG158" s="6">
        <f>SUMIF('Eredeti fejléccel'!$B:$B,'Felosztás eredménykim'!$B158,'Eredeti fejléccel'!$CC:$CC)</f>
        <v>0</v>
      </c>
      <c r="EH158" s="6">
        <f>SUMIF('Eredeti fejléccel'!$B:$B,'Felosztás eredménykim'!$B158,'Eredeti fejléccel'!$CD:$CD)</f>
        <v>0</v>
      </c>
      <c r="EK158" s="6">
        <f>SUMIF('Eredeti fejléccel'!$B:$B,'Felosztás eredménykim'!$B158,'Eredeti fejléccel'!$CE:$CE)</f>
        <v>0</v>
      </c>
      <c r="EN158" s="6">
        <f>SUMIF('Eredeti fejléccel'!$B:$B,'Felosztás eredménykim'!$B158,'Eredeti fejléccel'!$CF:$CF)</f>
        <v>0</v>
      </c>
      <c r="EP158" s="6">
        <f>SUMIF('Eredeti fejléccel'!$B:$B,'Felosztás eredménykim'!$B158,'Eredeti fejléccel'!$CG:$CG)</f>
        <v>0</v>
      </c>
      <c r="ES158" s="6">
        <f>SUMIF('Eredeti fejléccel'!$B:$B,'Felosztás eredménykim'!$B158,'Eredeti fejléccel'!$CH:$CH)</f>
        <v>0</v>
      </c>
      <c r="ET158" s="6">
        <f>SUMIF('Eredeti fejléccel'!$B:$B,'Felosztás eredménykim'!$B158,'Eredeti fejléccel'!$CI:$CI)</f>
        <v>0</v>
      </c>
      <c r="EW158" s="8">
        <f t="shared" si="288"/>
        <v>0</v>
      </c>
      <c r="EX158" s="8">
        <f t="shared" si="243"/>
        <v>0</v>
      </c>
      <c r="EY158" s="8">
        <f t="shared" si="244"/>
        <v>0</v>
      </c>
      <c r="EZ158" s="8">
        <f t="shared" si="289"/>
        <v>0</v>
      </c>
      <c r="FA158" s="8">
        <f t="shared" si="290"/>
        <v>0</v>
      </c>
      <c r="FC158" s="6">
        <f>SUMIF('Eredeti fejléccel'!$B:$B,'Felosztás eredménykim'!$B158,'Eredeti fejléccel'!$L:$L)</f>
        <v>0</v>
      </c>
      <c r="FD158" s="6">
        <f>SUMIF('Eredeti fejléccel'!$B:$B,'Felosztás eredménykim'!$B158,'Eredeti fejléccel'!$CJ:$CJ)</f>
        <v>0</v>
      </c>
      <c r="FE158" s="6">
        <f>SUMIF('Eredeti fejléccel'!$B:$B,'Felosztás eredménykim'!$B158,'Eredeti fejléccel'!$CL:$CL)</f>
        <v>0</v>
      </c>
      <c r="FG158" s="99">
        <f t="shared" si="245"/>
        <v>0</v>
      </c>
      <c r="FH158" s="6">
        <f>SUMIF('Eredeti fejléccel'!$B:$B,'Felosztás eredménykim'!$B158,'Eredeti fejléccel'!$CK:$CK)</f>
        <v>0</v>
      </c>
      <c r="FI158" s="36">
        <f t="shared" si="228"/>
        <v>0</v>
      </c>
      <c r="FJ158" s="101">
        <f t="shared" si="229"/>
        <v>0</v>
      </c>
      <c r="FK158" s="6">
        <f>SUMIF('Eredeti fejléccel'!$B:$B,'Felosztás eredménykim'!$B158,'Eredeti fejléccel'!$CM:$CM)</f>
        <v>0</v>
      </c>
      <c r="FL158" s="6">
        <f>SUMIF('Eredeti fejléccel'!$B:$B,'Felosztás eredménykim'!$B158,'Eredeti fejléccel'!$CN:$CN)</f>
        <v>0</v>
      </c>
      <c r="FM158" s="8">
        <f t="shared" si="246"/>
        <v>0</v>
      </c>
      <c r="FN158" s="36">
        <f t="shared" si="230"/>
        <v>0</v>
      </c>
      <c r="FO158" s="101">
        <f t="shared" si="231"/>
        <v>0</v>
      </c>
      <c r="FP158" s="6">
        <f>SUMIF('Eredeti fejléccel'!$B:$B,'Felosztás eredménykim'!$B158,'Eredeti fejléccel'!$CO:$CO)</f>
        <v>0</v>
      </c>
      <c r="FQ158" s="6">
        <f>'Eredeti fejléccel'!CP158</f>
        <v>0</v>
      </c>
      <c r="FR158" s="6">
        <f>'Eredeti fejléccel'!CQ158</f>
        <v>0</v>
      </c>
      <c r="FS158" s="103">
        <f t="shared" si="247"/>
        <v>0</v>
      </c>
      <c r="FT158" s="36">
        <f t="shared" si="232"/>
        <v>0</v>
      </c>
      <c r="FU158" s="101">
        <f t="shared" si="233"/>
        <v>0</v>
      </c>
      <c r="FV158" s="101"/>
      <c r="FW158" s="6">
        <f>SUMIF('Eredeti fejléccel'!$B:$B,'Felosztás eredménykim'!$B158,'Eredeti fejléccel'!$CR:$CR)</f>
        <v>0</v>
      </c>
      <c r="FX158" s="6">
        <f>SUMIF('Eredeti fejléccel'!$B:$B,'Felosztás eredménykim'!$B158,'Eredeti fejléccel'!$CS:$CS)</f>
        <v>0</v>
      </c>
      <c r="FY158" s="6">
        <f>SUMIF('Eredeti fejléccel'!$B:$B,'Felosztás eredménykim'!$B158,'Eredeti fejléccel'!$CT:$CT)</f>
        <v>0</v>
      </c>
      <c r="FZ158" s="6">
        <f>SUMIF('Eredeti fejléccel'!$B:$B,'Felosztás eredménykim'!$B158,'Eredeti fejléccel'!$CU:$CU)</f>
        <v>0</v>
      </c>
      <c r="GA158" s="103">
        <f t="shared" si="248"/>
        <v>0</v>
      </c>
      <c r="GB158" s="36">
        <f t="shared" si="234"/>
        <v>0</v>
      </c>
      <c r="GC158" s="101">
        <f t="shared" si="235"/>
        <v>0</v>
      </c>
      <c r="GD158" s="6">
        <f>SUMIF('Eredeti fejléccel'!$B:$B,'Felosztás eredménykim'!$B158,'Eredeti fejléccel'!$CV:$CV)</f>
        <v>0</v>
      </c>
      <c r="GE158" s="6">
        <f>SUMIF('Eredeti fejléccel'!$B:$B,'Felosztás eredménykim'!$B158,'Eredeti fejléccel'!$CW:$CW)</f>
        <v>0</v>
      </c>
      <c r="GF158" s="103">
        <f t="shared" si="249"/>
        <v>0</v>
      </c>
      <c r="GG158" s="36">
        <f t="shared" si="236"/>
        <v>0</v>
      </c>
      <c r="GM158" s="6">
        <f>SUMIF('Eredeti fejléccel'!$B:$B,'Felosztás eredménykim'!$B158,'Eredeti fejléccel'!$CX:$CX)</f>
        <v>0</v>
      </c>
      <c r="GN158" s="6">
        <f>SUMIF('Eredeti fejléccel'!$B:$B,'Felosztás eredménykim'!$B158,'Eredeti fejléccel'!$CY:$CY)</f>
        <v>0</v>
      </c>
      <c r="GO158" s="6">
        <f>SUMIF('Eredeti fejléccel'!$B:$B,'Felosztás eredménykim'!$B158,'Eredeti fejléccel'!$CZ:$CZ)</f>
        <v>0</v>
      </c>
      <c r="GP158" s="6">
        <f>SUMIF('Eredeti fejléccel'!$B:$B,'Felosztás eredménykim'!$B158,'Eredeti fejléccel'!$DA:$DA)</f>
        <v>0</v>
      </c>
      <c r="GQ158" s="6">
        <f>SUMIF('Eredeti fejléccel'!$B:$B,'Felosztás eredménykim'!$B158,'Eredeti fejléccel'!$DB:$DB)</f>
        <v>0</v>
      </c>
      <c r="GR158" s="103">
        <f t="shared" si="250"/>
        <v>0</v>
      </c>
      <c r="GW158" s="36">
        <f t="shared" si="237"/>
        <v>0</v>
      </c>
      <c r="GX158" s="6">
        <f>SUMIF('Eredeti fejléccel'!$B:$B,'Felosztás eredménykim'!$B158,'Eredeti fejléccel'!$M:$M)</f>
        <v>0</v>
      </c>
      <c r="GY158" s="6">
        <f>SUMIF('Eredeti fejléccel'!$B:$B,'Felosztás eredménykim'!$B158,'Eredeti fejléccel'!$DC:$DC)</f>
        <v>0</v>
      </c>
      <c r="GZ158" s="6">
        <f>SUMIF('Eredeti fejléccel'!$B:$B,'Felosztás eredménykim'!$B158,'Eredeti fejléccel'!$DD:$DD)</f>
        <v>0</v>
      </c>
      <c r="HA158" s="6">
        <f>SUMIF('Eredeti fejléccel'!$B:$B,'Felosztás eredménykim'!$B158,'Eredeti fejléccel'!$DE:$DE)</f>
        <v>0</v>
      </c>
      <c r="HB158" s="103">
        <f t="shared" si="251"/>
        <v>0</v>
      </c>
      <c r="HD158" s="9">
        <f t="shared" si="256"/>
        <v>1340462.5600000005</v>
      </c>
      <c r="HE158" s="9">
        <v>1340462.5600000005</v>
      </c>
      <c r="HF158" s="476"/>
      <c r="HH158" s="34">
        <f t="shared" si="252"/>
        <v>0</v>
      </c>
    </row>
    <row r="159" spans="1:218" x14ac:dyDescent="0.25">
      <c r="A159" s="4" t="s">
        <v>774</v>
      </c>
      <c r="B159" s="4" t="s">
        <v>774</v>
      </c>
      <c r="C159" s="1" t="s">
        <v>775</v>
      </c>
      <c r="D159" s="6">
        <f>SUMIF('Eredeti fejléccel'!$B:$B,'Felosztás eredménykim'!$B159,'Eredeti fejléccel'!$D:$D)</f>
        <v>0</v>
      </c>
      <c r="E159" s="6">
        <f>SUMIF('Eredeti fejléccel'!$B:$B,'Felosztás eredménykim'!$B159,'Eredeti fejléccel'!$E:$E)</f>
        <v>0</v>
      </c>
      <c r="F159" s="6">
        <f>SUMIF('Eredeti fejléccel'!$B:$B,'Felosztás eredménykim'!$B159,'Eredeti fejléccel'!$F:$F)</f>
        <v>0</v>
      </c>
      <c r="G159" s="6">
        <f>SUMIF('Eredeti fejléccel'!$B:$B,'Felosztás eredménykim'!$B159,'Eredeti fejléccel'!$G:$G)</f>
        <v>0</v>
      </c>
      <c r="H159" s="6"/>
      <c r="I159" s="6">
        <f>SUMIF('Eredeti fejléccel'!$B:$B,'Felosztás eredménykim'!$B159,'Eredeti fejléccel'!$O:$O)</f>
        <v>0</v>
      </c>
      <c r="J159" s="6">
        <f>SUMIF('Eredeti fejléccel'!$B:$B,'Felosztás eredménykim'!$B159,'Eredeti fejléccel'!$P:$P)</f>
        <v>0</v>
      </c>
      <c r="K159" s="6">
        <f>SUMIF('Eredeti fejléccel'!$B:$B,'Felosztás eredménykim'!$B159,'Eredeti fejléccel'!$Q:$Q)</f>
        <v>0</v>
      </c>
      <c r="L159" s="6">
        <f>SUMIF('Eredeti fejléccel'!$B:$B,'Felosztás eredménykim'!$B159,'Eredeti fejléccel'!$R:$R)</f>
        <v>0</v>
      </c>
      <c r="M159" s="6">
        <f>SUMIF('Eredeti fejléccel'!$B:$B,'Felosztás eredménykim'!$B159,'Eredeti fejléccel'!$T:$T)</f>
        <v>0</v>
      </c>
      <c r="N159" s="6">
        <f>SUMIF('Eredeti fejléccel'!$B:$B,'Felosztás eredménykim'!$B159,'Eredeti fejléccel'!$U:$U)</f>
        <v>0</v>
      </c>
      <c r="O159" s="6">
        <f>SUMIF('Eredeti fejléccel'!$B:$B,'Felosztás eredménykim'!$B159,'Eredeti fejléccel'!$V:$V)</f>
        <v>0</v>
      </c>
      <c r="P159" s="6">
        <f>SUMIF('Eredeti fejléccel'!$B:$B,'Felosztás eredménykim'!$B159,'Eredeti fejléccel'!$W:$W)</f>
        <v>0</v>
      </c>
      <c r="Q159" s="6">
        <f>SUMIF('Eredeti fejléccel'!$B:$B,'Felosztás eredménykim'!$B159,'Eredeti fejléccel'!$X:$X)</f>
        <v>0</v>
      </c>
      <c r="R159" s="6">
        <f>SUMIF('Eredeti fejléccel'!$B:$B,'Felosztás eredménykim'!$B159,'Eredeti fejléccel'!$Y:$Y)</f>
        <v>0</v>
      </c>
      <c r="S159" s="6">
        <f>SUMIF('Eredeti fejléccel'!$B:$B,'Felosztás eredménykim'!$B159,'Eredeti fejléccel'!$Z:$Z)</f>
        <v>0</v>
      </c>
      <c r="T159" s="6">
        <f>SUMIF('Eredeti fejléccel'!$B:$B,'Felosztás eredménykim'!$B159,'Eredeti fejléccel'!$AA:$AA)</f>
        <v>0</v>
      </c>
      <c r="U159" s="6">
        <f>SUMIF('Eredeti fejléccel'!$B:$B,'Felosztás eredménykim'!$B159,'Eredeti fejléccel'!$D:$D)</f>
        <v>0</v>
      </c>
      <c r="V159" s="6">
        <f>SUMIF('Eredeti fejléccel'!$B:$B,'Felosztás eredménykim'!$B159,'Eredeti fejléccel'!$AT:$AT)</f>
        <v>5220909.1400000053</v>
      </c>
      <c r="W159" s="36">
        <f t="shared" si="302"/>
        <v>-5220909.1400000053</v>
      </c>
      <c r="X159" s="36">
        <f t="shared" si="211"/>
        <v>0</v>
      </c>
      <c r="Z159" s="6">
        <f>SUMIF('Eredeti fejléccel'!$B:$B,'Felosztás eredménykim'!$B159,'Eredeti fejléccel'!$K:$K)</f>
        <v>0</v>
      </c>
      <c r="AB159" s="6">
        <f>SUMIF('Eredeti fejléccel'!$B:$B,'Felosztás eredménykim'!$B159,'Eredeti fejléccel'!$AB:$AB)</f>
        <v>0</v>
      </c>
      <c r="AC159" s="6">
        <f>SUMIF('Eredeti fejléccel'!$B:$B,'Felosztás eredménykim'!$B159,'Eredeti fejléccel'!$AQ:$AQ)</f>
        <v>0</v>
      </c>
      <c r="AE159" s="73">
        <f t="shared" si="299"/>
        <v>0</v>
      </c>
      <c r="AF159" s="36">
        <f t="shared" si="212"/>
        <v>0</v>
      </c>
      <c r="AG159" s="8">
        <f t="shared" si="213"/>
        <v>0</v>
      </c>
      <c r="AI159" s="6">
        <f>SUMIF('Eredeti fejléccel'!$B:$B,'Felosztás eredménykim'!$B159,'Eredeti fejléccel'!$BB:$BB)</f>
        <v>0</v>
      </c>
      <c r="AJ159" s="6">
        <f>SUMIF('Eredeti fejléccel'!$B:$B,'Felosztás eredménykim'!$B159,'Eredeti fejléccel'!$AF:$AF)</f>
        <v>0</v>
      </c>
      <c r="AK159" s="8">
        <f t="shared" si="177"/>
        <v>0</v>
      </c>
      <c r="AL159" s="36">
        <f t="shared" si="214"/>
        <v>0</v>
      </c>
      <c r="AM159" s="8">
        <f t="shared" si="215"/>
        <v>0</v>
      </c>
      <c r="AN159" s="6">
        <f t="shared" si="291"/>
        <v>0</v>
      </c>
      <c r="AO159" s="6">
        <f>SUMIF('Eredeti fejléccel'!$B:$B,'Felosztás eredménykim'!$B159,'Eredeti fejléccel'!$AC:$AC)</f>
        <v>0</v>
      </c>
      <c r="AP159" s="6">
        <f>SUMIF('Eredeti fejléccel'!$B:$B,'Felosztás eredménykim'!$B159,'Eredeti fejléccel'!$AD:$AD)</f>
        <v>0</v>
      </c>
      <c r="AQ159" s="6">
        <f>SUMIF('Eredeti fejléccel'!$B:$B,'Felosztás eredménykim'!$B159,'Eredeti fejléccel'!$AE:$AE)</f>
        <v>0</v>
      </c>
      <c r="AR159" s="6">
        <f>SUMIF('Eredeti fejléccel'!$B:$B,'Felosztás eredménykim'!$B159,'Eredeti fejléccel'!$AG:$AG)</f>
        <v>0</v>
      </c>
      <c r="AS159" s="6">
        <f t="shared" si="292"/>
        <v>0</v>
      </c>
      <c r="AT159" s="36">
        <f t="shared" si="216"/>
        <v>0</v>
      </c>
      <c r="AU159" s="8">
        <f t="shared" si="217"/>
        <v>0</v>
      </c>
      <c r="AV159" s="6">
        <f>SUMIF('Eredeti fejléccel'!$B:$B,'Felosztás eredménykim'!$B159,'Eredeti fejléccel'!$AI:$AI)</f>
        <v>0</v>
      </c>
      <c r="AW159" s="6">
        <f>SUMIF('Eredeti fejléccel'!$B:$B,'Felosztás eredménykim'!$B159,'Eredeti fejléccel'!$AJ:$AJ)</f>
        <v>0</v>
      </c>
      <c r="AX159" s="6">
        <f>SUMIF('Eredeti fejléccel'!$B:$B,'Felosztás eredménykim'!$B159,'Eredeti fejléccel'!$AK:$AK)</f>
        <v>0</v>
      </c>
      <c r="AY159" s="6">
        <f>SUMIF('Eredeti fejléccel'!$B:$B,'Felosztás eredménykim'!$B159,'Eredeti fejléccel'!$AL:$AL)</f>
        <v>0</v>
      </c>
      <c r="AZ159" s="6">
        <f>SUMIF('Eredeti fejléccel'!$B:$B,'Felosztás eredménykim'!$B159,'Eredeti fejléccel'!$AM:$AM)</f>
        <v>0</v>
      </c>
      <c r="BA159" s="6">
        <f>SUMIF('Eredeti fejléccel'!$B:$B,'Felosztás eredménykim'!$B159,'Eredeti fejléccel'!$AN:$AN)</f>
        <v>0</v>
      </c>
      <c r="BB159" s="6">
        <f>SUMIF('Eredeti fejléccel'!$B:$B,'Felosztás eredménykim'!$B159,'Eredeti fejléccel'!$AP:$AP)</f>
        <v>0</v>
      </c>
      <c r="BD159" s="6">
        <f>SUMIF('Eredeti fejléccel'!$B:$B,'Felosztás eredménykim'!$B159,'Eredeti fejléccel'!$AS:$AS)</f>
        <v>0</v>
      </c>
      <c r="BE159" s="8">
        <f t="shared" si="238"/>
        <v>0</v>
      </c>
      <c r="BF159" s="36">
        <f t="shared" si="218"/>
        <v>0</v>
      </c>
      <c r="BG159" s="8">
        <f t="shared" si="219"/>
        <v>0</v>
      </c>
      <c r="BH159" s="6">
        <f t="shared" si="293"/>
        <v>0</v>
      </c>
      <c r="BI159" s="6">
        <f>SUMIF('Eredeti fejléccel'!$B:$B,'Felosztás eredménykim'!$B159,'Eredeti fejléccel'!$AH:$AH)</f>
        <v>0</v>
      </c>
      <c r="BJ159" s="6">
        <f>SUMIF('Eredeti fejléccel'!$B:$B,'Felosztás eredménykim'!$B159,'Eredeti fejléccel'!$AO:$AO)</f>
        <v>0</v>
      </c>
      <c r="BK159" s="6">
        <f>SUMIF('Eredeti fejléccel'!$B:$B,'Felosztás eredménykim'!$B159,'Eredeti fejléccel'!$BF:$BF)</f>
        <v>0</v>
      </c>
      <c r="BL159" s="8">
        <f t="shared" si="294"/>
        <v>0</v>
      </c>
      <c r="BM159" s="36">
        <f t="shared" si="220"/>
        <v>0</v>
      </c>
      <c r="BN159" s="8">
        <f t="shared" si="221"/>
        <v>0</v>
      </c>
      <c r="BP159" s="8">
        <f t="shared" si="295"/>
        <v>0</v>
      </c>
      <c r="BQ159" s="6">
        <f>SUMIF('Eredeti fejléccel'!$B:$B,'Felosztás eredménykim'!$B159,'Eredeti fejléccel'!$N:$N)</f>
        <v>0</v>
      </c>
      <c r="BR159" s="6">
        <f>SUMIF('Eredeti fejléccel'!$B:$B,'Felosztás eredménykim'!$B159,'Eredeti fejléccel'!$S:$S)</f>
        <v>0</v>
      </c>
      <c r="BT159" s="6">
        <f>SUMIF('Eredeti fejléccel'!$B:$B,'Felosztás eredménykim'!$B159,'Eredeti fejléccel'!$AR:$AR)</f>
        <v>0</v>
      </c>
      <c r="BU159" s="6">
        <f>SUMIF('Eredeti fejléccel'!$B:$B,'Felosztás eredménykim'!$B159,'Eredeti fejléccel'!$AU:$AU)</f>
        <v>0</v>
      </c>
      <c r="BV159" s="6">
        <f>SUMIF('Eredeti fejléccel'!$B:$B,'Felosztás eredménykim'!$B159,'Eredeti fejléccel'!$AV:$AV)</f>
        <v>0</v>
      </c>
      <c r="BW159" s="6">
        <f>SUMIF('Eredeti fejléccel'!$B:$B,'Felosztás eredménykim'!$B159,'Eredeti fejléccel'!$AW:$AW)</f>
        <v>0</v>
      </c>
      <c r="BX159" s="6">
        <f>SUMIF('Eredeti fejléccel'!$B:$B,'Felosztás eredménykim'!$B159,'Eredeti fejléccel'!$AX:$AX)</f>
        <v>0</v>
      </c>
      <c r="BY159" s="6">
        <f>SUMIF('Eredeti fejléccel'!$B:$B,'Felosztás eredménykim'!$B159,'Eredeti fejléccel'!$AY:$AY)</f>
        <v>0</v>
      </c>
      <c r="BZ159" s="6">
        <f>SUMIF('Eredeti fejléccel'!$B:$B,'Felosztás eredménykim'!$B159,'Eredeti fejléccel'!$AZ:$AZ)</f>
        <v>0</v>
      </c>
      <c r="CA159" s="6">
        <f>SUMIF('Eredeti fejléccel'!$B:$B,'Felosztás eredménykim'!$B159,'Eredeti fejléccel'!$BA:$BA)</f>
        <v>0</v>
      </c>
      <c r="CB159" s="6">
        <f t="shared" si="253"/>
        <v>0</v>
      </c>
      <c r="CC159" s="36">
        <f t="shared" si="222"/>
        <v>0</v>
      </c>
      <c r="CD159" s="8">
        <f t="shared" si="223"/>
        <v>0</v>
      </c>
      <c r="CE159" s="6">
        <f>SUMIF('Eredeti fejléccel'!$B:$B,'Felosztás eredménykim'!$B159,'Eredeti fejléccel'!$BC:$BC)</f>
        <v>0</v>
      </c>
      <c r="CF159" s="8">
        <f t="shared" si="300"/>
        <v>0</v>
      </c>
      <c r="CG159" s="6">
        <f>SUMIF('Eredeti fejléccel'!$B:$B,'Felosztás eredménykim'!$B159,'Eredeti fejléccel'!$H:$H)</f>
        <v>0</v>
      </c>
      <c r="CH159" s="6">
        <f>SUMIF('Eredeti fejléccel'!$B:$B,'Felosztás eredménykim'!$B159,'Eredeti fejléccel'!$BE:$BE)</f>
        <v>0</v>
      </c>
      <c r="CI159" s="6">
        <f t="shared" si="239"/>
        <v>0</v>
      </c>
      <c r="CJ159" s="36">
        <f t="shared" si="224"/>
        <v>0</v>
      </c>
      <c r="CK159" s="8">
        <f t="shared" si="225"/>
        <v>0</v>
      </c>
      <c r="CL159" s="8">
        <f t="shared" si="301"/>
        <v>0</v>
      </c>
      <c r="CM159" s="6">
        <f>SUMIF('Eredeti fejléccel'!$B:$B,'Felosztás eredménykim'!$B159,'Eredeti fejléccel'!$BD:$BD)</f>
        <v>0</v>
      </c>
      <c r="CN159" s="8">
        <f t="shared" si="240"/>
        <v>0</v>
      </c>
      <c r="CO159" s="8">
        <f t="shared" si="254"/>
        <v>0</v>
      </c>
      <c r="CR159" s="36">
        <f t="shared" si="226"/>
        <v>0</v>
      </c>
      <c r="CS159" s="6">
        <f>SUMIF('Eredeti fejléccel'!$B:$B,'Felosztás eredménykim'!$B159,'Eredeti fejléccel'!$I:$I)</f>
        <v>0</v>
      </c>
      <c r="CT159" s="6">
        <f>SUMIF('Eredeti fejléccel'!$B:$B,'Felosztás eredménykim'!$B159,'Eredeti fejléccel'!$BG:$BG)</f>
        <v>0</v>
      </c>
      <c r="CU159" s="6">
        <f>SUMIF('Eredeti fejléccel'!$B:$B,'Felosztás eredménykim'!$B159,'Eredeti fejléccel'!$BH:$BH)</f>
        <v>0</v>
      </c>
      <c r="CV159" s="6">
        <f>SUMIF('Eredeti fejléccel'!$B:$B,'Felosztás eredménykim'!$B159,'Eredeti fejléccel'!$BI:$BI)</f>
        <v>0</v>
      </c>
      <c r="CW159" s="6">
        <f>SUMIF('Eredeti fejléccel'!$B:$B,'Felosztás eredménykim'!$B159,'Eredeti fejléccel'!$BL:$BL)</f>
        <v>0</v>
      </c>
      <c r="CX159" s="6">
        <f t="shared" si="241"/>
        <v>0</v>
      </c>
      <c r="CY159" s="6">
        <f>SUMIF('Eredeti fejléccel'!$B:$B,'Felosztás eredménykim'!$B159,'Eredeti fejléccel'!$BJ:$BJ)</f>
        <v>0</v>
      </c>
      <c r="CZ159" s="6">
        <f>SUMIF('Eredeti fejléccel'!$B:$B,'Felosztás eredménykim'!$B159,'Eredeti fejléccel'!$BK:$BK)</f>
        <v>0</v>
      </c>
      <c r="DA159" s="99">
        <f t="shared" si="242"/>
        <v>0</v>
      </c>
      <c r="DC159" s="36">
        <f t="shared" si="227"/>
        <v>0</v>
      </c>
      <c r="DD159" s="6">
        <f>SUMIF('Eredeti fejléccel'!$B:$B,'Felosztás eredménykim'!$B159,'Eredeti fejléccel'!$J:$J)</f>
        <v>0</v>
      </c>
      <c r="DE159" s="6">
        <f>SUMIF('Eredeti fejléccel'!$B:$B,'Felosztás eredménykim'!$B159,'Eredeti fejléccel'!$BM:$BM)</f>
        <v>0</v>
      </c>
      <c r="DF159" s="6">
        <f t="shared" si="296"/>
        <v>0</v>
      </c>
      <c r="DG159" s="8">
        <f t="shared" si="255"/>
        <v>0</v>
      </c>
      <c r="DH159" s="8">
        <f t="shared" si="297"/>
        <v>0</v>
      </c>
      <c r="DJ159" s="6">
        <f>SUMIF('Eredeti fejléccel'!$B:$B,'Felosztás eredménykim'!$B159,'Eredeti fejléccel'!$BN:$BN)</f>
        <v>0</v>
      </c>
      <c r="DK159" s="6">
        <f>SUMIF('Eredeti fejléccel'!$B:$B,'Felosztás eredménykim'!$B159,'Eredeti fejléccel'!$BZ:$BZ)</f>
        <v>0</v>
      </c>
      <c r="DL159" s="8">
        <f t="shared" si="298"/>
        <v>0</v>
      </c>
      <c r="DM159" s="6">
        <f>SUMIF('Eredeti fejléccel'!$B:$B,'Felosztás eredménykim'!$B159,'Eredeti fejléccel'!$BR:$BR)</f>
        <v>0</v>
      </c>
      <c r="DN159" s="6">
        <f>SUMIF('Eredeti fejléccel'!$B:$B,'Felosztás eredménykim'!$B159,'Eredeti fejléccel'!$BS:$BS)</f>
        <v>0</v>
      </c>
      <c r="DO159" s="6">
        <f>SUMIF('Eredeti fejléccel'!$B:$B,'Felosztás eredménykim'!$B159,'Eredeti fejléccel'!$BO:$BO)</f>
        <v>0</v>
      </c>
      <c r="DP159" s="6">
        <f>SUMIF('Eredeti fejléccel'!$B:$B,'Felosztás eredménykim'!$B159,'Eredeti fejléccel'!$BP:$BP)</f>
        <v>0</v>
      </c>
      <c r="DQ159" s="6">
        <f>SUMIF('Eredeti fejléccel'!$B:$B,'Felosztás eredménykim'!$B159,'Eredeti fejléccel'!$BQ:$BQ)</f>
        <v>0</v>
      </c>
      <c r="DS159" s="8"/>
      <c r="DU159" s="6">
        <f>SUMIF('Eredeti fejléccel'!$B:$B,'Felosztás eredménykim'!$B159,'Eredeti fejléccel'!$BT:$BT)</f>
        <v>0</v>
      </c>
      <c r="DV159" s="6">
        <f>SUMIF('Eredeti fejléccel'!$B:$B,'Felosztás eredménykim'!$B159,'Eredeti fejléccel'!$BU:$BU)</f>
        <v>0</v>
      </c>
      <c r="DW159" s="6">
        <f>SUMIF('Eredeti fejléccel'!$B:$B,'Felosztás eredménykim'!$B159,'Eredeti fejléccel'!$BV:$BV)</f>
        <v>0</v>
      </c>
      <c r="DX159" s="6">
        <f>SUMIF('Eredeti fejléccel'!$B:$B,'Felosztás eredménykim'!$B159,'Eredeti fejléccel'!$BW:$BW)</f>
        <v>0</v>
      </c>
      <c r="DY159" s="6">
        <f>SUMIF('Eredeti fejléccel'!$B:$B,'Felosztás eredménykim'!$B159,'Eredeti fejléccel'!$BX:$BX)</f>
        <v>0</v>
      </c>
      <c r="EA159" s="6"/>
      <c r="EC159" s="6"/>
      <c r="EE159" s="6">
        <f>SUMIF('Eredeti fejléccel'!$B:$B,'Felosztás eredménykim'!$B159,'Eredeti fejléccel'!$CA:$CA)</f>
        <v>0</v>
      </c>
      <c r="EF159" s="6">
        <f>SUMIF('Eredeti fejléccel'!$B:$B,'Felosztás eredménykim'!$B159,'Eredeti fejléccel'!$CB:$CB)</f>
        <v>0</v>
      </c>
      <c r="EG159" s="6">
        <f>SUMIF('Eredeti fejléccel'!$B:$B,'Felosztás eredménykim'!$B159,'Eredeti fejléccel'!$CC:$CC)</f>
        <v>0</v>
      </c>
      <c r="EH159" s="6">
        <f>SUMIF('Eredeti fejléccel'!$B:$B,'Felosztás eredménykim'!$B159,'Eredeti fejléccel'!$CD:$CD)</f>
        <v>0</v>
      </c>
      <c r="EK159" s="6">
        <f>SUMIF('Eredeti fejléccel'!$B:$B,'Felosztás eredménykim'!$B159,'Eredeti fejléccel'!$CE:$CE)</f>
        <v>0</v>
      </c>
      <c r="EN159" s="6">
        <f>SUMIF('Eredeti fejléccel'!$B:$B,'Felosztás eredménykim'!$B159,'Eredeti fejléccel'!$CF:$CF)</f>
        <v>0</v>
      </c>
      <c r="EP159" s="6">
        <f>SUMIF('Eredeti fejléccel'!$B:$B,'Felosztás eredménykim'!$B159,'Eredeti fejléccel'!$CG:$CG)</f>
        <v>0</v>
      </c>
      <c r="ES159" s="6">
        <f>SUMIF('Eredeti fejléccel'!$B:$B,'Felosztás eredménykim'!$B159,'Eredeti fejléccel'!$CH:$CH)</f>
        <v>0</v>
      </c>
      <c r="ET159" s="6">
        <f>SUMIF('Eredeti fejléccel'!$B:$B,'Felosztás eredménykim'!$B159,'Eredeti fejléccel'!$CI:$CI)</f>
        <v>0</v>
      </c>
      <c r="EW159" s="8">
        <f t="shared" si="288"/>
        <v>0</v>
      </c>
      <c r="EX159" s="8">
        <f t="shared" si="243"/>
        <v>0</v>
      </c>
      <c r="EY159" s="8">
        <f t="shared" si="244"/>
        <v>0</v>
      </c>
      <c r="EZ159" s="8">
        <f t="shared" si="289"/>
        <v>0</v>
      </c>
      <c r="FA159" s="8">
        <f t="shared" si="290"/>
        <v>0</v>
      </c>
      <c r="FC159" s="6">
        <f>SUMIF('Eredeti fejléccel'!$B:$B,'Felosztás eredménykim'!$B159,'Eredeti fejléccel'!$L:$L)</f>
        <v>0</v>
      </c>
      <c r="FD159" s="6">
        <f>SUMIF('Eredeti fejléccel'!$B:$B,'Felosztás eredménykim'!$B159,'Eredeti fejléccel'!$CJ:$CJ)</f>
        <v>0</v>
      </c>
      <c r="FE159" s="6">
        <f>SUMIF('Eredeti fejléccel'!$B:$B,'Felosztás eredménykim'!$B159,'Eredeti fejléccel'!$CL:$CL)</f>
        <v>0</v>
      </c>
      <c r="FG159" s="99">
        <f t="shared" si="245"/>
        <v>0</v>
      </c>
      <c r="FH159" s="6">
        <f>SUMIF('Eredeti fejléccel'!$B:$B,'Felosztás eredménykim'!$B159,'Eredeti fejléccel'!$CK:$CK)</f>
        <v>0</v>
      </c>
      <c r="FI159" s="36">
        <f t="shared" si="228"/>
        <v>0</v>
      </c>
      <c r="FJ159" s="101">
        <f t="shared" si="229"/>
        <v>0</v>
      </c>
      <c r="FK159" s="6">
        <f>SUMIF('Eredeti fejléccel'!$B:$B,'Felosztás eredménykim'!$B159,'Eredeti fejléccel'!$CM:$CM)</f>
        <v>0</v>
      </c>
      <c r="FL159" s="6">
        <f>SUMIF('Eredeti fejléccel'!$B:$B,'Felosztás eredménykim'!$B159,'Eredeti fejléccel'!$CN:$CN)</f>
        <v>0</v>
      </c>
      <c r="FM159" s="8">
        <f t="shared" si="246"/>
        <v>0</v>
      </c>
      <c r="FN159" s="36">
        <f t="shared" si="230"/>
        <v>0</v>
      </c>
      <c r="FO159" s="101">
        <f t="shared" si="231"/>
        <v>0</v>
      </c>
      <c r="FP159" s="6">
        <f>SUMIF('Eredeti fejléccel'!$B:$B,'Felosztás eredménykim'!$B159,'Eredeti fejléccel'!$CO:$CO)</f>
        <v>0</v>
      </c>
      <c r="FQ159" s="6">
        <f>'Eredeti fejléccel'!CP159</f>
        <v>0</v>
      </c>
      <c r="FR159" s="6">
        <f>'Eredeti fejléccel'!CQ159</f>
        <v>0</v>
      </c>
      <c r="FS159" s="103">
        <f t="shared" si="247"/>
        <v>0</v>
      </c>
      <c r="FT159" s="36">
        <f t="shared" si="232"/>
        <v>0</v>
      </c>
      <c r="FU159" s="101">
        <f t="shared" si="233"/>
        <v>0</v>
      </c>
      <c r="FV159" s="101"/>
      <c r="FW159" s="6">
        <f>SUMIF('Eredeti fejléccel'!$B:$B,'Felosztás eredménykim'!$B159,'Eredeti fejléccel'!$CR:$CR)</f>
        <v>0</v>
      </c>
      <c r="FX159" s="6">
        <f>SUMIF('Eredeti fejléccel'!$B:$B,'Felosztás eredménykim'!$B159,'Eredeti fejléccel'!$CS:$CS)</f>
        <v>0</v>
      </c>
      <c r="FY159" s="6">
        <f>SUMIF('Eredeti fejléccel'!$B:$B,'Felosztás eredménykim'!$B159,'Eredeti fejléccel'!$CT:$CT)</f>
        <v>0</v>
      </c>
      <c r="FZ159" s="6">
        <f>SUMIF('Eredeti fejléccel'!$B:$B,'Felosztás eredménykim'!$B159,'Eredeti fejléccel'!$CU:$CU)</f>
        <v>0</v>
      </c>
      <c r="GA159" s="103">
        <f t="shared" si="248"/>
        <v>0</v>
      </c>
      <c r="GB159" s="36">
        <f t="shared" si="234"/>
        <v>0</v>
      </c>
      <c r="GC159" s="101">
        <f t="shared" si="235"/>
        <v>0</v>
      </c>
      <c r="GD159" s="6">
        <f>SUMIF('Eredeti fejléccel'!$B:$B,'Felosztás eredménykim'!$B159,'Eredeti fejléccel'!$CV:$CV)</f>
        <v>0</v>
      </c>
      <c r="GE159" s="6">
        <f>SUMIF('Eredeti fejléccel'!$B:$B,'Felosztás eredménykim'!$B159,'Eredeti fejléccel'!$CW:$CW)</f>
        <v>0</v>
      </c>
      <c r="GF159" s="103">
        <f t="shared" si="249"/>
        <v>0</v>
      </c>
      <c r="GG159" s="36">
        <f t="shared" si="236"/>
        <v>0</v>
      </c>
      <c r="GM159" s="6">
        <f>SUMIF('Eredeti fejléccel'!$B:$B,'Felosztás eredménykim'!$B159,'Eredeti fejléccel'!$CX:$CX)</f>
        <v>0</v>
      </c>
      <c r="GN159" s="6">
        <f>SUMIF('Eredeti fejléccel'!$B:$B,'Felosztás eredménykim'!$B159,'Eredeti fejléccel'!$CY:$CY)</f>
        <v>0</v>
      </c>
      <c r="GO159" s="6">
        <f>SUMIF('Eredeti fejléccel'!$B:$B,'Felosztás eredménykim'!$B159,'Eredeti fejléccel'!$CZ:$CZ)</f>
        <v>0</v>
      </c>
      <c r="GP159" s="6">
        <f>SUMIF('Eredeti fejléccel'!$B:$B,'Felosztás eredménykim'!$B159,'Eredeti fejléccel'!$DA:$DA)</f>
        <v>0</v>
      </c>
      <c r="GQ159" s="6">
        <f>SUMIF('Eredeti fejléccel'!$B:$B,'Felosztás eredménykim'!$B159,'Eredeti fejléccel'!$DB:$DB)</f>
        <v>0</v>
      </c>
      <c r="GR159" s="103">
        <f t="shared" si="250"/>
        <v>0</v>
      </c>
      <c r="GW159" s="36">
        <f t="shared" si="237"/>
        <v>0</v>
      </c>
      <c r="GX159" s="6">
        <f>SUMIF('Eredeti fejléccel'!$B:$B,'Felosztás eredménykim'!$B159,'Eredeti fejléccel'!$M:$M)</f>
        <v>0</v>
      </c>
      <c r="GY159" s="6">
        <f>SUMIF('Eredeti fejléccel'!$B:$B,'Felosztás eredménykim'!$B159,'Eredeti fejléccel'!$DC:$DC)</f>
        <v>0</v>
      </c>
      <c r="GZ159" s="6">
        <f>SUMIF('Eredeti fejléccel'!$B:$B,'Felosztás eredménykim'!$B159,'Eredeti fejléccel'!$DD:$DD)</f>
        <v>0</v>
      </c>
      <c r="HA159" s="6">
        <f>SUMIF('Eredeti fejléccel'!$B:$B,'Felosztás eredménykim'!$B159,'Eredeti fejléccel'!$DE:$DE)</f>
        <v>0</v>
      </c>
      <c r="HB159" s="103">
        <f t="shared" si="251"/>
        <v>0</v>
      </c>
      <c r="HD159" s="9">
        <f t="shared" si="256"/>
        <v>5220909.1400000053</v>
      </c>
      <c r="HE159" s="9">
        <v>5220909.1400000053</v>
      </c>
      <c r="HF159" s="476"/>
      <c r="HH159" s="34">
        <f t="shared" si="252"/>
        <v>0</v>
      </c>
    </row>
    <row r="160" spans="1:218" x14ac:dyDescent="0.25">
      <c r="A160" s="4" t="s">
        <v>906</v>
      </c>
      <c r="B160" s="4" t="s">
        <v>906</v>
      </c>
      <c r="D160" s="6">
        <f>SUMIF('Eredeti fejléccel'!$B:$B,'Felosztás eredménykim'!$B160,'Eredeti fejléccel'!$D:$D)</f>
        <v>0</v>
      </c>
      <c r="E160" s="6">
        <f>SUMIF('Eredeti fejléccel'!$B:$B,'Felosztás eredménykim'!$B160,'Eredeti fejléccel'!$E:$E)</f>
        <v>0</v>
      </c>
      <c r="F160" s="6">
        <f>SUMIF('Eredeti fejléccel'!$B:$B,'Felosztás eredménykim'!$B160,'Eredeti fejléccel'!$F:$F)</f>
        <v>0</v>
      </c>
      <c r="G160" s="6">
        <f>SUMIF('Eredeti fejléccel'!$B:$B,'Felosztás eredménykim'!$B160,'Eredeti fejléccel'!$G:$G)</f>
        <v>0</v>
      </c>
      <c r="H160" s="6"/>
      <c r="I160" s="6">
        <f>SUMIF('Eredeti fejléccel'!$B:$B,'Felosztás eredménykim'!$B160,'Eredeti fejléccel'!$O:$O)</f>
        <v>0</v>
      </c>
      <c r="J160" s="6">
        <f>SUMIF('Eredeti fejléccel'!$B:$B,'Felosztás eredménykim'!$B160,'Eredeti fejléccel'!$P:$P)</f>
        <v>0</v>
      </c>
      <c r="K160" s="6">
        <f>SUMIF('Eredeti fejléccel'!$B:$B,'Felosztás eredménykim'!$B160,'Eredeti fejléccel'!$Q:$Q)</f>
        <v>0</v>
      </c>
      <c r="L160" s="6">
        <f>SUMIF('Eredeti fejléccel'!$B:$B,'Felosztás eredménykim'!$B160,'Eredeti fejléccel'!$R:$R)</f>
        <v>0</v>
      </c>
      <c r="M160" s="6">
        <f>SUMIF('Eredeti fejléccel'!$B:$B,'Felosztás eredménykim'!$B160,'Eredeti fejléccel'!$T:$T)</f>
        <v>0</v>
      </c>
      <c r="N160" s="6">
        <f>SUMIF('Eredeti fejléccel'!$B:$B,'Felosztás eredménykim'!$B160,'Eredeti fejléccel'!$U:$U)</f>
        <v>0</v>
      </c>
      <c r="O160" s="6">
        <f>SUMIF('Eredeti fejléccel'!$B:$B,'Felosztás eredménykim'!$B160,'Eredeti fejléccel'!$V:$V)</f>
        <v>0</v>
      </c>
      <c r="P160" s="6">
        <f>SUMIF('Eredeti fejléccel'!$B:$B,'Felosztás eredménykim'!$B160,'Eredeti fejléccel'!$W:$W)</f>
        <v>0</v>
      </c>
      <c r="Q160" s="6">
        <f>SUMIF('Eredeti fejléccel'!$B:$B,'Felosztás eredménykim'!$B160,'Eredeti fejléccel'!$X:$X)</f>
        <v>0</v>
      </c>
      <c r="R160" s="6">
        <f>SUMIF('Eredeti fejléccel'!$B:$B,'Felosztás eredménykim'!$B160,'Eredeti fejléccel'!$Y:$Y)</f>
        <v>0</v>
      </c>
      <c r="S160" s="6">
        <f>SUMIF('Eredeti fejléccel'!$B:$B,'Felosztás eredménykim'!$B160,'Eredeti fejléccel'!$Z:$Z)</f>
        <v>0</v>
      </c>
      <c r="T160" s="6">
        <f>SUMIF('Eredeti fejléccel'!$B:$B,'Felosztás eredménykim'!$B160,'Eredeti fejléccel'!$AA:$AA)</f>
        <v>0</v>
      </c>
      <c r="U160" s="6">
        <f>SUMIF('Eredeti fejléccel'!$B:$B,'Felosztás eredménykim'!$B160,'Eredeti fejléccel'!$D:$D)</f>
        <v>0</v>
      </c>
      <c r="V160" s="6">
        <f>SUMIF('Eredeti fejléccel'!$B:$B,'Felosztás eredménykim'!$B160,'Eredeti fejléccel'!$AT:$AT)</f>
        <v>39078123</v>
      </c>
      <c r="W160" s="36">
        <f t="shared" si="302"/>
        <v>-39078123</v>
      </c>
      <c r="X160" s="36">
        <f t="shared" si="211"/>
        <v>0</v>
      </c>
      <c r="Z160" s="6">
        <f>SUMIF('Eredeti fejléccel'!$B:$B,'Felosztás eredménykim'!$B160,'Eredeti fejléccel'!$K:$K)</f>
        <v>0</v>
      </c>
      <c r="AB160" s="6">
        <f>SUMIF('Eredeti fejléccel'!$B:$B,'Felosztás eredménykim'!$B160,'Eredeti fejléccel'!$AB:$AB)</f>
        <v>0</v>
      </c>
      <c r="AC160" s="6">
        <f>SUMIF('Eredeti fejléccel'!$B:$B,'Felosztás eredménykim'!$B160,'Eredeti fejléccel'!$AQ:$AQ)</f>
        <v>0</v>
      </c>
      <c r="AE160" s="73">
        <f>SUM(Z160:AD160)</f>
        <v>0</v>
      </c>
      <c r="AF160" s="36">
        <f t="shared" si="212"/>
        <v>0</v>
      </c>
      <c r="AG160" s="8">
        <f t="shared" si="213"/>
        <v>0</v>
      </c>
      <c r="AI160" s="6">
        <f>SUMIF('Eredeti fejléccel'!$B:$B,'Felosztás eredménykim'!$B160,'Eredeti fejléccel'!$BB:$BB)</f>
        <v>0</v>
      </c>
      <c r="AJ160" s="6">
        <f>SUMIF('Eredeti fejléccel'!$B:$B,'Felosztás eredménykim'!$B160,'Eredeti fejléccel'!$AF:$AF)</f>
        <v>0</v>
      </c>
      <c r="AK160" s="8">
        <f>SUM(AG160:AJ160)</f>
        <v>0</v>
      </c>
      <c r="AL160" s="36">
        <f t="shared" si="214"/>
        <v>0</v>
      </c>
      <c r="AM160" s="8">
        <f t="shared" si="215"/>
        <v>0</v>
      </c>
      <c r="AN160" s="6">
        <f t="shared" si="291"/>
        <v>0</v>
      </c>
      <c r="AO160" s="6">
        <f>SUMIF('Eredeti fejléccel'!$B:$B,'Felosztás eredménykim'!$B160,'Eredeti fejléccel'!$AC:$AC)</f>
        <v>0</v>
      </c>
      <c r="AP160" s="6">
        <f>SUMIF('Eredeti fejléccel'!$B:$B,'Felosztás eredménykim'!$B160,'Eredeti fejléccel'!$AD:$AD)</f>
        <v>0</v>
      </c>
      <c r="AQ160" s="6">
        <f>SUMIF('Eredeti fejléccel'!$B:$B,'Felosztás eredménykim'!$B160,'Eredeti fejléccel'!$AE:$AE)</f>
        <v>0</v>
      </c>
      <c r="AR160" s="6">
        <f>SUMIF('Eredeti fejléccel'!$B:$B,'Felosztás eredménykim'!$B160,'Eredeti fejléccel'!$AG:$AG)</f>
        <v>0</v>
      </c>
      <c r="AS160" s="6">
        <f t="shared" si="292"/>
        <v>0</v>
      </c>
      <c r="AT160" s="36">
        <f t="shared" si="216"/>
        <v>0</v>
      </c>
      <c r="AU160" s="8">
        <f t="shared" si="217"/>
        <v>0</v>
      </c>
      <c r="AV160" s="6">
        <f>SUMIF('Eredeti fejléccel'!$B:$B,'Felosztás eredménykim'!$B160,'Eredeti fejléccel'!$AI:$AI)</f>
        <v>0</v>
      </c>
      <c r="AW160" s="6">
        <f>SUMIF('Eredeti fejléccel'!$B:$B,'Felosztás eredménykim'!$B160,'Eredeti fejléccel'!$AJ:$AJ)</f>
        <v>0</v>
      </c>
      <c r="AX160" s="6">
        <f>SUMIF('Eredeti fejléccel'!$B:$B,'Felosztás eredménykim'!$B160,'Eredeti fejléccel'!$AK:$AK)</f>
        <v>0</v>
      </c>
      <c r="AY160" s="6">
        <f>SUMIF('Eredeti fejléccel'!$B:$B,'Felosztás eredménykim'!$B160,'Eredeti fejléccel'!$AL:$AL)</f>
        <v>0</v>
      </c>
      <c r="AZ160" s="6">
        <f>SUMIF('Eredeti fejléccel'!$B:$B,'Felosztás eredménykim'!$B160,'Eredeti fejléccel'!$AM:$AM)</f>
        <v>0</v>
      </c>
      <c r="BA160" s="6">
        <f>SUMIF('Eredeti fejléccel'!$B:$B,'Felosztás eredménykim'!$B160,'Eredeti fejléccel'!$AN:$AN)</f>
        <v>0</v>
      </c>
      <c r="BB160" s="6">
        <f>SUMIF('Eredeti fejléccel'!$B:$B,'Felosztás eredménykim'!$B160,'Eredeti fejléccel'!$AP:$AP)</f>
        <v>0</v>
      </c>
      <c r="BD160" s="6">
        <f>SUMIF('Eredeti fejléccel'!$B:$B,'Felosztás eredménykim'!$B160,'Eredeti fejléccel'!$AS:$AS)</f>
        <v>0</v>
      </c>
      <c r="BE160" s="8">
        <f>SUM(AU160:BD160)</f>
        <v>0</v>
      </c>
      <c r="BF160" s="36">
        <f t="shared" si="218"/>
        <v>0</v>
      </c>
      <c r="BG160" s="8">
        <f t="shared" si="219"/>
        <v>0</v>
      </c>
      <c r="BH160" s="6">
        <f t="shared" si="293"/>
        <v>0</v>
      </c>
      <c r="BI160" s="6">
        <f>SUMIF('Eredeti fejléccel'!$B:$B,'Felosztás eredménykim'!$B160,'Eredeti fejléccel'!$AH:$AH)</f>
        <v>0</v>
      </c>
      <c r="BJ160" s="6">
        <f>SUMIF('Eredeti fejléccel'!$B:$B,'Felosztás eredménykim'!$B160,'Eredeti fejléccel'!$AO:$AO)</f>
        <v>0</v>
      </c>
      <c r="BK160" s="6">
        <f>SUMIF('Eredeti fejléccel'!$B:$B,'Felosztás eredménykim'!$B160,'Eredeti fejléccel'!$BF:$BF)</f>
        <v>0</v>
      </c>
      <c r="BL160" s="8">
        <f t="shared" si="294"/>
        <v>0</v>
      </c>
      <c r="BM160" s="36">
        <f t="shared" si="220"/>
        <v>0</v>
      </c>
      <c r="BN160" s="8">
        <f t="shared" si="221"/>
        <v>0</v>
      </c>
      <c r="BP160" s="8">
        <f t="shared" si="295"/>
        <v>0</v>
      </c>
      <c r="BQ160" s="6">
        <f>SUMIF('Eredeti fejléccel'!$B:$B,'Felosztás eredménykim'!$B160,'Eredeti fejléccel'!$N:$N)</f>
        <v>0</v>
      </c>
      <c r="BR160" s="6">
        <f>SUMIF('Eredeti fejléccel'!$B:$B,'Felosztás eredménykim'!$B160,'Eredeti fejléccel'!$S:$S)</f>
        <v>0</v>
      </c>
      <c r="BT160" s="6">
        <f>SUMIF('Eredeti fejléccel'!$B:$B,'Felosztás eredménykim'!$B160,'Eredeti fejléccel'!$AR:$AR)</f>
        <v>0</v>
      </c>
      <c r="BU160" s="6">
        <f>SUMIF('Eredeti fejléccel'!$B:$B,'Felosztás eredménykim'!$B160,'Eredeti fejléccel'!$AU:$AU)</f>
        <v>0</v>
      </c>
      <c r="BV160" s="6">
        <f>SUMIF('Eredeti fejléccel'!$B:$B,'Felosztás eredménykim'!$B160,'Eredeti fejléccel'!$AV:$AV)</f>
        <v>0</v>
      </c>
      <c r="BW160" s="6">
        <f>SUMIF('Eredeti fejléccel'!$B:$B,'Felosztás eredménykim'!$B160,'Eredeti fejléccel'!$AW:$AW)</f>
        <v>0</v>
      </c>
      <c r="BX160" s="6">
        <f>SUMIF('Eredeti fejléccel'!$B:$B,'Felosztás eredménykim'!$B160,'Eredeti fejléccel'!$AX:$AX)</f>
        <v>0</v>
      </c>
      <c r="BY160" s="6">
        <f>SUMIF('Eredeti fejléccel'!$B:$B,'Felosztás eredménykim'!$B160,'Eredeti fejléccel'!$AY:$AY)</f>
        <v>0</v>
      </c>
      <c r="BZ160" s="6">
        <f>SUMIF('Eredeti fejléccel'!$B:$B,'Felosztás eredménykim'!$B160,'Eredeti fejléccel'!$AZ:$AZ)</f>
        <v>0</v>
      </c>
      <c r="CA160" s="6">
        <f>SUMIF('Eredeti fejléccel'!$B:$B,'Felosztás eredménykim'!$B160,'Eredeti fejléccel'!$BA:$BA)</f>
        <v>0</v>
      </c>
      <c r="CB160" s="6">
        <f t="shared" si="253"/>
        <v>0</v>
      </c>
      <c r="CC160" s="36">
        <f t="shared" si="222"/>
        <v>0</v>
      </c>
      <c r="CD160" s="8">
        <f t="shared" si="223"/>
        <v>0</v>
      </c>
      <c r="CE160" s="6">
        <f>SUMIF('Eredeti fejléccel'!$B:$B,'Felosztás eredménykim'!$B160,'Eredeti fejléccel'!$BC:$BC)</f>
        <v>0</v>
      </c>
      <c r="CF160" s="8">
        <f t="shared" si="300"/>
        <v>0</v>
      </c>
      <c r="CG160" s="6">
        <f>SUMIF('Eredeti fejléccel'!$B:$B,'Felosztás eredménykim'!$B160,'Eredeti fejléccel'!$H:$H)</f>
        <v>0</v>
      </c>
      <c r="CH160" s="6">
        <f>SUMIF('Eredeti fejléccel'!$B:$B,'Felosztás eredménykim'!$B160,'Eredeti fejléccel'!$BE:$BE)</f>
        <v>0</v>
      </c>
      <c r="CI160" s="6">
        <f>SUM(CD160:CH160)</f>
        <v>0</v>
      </c>
      <c r="CJ160" s="36">
        <f t="shared" si="224"/>
        <v>0</v>
      </c>
      <c r="CK160" s="8">
        <f t="shared" si="225"/>
        <v>0</v>
      </c>
      <c r="CL160" s="8">
        <f t="shared" si="301"/>
        <v>0</v>
      </c>
      <c r="CM160" s="6">
        <f>SUMIF('Eredeti fejléccel'!$B:$B,'Felosztás eredménykim'!$B160,'Eredeti fejléccel'!$BD:$BD)</f>
        <v>0</v>
      </c>
      <c r="CN160" s="8">
        <f>SUM(CK160:CM160)</f>
        <v>0</v>
      </c>
      <c r="CO160" s="8">
        <f t="shared" si="254"/>
        <v>0</v>
      </c>
      <c r="CR160" s="36">
        <f t="shared" si="226"/>
        <v>0</v>
      </c>
      <c r="CS160" s="6">
        <f>SUMIF('Eredeti fejléccel'!$B:$B,'Felosztás eredménykim'!$B160,'Eredeti fejléccel'!$I:$I)</f>
        <v>0</v>
      </c>
      <c r="CT160" s="6">
        <f>SUMIF('Eredeti fejléccel'!$B:$B,'Felosztás eredménykim'!$B160,'Eredeti fejléccel'!$BG:$BG)</f>
        <v>0</v>
      </c>
      <c r="CU160" s="6">
        <f>SUMIF('Eredeti fejléccel'!$B:$B,'Felosztás eredménykim'!$B160,'Eredeti fejléccel'!$BH:$BH)</f>
        <v>0</v>
      </c>
      <c r="CV160" s="6">
        <f>SUMIF('Eredeti fejléccel'!$B:$B,'Felosztás eredménykim'!$B160,'Eredeti fejléccel'!$BI:$BI)</f>
        <v>0</v>
      </c>
      <c r="CW160" s="6">
        <f>SUMIF('Eredeti fejléccel'!$B:$B,'Felosztás eredménykim'!$B160,'Eredeti fejléccel'!$BL:$BL)</f>
        <v>0</v>
      </c>
      <c r="CX160" s="6">
        <f>SUM(CS160:CW160)</f>
        <v>0</v>
      </c>
      <c r="CY160" s="6">
        <f>SUMIF('Eredeti fejléccel'!$B:$B,'Felosztás eredménykim'!$B160,'Eredeti fejléccel'!$BJ:$BJ)</f>
        <v>0</v>
      </c>
      <c r="CZ160" s="6">
        <f>SUMIF('Eredeti fejléccel'!$B:$B,'Felosztás eredménykim'!$B160,'Eredeti fejléccel'!$BK:$BK)</f>
        <v>0</v>
      </c>
      <c r="DA160" s="99">
        <f t="shared" si="242"/>
        <v>0</v>
      </c>
      <c r="DC160" s="36">
        <f t="shared" si="227"/>
        <v>0</v>
      </c>
      <c r="DD160" s="6">
        <f>SUMIF('Eredeti fejléccel'!$B:$B,'Felosztás eredménykim'!$B160,'Eredeti fejléccel'!$J:$J)</f>
        <v>0</v>
      </c>
      <c r="DE160" s="6">
        <f>SUMIF('Eredeti fejléccel'!$B:$B,'Felosztás eredménykim'!$B160,'Eredeti fejléccel'!$BM:$BM)</f>
        <v>0</v>
      </c>
      <c r="DF160" s="6">
        <f t="shared" si="296"/>
        <v>0</v>
      </c>
      <c r="DG160" s="8">
        <f t="shared" si="255"/>
        <v>0</v>
      </c>
      <c r="DH160" s="8">
        <f t="shared" si="297"/>
        <v>0</v>
      </c>
      <c r="DJ160" s="6">
        <f>SUMIF('Eredeti fejléccel'!$B:$B,'Felosztás eredménykim'!$B160,'Eredeti fejléccel'!$BN:$BN)</f>
        <v>0</v>
      </c>
      <c r="DK160" s="6">
        <f>SUMIF('Eredeti fejléccel'!$B:$B,'Felosztás eredménykim'!$B160,'Eredeti fejléccel'!$BZ:$BZ)</f>
        <v>0</v>
      </c>
      <c r="DL160" s="8">
        <f t="shared" si="298"/>
        <v>0</v>
      </c>
      <c r="DM160" s="6">
        <f>SUMIF('Eredeti fejléccel'!$B:$B,'Felosztás eredménykim'!$B160,'Eredeti fejléccel'!$BR:$BR)</f>
        <v>0</v>
      </c>
      <c r="DN160" s="6">
        <f>SUMIF('Eredeti fejléccel'!$B:$B,'Felosztás eredménykim'!$B160,'Eredeti fejléccel'!$BS:$BS)</f>
        <v>0</v>
      </c>
      <c r="DO160" s="6">
        <f>SUMIF('Eredeti fejléccel'!$B:$B,'Felosztás eredménykim'!$B160,'Eredeti fejléccel'!$BO:$BO)</f>
        <v>0</v>
      </c>
      <c r="DP160" s="6">
        <f>SUMIF('Eredeti fejléccel'!$B:$B,'Felosztás eredménykim'!$B160,'Eredeti fejléccel'!$BP:$BP)</f>
        <v>0</v>
      </c>
      <c r="DQ160" s="6">
        <f>SUMIF('Eredeti fejléccel'!$B:$B,'Felosztás eredménykim'!$B160,'Eredeti fejléccel'!$BQ:$BQ)</f>
        <v>0</v>
      </c>
      <c r="DS160" s="8"/>
      <c r="DU160" s="6">
        <f>SUMIF('Eredeti fejléccel'!$B:$B,'Felosztás eredménykim'!$B160,'Eredeti fejléccel'!$BT:$BT)</f>
        <v>0</v>
      </c>
      <c r="DV160" s="6">
        <f>SUMIF('Eredeti fejléccel'!$B:$B,'Felosztás eredménykim'!$B160,'Eredeti fejléccel'!$BU:$BU)</f>
        <v>0</v>
      </c>
      <c r="DW160" s="6">
        <f>SUMIF('Eredeti fejléccel'!$B:$B,'Felosztás eredménykim'!$B160,'Eredeti fejléccel'!$BV:$BV)</f>
        <v>0</v>
      </c>
      <c r="DX160" s="6">
        <f>SUMIF('Eredeti fejléccel'!$B:$B,'Felosztás eredménykim'!$B160,'Eredeti fejléccel'!$BW:$BW)</f>
        <v>0</v>
      </c>
      <c r="DY160" s="6">
        <f>SUMIF('Eredeti fejléccel'!$B:$B,'Felosztás eredménykim'!$B160,'Eredeti fejléccel'!$BX:$BX)</f>
        <v>0</v>
      </c>
      <c r="EA160" s="6"/>
      <c r="EC160" s="6"/>
      <c r="EE160" s="6">
        <f>SUMIF('Eredeti fejléccel'!$B:$B,'Felosztás eredménykim'!$B160,'Eredeti fejléccel'!$CA:$CA)</f>
        <v>0</v>
      </c>
      <c r="EF160" s="6">
        <f>SUMIF('Eredeti fejléccel'!$B:$B,'Felosztás eredménykim'!$B160,'Eredeti fejléccel'!$CB:$CB)</f>
        <v>0</v>
      </c>
      <c r="EG160" s="6">
        <f>SUMIF('Eredeti fejléccel'!$B:$B,'Felosztás eredménykim'!$B160,'Eredeti fejléccel'!$CC:$CC)</f>
        <v>0</v>
      </c>
      <c r="EH160" s="6">
        <f>SUMIF('Eredeti fejléccel'!$B:$B,'Felosztás eredménykim'!$B160,'Eredeti fejléccel'!$CD:$CD)</f>
        <v>0</v>
      </c>
      <c r="EK160" s="6">
        <f>SUMIF('Eredeti fejléccel'!$B:$B,'Felosztás eredménykim'!$B160,'Eredeti fejléccel'!$CE:$CE)</f>
        <v>0</v>
      </c>
      <c r="EN160" s="6">
        <f>SUMIF('Eredeti fejléccel'!$B:$B,'Felosztás eredménykim'!$B160,'Eredeti fejléccel'!$CF:$CF)</f>
        <v>0</v>
      </c>
      <c r="EP160" s="6">
        <f>SUMIF('Eredeti fejléccel'!$B:$B,'Felosztás eredménykim'!$B160,'Eredeti fejléccel'!$CG:$CG)</f>
        <v>0</v>
      </c>
      <c r="ES160" s="6">
        <f>SUMIF('Eredeti fejléccel'!$B:$B,'Felosztás eredménykim'!$B160,'Eredeti fejléccel'!$CH:$CH)</f>
        <v>0</v>
      </c>
      <c r="ET160" s="6">
        <f>SUMIF('Eredeti fejléccel'!$B:$B,'Felosztás eredménykim'!$B160,'Eredeti fejléccel'!$CI:$CI)</f>
        <v>0</v>
      </c>
      <c r="EW160" s="8">
        <f t="shared" si="288"/>
        <v>0</v>
      </c>
      <c r="EX160" s="8">
        <f>SUM(EE160:EV160)</f>
        <v>0</v>
      </c>
      <c r="EY160" s="8">
        <f t="shared" si="244"/>
        <v>0</v>
      </c>
      <c r="EZ160" s="8">
        <f t="shared" si="289"/>
        <v>0</v>
      </c>
      <c r="FA160" s="8">
        <f t="shared" si="290"/>
        <v>0</v>
      </c>
      <c r="FC160" s="6">
        <f>SUMIF('Eredeti fejléccel'!$B:$B,'Felosztás eredménykim'!$B160,'Eredeti fejléccel'!$L:$L)</f>
        <v>0</v>
      </c>
      <c r="FD160" s="6">
        <f>SUMIF('Eredeti fejléccel'!$B:$B,'Felosztás eredménykim'!$B160,'Eredeti fejléccel'!$CJ:$CJ)</f>
        <v>0</v>
      </c>
      <c r="FE160" s="6">
        <f>SUMIF('Eredeti fejléccel'!$B:$B,'Felosztás eredménykim'!$B160,'Eredeti fejléccel'!$CL:$CL)</f>
        <v>0</v>
      </c>
      <c r="FG160" s="99">
        <f>SUM(FC160:FF160)</f>
        <v>0</v>
      </c>
      <c r="FH160" s="6">
        <f>SUMIF('Eredeti fejléccel'!$B:$B,'Felosztás eredménykim'!$B160,'Eredeti fejléccel'!$CK:$CK)</f>
        <v>0</v>
      </c>
      <c r="FI160" s="36">
        <f t="shared" si="228"/>
        <v>0</v>
      </c>
      <c r="FJ160" s="101">
        <f t="shared" si="229"/>
        <v>0</v>
      </c>
      <c r="FK160" s="6">
        <f>SUMIF('Eredeti fejléccel'!$B:$B,'Felosztás eredménykim'!$B160,'Eredeti fejléccel'!$CM:$CM)</f>
        <v>0</v>
      </c>
      <c r="FL160" s="6">
        <f>SUMIF('Eredeti fejléccel'!$B:$B,'Felosztás eredménykim'!$B160,'Eredeti fejléccel'!$CN:$CN)</f>
        <v>0</v>
      </c>
      <c r="FM160" s="8">
        <f>SUM(FJ160:FL160)</f>
        <v>0</v>
      </c>
      <c r="FN160" s="36">
        <f t="shared" si="230"/>
        <v>0</v>
      </c>
      <c r="FO160" s="101">
        <f t="shared" si="231"/>
        <v>0</v>
      </c>
      <c r="FP160" s="6">
        <f>SUMIF('Eredeti fejléccel'!$B:$B,'Felosztás eredménykim'!$B160,'Eredeti fejléccel'!$CO:$CO)</f>
        <v>0</v>
      </c>
      <c r="FQ160" s="6">
        <f>'Eredeti fejléccel'!CP160</f>
        <v>0</v>
      </c>
      <c r="FR160" s="6">
        <f>'Eredeti fejléccel'!CQ160</f>
        <v>0</v>
      </c>
      <c r="FS160" s="103">
        <f t="shared" si="247"/>
        <v>0</v>
      </c>
      <c r="FT160" s="36">
        <f t="shared" si="232"/>
        <v>0</v>
      </c>
      <c r="FU160" s="101">
        <f t="shared" si="233"/>
        <v>0</v>
      </c>
      <c r="FV160" s="101"/>
      <c r="FW160" s="6">
        <f>SUMIF('Eredeti fejléccel'!$B:$B,'Felosztás eredménykim'!$B160,'Eredeti fejléccel'!$CR:$CR)</f>
        <v>0</v>
      </c>
      <c r="FX160" s="6">
        <f>SUMIF('Eredeti fejléccel'!$B:$B,'Felosztás eredménykim'!$B160,'Eredeti fejléccel'!$CS:$CS)</f>
        <v>0</v>
      </c>
      <c r="FY160" s="6">
        <f>SUMIF('Eredeti fejléccel'!$B:$B,'Felosztás eredménykim'!$B160,'Eredeti fejléccel'!$CT:$CT)</f>
        <v>0</v>
      </c>
      <c r="FZ160" s="6">
        <f>SUMIF('Eredeti fejléccel'!$B:$B,'Felosztás eredménykim'!$B160,'Eredeti fejléccel'!$CU:$CU)</f>
        <v>0</v>
      </c>
      <c r="GA160" s="103">
        <f>SUM(FU160:FZ160)</f>
        <v>0</v>
      </c>
      <c r="GB160" s="36">
        <f t="shared" si="234"/>
        <v>0</v>
      </c>
      <c r="GC160" s="101">
        <f t="shared" si="235"/>
        <v>0</v>
      </c>
      <c r="GD160" s="6">
        <f>SUMIF('Eredeti fejléccel'!$B:$B,'Felosztás eredménykim'!$B160,'Eredeti fejléccel'!$CV:$CV)</f>
        <v>0</v>
      </c>
      <c r="GE160" s="6">
        <f>SUMIF('Eredeti fejléccel'!$B:$B,'Felosztás eredménykim'!$B160,'Eredeti fejléccel'!$CW:$CW)</f>
        <v>0</v>
      </c>
      <c r="GF160" s="103">
        <f>SUM(GC160:GE160)</f>
        <v>0</v>
      </c>
      <c r="GG160" s="36">
        <f t="shared" si="236"/>
        <v>0</v>
      </c>
      <c r="GM160" s="6">
        <f>SUMIF('Eredeti fejléccel'!$B:$B,'Felosztás eredménykim'!$B160,'Eredeti fejléccel'!$CX:$CX)</f>
        <v>0</v>
      </c>
      <c r="GN160" s="6">
        <f>SUMIF('Eredeti fejléccel'!$B:$B,'Felosztás eredménykim'!$B160,'Eredeti fejléccel'!$CY:$CY)</f>
        <v>0</v>
      </c>
      <c r="GO160" s="6">
        <f>SUMIF('Eredeti fejléccel'!$B:$B,'Felosztás eredménykim'!$B160,'Eredeti fejléccel'!$CZ:$CZ)</f>
        <v>0</v>
      </c>
      <c r="GP160" s="6">
        <f>SUMIF('Eredeti fejléccel'!$B:$B,'Felosztás eredménykim'!$B160,'Eredeti fejléccel'!$DA:$DA)</f>
        <v>0</v>
      </c>
      <c r="GQ160" s="6">
        <f>SUMIF('Eredeti fejléccel'!$B:$B,'Felosztás eredménykim'!$B160,'Eredeti fejléccel'!$DB:$DB)</f>
        <v>0</v>
      </c>
      <c r="GR160" s="103">
        <f>SUM(GH160:GQ160)</f>
        <v>0</v>
      </c>
      <c r="GW160" s="36">
        <f t="shared" si="237"/>
        <v>0</v>
      </c>
      <c r="GX160" s="6">
        <f>SUMIF('Eredeti fejléccel'!$B:$B,'Felosztás eredménykim'!$B160,'Eredeti fejléccel'!$M:$M)</f>
        <v>0</v>
      </c>
      <c r="GY160" s="6">
        <f>SUMIF('Eredeti fejléccel'!$B:$B,'Felosztás eredménykim'!$B160,'Eredeti fejléccel'!$DC:$DC)</f>
        <v>0</v>
      </c>
      <c r="GZ160" s="6">
        <f>SUMIF('Eredeti fejléccel'!$B:$B,'Felosztás eredménykim'!$B160,'Eredeti fejléccel'!$DD:$DD)</f>
        <v>0</v>
      </c>
      <c r="HA160" s="6">
        <f>SUMIF('Eredeti fejléccel'!$B:$B,'Felosztás eredménykim'!$B160,'Eredeti fejléccel'!$DE:$DE)</f>
        <v>0</v>
      </c>
      <c r="HB160" s="103">
        <f>SUM(GX160:HA160)</f>
        <v>0</v>
      </c>
      <c r="HD160" s="9">
        <f t="shared" si="256"/>
        <v>39078123</v>
      </c>
      <c r="HE160" s="9">
        <v>39078123</v>
      </c>
      <c r="HF160" s="476"/>
      <c r="HH160" s="34">
        <f>+HD160-HE160</f>
        <v>0</v>
      </c>
    </row>
    <row r="161" spans="1:216" x14ac:dyDescent="0.25">
      <c r="A161" s="4" t="s">
        <v>862</v>
      </c>
      <c r="B161" s="4" t="s">
        <v>862</v>
      </c>
      <c r="D161" s="6">
        <f>SUMIF('Eredeti fejléccel'!$B:$B,'Felosztás eredménykim'!$B161,'Eredeti fejléccel'!$D:$D)</f>
        <v>0</v>
      </c>
      <c r="E161" s="6">
        <f>SUMIF('Eredeti fejléccel'!$B:$B,'Felosztás eredménykim'!$B161,'Eredeti fejléccel'!$E:$E)</f>
        <v>0</v>
      </c>
      <c r="F161" s="6">
        <f>SUMIF('Eredeti fejléccel'!$B:$B,'Felosztás eredménykim'!$B161,'Eredeti fejléccel'!$F:$F)</f>
        <v>0</v>
      </c>
      <c r="G161" s="6">
        <f>SUMIF('Eredeti fejléccel'!$B:$B,'Felosztás eredménykim'!$B161,'Eredeti fejléccel'!$G:$G)</f>
        <v>0</v>
      </c>
      <c r="H161" s="6"/>
      <c r="I161" s="6">
        <f>SUMIF('Eredeti fejléccel'!$B:$B,'Felosztás eredménykim'!$B161,'Eredeti fejléccel'!$O:$O)</f>
        <v>0</v>
      </c>
      <c r="J161" s="6">
        <f>SUMIF('Eredeti fejléccel'!$B:$B,'Felosztás eredménykim'!$B161,'Eredeti fejléccel'!$P:$P)</f>
        <v>0</v>
      </c>
      <c r="K161" s="6">
        <f>SUMIF('Eredeti fejléccel'!$B:$B,'Felosztás eredménykim'!$B161,'Eredeti fejléccel'!$Q:$Q)</f>
        <v>0</v>
      </c>
      <c r="L161" s="6">
        <f>SUMIF('Eredeti fejléccel'!$B:$B,'Felosztás eredménykim'!$B161,'Eredeti fejléccel'!$R:$R)</f>
        <v>0</v>
      </c>
      <c r="M161" s="6">
        <f>SUMIF('Eredeti fejléccel'!$B:$B,'Felosztás eredménykim'!$B161,'Eredeti fejléccel'!$T:$T)</f>
        <v>0</v>
      </c>
      <c r="N161" s="6">
        <f>SUMIF('Eredeti fejléccel'!$B:$B,'Felosztás eredménykim'!$B161,'Eredeti fejléccel'!$U:$U)</f>
        <v>0</v>
      </c>
      <c r="O161" s="6">
        <f>SUMIF('Eredeti fejléccel'!$B:$B,'Felosztás eredménykim'!$B161,'Eredeti fejléccel'!$V:$V)</f>
        <v>0</v>
      </c>
      <c r="P161" s="6">
        <f>SUMIF('Eredeti fejléccel'!$B:$B,'Felosztás eredménykim'!$B161,'Eredeti fejléccel'!$W:$W)</f>
        <v>0</v>
      </c>
      <c r="Q161" s="6">
        <f>SUMIF('Eredeti fejléccel'!$B:$B,'Felosztás eredménykim'!$B161,'Eredeti fejléccel'!$X:$X)</f>
        <v>0</v>
      </c>
      <c r="R161" s="6">
        <f>SUMIF('Eredeti fejléccel'!$B:$B,'Felosztás eredménykim'!$B161,'Eredeti fejléccel'!$Y:$Y)</f>
        <v>0</v>
      </c>
      <c r="S161" s="6">
        <f>SUMIF('Eredeti fejléccel'!$B:$B,'Felosztás eredménykim'!$B161,'Eredeti fejléccel'!$Z:$Z)</f>
        <v>0</v>
      </c>
      <c r="T161" s="6">
        <f>SUMIF('Eredeti fejléccel'!$B:$B,'Felosztás eredménykim'!$B161,'Eredeti fejléccel'!$AA:$AA)</f>
        <v>0</v>
      </c>
      <c r="U161" s="6">
        <f>SUMIF('Eredeti fejléccel'!$B:$B,'Felosztás eredménykim'!$B161,'Eredeti fejléccel'!$D:$D)</f>
        <v>0</v>
      </c>
      <c r="V161" s="6">
        <f>SUMIF('Eredeti fejléccel'!$B:$B,'Felosztás eredménykim'!$B161,'Eredeti fejléccel'!$AT:$AT)</f>
        <v>-445710.4</v>
      </c>
      <c r="W161" s="36">
        <f t="shared" si="302"/>
        <v>445710.4</v>
      </c>
      <c r="X161" s="36">
        <f t="shared" si="211"/>
        <v>0</v>
      </c>
      <c r="Z161" s="6">
        <f>SUMIF('Eredeti fejléccel'!$B:$B,'Felosztás eredménykim'!$B161,'Eredeti fejléccel'!$K:$K)</f>
        <v>0</v>
      </c>
      <c r="AB161" s="6">
        <f>SUMIF('Eredeti fejléccel'!$B:$B,'Felosztás eredménykim'!$B161,'Eredeti fejléccel'!$AB:$AB)</f>
        <v>0</v>
      </c>
      <c r="AC161" s="6">
        <f>SUMIF('Eredeti fejléccel'!$B:$B,'Felosztás eredménykim'!$B161,'Eredeti fejléccel'!$AQ:$AQ)</f>
        <v>0</v>
      </c>
      <c r="AE161" s="73">
        <f t="shared" si="299"/>
        <v>0</v>
      </c>
      <c r="AF161" s="36">
        <f t="shared" si="212"/>
        <v>0</v>
      </c>
      <c r="AG161" s="8">
        <f t="shared" si="213"/>
        <v>0</v>
      </c>
      <c r="AI161" s="6">
        <f>SUMIF('Eredeti fejléccel'!$B:$B,'Felosztás eredménykim'!$B161,'Eredeti fejléccel'!$BB:$BB)</f>
        <v>0</v>
      </c>
      <c r="AJ161" s="6">
        <f>SUMIF('Eredeti fejléccel'!$B:$B,'Felosztás eredménykim'!$B161,'Eredeti fejléccel'!$AF:$AF)</f>
        <v>0</v>
      </c>
      <c r="AK161" s="8">
        <f t="shared" si="177"/>
        <v>0</v>
      </c>
      <c r="AL161" s="36">
        <f t="shared" si="214"/>
        <v>0</v>
      </c>
      <c r="AM161" s="8">
        <f t="shared" si="215"/>
        <v>0</v>
      </c>
      <c r="AN161" s="6">
        <f t="shared" si="291"/>
        <v>0</v>
      </c>
      <c r="AO161" s="6">
        <f>SUMIF('Eredeti fejléccel'!$B:$B,'Felosztás eredménykim'!$B161,'Eredeti fejléccel'!$AC:$AC)</f>
        <v>0</v>
      </c>
      <c r="AP161" s="6">
        <f>SUMIF('Eredeti fejléccel'!$B:$B,'Felosztás eredménykim'!$B161,'Eredeti fejléccel'!$AD:$AD)</f>
        <v>0</v>
      </c>
      <c r="AQ161" s="6">
        <f>SUMIF('Eredeti fejléccel'!$B:$B,'Felosztás eredménykim'!$B161,'Eredeti fejléccel'!$AE:$AE)</f>
        <v>0</v>
      </c>
      <c r="AR161" s="6">
        <f>SUMIF('Eredeti fejléccel'!$B:$B,'Felosztás eredménykim'!$B161,'Eredeti fejléccel'!$AG:$AG)</f>
        <v>0</v>
      </c>
      <c r="AS161" s="6">
        <f t="shared" si="292"/>
        <v>0</v>
      </c>
      <c r="AT161" s="36">
        <f t="shared" si="216"/>
        <v>0</v>
      </c>
      <c r="AU161" s="8">
        <f t="shared" si="217"/>
        <v>0</v>
      </c>
      <c r="AV161" s="6">
        <f>SUMIF('Eredeti fejléccel'!$B:$B,'Felosztás eredménykim'!$B161,'Eredeti fejléccel'!$AI:$AI)</f>
        <v>0</v>
      </c>
      <c r="AW161" s="6">
        <f>SUMIF('Eredeti fejléccel'!$B:$B,'Felosztás eredménykim'!$B161,'Eredeti fejléccel'!$AJ:$AJ)</f>
        <v>0</v>
      </c>
      <c r="AX161" s="6">
        <f>SUMIF('Eredeti fejléccel'!$B:$B,'Felosztás eredménykim'!$B161,'Eredeti fejléccel'!$AK:$AK)</f>
        <v>0</v>
      </c>
      <c r="AY161" s="6">
        <f>SUMIF('Eredeti fejléccel'!$B:$B,'Felosztás eredménykim'!$B161,'Eredeti fejléccel'!$AL:$AL)</f>
        <v>0</v>
      </c>
      <c r="AZ161" s="6">
        <f>SUMIF('Eredeti fejléccel'!$B:$B,'Felosztás eredménykim'!$B161,'Eredeti fejléccel'!$AM:$AM)</f>
        <v>0</v>
      </c>
      <c r="BA161" s="6">
        <f>SUMIF('Eredeti fejléccel'!$B:$B,'Felosztás eredménykim'!$B161,'Eredeti fejléccel'!$AN:$AN)</f>
        <v>0</v>
      </c>
      <c r="BB161" s="6">
        <f>SUMIF('Eredeti fejléccel'!$B:$B,'Felosztás eredménykim'!$B161,'Eredeti fejléccel'!$AP:$AP)</f>
        <v>0</v>
      </c>
      <c r="BD161" s="6">
        <f>SUMIF('Eredeti fejléccel'!$B:$B,'Felosztás eredménykim'!$B161,'Eredeti fejléccel'!$AS:$AS)</f>
        <v>0</v>
      </c>
      <c r="BE161" s="8">
        <f t="shared" si="238"/>
        <v>0</v>
      </c>
      <c r="BF161" s="36">
        <f t="shared" si="218"/>
        <v>0</v>
      </c>
      <c r="BG161" s="8">
        <f t="shared" si="219"/>
        <v>0</v>
      </c>
      <c r="BH161" s="6">
        <f t="shared" si="293"/>
        <v>0</v>
      </c>
      <c r="BI161" s="6">
        <f>SUMIF('Eredeti fejléccel'!$B:$B,'Felosztás eredménykim'!$B161,'Eredeti fejléccel'!$AH:$AH)</f>
        <v>0</v>
      </c>
      <c r="BJ161" s="6">
        <f>SUMIF('Eredeti fejléccel'!$B:$B,'Felosztás eredménykim'!$B161,'Eredeti fejléccel'!$AO:$AO)</f>
        <v>0</v>
      </c>
      <c r="BK161" s="6">
        <f>SUMIF('Eredeti fejléccel'!$B:$B,'Felosztás eredménykim'!$B161,'Eredeti fejléccel'!$BF:$BF)</f>
        <v>0</v>
      </c>
      <c r="BL161" s="8">
        <f t="shared" si="294"/>
        <v>0</v>
      </c>
      <c r="BM161" s="36">
        <f t="shared" si="220"/>
        <v>0</v>
      </c>
      <c r="BN161" s="8">
        <f t="shared" si="221"/>
        <v>0</v>
      </c>
      <c r="BP161" s="8">
        <f t="shared" si="295"/>
        <v>0</v>
      </c>
      <c r="BQ161" s="6">
        <f>SUMIF('Eredeti fejléccel'!$B:$B,'Felosztás eredménykim'!$B161,'Eredeti fejléccel'!$N:$N)</f>
        <v>0</v>
      </c>
      <c r="BR161" s="6">
        <f>SUMIF('Eredeti fejléccel'!$B:$B,'Felosztás eredménykim'!$B161,'Eredeti fejléccel'!$S:$S)</f>
        <v>0</v>
      </c>
      <c r="BT161" s="6">
        <f>SUMIF('Eredeti fejléccel'!$B:$B,'Felosztás eredménykim'!$B161,'Eredeti fejléccel'!$AR:$AR)</f>
        <v>0</v>
      </c>
      <c r="BU161" s="6">
        <f>SUMIF('Eredeti fejléccel'!$B:$B,'Felosztás eredménykim'!$B161,'Eredeti fejléccel'!$AU:$AU)</f>
        <v>0</v>
      </c>
      <c r="BV161" s="6">
        <f>SUMIF('Eredeti fejléccel'!$B:$B,'Felosztás eredménykim'!$B161,'Eredeti fejléccel'!$AV:$AV)</f>
        <v>0</v>
      </c>
      <c r="BW161" s="6">
        <f>SUMIF('Eredeti fejléccel'!$B:$B,'Felosztás eredménykim'!$B161,'Eredeti fejléccel'!$AW:$AW)</f>
        <v>0</v>
      </c>
      <c r="BX161" s="6">
        <f>SUMIF('Eredeti fejléccel'!$B:$B,'Felosztás eredménykim'!$B161,'Eredeti fejléccel'!$AX:$AX)</f>
        <v>0</v>
      </c>
      <c r="BY161" s="6">
        <f>SUMIF('Eredeti fejléccel'!$B:$B,'Felosztás eredménykim'!$B161,'Eredeti fejléccel'!$AY:$AY)</f>
        <v>0</v>
      </c>
      <c r="BZ161" s="6">
        <f>SUMIF('Eredeti fejléccel'!$B:$B,'Felosztás eredménykim'!$B161,'Eredeti fejléccel'!$AZ:$AZ)</f>
        <v>0</v>
      </c>
      <c r="CA161" s="6">
        <f>SUMIF('Eredeti fejléccel'!$B:$B,'Felosztás eredménykim'!$B161,'Eredeti fejléccel'!$BA:$BA)</f>
        <v>0</v>
      </c>
      <c r="CB161" s="6">
        <f t="shared" si="253"/>
        <v>0</v>
      </c>
      <c r="CC161" s="36">
        <f t="shared" si="222"/>
        <v>0</v>
      </c>
      <c r="CD161" s="8">
        <f t="shared" si="223"/>
        <v>0</v>
      </c>
      <c r="CE161" s="6">
        <f>SUMIF('Eredeti fejléccel'!$B:$B,'Felosztás eredménykim'!$B161,'Eredeti fejléccel'!$BC:$BC)</f>
        <v>0</v>
      </c>
      <c r="CF161" s="8">
        <f t="shared" si="300"/>
        <v>0</v>
      </c>
      <c r="CG161" s="6">
        <f>SUMIF('Eredeti fejléccel'!$B:$B,'Felosztás eredménykim'!$B161,'Eredeti fejléccel'!$H:$H)</f>
        <v>0</v>
      </c>
      <c r="CH161" s="6">
        <f>SUMIF('Eredeti fejléccel'!$B:$B,'Felosztás eredménykim'!$B161,'Eredeti fejléccel'!$BE:$BE)</f>
        <v>0</v>
      </c>
      <c r="CI161" s="6">
        <f t="shared" si="239"/>
        <v>0</v>
      </c>
      <c r="CJ161" s="36">
        <f t="shared" si="224"/>
        <v>0</v>
      </c>
      <c r="CK161" s="8">
        <f t="shared" si="225"/>
        <v>0</v>
      </c>
      <c r="CL161" s="8">
        <f t="shared" si="301"/>
        <v>0</v>
      </c>
      <c r="CM161" s="6">
        <f>SUMIF('Eredeti fejléccel'!$B:$B,'Felosztás eredménykim'!$B161,'Eredeti fejléccel'!$BD:$BD)</f>
        <v>0</v>
      </c>
      <c r="CN161" s="8">
        <f t="shared" si="240"/>
        <v>0</v>
      </c>
      <c r="CO161" s="8">
        <f t="shared" si="254"/>
        <v>0</v>
      </c>
      <c r="CR161" s="36">
        <f t="shared" si="226"/>
        <v>0</v>
      </c>
      <c r="CS161" s="6">
        <f>SUMIF('Eredeti fejléccel'!$B:$B,'Felosztás eredménykim'!$B161,'Eredeti fejléccel'!$I:$I)</f>
        <v>0</v>
      </c>
      <c r="CT161" s="6">
        <f>SUMIF('Eredeti fejléccel'!$B:$B,'Felosztás eredménykim'!$B161,'Eredeti fejléccel'!$BG:$BG)</f>
        <v>0</v>
      </c>
      <c r="CU161" s="6">
        <f>SUMIF('Eredeti fejléccel'!$B:$B,'Felosztás eredménykim'!$B161,'Eredeti fejléccel'!$BH:$BH)</f>
        <v>0</v>
      </c>
      <c r="CV161" s="6">
        <f>SUMIF('Eredeti fejléccel'!$B:$B,'Felosztás eredménykim'!$B161,'Eredeti fejléccel'!$BI:$BI)</f>
        <v>0</v>
      </c>
      <c r="CW161" s="6">
        <f>SUMIF('Eredeti fejléccel'!$B:$B,'Felosztás eredménykim'!$B161,'Eredeti fejléccel'!$BL:$BL)</f>
        <v>0</v>
      </c>
      <c r="CX161" s="6">
        <f t="shared" si="241"/>
        <v>0</v>
      </c>
      <c r="CY161" s="6">
        <f>SUMIF('Eredeti fejléccel'!$B:$B,'Felosztás eredménykim'!$B161,'Eredeti fejléccel'!$BJ:$BJ)</f>
        <v>0</v>
      </c>
      <c r="CZ161" s="6">
        <f>SUMIF('Eredeti fejléccel'!$B:$B,'Felosztás eredménykim'!$B161,'Eredeti fejléccel'!$BK:$BK)</f>
        <v>0</v>
      </c>
      <c r="DA161" s="99">
        <f t="shared" si="242"/>
        <v>0</v>
      </c>
      <c r="DC161" s="36">
        <f t="shared" si="227"/>
        <v>0</v>
      </c>
      <c r="DD161" s="6">
        <f>SUMIF('Eredeti fejléccel'!$B:$B,'Felosztás eredménykim'!$B161,'Eredeti fejléccel'!$J:$J)</f>
        <v>0</v>
      </c>
      <c r="DE161" s="6">
        <f>SUMIF('Eredeti fejléccel'!$B:$B,'Felosztás eredménykim'!$B161,'Eredeti fejléccel'!$BM:$BM)</f>
        <v>0</v>
      </c>
      <c r="DF161" s="6">
        <f t="shared" si="296"/>
        <v>0</v>
      </c>
      <c r="DG161" s="8">
        <f t="shared" si="255"/>
        <v>0</v>
      </c>
      <c r="DH161" s="8">
        <f t="shared" si="297"/>
        <v>0</v>
      </c>
      <c r="DJ161" s="6">
        <f>SUMIF('Eredeti fejléccel'!$B:$B,'Felosztás eredménykim'!$B161,'Eredeti fejléccel'!$BN:$BN)</f>
        <v>0</v>
      </c>
      <c r="DK161" s="6">
        <f>SUMIF('Eredeti fejléccel'!$B:$B,'Felosztás eredménykim'!$B161,'Eredeti fejléccel'!$BZ:$BZ)</f>
        <v>0</v>
      </c>
      <c r="DL161" s="8">
        <f t="shared" si="298"/>
        <v>0</v>
      </c>
      <c r="DM161" s="6">
        <f>SUMIF('Eredeti fejléccel'!$B:$B,'Felosztás eredménykim'!$B161,'Eredeti fejléccel'!$BR:$BR)</f>
        <v>0</v>
      </c>
      <c r="DN161" s="6">
        <f>SUMIF('Eredeti fejléccel'!$B:$B,'Felosztás eredménykim'!$B161,'Eredeti fejléccel'!$BS:$BS)</f>
        <v>0</v>
      </c>
      <c r="DO161" s="6">
        <f>SUMIF('Eredeti fejléccel'!$B:$B,'Felosztás eredménykim'!$B161,'Eredeti fejléccel'!$BO:$BO)</f>
        <v>0</v>
      </c>
      <c r="DP161" s="6">
        <f>SUMIF('Eredeti fejléccel'!$B:$B,'Felosztás eredménykim'!$B161,'Eredeti fejléccel'!$BP:$BP)</f>
        <v>0</v>
      </c>
      <c r="DQ161" s="6">
        <f>SUMIF('Eredeti fejléccel'!$B:$B,'Felosztás eredménykim'!$B161,'Eredeti fejléccel'!$BQ:$BQ)</f>
        <v>0</v>
      </c>
      <c r="DS161" s="8"/>
      <c r="DU161" s="6">
        <f>SUMIF('Eredeti fejléccel'!$B:$B,'Felosztás eredménykim'!$B161,'Eredeti fejléccel'!$BT:$BT)</f>
        <v>0</v>
      </c>
      <c r="DV161" s="6">
        <f>SUMIF('Eredeti fejléccel'!$B:$B,'Felosztás eredménykim'!$B161,'Eredeti fejléccel'!$BU:$BU)</f>
        <v>0</v>
      </c>
      <c r="DW161" s="6">
        <f>SUMIF('Eredeti fejléccel'!$B:$B,'Felosztás eredménykim'!$B161,'Eredeti fejléccel'!$BV:$BV)</f>
        <v>0</v>
      </c>
      <c r="DX161" s="6">
        <f>SUMIF('Eredeti fejléccel'!$B:$B,'Felosztás eredménykim'!$B161,'Eredeti fejléccel'!$BW:$BW)</f>
        <v>0</v>
      </c>
      <c r="DY161" s="6">
        <f>SUMIF('Eredeti fejléccel'!$B:$B,'Felosztás eredménykim'!$B161,'Eredeti fejléccel'!$BX:$BX)</f>
        <v>0</v>
      </c>
      <c r="EA161" s="6"/>
      <c r="EC161" s="6"/>
      <c r="EE161" s="6">
        <f>SUMIF('Eredeti fejléccel'!$B:$B,'Felosztás eredménykim'!$B161,'Eredeti fejléccel'!$CA:$CA)</f>
        <v>0</v>
      </c>
      <c r="EF161" s="6">
        <f>SUMIF('Eredeti fejléccel'!$B:$B,'Felosztás eredménykim'!$B161,'Eredeti fejléccel'!$CB:$CB)</f>
        <v>0</v>
      </c>
      <c r="EG161" s="6">
        <f>SUMIF('Eredeti fejléccel'!$B:$B,'Felosztás eredménykim'!$B161,'Eredeti fejléccel'!$CC:$CC)</f>
        <v>0</v>
      </c>
      <c r="EH161" s="6">
        <f>SUMIF('Eredeti fejléccel'!$B:$B,'Felosztás eredménykim'!$B161,'Eredeti fejléccel'!$CD:$CD)</f>
        <v>0</v>
      </c>
      <c r="EK161" s="6">
        <f>SUMIF('Eredeti fejléccel'!$B:$B,'Felosztás eredménykim'!$B161,'Eredeti fejléccel'!$CE:$CE)</f>
        <v>0</v>
      </c>
      <c r="EN161" s="6">
        <f>SUMIF('Eredeti fejléccel'!$B:$B,'Felosztás eredménykim'!$B161,'Eredeti fejléccel'!$CF:$CF)</f>
        <v>0</v>
      </c>
      <c r="EP161" s="6">
        <f>SUMIF('Eredeti fejléccel'!$B:$B,'Felosztás eredménykim'!$B161,'Eredeti fejléccel'!$CG:$CG)</f>
        <v>0</v>
      </c>
      <c r="ES161" s="6">
        <f>SUMIF('Eredeti fejléccel'!$B:$B,'Felosztás eredménykim'!$B161,'Eredeti fejléccel'!$CH:$CH)</f>
        <v>0</v>
      </c>
      <c r="ET161" s="6">
        <f>SUMIF('Eredeti fejléccel'!$B:$B,'Felosztás eredménykim'!$B161,'Eredeti fejléccel'!$CI:$CI)</f>
        <v>0</v>
      </c>
      <c r="EW161" s="8">
        <f t="shared" si="288"/>
        <v>0</v>
      </c>
      <c r="EX161" s="8">
        <f t="shared" si="243"/>
        <v>0</v>
      </c>
      <c r="EY161" s="8">
        <f t="shared" si="244"/>
        <v>0</v>
      </c>
      <c r="EZ161" s="8">
        <f t="shared" si="289"/>
        <v>0</v>
      </c>
      <c r="FA161" s="8">
        <f t="shared" si="290"/>
        <v>0</v>
      </c>
      <c r="FC161" s="6">
        <f>SUMIF('Eredeti fejléccel'!$B:$B,'Felosztás eredménykim'!$B161,'Eredeti fejléccel'!$L:$L)</f>
        <v>0</v>
      </c>
      <c r="FD161" s="6">
        <f>SUMIF('Eredeti fejléccel'!$B:$B,'Felosztás eredménykim'!$B161,'Eredeti fejléccel'!$CJ:$CJ)</f>
        <v>0</v>
      </c>
      <c r="FE161" s="6">
        <f>SUMIF('Eredeti fejléccel'!$B:$B,'Felosztás eredménykim'!$B161,'Eredeti fejléccel'!$CL:$CL)</f>
        <v>0</v>
      </c>
      <c r="FG161" s="99">
        <f t="shared" si="245"/>
        <v>0</v>
      </c>
      <c r="FH161" s="6">
        <f>SUMIF('Eredeti fejléccel'!$B:$B,'Felosztás eredménykim'!$B161,'Eredeti fejléccel'!$CK:$CK)</f>
        <v>0</v>
      </c>
      <c r="FI161" s="36">
        <f t="shared" si="228"/>
        <v>0</v>
      </c>
      <c r="FJ161" s="101">
        <f t="shared" si="229"/>
        <v>0</v>
      </c>
      <c r="FK161" s="6">
        <f>SUMIF('Eredeti fejléccel'!$B:$B,'Felosztás eredménykim'!$B161,'Eredeti fejléccel'!$CM:$CM)</f>
        <v>0</v>
      </c>
      <c r="FL161" s="6">
        <f>SUMIF('Eredeti fejléccel'!$B:$B,'Felosztás eredménykim'!$B161,'Eredeti fejléccel'!$CN:$CN)</f>
        <v>0</v>
      </c>
      <c r="FM161" s="8">
        <f t="shared" si="246"/>
        <v>0</v>
      </c>
      <c r="FN161" s="36">
        <f t="shared" si="230"/>
        <v>0</v>
      </c>
      <c r="FO161" s="101">
        <f t="shared" si="231"/>
        <v>0</v>
      </c>
      <c r="FP161" s="6">
        <f>SUMIF('Eredeti fejléccel'!$B:$B,'Felosztás eredménykim'!$B161,'Eredeti fejléccel'!$CO:$CO)</f>
        <v>0</v>
      </c>
      <c r="FQ161" s="6">
        <f>'Eredeti fejléccel'!CP161</f>
        <v>0</v>
      </c>
      <c r="FR161" s="6">
        <f>'Eredeti fejléccel'!CQ161</f>
        <v>0</v>
      </c>
      <c r="FS161" s="103">
        <f t="shared" si="247"/>
        <v>0</v>
      </c>
      <c r="FT161" s="36">
        <f t="shared" si="232"/>
        <v>0</v>
      </c>
      <c r="FU161" s="101">
        <f t="shared" si="233"/>
        <v>0</v>
      </c>
      <c r="FV161" s="101"/>
      <c r="FW161" s="6">
        <f>SUMIF('Eredeti fejléccel'!$B:$B,'Felosztás eredménykim'!$B161,'Eredeti fejléccel'!$CR:$CR)</f>
        <v>0</v>
      </c>
      <c r="FX161" s="6">
        <f>SUMIF('Eredeti fejléccel'!$B:$B,'Felosztás eredménykim'!$B161,'Eredeti fejléccel'!$CS:$CS)</f>
        <v>0</v>
      </c>
      <c r="FY161" s="6">
        <f>SUMIF('Eredeti fejléccel'!$B:$B,'Felosztás eredménykim'!$B161,'Eredeti fejléccel'!$CT:$CT)</f>
        <v>0</v>
      </c>
      <c r="FZ161" s="6">
        <f>SUMIF('Eredeti fejléccel'!$B:$B,'Felosztás eredménykim'!$B161,'Eredeti fejléccel'!$CU:$CU)</f>
        <v>0</v>
      </c>
      <c r="GA161" s="103">
        <f t="shared" si="248"/>
        <v>0</v>
      </c>
      <c r="GB161" s="36">
        <f t="shared" si="234"/>
        <v>0</v>
      </c>
      <c r="GC161" s="101">
        <f t="shared" si="235"/>
        <v>0</v>
      </c>
      <c r="GD161" s="6">
        <f>SUMIF('Eredeti fejléccel'!$B:$B,'Felosztás eredménykim'!$B161,'Eredeti fejléccel'!$CV:$CV)</f>
        <v>0</v>
      </c>
      <c r="GE161" s="6">
        <f>SUMIF('Eredeti fejléccel'!$B:$B,'Felosztás eredménykim'!$B161,'Eredeti fejléccel'!$CW:$CW)</f>
        <v>0</v>
      </c>
      <c r="GF161" s="103">
        <f t="shared" si="249"/>
        <v>0</v>
      </c>
      <c r="GG161" s="36">
        <f t="shared" si="236"/>
        <v>0</v>
      </c>
      <c r="GM161" s="6">
        <f>SUMIF('Eredeti fejléccel'!$B:$B,'Felosztás eredménykim'!$B161,'Eredeti fejléccel'!$CX:$CX)</f>
        <v>0</v>
      </c>
      <c r="GN161" s="6">
        <f>SUMIF('Eredeti fejléccel'!$B:$B,'Felosztás eredménykim'!$B161,'Eredeti fejléccel'!$CY:$CY)</f>
        <v>0</v>
      </c>
      <c r="GO161" s="6">
        <f>SUMIF('Eredeti fejléccel'!$B:$B,'Felosztás eredménykim'!$B161,'Eredeti fejléccel'!$CZ:$CZ)</f>
        <v>0</v>
      </c>
      <c r="GP161" s="6">
        <f>SUMIF('Eredeti fejléccel'!$B:$B,'Felosztás eredménykim'!$B161,'Eredeti fejléccel'!$DA:$DA)</f>
        <v>0</v>
      </c>
      <c r="GQ161" s="6">
        <f>SUMIF('Eredeti fejléccel'!$B:$B,'Felosztás eredménykim'!$B161,'Eredeti fejléccel'!$DB:$DB)</f>
        <v>0</v>
      </c>
      <c r="GR161" s="103">
        <f t="shared" si="250"/>
        <v>0</v>
      </c>
      <c r="GW161" s="36">
        <f t="shared" si="237"/>
        <v>0</v>
      </c>
      <c r="GX161" s="6">
        <f>SUMIF('Eredeti fejléccel'!$B:$B,'Felosztás eredménykim'!$B161,'Eredeti fejléccel'!$M:$M)</f>
        <v>0</v>
      </c>
      <c r="GY161" s="6">
        <f>SUMIF('Eredeti fejléccel'!$B:$B,'Felosztás eredménykim'!$B161,'Eredeti fejléccel'!$DC:$DC)</f>
        <v>0</v>
      </c>
      <c r="GZ161" s="6">
        <f>SUMIF('Eredeti fejléccel'!$B:$B,'Felosztás eredménykim'!$B161,'Eredeti fejléccel'!$DD:$DD)</f>
        <v>0</v>
      </c>
      <c r="HA161" s="6">
        <f>SUMIF('Eredeti fejléccel'!$B:$B,'Felosztás eredménykim'!$B161,'Eredeti fejléccel'!$DE:$DE)</f>
        <v>0</v>
      </c>
      <c r="HB161" s="103">
        <f t="shared" si="251"/>
        <v>0</v>
      </c>
      <c r="HD161" s="9">
        <f t="shared" si="256"/>
        <v>-445710.4</v>
      </c>
      <c r="HE161" s="9">
        <v>-445710.4</v>
      </c>
      <c r="HF161" s="476"/>
      <c r="HH161" s="34">
        <f t="shared" si="252"/>
        <v>0</v>
      </c>
    </row>
    <row r="162" spans="1:216" x14ac:dyDescent="0.25">
      <c r="A162" s="4" t="s">
        <v>863</v>
      </c>
      <c r="B162" s="4" t="s">
        <v>863</v>
      </c>
      <c r="D162" s="6">
        <f>SUMIF('Eredeti fejléccel'!$B:$B,'Felosztás eredménykim'!$B162,'Eredeti fejléccel'!$D:$D)</f>
        <v>0</v>
      </c>
      <c r="E162" s="6">
        <f>SUMIF('Eredeti fejléccel'!$B:$B,'Felosztás eredménykim'!$B162,'Eredeti fejléccel'!$E:$E)</f>
        <v>0</v>
      </c>
      <c r="F162" s="6">
        <f>SUMIF('Eredeti fejléccel'!$B:$B,'Felosztás eredménykim'!$B162,'Eredeti fejléccel'!$F:$F)</f>
        <v>0</v>
      </c>
      <c r="G162" s="6">
        <f>SUMIF('Eredeti fejléccel'!$B:$B,'Felosztás eredménykim'!$B162,'Eredeti fejléccel'!$G:$G)</f>
        <v>0</v>
      </c>
      <c r="H162" s="6"/>
      <c r="I162" s="6">
        <f>SUMIF('Eredeti fejléccel'!$B:$B,'Felosztás eredménykim'!$B162,'Eredeti fejléccel'!$O:$O)</f>
        <v>0</v>
      </c>
      <c r="J162" s="6">
        <f>SUMIF('Eredeti fejléccel'!$B:$B,'Felosztás eredménykim'!$B162,'Eredeti fejléccel'!$P:$P)</f>
        <v>0</v>
      </c>
      <c r="K162" s="6">
        <f>SUMIF('Eredeti fejléccel'!$B:$B,'Felosztás eredménykim'!$B162,'Eredeti fejléccel'!$Q:$Q)</f>
        <v>0</v>
      </c>
      <c r="L162" s="6">
        <f>SUMIF('Eredeti fejléccel'!$B:$B,'Felosztás eredménykim'!$B162,'Eredeti fejléccel'!$R:$R)</f>
        <v>0</v>
      </c>
      <c r="M162" s="6">
        <f>SUMIF('Eredeti fejléccel'!$B:$B,'Felosztás eredménykim'!$B162,'Eredeti fejléccel'!$T:$T)</f>
        <v>0</v>
      </c>
      <c r="N162" s="6">
        <f>SUMIF('Eredeti fejléccel'!$B:$B,'Felosztás eredménykim'!$B162,'Eredeti fejléccel'!$U:$U)</f>
        <v>0</v>
      </c>
      <c r="O162" s="6">
        <f>SUMIF('Eredeti fejléccel'!$B:$B,'Felosztás eredménykim'!$B162,'Eredeti fejléccel'!$V:$V)</f>
        <v>0</v>
      </c>
      <c r="P162" s="6">
        <f>SUMIF('Eredeti fejléccel'!$B:$B,'Felosztás eredménykim'!$B162,'Eredeti fejléccel'!$W:$W)</f>
        <v>0</v>
      </c>
      <c r="Q162" s="6">
        <f>SUMIF('Eredeti fejléccel'!$B:$B,'Felosztás eredménykim'!$B162,'Eredeti fejléccel'!$X:$X)</f>
        <v>0</v>
      </c>
      <c r="R162" s="6">
        <f>SUMIF('Eredeti fejléccel'!$B:$B,'Felosztás eredménykim'!$B162,'Eredeti fejléccel'!$Y:$Y)</f>
        <v>0</v>
      </c>
      <c r="S162" s="6">
        <f>SUMIF('Eredeti fejléccel'!$B:$B,'Felosztás eredménykim'!$B162,'Eredeti fejléccel'!$Z:$Z)</f>
        <v>0</v>
      </c>
      <c r="T162" s="6">
        <f>SUMIF('Eredeti fejléccel'!$B:$B,'Felosztás eredménykim'!$B162,'Eredeti fejléccel'!$AA:$AA)</f>
        <v>0</v>
      </c>
      <c r="U162" s="6">
        <f>SUMIF('Eredeti fejléccel'!$B:$B,'Felosztás eredménykim'!$B162,'Eredeti fejléccel'!$D:$D)</f>
        <v>0</v>
      </c>
      <c r="V162" s="6">
        <f>SUMIF('Eredeti fejléccel'!$B:$B,'Felosztás eredménykim'!$B162,'Eredeti fejléccel'!$AT:$AT)</f>
        <v>1016326.5399999996</v>
      </c>
      <c r="W162" s="36">
        <f t="shared" si="302"/>
        <v>-1016326.5399999996</v>
      </c>
      <c r="X162" s="36">
        <f t="shared" si="211"/>
        <v>0</v>
      </c>
      <c r="Z162" s="6">
        <f>SUMIF('Eredeti fejléccel'!$B:$B,'Felosztás eredménykim'!$B162,'Eredeti fejléccel'!$K:$K)</f>
        <v>0</v>
      </c>
      <c r="AB162" s="6">
        <f>SUMIF('Eredeti fejléccel'!$B:$B,'Felosztás eredménykim'!$B162,'Eredeti fejléccel'!$AB:$AB)</f>
        <v>0</v>
      </c>
      <c r="AC162" s="6">
        <f>SUMIF('Eredeti fejléccel'!$B:$B,'Felosztás eredménykim'!$B162,'Eredeti fejléccel'!$AQ:$AQ)</f>
        <v>0</v>
      </c>
      <c r="AE162" s="73">
        <f t="shared" si="299"/>
        <v>0</v>
      </c>
      <c r="AF162" s="36">
        <f t="shared" si="212"/>
        <v>0</v>
      </c>
      <c r="AG162" s="8">
        <f t="shared" si="213"/>
        <v>0</v>
      </c>
      <c r="AI162" s="6">
        <f>SUMIF('Eredeti fejléccel'!$B:$B,'Felosztás eredménykim'!$B162,'Eredeti fejléccel'!$BB:$BB)</f>
        <v>0</v>
      </c>
      <c r="AJ162" s="6">
        <f>SUMIF('Eredeti fejléccel'!$B:$B,'Felosztás eredménykim'!$B162,'Eredeti fejléccel'!$AF:$AF)</f>
        <v>0</v>
      </c>
      <c r="AK162" s="8">
        <f t="shared" si="177"/>
        <v>0</v>
      </c>
      <c r="AL162" s="36">
        <f t="shared" si="214"/>
        <v>0</v>
      </c>
      <c r="AM162" s="8">
        <f t="shared" si="215"/>
        <v>0</v>
      </c>
      <c r="AN162" s="6">
        <f t="shared" si="291"/>
        <v>0</v>
      </c>
      <c r="AO162" s="6">
        <f>SUMIF('Eredeti fejléccel'!$B:$B,'Felosztás eredménykim'!$B162,'Eredeti fejléccel'!$AC:$AC)</f>
        <v>0</v>
      </c>
      <c r="AP162" s="6">
        <f>SUMIF('Eredeti fejléccel'!$B:$B,'Felosztás eredménykim'!$B162,'Eredeti fejléccel'!$AD:$AD)</f>
        <v>0</v>
      </c>
      <c r="AQ162" s="6">
        <f>SUMIF('Eredeti fejléccel'!$B:$B,'Felosztás eredménykim'!$B162,'Eredeti fejléccel'!$AE:$AE)</f>
        <v>0</v>
      </c>
      <c r="AR162" s="6">
        <f>SUMIF('Eredeti fejléccel'!$B:$B,'Felosztás eredménykim'!$B162,'Eredeti fejléccel'!$AG:$AG)</f>
        <v>0</v>
      </c>
      <c r="AS162" s="6">
        <f t="shared" si="292"/>
        <v>0</v>
      </c>
      <c r="AT162" s="36">
        <f t="shared" si="216"/>
        <v>0</v>
      </c>
      <c r="AU162" s="8">
        <f t="shared" si="217"/>
        <v>0</v>
      </c>
      <c r="AV162" s="6">
        <f>SUMIF('Eredeti fejléccel'!$B:$B,'Felosztás eredménykim'!$B162,'Eredeti fejléccel'!$AI:$AI)</f>
        <v>0</v>
      </c>
      <c r="AW162" s="6">
        <f>SUMIF('Eredeti fejléccel'!$B:$B,'Felosztás eredménykim'!$B162,'Eredeti fejléccel'!$AJ:$AJ)</f>
        <v>0</v>
      </c>
      <c r="AX162" s="6">
        <f>SUMIF('Eredeti fejléccel'!$B:$B,'Felosztás eredménykim'!$B162,'Eredeti fejléccel'!$AK:$AK)</f>
        <v>0</v>
      </c>
      <c r="AY162" s="6">
        <f>SUMIF('Eredeti fejléccel'!$B:$B,'Felosztás eredménykim'!$B162,'Eredeti fejléccel'!$AL:$AL)</f>
        <v>0</v>
      </c>
      <c r="AZ162" s="6">
        <f>SUMIF('Eredeti fejléccel'!$B:$B,'Felosztás eredménykim'!$B162,'Eredeti fejléccel'!$AM:$AM)</f>
        <v>0</v>
      </c>
      <c r="BA162" s="6">
        <f>SUMIF('Eredeti fejléccel'!$B:$B,'Felosztás eredménykim'!$B162,'Eredeti fejléccel'!$AN:$AN)</f>
        <v>0</v>
      </c>
      <c r="BB162" s="6">
        <f>SUMIF('Eredeti fejléccel'!$B:$B,'Felosztás eredménykim'!$B162,'Eredeti fejléccel'!$AP:$AP)</f>
        <v>0</v>
      </c>
      <c r="BD162" s="6">
        <f>SUMIF('Eredeti fejléccel'!$B:$B,'Felosztás eredménykim'!$B162,'Eredeti fejléccel'!$AS:$AS)</f>
        <v>0</v>
      </c>
      <c r="BE162" s="8">
        <f t="shared" si="238"/>
        <v>0</v>
      </c>
      <c r="BF162" s="36">
        <f t="shared" si="218"/>
        <v>0</v>
      </c>
      <c r="BG162" s="8">
        <f t="shared" si="219"/>
        <v>0</v>
      </c>
      <c r="BH162" s="6">
        <f t="shared" si="293"/>
        <v>0</v>
      </c>
      <c r="BI162" s="6">
        <f>SUMIF('Eredeti fejléccel'!$B:$B,'Felosztás eredménykim'!$B162,'Eredeti fejléccel'!$AH:$AH)</f>
        <v>0</v>
      </c>
      <c r="BJ162" s="6">
        <f>SUMIF('Eredeti fejléccel'!$B:$B,'Felosztás eredménykim'!$B162,'Eredeti fejléccel'!$AO:$AO)</f>
        <v>0</v>
      </c>
      <c r="BK162" s="6">
        <f>SUMIF('Eredeti fejléccel'!$B:$B,'Felosztás eredménykim'!$B162,'Eredeti fejléccel'!$BF:$BF)</f>
        <v>0</v>
      </c>
      <c r="BL162" s="8">
        <f t="shared" si="294"/>
        <v>0</v>
      </c>
      <c r="BM162" s="36">
        <f t="shared" si="220"/>
        <v>0</v>
      </c>
      <c r="BN162" s="8">
        <f t="shared" si="221"/>
        <v>0</v>
      </c>
      <c r="BP162" s="8">
        <f t="shared" si="295"/>
        <v>0</v>
      </c>
      <c r="BQ162" s="6">
        <f>SUMIF('Eredeti fejléccel'!$B:$B,'Felosztás eredménykim'!$B162,'Eredeti fejléccel'!$N:$N)</f>
        <v>0</v>
      </c>
      <c r="BR162" s="6">
        <f>SUMIF('Eredeti fejléccel'!$B:$B,'Felosztás eredménykim'!$B162,'Eredeti fejléccel'!$S:$S)</f>
        <v>0</v>
      </c>
      <c r="BT162" s="6">
        <f>SUMIF('Eredeti fejléccel'!$B:$B,'Felosztás eredménykim'!$B162,'Eredeti fejléccel'!$AR:$AR)</f>
        <v>0</v>
      </c>
      <c r="BU162" s="6">
        <f>SUMIF('Eredeti fejléccel'!$B:$B,'Felosztás eredménykim'!$B162,'Eredeti fejléccel'!$AU:$AU)</f>
        <v>0</v>
      </c>
      <c r="BV162" s="6">
        <f>SUMIF('Eredeti fejléccel'!$B:$B,'Felosztás eredménykim'!$B162,'Eredeti fejléccel'!$AV:$AV)</f>
        <v>0</v>
      </c>
      <c r="BW162" s="6">
        <f>SUMIF('Eredeti fejléccel'!$B:$B,'Felosztás eredménykim'!$B162,'Eredeti fejléccel'!$AW:$AW)</f>
        <v>0</v>
      </c>
      <c r="BX162" s="6">
        <f>SUMIF('Eredeti fejléccel'!$B:$B,'Felosztás eredménykim'!$B162,'Eredeti fejléccel'!$AX:$AX)</f>
        <v>0</v>
      </c>
      <c r="BY162" s="6">
        <f>SUMIF('Eredeti fejléccel'!$B:$B,'Felosztás eredménykim'!$B162,'Eredeti fejléccel'!$AY:$AY)</f>
        <v>0</v>
      </c>
      <c r="BZ162" s="6">
        <f>SUMIF('Eredeti fejléccel'!$B:$B,'Felosztás eredménykim'!$B162,'Eredeti fejléccel'!$AZ:$AZ)</f>
        <v>0</v>
      </c>
      <c r="CA162" s="6">
        <f>SUMIF('Eredeti fejléccel'!$B:$B,'Felosztás eredménykim'!$B162,'Eredeti fejléccel'!$BA:$BA)</f>
        <v>0</v>
      </c>
      <c r="CB162" s="6">
        <f t="shared" si="253"/>
        <v>0</v>
      </c>
      <c r="CC162" s="36">
        <f t="shared" si="222"/>
        <v>0</v>
      </c>
      <c r="CD162" s="8">
        <f t="shared" si="223"/>
        <v>0</v>
      </c>
      <c r="CE162" s="6">
        <f>SUMIF('Eredeti fejléccel'!$B:$B,'Felosztás eredménykim'!$B162,'Eredeti fejléccel'!$BC:$BC)</f>
        <v>0</v>
      </c>
      <c r="CF162" s="8">
        <f t="shared" si="300"/>
        <v>0</v>
      </c>
      <c r="CG162" s="6">
        <f>SUMIF('Eredeti fejléccel'!$B:$B,'Felosztás eredménykim'!$B162,'Eredeti fejléccel'!$H:$H)</f>
        <v>0</v>
      </c>
      <c r="CH162" s="6">
        <f>SUMIF('Eredeti fejléccel'!$B:$B,'Felosztás eredménykim'!$B162,'Eredeti fejléccel'!$BE:$BE)</f>
        <v>0</v>
      </c>
      <c r="CI162" s="6">
        <f t="shared" si="239"/>
        <v>0</v>
      </c>
      <c r="CJ162" s="36">
        <f t="shared" si="224"/>
        <v>0</v>
      </c>
      <c r="CK162" s="8">
        <f t="shared" si="225"/>
        <v>0</v>
      </c>
      <c r="CL162" s="8">
        <f t="shared" si="301"/>
        <v>0</v>
      </c>
      <c r="CM162" s="6">
        <f>SUMIF('Eredeti fejléccel'!$B:$B,'Felosztás eredménykim'!$B162,'Eredeti fejléccel'!$BD:$BD)</f>
        <v>0</v>
      </c>
      <c r="CN162" s="8">
        <f t="shared" si="240"/>
        <v>0</v>
      </c>
      <c r="CO162" s="8">
        <f t="shared" si="254"/>
        <v>0</v>
      </c>
      <c r="CR162" s="36">
        <f t="shared" si="226"/>
        <v>0</v>
      </c>
      <c r="CS162" s="6">
        <f>SUMIF('Eredeti fejléccel'!$B:$B,'Felosztás eredménykim'!$B162,'Eredeti fejléccel'!$I:$I)</f>
        <v>0</v>
      </c>
      <c r="CT162" s="6">
        <f>SUMIF('Eredeti fejléccel'!$B:$B,'Felosztás eredménykim'!$B162,'Eredeti fejléccel'!$BG:$BG)</f>
        <v>0</v>
      </c>
      <c r="CU162" s="6">
        <f>SUMIF('Eredeti fejléccel'!$B:$B,'Felosztás eredménykim'!$B162,'Eredeti fejléccel'!$BH:$BH)</f>
        <v>0</v>
      </c>
      <c r="CV162" s="6">
        <f>SUMIF('Eredeti fejléccel'!$B:$B,'Felosztás eredménykim'!$B162,'Eredeti fejléccel'!$BI:$BI)</f>
        <v>0</v>
      </c>
      <c r="CW162" s="6">
        <f>SUMIF('Eredeti fejléccel'!$B:$B,'Felosztás eredménykim'!$B162,'Eredeti fejléccel'!$BL:$BL)</f>
        <v>0</v>
      </c>
      <c r="CX162" s="6">
        <f t="shared" si="241"/>
        <v>0</v>
      </c>
      <c r="CY162" s="6">
        <f>SUMIF('Eredeti fejléccel'!$B:$B,'Felosztás eredménykim'!$B162,'Eredeti fejléccel'!$BJ:$BJ)</f>
        <v>0</v>
      </c>
      <c r="CZ162" s="6">
        <f>SUMIF('Eredeti fejléccel'!$B:$B,'Felosztás eredménykim'!$B162,'Eredeti fejléccel'!$BK:$BK)</f>
        <v>0</v>
      </c>
      <c r="DA162" s="99">
        <f t="shared" si="242"/>
        <v>0</v>
      </c>
      <c r="DC162" s="36">
        <f t="shared" si="227"/>
        <v>0</v>
      </c>
      <c r="DD162" s="6">
        <f>SUMIF('Eredeti fejléccel'!$B:$B,'Felosztás eredménykim'!$B162,'Eredeti fejléccel'!$J:$J)</f>
        <v>0</v>
      </c>
      <c r="DE162" s="6">
        <f>SUMIF('Eredeti fejléccel'!$B:$B,'Felosztás eredménykim'!$B162,'Eredeti fejléccel'!$BM:$BM)</f>
        <v>0</v>
      </c>
      <c r="DF162" s="6">
        <f t="shared" si="296"/>
        <v>0</v>
      </c>
      <c r="DG162" s="8">
        <f t="shared" si="255"/>
        <v>0</v>
      </c>
      <c r="DH162" s="8">
        <f t="shared" si="297"/>
        <v>0</v>
      </c>
      <c r="DJ162" s="6">
        <f>SUMIF('Eredeti fejléccel'!$B:$B,'Felosztás eredménykim'!$B162,'Eredeti fejléccel'!$BN:$BN)</f>
        <v>0</v>
      </c>
      <c r="DK162" s="6">
        <f>SUMIF('Eredeti fejléccel'!$B:$B,'Felosztás eredménykim'!$B162,'Eredeti fejléccel'!$BZ:$BZ)</f>
        <v>0</v>
      </c>
      <c r="DL162" s="8">
        <f t="shared" si="298"/>
        <v>0</v>
      </c>
      <c r="DM162" s="6">
        <f>SUMIF('Eredeti fejléccel'!$B:$B,'Felosztás eredménykim'!$B162,'Eredeti fejléccel'!$BR:$BR)</f>
        <v>0</v>
      </c>
      <c r="DN162" s="6">
        <f>SUMIF('Eredeti fejléccel'!$B:$B,'Felosztás eredménykim'!$B162,'Eredeti fejléccel'!$BS:$BS)</f>
        <v>0</v>
      </c>
      <c r="DO162" s="6">
        <f>SUMIF('Eredeti fejléccel'!$B:$B,'Felosztás eredménykim'!$B162,'Eredeti fejléccel'!$BO:$BO)</f>
        <v>0</v>
      </c>
      <c r="DP162" s="6">
        <f>SUMIF('Eredeti fejléccel'!$B:$B,'Felosztás eredménykim'!$B162,'Eredeti fejléccel'!$BP:$BP)</f>
        <v>0</v>
      </c>
      <c r="DQ162" s="6">
        <f>SUMIF('Eredeti fejléccel'!$B:$B,'Felosztás eredménykim'!$B162,'Eredeti fejléccel'!$BQ:$BQ)</f>
        <v>0</v>
      </c>
      <c r="DS162" s="8"/>
      <c r="DU162" s="6">
        <f>SUMIF('Eredeti fejléccel'!$B:$B,'Felosztás eredménykim'!$B162,'Eredeti fejléccel'!$BT:$BT)</f>
        <v>0</v>
      </c>
      <c r="DV162" s="6">
        <f>SUMIF('Eredeti fejléccel'!$B:$B,'Felosztás eredménykim'!$B162,'Eredeti fejléccel'!$BU:$BU)</f>
        <v>0</v>
      </c>
      <c r="DW162" s="6">
        <f>SUMIF('Eredeti fejléccel'!$B:$B,'Felosztás eredménykim'!$B162,'Eredeti fejléccel'!$BV:$BV)</f>
        <v>0</v>
      </c>
      <c r="DX162" s="6">
        <f>SUMIF('Eredeti fejléccel'!$B:$B,'Felosztás eredménykim'!$B162,'Eredeti fejléccel'!$BW:$BW)</f>
        <v>0</v>
      </c>
      <c r="DY162" s="6">
        <f>SUMIF('Eredeti fejléccel'!$B:$B,'Felosztás eredménykim'!$B162,'Eredeti fejléccel'!$BX:$BX)</f>
        <v>0</v>
      </c>
      <c r="EA162" s="6"/>
      <c r="EC162" s="6"/>
      <c r="EE162" s="6">
        <f>SUMIF('Eredeti fejléccel'!$B:$B,'Felosztás eredménykim'!$B162,'Eredeti fejléccel'!$CA:$CA)</f>
        <v>0</v>
      </c>
      <c r="EF162" s="6">
        <f>SUMIF('Eredeti fejléccel'!$B:$B,'Felosztás eredménykim'!$B162,'Eredeti fejléccel'!$CB:$CB)</f>
        <v>0</v>
      </c>
      <c r="EG162" s="6">
        <f>SUMIF('Eredeti fejléccel'!$B:$B,'Felosztás eredménykim'!$B162,'Eredeti fejléccel'!$CC:$CC)</f>
        <v>0</v>
      </c>
      <c r="EH162" s="6">
        <f>SUMIF('Eredeti fejléccel'!$B:$B,'Felosztás eredménykim'!$B162,'Eredeti fejléccel'!$CD:$CD)</f>
        <v>0</v>
      </c>
      <c r="EK162" s="6">
        <f>SUMIF('Eredeti fejléccel'!$B:$B,'Felosztás eredménykim'!$B162,'Eredeti fejléccel'!$CE:$CE)</f>
        <v>0</v>
      </c>
      <c r="EN162" s="6">
        <f>SUMIF('Eredeti fejléccel'!$B:$B,'Felosztás eredménykim'!$B162,'Eredeti fejléccel'!$CF:$CF)</f>
        <v>0</v>
      </c>
      <c r="EP162" s="6">
        <f>SUMIF('Eredeti fejléccel'!$B:$B,'Felosztás eredménykim'!$B162,'Eredeti fejléccel'!$CG:$CG)</f>
        <v>0</v>
      </c>
      <c r="ES162" s="6">
        <f>SUMIF('Eredeti fejléccel'!$B:$B,'Felosztás eredménykim'!$B162,'Eredeti fejléccel'!$CH:$CH)</f>
        <v>0</v>
      </c>
      <c r="ET162" s="6">
        <f>SUMIF('Eredeti fejléccel'!$B:$B,'Felosztás eredménykim'!$B162,'Eredeti fejléccel'!$CI:$CI)</f>
        <v>0</v>
      </c>
      <c r="EW162" s="8">
        <f t="shared" si="288"/>
        <v>0</v>
      </c>
      <c r="EX162" s="8">
        <f t="shared" si="243"/>
        <v>0</v>
      </c>
      <c r="EY162" s="8">
        <f t="shared" si="244"/>
        <v>0</v>
      </c>
      <c r="EZ162" s="8">
        <f t="shared" si="289"/>
        <v>0</v>
      </c>
      <c r="FA162" s="8">
        <f t="shared" si="290"/>
        <v>0</v>
      </c>
      <c r="FC162" s="6">
        <f>SUMIF('Eredeti fejléccel'!$B:$B,'Felosztás eredménykim'!$B162,'Eredeti fejléccel'!$L:$L)</f>
        <v>0</v>
      </c>
      <c r="FD162" s="6">
        <f>SUMIF('Eredeti fejléccel'!$B:$B,'Felosztás eredménykim'!$B162,'Eredeti fejléccel'!$CJ:$CJ)</f>
        <v>0</v>
      </c>
      <c r="FE162" s="6">
        <f>SUMIF('Eredeti fejléccel'!$B:$B,'Felosztás eredménykim'!$B162,'Eredeti fejléccel'!$CL:$CL)</f>
        <v>0</v>
      </c>
      <c r="FG162" s="99">
        <f t="shared" si="245"/>
        <v>0</v>
      </c>
      <c r="FH162" s="6">
        <f>SUMIF('Eredeti fejléccel'!$B:$B,'Felosztás eredménykim'!$B162,'Eredeti fejléccel'!$CK:$CK)</f>
        <v>0</v>
      </c>
      <c r="FI162" s="36">
        <f t="shared" si="228"/>
        <v>0</v>
      </c>
      <c r="FJ162" s="101">
        <f t="shared" si="229"/>
        <v>0</v>
      </c>
      <c r="FK162" s="6">
        <f>SUMIF('Eredeti fejléccel'!$B:$B,'Felosztás eredménykim'!$B162,'Eredeti fejléccel'!$CM:$CM)</f>
        <v>0</v>
      </c>
      <c r="FL162" s="6">
        <f>SUMIF('Eredeti fejléccel'!$B:$B,'Felosztás eredménykim'!$B162,'Eredeti fejléccel'!$CN:$CN)</f>
        <v>0</v>
      </c>
      <c r="FM162" s="8">
        <f t="shared" si="246"/>
        <v>0</v>
      </c>
      <c r="FN162" s="36">
        <f t="shared" si="230"/>
        <v>0</v>
      </c>
      <c r="FO162" s="101">
        <f t="shared" si="231"/>
        <v>0</v>
      </c>
      <c r="FP162" s="6">
        <f>SUMIF('Eredeti fejléccel'!$B:$B,'Felosztás eredménykim'!$B162,'Eredeti fejléccel'!$CO:$CO)</f>
        <v>0</v>
      </c>
      <c r="FQ162" s="6">
        <f>'Eredeti fejléccel'!CP162</f>
        <v>0</v>
      </c>
      <c r="FR162" s="6">
        <f>'Eredeti fejléccel'!CQ162</f>
        <v>0</v>
      </c>
      <c r="FS162" s="103">
        <f t="shared" si="247"/>
        <v>0</v>
      </c>
      <c r="FT162" s="36">
        <f t="shared" si="232"/>
        <v>0</v>
      </c>
      <c r="FU162" s="101">
        <f t="shared" si="233"/>
        <v>0</v>
      </c>
      <c r="FV162" s="101"/>
      <c r="FW162" s="6">
        <f>SUMIF('Eredeti fejléccel'!$B:$B,'Felosztás eredménykim'!$B162,'Eredeti fejléccel'!$CR:$CR)</f>
        <v>0</v>
      </c>
      <c r="FX162" s="6">
        <f>SUMIF('Eredeti fejléccel'!$B:$B,'Felosztás eredménykim'!$B162,'Eredeti fejléccel'!$CS:$CS)</f>
        <v>0</v>
      </c>
      <c r="FY162" s="6">
        <f>SUMIF('Eredeti fejléccel'!$B:$B,'Felosztás eredménykim'!$B162,'Eredeti fejléccel'!$CT:$CT)</f>
        <v>0</v>
      </c>
      <c r="FZ162" s="6">
        <f>SUMIF('Eredeti fejléccel'!$B:$B,'Felosztás eredménykim'!$B162,'Eredeti fejléccel'!$CU:$CU)</f>
        <v>0</v>
      </c>
      <c r="GA162" s="103">
        <f t="shared" si="248"/>
        <v>0</v>
      </c>
      <c r="GB162" s="36">
        <f t="shared" si="234"/>
        <v>0</v>
      </c>
      <c r="GC162" s="101">
        <f t="shared" si="235"/>
        <v>0</v>
      </c>
      <c r="GD162" s="6">
        <f>SUMIF('Eredeti fejléccel'!$B:$B,'Felosztás eredménykim'!$B162,'Eredeti fejléccel'!$CV:$CV)</f>
        <v>0</v>
      </c>
      <c r="GE162" s="6">
        <f>SUMIF('Eredeti fejléccel'!$B:$B,'Felosztás eredménykim'!$B162,'Eredeti fejléccel'!$CW:$CW)</f>
        <v>0</v>
      </c>
      <c r="GF162" s="103">
        <f t="shared" si="249"/>
        <v>0</v>
      </c>
      <c r="GG162" s="36">
        <f t="shared" si="236"/>
        <v>0</v>
      </c>
      <c r="GM162" s="6">
        <f>SUMIF('Eredeti fejléccel'!$B:$B,'Felosztás eredménykim'!$B162,'Eredeti fejléccel'!$CX:$CX)</f>
        <v>0</v>
      </c>
      <c r="GN162" s="6">
        <f>SUMIF('Eredeti fejléccel'!$B:$B,'Felosztás eredménykim'!$B162,'Eredeti fejléccel'!$CY:$CY)</f>
        <v>0</v>
      </c>
      <c r="GO162" s="6">
        <f>SUMIF('Eredeti fejléccel'!$B:$B,'Felosztás eredménykim'!$B162,'Eredeti fejléccel'!$CZ:$CZ)</f>
        <v>0</v>
      </c>
      <c r="GP162" s="6">
        <f>SUMIF('Eredeti fejléccel'!$B:$B,'Felosztás eredménykim'!$B162,'Eredeti fejléccel'!$DA:$DA)</f>
        <v>0</v>
      </c>
      <c r="GQ162" s="6">
        <f>SUMIF('Eredeti fejléccel'!$B:$B,'Felosztás eredménykim'!$B162,'Eredeti fejléccel'!$DB:$DB)</f>
        <v>0</v>
      </c>
      <c r="GR162" s="103">
        <f t="shared" si="250"/>
        <v>0</v>
      </c>
      <c r="GW162" s="36">
        <f t="shared" si="237"/>
        <v>0</v>
      </c>
      <c r="GX162" s="6">
        <f>SUMIF('Eredeti fejléccel'!$B:$B,'Felosztás eredménykim'!$B162,'Eredeti fejléccel'!$M:$M)</f>
        <v>0</v>
      </c>
      <c r="GY162" s="6">
        <f>SUMIF('Eredeti fejléccel'!$B:$B,'Felosztás eredménykim'!$B162,'Eredeti fejléccel'!$DC:$DC)</f>
        <v>0</v>
      </c>
      <c r="GZ162" s="6">
        <f>SUMIF('Eredeti fejléccel'!$B:$B,'Felosztás eredménykim'!$B162,'Eredeti fejléccel'!$DD:$DD)</f>
        <v>0</v>
      </c>
      <c r="HA162" s="6">
        <f>SUMIF('Eredeti fejléccel'!$B:$B,'Felosztás eredménykim'!$B162,'Eredeti fejléccel'!$DE:$DE)</f>
        <v>0</v>
      </c>
      <c r="HB162" s="103">
        <f t="shared" si="251"/>
        <v>0</v>
      </c>
      <c r="HD162" s="9">
        <f t="shared" si="256"/>
        <v>1016326.5399999996</v>
      </c>
      <c r="HE162" s="9">
        <v>1016326.5399999996</v>
      </c>
      <c r="HF162" s="476"/>
      <c r="HH162" s="34">
        <f t="shared" si="252"/>
        <v>0</v>
      </c>
    </row>
    <row r="163" spans="1:216" x14ac:dyDescent="0.25">
      <c r="A163" s="4" t="s">
        <v>864</v>
      </c>
      <c r="B163" s="4" t="s">
        <v>864</v>
      </c>
      <c r="D163" s="6">
        <f>SUMIF('Eredeti fejléccel'!$B:$B,'Felosztás eredménykim'!$B163,'Eredeti fejléccel'!$D:$D)</f>
        <v>0</v>
      </c>
      <c r="E163" s="6">
        <f>SUMIF('Eredeti fejléccel'!$B:$B,'Felosztás eredménykim'!$B163,'Eredeti fejléccel'!$E:$E)</f>
        <v>0</v>
      </c>
      <c r="F163" s="6">
        <f>SUMIF('Eredeti fejléccel'!$B:$B,'Felosztás eredménykim'!$B163,'Eredeti fejléccel'!$F:$F)</f>
        <v>0</v>
      </c>
      <c r="G163" s="6">
        <f>SUMIF('Eredeti fejléccel'!$B:$B,'Felosztás eredménykim'!$B163,'Eredeti fejléccel'!$G:$G)</f>
        <v>0</v>
      </c>
      <c r="H163" s="6"/>
      <c r="I163" s="6">
        <f>SUMIF('Eredeti fejléccel'!$B:$B,'Felosztás eredménykim'!$B163,'Eredeti fejléccel'!$O:$O)</f>
        <v>0</v>
      </c>
      <c r="J163" s="6">
        <f>SUMIF('Eredeti fejléccel'!$B:$B,'Felosztás eredménykim'!$B163,'Eredeti fejléccel'!$P:$P)</f>
        <v>0</v>
      </c>
      <c r="K163" s="6">
        <f>SUMIF('Eredeti fejléccel'!$B:$B,'Felosztás eredménykim'!$B163,'Eredeti fejléccel'!$Q:$Q)</f>
        <v>0</v>
      </c>
      <c r="L163" s="6">
        <f>SUMIF('Eredeti fejléccel'!$B:$B,'Felosztás eredménykim'!$B163,'Eredeti fejléccel'!$R:$R)</f>
        <v>0</v>
      </c>
      <c r="M163" s="6">
        <f>SUMIF('Eredeti fejléccel'!$B:$B,'Felosztás eredménykim'!$B163,'Eredeti fejléccel'!$T:$T)</f>
        <v>0</v>
      </c>
      <c r="N163" s="6">
        <f>SUMIF('Eredeti fejléccel'!$B:$B,'Felosztás eredménykim'!$B163,'Eredeti fejléccel'!$U:$U)</f>
        <v>0</v>
      </c>
      <c r="O163" s="6">
        <f>SUMIF('Eredeti fejléccel'!$B:$B,'Felosztás eredménykim'!$B163,'Eredeti fejléccel'!$V:$V)</f>
        <v>0</v>
      </c>
      <c r="P163" s="6">
        <f>SUMIF('Eredeti fejléccel'!$B:$B,'Felosztás eredménykim'!$B163,'Eredeti fejléccel'!$W:$W)</f>
        <v>0</v>
      </c>
      <c r="Q163" s="6">
        <f>SUMIF('Eredeti fejléccel'!$B:$B,'Felosztás eredménykim'!$B163,'Eredeti fejléccel'!$X:$X)</f>
        <v>0</v>
      </c>
      <c r="R163" s="6">
        <f>SUMIF('Eredeti fejléccel'!$B:$B,'Felosztás eredménykim'!$B163,'Eredeti fejléccel'!$Y:$Y)</f>
        <v>0</v>
      </c>
      <c r="S163" s="6">
        <f>SUMIF('Eredeti fejléccel'!$B:$B,'Felosztás eredménykim'!$B163,'Eredeti fejléccel'!$Z:$Z)</f>
        <v>0</v>
      </c>
      <c r="T163" s="6">
        <f>SUMIF('Eredeti fejléccel'!$B:$B,'Felosztás eredménykim'!$B163,'Eredeti fejléccel'!$AA:$AA)</f>
        <v>0</v>
      </c>
      <c r="U163" s="6">
        <f>SUMIF('Eredeti fejléccel'!$B:$B,'Felosztás eredménykim'!$B163,'Eredeti fejléccel'!$D:$D)</f>
        <v>0</v>
      </c>
      <c r="V163" s="6">
        <f>SUMIF('Eredeti fejléccel'!$B:$B,'Felosztás eredménykim'!$B163,'Eredeti fejléccel'!$AT:$AT)</f>
        <v>15449744.900000012</v>
      </c>
      <c r="W163" s="36">
        <f t="shared" si="302"/>
        <v>-15449744.900000012</v>
      </c>
      <c r="X163" s="36">
        <f t="shared" si="211"/>
        <v>0</v>
      </c>
      <c r="Z163" s="6">
        <f>SUMIF('Eredeti fejléccel'!$B:$B,'Felosztás eredménykim'!$B163,'Eredeti fejléccel'!$K:$K)</f>
        <v>0</v>
      </c>
      <c r="AB163" s="6">
        <f>SUMIF('Eredeti fejléccel'!$B:$B,'Felosztás eredménykim'!$B163,'Eredeti fejléccel'!$AB:$AB)</f>
        <v>0</v>
      </c>
      <c r="AC163" s="6">
        <f>SUMIF('Eredeti fejléccel'!$B:$B,'Felosztás eredménykim'!$B163,'Eredeti fejléccel'!$AQ:$AQ)</f>
        <v>0</v>
      </c>
      <c r="AE163" s="73">
        <f t="shared" si="299"/>
        <v>0</v>
      </c>
      <c r="AF163" s="36">
        <f t="shared" si="212"/>
        <v>0</v>
      </c>
      <c r="AG163" s="8">
        <f t="shared" si="213"/>
        <v>0</v>
      </c>
      <c r="AI163" s="6">
        <f>SUMIF('Eredeti fejléccel'!$B:$B,'Felosztás eredménykim'!$B163,'Eredeti fejléccel'!$BB:$BB)</f>
        <v>0</v>
      </c>
      <c r="AJ163" s="6">
        <f>SUMIF('Eredeti fejléccel'!$B:$B,'Felosztás eredménykim'!$B163,'Eredeti fejléccel'!$AF:$AF)</f>
        <v>0</v>
      </c>
      <c r="AK163" s="8">
        <f t="shared" si="177"/>
        <v>0</v>
      </c>
      <c r="AL163" s="36">
        <f t="shared" si="214"/>
        <v>0</v>
      </c>
      <c r="AM163" s="8">
        <f t="shared" si="215"/>
        <v>0</v>
      </c>
      <c r="AN163" s="6">
        <f t="shared" si="291"/>
        <v>0</v>
      </c>
      <c r="AO163" s="6">
        <f>SUMIF('Eredeti fejléccel'!$B:$B,'Felosztás eredménykim'!$B163,'Eredeti fejléccel'!$AC:$AC)</f>
        <v>0</v>
      </c>
      <c r="AP163" s="6">
        <f>SUMIF('Eredeti fejléccel'!$B:$B,'Felosztás eredménykim'!$B163,'Eredeti fejléccel'!$AD:$AD)</f>
        <v>0</v>
      </c>
      <c r="AQ163" s="6">
        <f>SUMIF('Eredeti fejléccel'!$B:$B,'Felosztás eredménykim'!$B163,'Eredeti fejléccel'!$AE:$AE)</f>
        <v>0</v>
      </c>
      <c r="AR163" s="6">
        <f>SUMIF('Eredeti fejléccel'!$B:$B,'Felosztás eredménykim'!$B163,'Eredeti fejléccel'!$AG:$AG)</f>
        <v>0</v>
      </c>
      <c r="AS163" s="6">
        <f t="shared" si="292"/>
        <v>0</v>
      </c>
      <c r="AT163" s="36">
        <f t="shared" si="216"/>
        <v>0</v>
      </c>
      <c r="AU163" s="8">
        <f t="shared" si="217"/>
        <v>0</v>
      </c>
      <c r="AV163" s="6">
        <f>SUMIF('Eredeti fejléccel'!$B:$B,'Felosztás eredménykim'!$B163,'Eredeti fejléccel'!$AI:$AI)</f>
        <v>0</v>
      </c>
      <c r="AW163" s="6">
        <f>SUMIF('Eredeti fejléccel'!$B:$B,'Felosztás eredménykim'!$B163,'Eredeti fejléccel'!$AJ:$AJ)</f>
        <v>0</v>
      </c>
      <c r="AX163" s="6">
        <f>SUMIF('Eredeti fejléccel'!$B:$B,'Felosztás eredménykim'!$B163,'Eredeti fejléccel'!$AK:$AK)</f>
        <v>0</v>
      </c>
      <c r="AY163" s="6">
        <f>SUMIF('Eredeti fejléccel'!$B:$B,'Felosztás eredménykim'!$B163,'Eredeti fejléccel'!$AL:$AL)</f>
        <v>0</v>
      </c>
      <c r="AZ163" s="6">
        <f>SUMIF('Eredeti fejléccel'!$B:$B,'Felosztás eredménykim'!$B163,'Eredeti fejléccel'!$AM:$AM)</f>
        <v>0</v>
      </c>
      <c r="BA163" s="6">
        <f>SUMIF('Eredeti fejléccel'!$B:$B,'Felosztás eredménykim'!$B163,'Eredeti fejléccel'!$AN:$AN)</f>
        <v>0</v>
      </c>
      <c r="BB163" s="6">
        <f>SUMIF('Eredeti fejléccel'!$B:$B,'Felosztás eredménykim'!$B163,'Eredeti fejléccel'!$AP:$AP)</f>
        <v>0</v>
      </c>
      <c r="BD163" s="6">
        <f>SUMIF('Eredeti fejléccel'!$B:$B,'Felosztás eredménykim'!$B163,'Eredeti fejléccel'!$AS:$AS)</f>
        <v>0</v>
      </c>
      <c r="BE163" s="8">
        <f t="shared" si="238"/>
        <v>0</v>
      </c>
      <c r="BF163" s="36">
        <f t="shared" si="218"/>
        <v>0</v>
      </c>
      <c r="BG163" s="8">
        <f t="shared" si="219"/>
        <v>0</v>
      </c>
      <c r="BH163" s="6">
        <f t="shared" si="293"/>
        <v>0</v>
      </c>
      <c r="BI163" s="6">
        <f>SUMIF('Eredeti fejléccel'!$B:$B,'Felosztás eredménykim'!$B163,'Eredeti fejléccel'!$AH:$AH)</f>
        <v>0</v>
      </c>
      <c r="BJ163" s="6">
        <f>SUMIF('Eredeti fejléccel'!$B:$B,'Felosztás eredménykim'!$B163,'Eredeti fejléccel'!$AO:$AO)</f>
        <v>0</v>
      </c>
      <c r="BK163" s="6">
        <f>SUMIF('Eredeti fejléccel'!$B:$B,'Felosztás eredménykim'!$B163,'Eredeti fejléccel'!$BF:$BF)</f>
        <v>0</v>
      </c>
      <c r="BL163" s="8">
        <f t="shared" si="294"/>
        <v>0</v>
      </c>
      <c r="BM163" s="36">
        <f t="shared" si="220"/>
        <v>0</v>
      </c>
      <c r="BN163" s="8">
        <f t="shared" si="221"/>
        <v>0</v>
      </c>
      <c r="BP163" s="8">
        <f t="shared" si="295"/>
        <v>0</v>
      </c>
      <c r="BQ163" s="6">
        <f>SUMIF('Eredeti fejléccel'!$B:$B,'Felosztás eredménykim'!$B163,'Eredeti fejléccel'!$N:$N)</f>
        <v>0</v>
      </c>
      <c r="BR163" s="6">
        <f>SUMIF('Eredeti fejléccel'!$B:$B,'Felosztás eredménykim'!$B163,'Eredeti fejléccel'!$S:$S)</f>
        <v>0</v>
      </c>
      <c r="BT163" s="6">
        <f>SUMIF('Eredeti fejléccel'!$B:$B,'Felosztás eredménykim'!$B163,'Eredeti fejléccel'!$AR:$AR)</f>
        <v>0</v>
      </c>
      <c r="BU163" s="6">
        <f>SUMIF('Eredeti fejléccel'!$B:$B,'Felosztás eredménykim'!$B163,'Eredeti fejléccel'!$AU:$AU)</f>
        <v>0</v>
      </c>
      <c r="BV163" s="6">
        <f>SUMIF('Eredeti fejléccel'!$B:$B,'Felosztás eredménykim'!$B163,'Eredeti fejléccel'!$AV:$AV)</f>
        <v>0</v>
      </c>
      <c r="BW163" s="6">
        <f>SUMIF('Eredeti fejléccel'!$B:$B,'Felosztás eredménykim'!$B163,'Eredeti fejléccel'!$AW:$AW)</f>
        <v>0</v>
      </c>
      <c r="BX163" s="6">
        <f>SUMIF('Eredeti fejléccel'!$B:$B,'Felosztás eredménykim'!$B163,'Eredeti fejléccel'!$AX:$AX)</f>
        <v>0</v>
      </c>
      <c r="BY163" s="6">
        <f>SUMIF('Eredeti fejléccel'!$B:$B,'Felosztás eredménykim'!$B163,'Eredeti fejléccel'!$AY:$AY)</f>
        <v>0</v>
      </c>
      <c r="BZ163" s="6">
        <f>SUMIF('Eredeti fejléccel'!$B:$B,'Felosztás eredménykim'!$B163,'Eredeti fejléccel'!$AZ:$AZ)</f>
        <v>0</v>
      </c>
      <c r="CA163" s="6">
        <f>SUMIF('Eredeti fejléccel'!$B:$B,'Felosztás eredménykim'!$B163,'Eredeti fejléccel'!$BA:$BA)</f>
        <v>0</v>
      </c>
      <c r="CB163" s="6">
        <f t="shared" si="253"/>
        <v>0</v>
      </c>
      <c r="CC163" s="36">
        <f t="shared" si="222"/>
        <v>0</v>
      </c>
      <c r="CD163" s="8">
        <f t="shared" si="223"/>
        <v>0</v>
      </c>
      <c r="CE163" s="6">
        <f>SUMIF('Eredeti fejléccel'!$B:$B,'Felosztás eredménykim'!$B163,'Eredeti fejléccel'!$BC:$BC)</f>
        <v>0</v>
      </c>
      <c r="CF163" s="8">
        <f t="shared" si="300"/>
        <v>0</v>
      </c>
      <c r="CG163" s="6">
        <f>SUMIF('Eredeti fejléccel'!$B:$B,'Felosztás eredménykim'!$B163,'Eredeti fejléccel'!$H:$H)</f>
        <v>0</v>
      </c>
      <c r="CH163" s="6">
        <f>SUMIF('Eredeti fejléccel'!$B:$B,'Felosztás eredménykim'!$B163,'Eredeti fejléccel'!$BE:$BE)</f>
        <v>0</v>
      </c>
      <c r="CI163" s="6">
        <f t="shared" si="239"/>
        <v>0</v>
      </c>
      <c r="CJ163" s="36">
        <f t="shared" si="224"/>
        <v>0</v>
      </c>
      <c r="CK163" s="8">
        <f t="shared" si="225"/>
        <v>0</v>
      </c>
      <c r="CL163" s="8">
        <f t="shared" si="301"/>
        <v>0</v>
      </c>
      <c r="CM163" s="6">
        <f>SUMIF('Eredeti fejléccel'!$B:$B,'Felosztás eredménykim'!$B163,'Eredeti fejléccel'!$BD:$BD)</f>
        <v>0</v>
      </c>
      <c r="CN163" s="8">
        <f t="shared" si="240"/>
        <v>0</v>
      </c>
      <c r="CO163" s="8">
        <f t="shared" si="254"/>
        <v>0</v>
      </c>
      <c r="CR163" s="36">
        <f t="shared" si="226"/>
        <v>0</v>
      </c>
      <c r="CS163" s="6">
        <f>SUMIF('Eredeti fejléccel'!$B:$B,'Felosztás eredménykim'!$B163,'Eredeti fejléccel'!$I:$I)</f>
        <v>0</v>
      </c>
      <c r="CT163" s="6">
        <f>SUMIF('Eredeti fejléccel'!$B:$B,'Felosztás eredménykim'!$B163,'Eredeti fejléccel'!$BG:$BG)</f>
        <v>0</v>
      </c>
      <c r="CU163" s="6">
        <f>SUMIF('Eredeti fejléccel'!$B:$B,'Felosztás eredménykim'!$B163,'Eredeti fejléccel'!$BH:$BH)</f>
        <v>0</v>
      </c>
      <c r="CV163" s="6">
        <f>SUMIF('Eredeti fejléccel'!$B:$B,'Felosztás eredménykim'!$B163,'Eredeti fejléccel'!$BI:$BI)</f>
        <v>0</v>
      </c>
      <c r="CW163" s="6">
        <f>SUMIF('Eredeti fejléccel'!$B:$B,'Felosztás eredménykim'!$B163,'Eredeti fejléccel'!$BL:$BL)</f>
        <v>0</v>
      </c>
      <c r="CX163" s="6">
        <f t="shared" si="241"/>
        <v>0</v>
      </c>
      <c r="CY163" s="6">
        <f>SUMIF('Eredeti fejléccel'!$B:$B,'Felosztás eredménykim'!$B163,'Eredeti fejléccel'!$BJ:$BJ)</f>
        <v>0</v>
      </c>
      <c r="CZ163" s="6">
        <f>SUMIF('Eredeti fejléccel'!$B:$B,'Felosztás eredménykim'!$B163,'Eredeti fejléccel'!$BK:$BK)</f>
        <v>0</v>
      </c>
      <c r="DA163" s="99">
        <f t="shared" si="242"/>
        <v>0</v>
      </c>
      <c r="DC163" s="36">
        <f t="shared" si="227"/>
        <v>0</v>
      </c>
      <c r="DD163" s="6">
        <f>SUMIF('Eredeti fejléccel'!$B:$B,'Felosztás eredménykim'!$B163,'Eredeti fejléccel'!$J:$J)</f>
        <v>0</v>
      </c>
      <c r="DE163" s="6">
        <f>SUMIF('Eredeti fejléccel'!$B:$B,'Felosztás eredménykim'!$B163,'Eredeti fejléccel'!$BM:$BM)</f>
        <v>0</v>
      </c>
      <c r="DF163" s="6">
        <f t="shared" si="296"/>
        <v>0</v>
      </c>
      <c r="DG163" s="8">
        <f t="shared" si="255"/>
        <v>0</v>
      </c>
      <c r="DH163" s="8">
        <f t="shared" si="297"/>
        <v>0</v>
      </c>
      <c r="DJ163" s="6">
        <f>SUMIF('Eredeti fejléccel'!$B:$B,'Felosztás eredménykim'!$B163,'Eredeti fejléccel'!$BN:$BN)</f>
        <v>0</v>
      </c>
      <c r="DK163" s="6">
        <f>SUMIF('Eredeti fejléccel'!$B:$B,'Felosztás eredménykim'!$B163,'Eredeti fejléccel'!$BZ:$BZ)</f>
        <v>0</v>
      </c>
      <c r="DL163" s="8">
        <f t="shared" si="298"/>
        <v>0</v>
      </c>
      <c r="DM163" s="6">
        <f>SUMIF('Eredeti fejléccel'!$B:$B,'Felosztás eredménykim'!$B163,'Eredeti fejléccel'!$BR:$BR)</f>
        <v>0</v>
      </c>
      <c r="DN163" s="6">
        <f>SUMIF('Eredeti fejléccel'!$B:$B,'Felosztás eredménykim'!$B163,'Eredeti fejléccel'!$BS:$BS)</f>
        <v>0</v>
      </c>
      <c r="DO163" s="6">
        <f>SUMIF('Eredeti fejléccel'!$B:$B,'Felosztás eredménykim'!$B163,'Eredeti fejléccel'!$BO:$BO)</f>
        <v>0</v>
      </c>
      <c r="DP163" s="6">
        <f>SUMIF('Eredeti fejléccel'!$B:$B,'Felosztás eredménykim'!$B163,'Eredeti fejléccel'!$BP:$BP)</f>
        <v>0</v>
      </c>
      <c r="DQ163" s="6">
        <f>SUMIF('Eredeti fejléccel'!$B:$B,'Felosztás eredménykim'!$B163,'Eredeti fejléccel'!$BQ:$BQ)</f>
        <v>0</v>
      </c>
      <c r="DS163" s="8"/>
      <c r="DU163" s="6">
        <f>SUMIF('Eredeti fejléccel'!$B:$B,'Felosztás eredménykim'!$B163,'Eredeti fejléccel'!$BT:$BT)</f>
        <v>0</v>
      </c>
      <c r="DV163" s="6">
        <f>SUMIF('Eredeti fejléccel'!$B:$B,'Felosztás eredménykim'!$B163,'Eredeti fejléccel'!$BU:$BU)</f>
        <v>0</v>
      </c>
      <c r="DW163" s="6">
        <f>SUMIF('Eredeti fejléccel'!$B:$B,'Felosztás eredménykim'!$B163,'Eredeti fejléccel'!$BV:$BV)</f>
        <v>0</v>
      </c>
      <c r="DX163" s="6">
        <f>SUMIF('Eredeti fejléccel'!$B:$B,'Felosztás eredménykim'!$B163,'Eredeti fejléccel'!$BW:$BW)</f>
        <v>0</v>
      </c>
      <c r="DY163" s="6">
        <f>SUMIF('Eredeti fejléccel'!$B:$B,'Felosztás eredménykim'!$B163,'Eredeti fejléccel'!$BX:$BX)</f>
        <v>0</v>
      </c>
      <c r="EA163" s="6"/>
      <c r="EC163" s="6"/>
      <c r="EE163" s="6">
        <f>SUMIF('Eredeti fejléccel'!$B:$B,'Felosztás eredménykim'!$B163,'Eredeti fejléccel'!$CA:$CA)</f>
        <v>0</v>
      </c>
      <c r="EF163" s="6">
        <f>SUMIF('Eredeti fejléccel'!$B:$B,'Felosztás eredménykim'!$B163,'Eredeti fejléccel'!$CB:$CB)</f>
        <v>0</v>
      </c>
      <c r="EG163" s="6">
        <f>SUMIF('Eredeti fejléccel'!$B:$B,'Felosztás eredménykim'!$B163,'Eredeti fejléccel'!$CC:$CC)</f>
        <v>0</v>
      </c>
      <c r="EH163" s="6">
        <f>SUMIF('Eredeti fejléccel'!$B:$B,'Felosztás eredménykim'!$B163,'Eredeti fejléccel'!$CD:$CD)</f>
        <v>0</v>
      </c>
      <c r="EK163" s="6">
        <f>SUMIF('Eredeti fejléccel'!$B:$B,'Felosztás eredménykim'!$B163,'Eredeti fejléccel'!$CE:$CE)</f>
        <v>0</v>
      </c>
      <c r="EN163" s="6">
        <f>SUMIF('Eredeti fejléccel'!$B:$B,'Felosztás eredménykim'!$B163,'Eredeti fejléccel'!$CF:$CF)</f>
        <v>0</v>
      </c>
      <c r="EP163" s="6">
        <f>SUMIF('Eredeti fejléccel'!$B:$B,'Felosztás eredménykim'!$B163,'Eredeti fejléccel'!$CG:$CG)</f>
        <v>0</v>
      </c>
      <c r="ES163" s="6">
        <f>SUMIF('Eredeti fejléccel'!$B:$B,'Felosztás eredménykim'!$B163,'Eredeti fejléccel'!$CH:$CH)</f>
        <v>0</v>
      </c>
      <c r="ET163" s="6">
        <f>SUMIF('Eredeti fejléccel'!$B:$B,'Felosztás eredménykim'!$B163,'Eredeti fejléccel'!$CI:$CI)</f>
        <v>0</v>
      </c>
      <c r="EW163" s="8">
        <f t="shared" si="288"/>
        <v>0</v>
      </c>
      <c r="EX163" s="8">
        <f t="shared" si="243"/>
        <v>0</v>
      </c>
      <c r="EY163" s="8">
        <f t="shared" si="244"/>
        <v>0</v>
      </c>
      <c r="EZ163" s="8">
        <f t="shared" si="289"/>
        <v>0</v>
      </c>
      <c r="FA163" s="8">
        <f t="shared" si="290"/>
        <v>0</v>
      </c>
      <c r="FC163" s="6">
        <f>SUMIF('Eredeti fejléccel'!$B:$B,'Felosztás eredménykim'!$B163,'Eredeti fejléccel'!$L:$L)</f>
        <v>0</v>
      </c>
      <c r="FD163" s="6">
        <f>SUMIF('Eredeti fejléccel'!$B:$B,'Felosztás eredménykim'!$B163,'Eredeti fejléccel'!$CJ:$CJ)</f>
        <v>0</v>
      </c>
      <c r="FE163" s="6">
        <f>SUMIF('Eredeti fejléccel'!$B:$B,'Felosztás eredménykim'!$B163,'Eredeti fejléccel'!$CL:$CL)</f>
        <v>0</v>
      </c>
      <c r="FG163" s="99">
        <f t="shared" si="245"/>
        <v>0</v>
      </c>
      <c r="FH163" s="6">
        <f>SUMIF('Eredeti fejléccel'!$B:$B,'Felosztás eredménykim'!$B163,'Eredeti fejléccel'!$CK:$CK)</f>
        <v>0</v>
      </c>
      <c r="FI163" s="36">
        <f t="shared" si="228"/>
        <v>0</v>
      </c>
      <c r="FJ163" s="101">
        <f t="shared" si="229"/>
        <v>0</v>
      </c>
      <c r="FK163" s="6">
        <f>SUMIF('Eredeti fejléccel'!$B:$B,'Felosztás eredménykim'!$B163,'Eredeti fejléccel'!$CM:$CM)</f>
        <v>0</v>
      </c>
      <c r="FL163" s="6">
        <f>SUMIF('Eredeti fejléccel'!$B:$B,'Felosztás eredménykim'!$B163,'Eredeti fejléccel'!$CN:$CN)</f>
        <v>0</v>
      </c>
      <c r="FM163" s="8">
        <f t="shared" si="246"/>
        <v>0</v>
      </c>
      <c r="FN163" s="36">
        <f t="shared" si="230"/>
        <v>0</v>
      </c>
      <c r="FO163" s="101">
        <f t="shared" si="231"/>
        <v>0</v>
      </c>
      <c r="FP163" s="6">
        <f>SUMIF('Eredeti fejléccel'!$B:$B,'Felosztás eredménykim'!$B163,'Eredeti fejléccel'!$CO:$CO)</f>
        <v>0</v>
      </c>
      <c r="FQ163" s="6">
        <f>'Eredeti fejléccel'!CP163</f>
        <v>0</v>
      </c>
      <c r="FR163" s="6">
        <f>'Eredeti fejléccel'!CQ163</f>
        <v>0</v>
      </c>
      <c r="FS163" s="103">
        <f t="shared" si="247"/>
        <v>0</v>
      </c>
      <c r="FT163" s="36">
        <f t="shared" si="232"/>
        <v>0</v>
      </c>
      <c r="FU163" s="101">
        <f t="shared" si="233"/>
        <v>0</v>
      </c>
      <c r="FV163" s="101"/>
      <c r="FW163" s="6">
        <f>SUMIF('Eredeti fejléccel'!$B:$B,'Felosztás eredménykim'!$B163,'Eredeti fejléccel'!$CR:$CR)</f>
        <v>0</v>
      </c>
      <c r="FX163" s="6">
        <f>SUMIF('Eredeti fejléccel'!$B:$B,'Felosztás eredménykim'!$B163,'Eredeti fejléccel'!$CS:$CS)</f>
        <v>0</v>
      </c>
      <c r="FY163" s="6">
        <f>SUMIF('Eredeti fejléccel'!$B:$B,'Felosztás eredménykim'!$B163,'Eredeti fejléccel'!$CT:$CT)</f>
        <v>0</v>
      </c>
      <c r="FZ163" s="6">
        <f>SUMIF('Eredeti fejléccel'!$B:$B,'Felosztás eredménykim'!$B163,'Eredeti fejléccel'!$CU:$CU)</f>
        <v>0</v>
      </c>
      <c r="GA163" s="103">
        <f t="shared" si="248"/>
        <v>0</v>
      </c>
      <c r="GB163" s="36">
        <f t="shared" si="234"/>
        <v>0</v>
      </c>
      <c r="GC163" s="101">
        <f t="shared" si="235"/>
        <v>0</v>
      </c>
      <c r="GD163" s="6">
        <f>SUMIF('Eredeti fejléccel'!$B:$B,'Felosztás eredménykim'!$B163,'Eredeti fejléccel'!$CV:$CV)</f>
        <v>0</v>
      </c>
      <c r="GE163" s="6">
        <f>SUMIF('Eredeti fejléccel'!$B:$B,'Felosztás eredménykim'!$B163,'Eredeti fejléccel'!$CW:$CW)</f>
        <v>0</v>
      </c>
      <c r="GF163" s="103">
        <f t="shared" si="249"/>
        <v>0</v>
      </c>
      <c r="GG163" s="36">
        <f t="shared" si="236"/>
        <v>0</v>
      </c>
      <c r="GM163" s="6">
        <f>SUMIF('Eredeti fejléccel'!$B:$B,'Felosztás eredménykim'!$B163,'Eredeti fejléccel'!$CX:$CX)</f>
        <v>0</v>
      </c>
      <c r="GN163" s="6">
        <f>SUMIF('Eredeti fejléccel'!$B:$B,'Felosztás eredménykim'!$B163,'Eredeti fejléccel'!$CY:$CY)</f>
        <v>0</v>
      </c>
      <c r="GO163" s="6">
        <f>SUMIF('Eredeti fejléccel'!$B:$B,'Felosztás eredménykim'!$B163,'Eredeti fejléccel'!$CZ:$CZ)</f>
        <v>0</v>
      </c>
      <c r="GP163" s="6">
        <f>SUMIF('Eredeti fejléccel'!$B:$B,'Felosztás eredménykim'!$B163,'Eredeti fejléccel'!$DA:$DA)</f>
        <v>0</v>
      </c>
      <c r="GQ163" s="6">
        <f>SUMIF('Eredeti fejléccel'!$B:$B,'Felosztás eredménykim'!$B163,'Eredeti fejléccel'!$DB:$DB)</f>
        <v>0</v>
      </c>
      <c r="GR163" s="103">
        <f t="shared" si="250"/>
        <v>0</v>
      </c>
      <c r="GW163" s="36">
        <f t="shared" si="237"/>
        <v>0</v>
      </c>
      <c r="GX163" s="6">
        <f>SUMIF('Eredeti fejléccel'!$B:$B,'Felosztás eredménykim'!$B163,'Eredeti fejléccel'!$M:$M)</f>
        <v>0</v>
      </c>
      <c r="GY163" s="6">
        <f>SUMIF('Eredeti fejléccel'!$B:$B,'Felosztás eredménykim'!$B163,'Eredeti fejléccel'!$DC:$DC)</f>
        <v>0</v>
      </c>
      <c r="GZ163" s="6">
        <f>SUMIF('Eredeti fejléccel'!$B:$B,'Felosztás eredménykim'!$B163,'Eredeti fejléccel'!$DD:$DD)</f>
        <v>0</v>
      </c>
      <c r="HA163" s="6">
        <f>SUMIF('Eredeti fejléccel'!$B:$B,'Felosztás eredménykim'!$B163,'Eredeti fejléccel'!$DE:$DE)</f>
        <v>0</v>
      </c>
      <c r="HB163" s="103">
        <f t="shared" si="251"/>
        <v>0</v>
      </c>
      <c r="HD163" s="9">
        <f t="shared" si="256"/>
        <v>15449744.900000012</v>
      </c>
      <c r="HE163" s="9">
        <v>15449744.900000012</v>
      </c>
      <c r="HF163" s="476"/>
      <c r="HH163" s="34">
        <f t="shared" si="252"/>
        <v>0</v>
      </c>
    </row>
    <row r="164" spans="1:216" x14ac:dyDescent="0.25">
      <c r="A164" s="4" t="s">
        <v>865</v>
      </c>
      <c r="B164" s="4" t="s">
        <v>865</v>
      </c>
      <c r="D164" s="6">
        <f>SUMIF('Eredeti fejléccel'!$B:$B,'Felosztás eredménykim'!$B164,'Eredeti fejléccel'!$D:$D)</f>
        <v>0</v>
      </c>
      <c r="E164" s="6">
        <f>SUMIF('Eredeti fejléccel'!$B:$B,'Felosztás eredménykim'!$B164,'Eredeti fejléccel'!$E:$E)</f>
        <v>0</v>
      </c>
      <c r="F164" s="6">
        <f>SUMIF('Eredeti fejléccel'!$B:$B,'Felosztás eredménykim'!$B164,'Eredeti fejléccel'!$F:$F)</f>
        <v>0</v>
      </c>
      <c r="G164" s="6">
        <f>SUMIF('Eredeti fejléccel'!$B:$B,'Felosztás eredménykim'!$B164,'Eredeti fejléccel'!$G:$G)</f>
        <v>0</v>
      </c>
      <c r="H164" s="6"/>
      <c r="I164" s="6">
        <f>SUMIF('Eredeti fejléccel'!$B:$B,'Felosztás eredménykim'!$B164,'Eredeti fejléccel'!$O:$O)</f>
        <v>0</v>
      </c>
      <c r="J164" s="6">
        <f>SUMIF('Eredeti fejléccel'!$B:$B,'Felosztás eredménykim'!$B164,'Eredeti fejléccel'!$P:$P)</f>
        <v>0</v>
      </c>
      <c r="K164" s="6">
        <f>SUMIF('Eredeti fejléccel'!$B:$B,'Felosztás eredménykim'!$B164,'Eredeti fejléccel'!$Q:$Q)</f>
        <v>0</v>
      </c>
      <c r="L164" s="6">
        <f>SUMIF('Eredeti fejléccel'!$B:$B,'Felosztás eredménykim'!$B164,'Eredeti fejléccel'!$R:$R)</f>
        <v>0</v>
      </c>
      <c r="M164" s="6">
        <f>SUMIF('Eredeti fejléccel'!$B:$B,'Felosztás eredménykim'!$B164,'Eredeti fejléccel'!$T:$T)</f>
        <v>0</v>
      </c>
      <c r="N164" s="6">
        <f>SUMIF('Eredeti fejléccel'!$B:$B,'Felosztás eredménykim'!$B164,'Eredeti fejléccel'!$U:$U)</f>
        <v>0</v>
      </c>
      <c r="O164" s="6">
        <f>SUMIF('Eredeti fejléccel'!$B:$B,'Felosztás eredménykim'!$B164,'Eredeti fejléccel'!$V:$V)</f>
        <v>0</v>
      </c>
      <c r="P164" s="6">
        <f>SUMIF('Eredeti fejléccel'!$B:$B,'Felosztás eredménykim'!$B164,'Eredeti fejléccel'!$W:$W)</f>
        <v>0</v>
      </c>
      <c r="Q164" s="6">
        <f>SUMIF('Eredeti fejléccel'!$B:$B,'Felosztás eredménykim'!$B164,'Eredeti fejléccel'!$X:$X)</f>
        <v>0</v>
      </c>
      <c r="R164" s="6">
        <f>SUMIF('Eredeti fejléccel'!$B:$B,'Felosztás eredménykim'!$B164,'Eredeti fejléccel'!$Y:$Y)</f>
        <v>0</v>
      </c>
      <c r="S164" s="6">
        <f>SUMIF('Eredeti fejléccel'!$B:$B,'Felosztás eredménykim'!$B164,'Eredeti fejléccel'!$Z:$Z)</f>
        <v>0</v>
      </c>
      <c r="T164" s="6">
        <f>SUMIF('Eredeti fejléccel'!$B:$B,'Felosztás eredménykim'!$B164,'Eredeti fejléccel'!$AA:$AA)</f>
        <v>0</v>
      </c>
      <c r="U164" s="6">
        <f>SUMIF('Eredeti fejléccel'!$B:$B,'Felosztás eredménykim'!$B164,'Eredeti fejléccel'!$D:$D)</f>
        <v>0</v>
      </c>
      <c r="V164" s="6">
        <f>SUMIF('Eredeti fejléccel'!$B:$B,'Felosztás eredménykim'!$B164,'Eredeti fejléccel'!$AT:$AT)</f>
        <v>3498778.9500000007</v>
      </c>
      <c r="W164" s="36">
        <f t="shared" si="302"/>
        <v>-3498778.9500000007</v>
      </c>
      <c r="X164" s="36">
        <f t="shared" si="211"/>
        <v>0</v>
      </c>
      <c r="Z164" s="6">
        <f>SUMIF('Eredeti fejléccel'!$B:$B,'Felosztás eredménykim'!$B164,'Eredeti fejléccel'!$K:$K)</f>
        <v>0</v>
      </c>
      <c r="AB164" s="6">
        <f>SUMIF('Eredeti fejléccel'!$B:$B,'Felosztás eredménykim'!$B164,'Eredeti fejléccel'!$AB:$AB)</f>
        <v>0</v>
      </c>
      <c r="AC164" s="6">
        <f>SUMIF('Eredeti fejléccel'!$B:$B,'Felosztás eredménykim'!$B164,'Eredeti fejléccel'!$AQ:$AQ)</f>
        <v>0</v>
      </c>
      <c r="AE164" s="73">
        <f t="shared" si="299"/>
        <v>0</v>
      </c>
      <c r="AF164" s="36">
        <f t="shared" si="212"/>
        <v>0</v>
      </c>
      <c r="AG164" s="8">
        <f t="shared" si="213"/>
        <v>0</v>
      </c>
      <c r="AI164" s="6">
        <f>SUMIF('Eredeti fejléccel'!$B:$B,'Felosztás eredménykim'!$B164,'Eredeti fejléccel'!$BB:$BB)</f>
        <v>0</v>
      </c>
      <c r="AJ164" s="6">
        <f>SUMIF('Eredeti fejléccel'!$B:$B,'Felosztás eredménykim'!$B164,'Eredeti fejléccel'!$AF:$AF)</f>
        <v>0</v>
      </c>
      <c r="AK164" s="8">
        <f t="shared" si="177"/>
        <v>0</v>
      </c>
      <c r="AL164" s="36">
        <f t="shared" si="214"/>
        <v>0</v>
      </c>
      <c r="AM164" s="8">
        <f t="shared" si="215"/>
        <v>0</v>
      </c>
      <c r="AN164" s="6">
        <f t="shared" si="291"/>
        <v>0</v>
      </c>
      <c r="AO164" s="6">
        <f>SUMIF('Eredeti fejléccel'!$B:$B,'Felosztás eredménykim'!$B164,'Eredeti fejléccel'!$AC:$AC)</f>
        <v>0</v>
      </c>
      <c r="AP164" s="6">
        <f>SUMIF('Eredeti fejléccel'!$B:$B,'Felosztás eredménykim'!$B164,'Eredeti fejléccel'!$AD:$AD)</f>
        <v>0</v>
      </c>
      <c r="AQ164" s="6">
        <f>SUMIF('Eredeti fejléccel'!$B:$B,'Felosztás eredménykim'!$B164,'Eredeti fejléccel'!$AE:$AE)</f>
        <v>0</v>
      </c>
      <c r="AR164" s="6">
        <f>SUMIF('Eredeti fejléccel'!$B:$B,'Felosztás eredménykim'!$B164,'Eredeti fejléccel'!$AG:$AG)</f>
        <v>0</v>
      </c>
      <c r="AS164" s="6">
        <f t="shared" si="292"/>
        <v>0</v>
      </c>
      <c r="AT164" s="36">
        <f t="shared" si="216"/>
        <v>0</v>
      </c>
      <c r="AU164" s="8">
        <f t="shared" si="217"/>
        <v>0</v>
      </c>
      <c r="AV164" s="6">
        <f>SUMIF('Eredeti fejléccel'!$B:$B,'Felosztás eredménykim'!$B164,'Eredeti fejléccel'!$AI:$AI)</f>
        <v>0</v>
      </c>
      <c r="AW164" s="6">
        <f>SUMIF('Eredeti fejléccel'!$B:$B,'Felosztás eredménykim'!$B164,'Eredeti fejléccel'!$AJ:$AJ)</f>
        <v>0</v>
      </c>
      <c r="AX164" s="6">
        <f>SUMIF('Eredeti fejléccel'!$B:$B,'Felosztás eredménykim'!$B164,'Eredeti fejléccel'!$AK:$AK)</f>
        <v>0</v>
      </c>
      <c r="AY164" s="6">
        <f>SUMIF('Eredeti fejléccel'!$B:$B,'Felosztás eredménykim'!$B164,'Eredeti fejléccel'!$AL:$AL)</f>
        <v>0</v>
      </c>
      <c r="AZ164" s="6">
        <f>SUMIF('Eredeti fejléccel'!$B:$B,'Felosztás eredménykim'!$B164,'Eredeti fejléccel'!$AM:$AM)</f>
        <v>0</v>
      </c>
      <c r="BA164" s="6">
        <f>SUMIF('Eredeti fejléccel'!$B:$B,'Felosztás eredménykim'!$B164,'Eredeti fejléccel'!$AN:$AN)</f>
        <v>0</v>
      </c>
      <c r="BB164" s="6">
        <f>SUMIF('Eredeti fejléccel'!$B:$B,'Felosztás eredménykim'!$B164,'Eredeti fejléccel'!$AP:$AP)</f>
        <v>0</v>
      </c>
      <c r="BD164" s="6">
        <f>SUMIF('Eredeti fejléccel'!$B:$B,'Felosztás eredménykim'!$B164,'Eredeti fejléccel'!$AS:$AS)</f>
        <v>0</v>
      </c>
      <c r="BE164" s="8">
        <f t="shared" si="238"/>
        <v>0</v>
      </c>
      <c r="BF164" s="36">
        <f t="shared" si="218"/>
        <v>0</v>
      </c>
      <c r="BG164" s="8">
        <f t="shared" si="219"/>
        <v>0</v>
      </c>
      <c r="BH164" s="6">
        <f t="shared" si="293"/>
        <v>0</v>
      </c>
      <c r="BI164" s="6">
        <f>SUMIF('Eredeti fejléccel'!$B:$B,'Felosztás eredménykim'!$B164,'Eredeti fejléccel'!$AH:$AH)</f>
        <v>0</v>
      </c>
      <c r="BJ164" s="6">
        <f>SUMIF('Eredeti fejléccel'!$B:$B,'Felosztás eredménykim'!$B164,'Eredeti fejléccel'!$AO:$AO)</f>
        <v>0</v>
      </c>
      <c r="BK164" s="6">
        <f>SUMIF('Eredeti fejléccel'!$B:$B,'Felosztás eredménykim'!$B164,'Eredeti fejléccel'!$BF:$BF)</f>
        <v>0</v>
      </c>
      <c r="BL164" s="8">
        <f t="shared" si="294"/>
        <v>0</v>
      </c>
      <c r="BM164" s="36">
        <f t="shared" si="220"/>
        <v>0</v>
      </c>
      <c r="BN164" s="8">
        <f t="shared" si="221"/>
        <v>0</v>
      </c>
      <c r="BP164" s="8">
        <f t="shared" si="295"/>
        <v>0</v>
      </c>
      <c r="BQ164" s="6">
        <f>SUMIF('Eredeti fejléccel'!$B:$B,'Felosztás eredménykim'!$B164,'Eredeti fejléccel'!$N:$N)</f>
        <v>0</v>
      </c>
      <c r="BR164" s="6">
        <f>SUMIF('Eredeti fejléccel'!$B:$B,'Felosztás eredménykim'!$B164,'Eredeti fejléccel'!$S:$S)</f>
        <v>0</v>
      </c>
      <c r="BT164" s="6">
        <f>SUMIF('Eredeti fejléccel'!$B:$B,'Felosztás eredménykim'!$B164,'Eredeti fejléccel'!$AR:$AR)</f>
        <v>0</v>
      </c>
      <c r="BU164" s="6">
        <f>SUMIF('Eredeti fejléccel'!$B:$B,'Felosztás eredménykim'!$B164,'Eredeti fejléccel'!$AU:$AU)</f>
        <v>0</v>
      </c>
      <c r="BV164" s="6">
        <f>SUMIF('Eredeti fejléccel'!$B:$B,'Felosztás eredménykim'!$B164,'Eredeti fejléccel'!$AV:$AV)</f>
        <v>0</v>
      </c>
      <c r="BW164" s="6">
        <f>SUMIF('Eredeti fejléccel'!$B:$B,'Felosztás eredménykim'!$B164,'Eredeti fejléccel'!$AW:$AW)</f>
        <v>0</v>
      </c>
      <c r="BX164" s="6">
        <f>SUMIF('Eredeti fejléccel'!$B:$B,'Felosztás eredménykim'!$B164,'Eredeti fejléccel'!$AX:$AX)</f>
        <v>0</v>
      </c>
      <c r="BY164" s="6">
        <f>SUMIF('Eredeti fejléccel'!$B:$B,'Felosztás eredménykim'!$B164,'Eredeti fejléccel'!$AY:$AY)</f>
        <v>0</v>
      </c>
      <c r="BZ164" s="6">
        <f>SUMIF('Eredeti fejléccel'!$B:$B,'Felosztás eredménykim'!$B164,'Eredeti fejléccel'!$AZ:$AZ)</f>
        <v>0</v>
      </c>
      <c r="CA164" s="6">
        <f>SUMIF('Eredeti fejléccel'!$B:$B,'Felosztás eredménykim'!$B164,'Eredeti fejléccel'!$BA:$BA)</f>
        <v>0</v>
      </c>
      <c r="CB164" s="6">
        <f t="shared" si="253"/>
        <v>0</v>
      </c>
      <c r="CC164" s="36">
        <f t="shared" si="222"/>
        <v>0</v>
      </c>
      <c r="CD164" s="8">
        <f t="shared" si="223"/>
        <v>0</v>
      </c>
      <c r="CE164" s="6">
        <f>SUMIF('Eredeti fejléccel'!$B:$B,'Felosztás eredménykim'!$B164,'Eredeti fejléccel'!$BC:$BC)</f>
        <v>0</v>
      </c>
      <c r="CF164" s="8">
        <f t="shared" si="300"/>
        <v>0</v>
      </c>
      <c r="CG164" s="6">
        <f>SUMIF('Eredeti fejléccel'!$B:$B,'Felosztás eredménykim'!$B164,'Eredeti fejléccel'!$H:$H)</f>
        <v>0</v>
      </c>
      <c r="CH164" s="6">
        <f>SUMIF('Eredeti fejléccel'!$B:$B,'Felosztás eredménykim'!$B164,'Eredeti fejléccel'!$BE:$BE)</f>
        <v>0</v>
      </c>
      <c r="CI164" s="6">
        <f t="shared" si="239"/>
        <v>0</v>
      </c>
      <c r="CJ164" s="36">
        <f t="shared" si="224"/>
        <v>0</v>
      </c>
      <c r="CK164" s="8">
        <f t="shared" si="225"/>
        <v>0</v>
      </c>
      <c r="CL164" s="8">
        <f t="shared" si="301"/>
        <v>0</v>
      </c>
      <c r="CM164" s="6">
        <f>SUMIF('Eredeti fejléccel'!$B:$B,'Felosztás eredménykim'!$B164,'Eredeti fejléccel'!$BD:$BD)</f>
        <v>0</v>
      </c>
      <c r="CN164" s="8">
        <f t="shared" si="240"/>
        <v>0</v>
      </c>
      <c r="CO164" s="8">
        <f t="shared" si="254"/>
        <v>0</v>
      </c>
      <c r="CR164" s="36">
        <f t="shared" si="226"/>
        <v>0</v>
      </c>
      <c r="CS164" s="6">
        <f>SUMIF('Eredeti fejléccel'!$B:$B,'Felosztás eredménykim'!$B164,'Eredeti fejléccel'!$I:$I)</f>
        <v>0</v>
      </c>
      <c r="CT164" s="6">
        <f>SUMIF('Eredeti fejléccel'!$B:$B,'Felosztás eredménykim'!$B164,'Eredeti fejléccel'!$BG:$BG)</f>
        <v>0</v>
      </c>
      <c r="CU164" s="6">
        <f>SUMIF('Eredeti fejléccel'!$B:$B,'Felosztás eredménykim'!$B164,'Eredeti fejléccel'!$BH:$BH)</f>
        <v>0</v>
      </c>
      <c r="CV164" s="6">
        <f>SUMIF('Eredeti fejléccel'!$B:$B,'Felosztás eredménykim'!$B164,'Eredeti fejléccel'!$BI:$BI)</f>
        <v>0</v>
      </c>
      <c r="CW164" s="6">
        <f>SUMIF('Eredeti fejléccel'!$B:$B,'Felosztás eredménykim'!$B164,'Eredeti fejléccel'!$BL:$BL)</f>
        <v>0</v>
      </c>
      <c r="CX164" s="6">
        <f t="shared" si="241"/>
        <v>0</v>
      </c>
      <c r="CY164" s="6">
        <f>SUMIF('Eredeti fejléccel'!$B:$B,'Felosztás eredménykim'!$B164,'Eredeti fejléccel'!$BJ:$BJ)</f>
        <v>0</v>
      </c>
      <c r="CZ164" s="6">
        <f>SUMIF('Eredeti fejléccel'!$B:$B,'Felosztás eredménykim'!$B164,'Eredeti fejléccel'!$BK:$BK)</f>
        <v>0</v>
      </c>
      <c r="DA164" s="99">
        <f t="shared" si="242"/>
        <v>0</v>
      </c>
      <c r="DC164" s="36">
        <f t="shared" si="227"/>
        <v>0</v>
      </c>
      <c r="DD164" s="6">
        <f>SUMIF('Eredeti fejléccel'!$B:$B,'Felosztás eredménykim'!$B164,'Eredeti fejléccel'!$J:$J)</f>
        <v>0</v>
      </c>
      <c r="DE164" s="6">
        <f>SUMIF('Eredeti fejléccel'!$B:$B,'Felosztás eredménykim'!$B164,'Eredeti fejléccel'!$BM:$BM)</f>
        <v>0</v>
      </c>
      <c r="DF164" s="6">
        <f t="shared" si="296"/>
        <v>0</v>
      </c>
      <c r="DG164" s="8">
        <f t="shared" si="255"/>
        <v>0</v>
      </c>
      <c r="DH164" s="8">
        <f t="shared" si="297"/>
        <v>0</v>
      </c>
      <c r="DJ164" s="6">
        <f>SUMIF('Eredeti fejléccel'!$B:$B,'Felosztás eredménykim'!$B164,'Eredeti fejléccel'!$BN:$BN)</f>
        <v>0</v>
      </c>
      <c r="DK164" s="6">
        <f>SUMIF('Eredeti fejléccel'!$B:$B,'Felosztás eredménykim'!$B164,'Eredeti fejléccel'!$BZ:$BZ)</f>
        <v>0</v>
      </c>
      <c r="DL164" s="8">
        <f t="shared" si="298"/>
        <v>0</v>
      </c>
      <c r="DM164" s="6">
        <f>SUMIF('Eredeti fejléccel'!$B:$B,'Felosztás eredménykim'!$B164,'Eredeti fejléccel'!$BR:$BR)</f>
        <v>0</v>
      </c>
      <c r="DN164" s="6">
        <f>SUMIF('Eredeti fejléccel'!$B:$B,'Felosztás eredménykim'!$B164,'Eredeti fejléccel'!$BS:$BS)</f>
        <v>0</v>
      </c>
      <c r="DO164" s="6">
        <f>SUMIF('Eredeti fejléccel'!$B:$B,'Felosztás eredménykim'!$B164,'Eredeti fejléccel'!$BO:$BO)</f>
        <v>0</v>
      </c>
      <c r="DP164" s="6">
        <f>SUMIF('Eredeti fejléccel'!$B:$B,'Felosztás eredménykim'!$B164,'Eredeti fejléccel'!$BP:$BP)</f>
        <v>0</v>
      </c>
      <c r="DQ164" s="6">
        <f>SUMIF('Eredeti fejléccel'!$B:$B,'Felosztás eredménykim'!$B164,'Eredeti fejléccel'!$BQ:$BQ)</f>
        <v>0</v>
      </c>
      <c r="DS164" s="8"/>
      <c r="DU164" s="6">
        <f>SUMIF('Eredeti fejléccel'!$B:$B,'Felosztás eredménykim'!$B164,'Eredeti fejléccel'!$BT:$BT)</f>
        <v>0</v>
      </c>
      <c r="DV164" s="6">
        <f>SUMIF('Eredeti fejléccel'!$B:$B,'Felosztás eredménykim'!$B164,'Eredeti fejléccel'!$BU:$BU)</f>
        <v>0</v>
      </c>
      <c r="DW164" s="6">
        <f>SUMIF('Eredeti fejléccel'!$B:$B,'Felosztás eredménykim'!$B164,'Eredeti fejléccel'!$BV:$BV)</f>
        <v>0</v>
      </c>
      <c r="DX164" s="6">
        <f>SUMIF('Eredeti fejléccel'!$B:$B,'Felosztás eredménykim'!$B164,'Eredeti fejléccel'!$BW:$BW)</f>
        <v>0</v>
      </c>
      <c r="DY164" s="6">
        <f>SUMIF('Eredeti fejléccel'!$B:$B,'Felosztás eredménykim'!$B164,'Eredeti fejléccel'!$BX:$BX)</f>
        <v>0</v>
      </c>
      <c r="EA164" s="6"/>
      <c r="EC164" s="6"/>
      <c r="EE164" s="6">
        <f>SUMIF('Eredeti fejléccel'!$B:$B,'Felosztás eredménykim'!$B164,'Eredeti fejléccel'!$CA:$CA)</f>
        <v>0</v>
      </c>
      <c r="EF164" s="6">
        <f>SUMIF('Eredeti fejléccel'!$B:$B,'Felosztás eredménykim'!$B164,'Eredeti fejléccel'!$CB:$CB)</f>
        <v>0</v>
      </c>
      <c r="EG164" s="6">
        <f>SUMIF('Eredeti fejléccel'!$B:$B,'Felosztás eredménykim'!$B164,'Eredeti fejléccel'!$CC:$CC)</f>
        <v>0</v>
      </c>
      <c r="EH164" s="6">
        <f>SUMIF('Eredeti fejléccel'!$B:$B,'Felosztás eredménykim'!$B164,'Eredeti fejléccel'!$CD:$CD)</f>
        <v>0</v>
      </c>
      <c r="EK164" s="6">
        <f>SUMIF('Eredeti fejléccel'!$B:$B,'Felosztás eredménykim'!$B164,'Eredeti fejléccel'!$CE:$CE)</f>
        <v>0</v>
      </c>
      <c r="EN164" s="6">
        <f>SUMIF('Eredeti fejléccel'!$B:$B,'Felosztás eredménykim'!$B164,'Eredeti fejléccel'!$CF:$CF)</f>
        <v>0</v>
      </c>
      <c r="EP164" s="6">
        <f>SUMIF('Eredeti fejléccel'!$B:$B,'Felosztás eredménykim'!$B164,'Eredeti fejléccel'!$CG:$CG)</f>
        <v>0</v>
      </c>
      <c r="ES164" s="6">
        <f>SUMIF('Eredeti fejléccel'!$B:$B,'Felosztás eredménykim'!$B164,'Eredeti fejléccel'!$CH:$CH)</f>
        <v>0</v>
      </c>
      <c r="ET164" s="6">
        <f>SUMIF('Eredeti fejléccel'!$B:$B,'Felosztás eredménykim'!$B164,'Eredeti fejléccel'!$CI:$CI)</f>
        <v>0</v>
      </c>
      <c r="EW164" s="8">
        <f t="shared" si="288"/>
        <v>0</v>
      </c>
      <c r="EX164" s="8">
        <f t="shared" si="243"/>
        <v>0</v>
      </c>
      <c r="EY164" s="8">
        <f t="shared" si="244"/>
        <v>0</v>
      </c>
      <c r="EZ164" s="8">
        <f t="shared" si="289"/>
        <v>0</v>
      </c>
      <c r="FA164" s="8">
        <f t="shared" si="290"/>
        <v>0</v>
      </c>
      <c r="FC164" s="6">
        <f>SUMIF('Eredeti fejléccel'!$B:$B,'Felosztás eredménykim'!$B164,'Eredeti fejléccel'!$L:$L)</f>
        <v>0</v>
      </c>
      <c r="FD164" s="6">
        <f>SUMIF('Eredeti fejléccel'!$B:$B,'Felosztás eredménykim'!$B164,'Eredeti fejléccel'!$CJ:$CJ)</f>
        <v>0</v>
      </c>
      <c r="FE164" s="6">
        <f>SUMIF('Eredeti fejléccel'!$B:$B,'Felosztás eredménykim'!$B164,'Eredeti fejléccel'!$CL:$CL)</f>
        <v>0</v>
      </c>
      <c r="FG164" s="99">
        <f t="shared" si="245"/>
        <v>0</v>
      </c>
      <c r="FH164" s="6">
        <f>SUMIF('Eredeti fejléccel'!$B:$B,'Felosztás eredménykim'!$B164,'Eredeti fejléccel'!$CK:$CK)</f>
        <v>0</v>
      </c>
      <c r="FI164" s="36">
        <f t="shared" si="228"/>
        <v>0</v>
      </c>
      <c r="FJ164" s="101">
        <f t="shared" si="229"/>
        <v>0</v>
      </c>
      <c r="FK164" s="6">
        <f>SUMIF('Eredeti fejléccel'!$B:$B,'Felosztás eredménykim'!$B164,'Eredeti fejléccel'!$CM:$CM)</f>
        <v>0</v>
      </c>
      <c r="FL164" s="6">
        <f>SUMIF('Eredeti fejléccel'!$B:$B,'Felosztás eredménykim'!$B164,'Eredeti fejléccel'!$CN:$CN)</f>
        <v>0</v>
      </c>
      <c r="FM164" s="8">
        <f t="shared" si="246"/>
        <v>0</v>
      </c>
      <c r="FN164" s="36">
        <f t="shared" si="230"/>
        <v>0</v>
      </c>
      <c r="FO164" s="101">
        <f t="shared" si="231"/>
        <v>0</v>
      </c>
      <c r="FP164" s="6">
        <f>SUMIF('Eredeti fejléccel'!$B:$B,'Felosztás eredménykim'!$B164,'Eredeti fejléccel'!$CO:$CO)</f>
        <v>0</v>
      </c>
      <c r="FQ164" s="6">
        <f>'Eredeti fejléccel'!CP164</f>
        <v>0</v>
      </c>
      <c r="FR164" s="6">
        <f>'Eredeti fejléccel'!CQ164</f>
        <v>0</v>
      </c>
      <c r="FS164" s="103">
        <f t="shared" si="247"/>
        <v>0</v>
      </c>
      <c r="FT164" s="36">
        <f t="shared" si="232"/>
        <v>0</v>
      </c>
      <c r="FU164" s="101">
        <f t="shared" si="233"/>
        <v>0</v>
      </c>
      <c r="FV164" s="101"/>
      <c r="FW164" s="6">
        <f>SUMIF('Eredeti fejléccel'!$B:$B,'Felosztás eredménykim'!$B164,'Eredeti fejléccel'!$CR:$CR)</f>
        <v>0</v>
      </c>
      <c r="FX164" s="6">
        <f>SUMIF('Eredeti fejléccel'!$B:$B,'Felosztás eredménykim'!$B164,'Eredeti fejléccel'!$CS:$CS)</f>
        <v>0</v>
      </c>
      <c r="FY164" s="6">
        <f>SUMIF('Eredeti fejléccel'!$B:$B,'Felosztás eredménykim'!$B164,'Eredeti fejléccel'!$CT:$CT)</f>
        <v>0</v>
      </c>
      <c r="FZ164" s="6">
        <f>SUMIF('Eredeti fejléccel'!$B:$B,'Felosztás eredménykim'!$B164,'Eredeti fejléccel'!$CU:$CU)</f>
        <v>0</v>
      </c>
      <c r="GA164" s="103">
        <f t="shared" si="248"/>
        <v>0</v>
      </c>
      <c r="GB164" s="36">
        <f t="shared" si="234"/>
        <v>0</v>
      </c>
      <c r="GC164" s="101">
        <f t="shared" si="235"/>
        <v>0</v>
      </c>
      <c r="GD164" s="6">
        <f>SUMIF('Eredeti fejléccel'!$B:$B,'Felosztás eredménykim'!$B164,'Eredeti fejléccel'!$CV:$CV)</f>
        <v>0</v>
      </c>
      <c r="GE164" s="6">
        <f>SUMIF('Eredeti fejléccel'!$B:$B,'Felosztás eredménykim'!$B164,'Eredeti fejléccel'!$CW:$CW)</f>
        <v>0</v>
      </c>
      <c r="GF164" s="103">
        <f t="shared" si="249"/>
        <v>0</v>
      </c>
      <c r="GG164" s="36">
        <f t="shared" si="236"/>
        <v>0</v>
      </c>
      <c r="GM164" s="6">
        <f>SUMIF('Eredeti fejléccel'!$B:$B,'Felosztás eredménykim'!$B164,'Eredeti fejléccel'!$CX:$CX)</f>
        <v>0</v>
      </c>
      <c r="GN164" s="6">
        <f>SUMIF('Eredeti fejléccel'!$B:$B,'Felosztás eredménykim'!$B164,'Eredeti fejléccel'!$CY:$CY)</f>
        <v>0</v>
      </c>
      <c r="GO164" s="6">
        <f>SUMIF('Eredeti fejléccel'!$B:$B,'Felosztás eredménykim'!$B164,'Eredeti fejléccel'!$CZ:$CZ)</f>
        <v>0</v>
      </c>
      <c r="GP164" s="6">
        <f>SUMIF('Eredeti fejléccel'!$B:$B,'Felosztás eredménykim'!$B164,'Eredeti fejléccel'!$DA:$DA)</f>
        <v>0</v>
      </c>
      <c r="GQ164" s="6">
        <f>SUMIF('Eredeti fejléccel'!$B:$B,'Felosztás eredménykim'!$B164,'Eredeti fejléccel'!$DB:$DB)</f>
        <v>0</v>
      </c>
      <c r="GR164" s="103">
        <f t="shared" si="250"/>
        <v>0</v>
      </c>
      <c r="GW164" s="36">
        <f t="shared" si="237"/>
        <v>0</v>
      </c>
      <c r="GX164" s="6">
        <f>SUMIF('Eredeti fejléccel'!$B:$B,'Felosztás eredménykim'!$B164,'Eredeti fejléccel'!$M:$M)</f>
        <v>0</v>
      </c>
      <c r="GY164" s="6">
        <f>SUMIF('Eredeti fejléccel'!$B:$B,'Felosztás eredménykim'!$B164,'Eredeti fejléccel'!$DC:$DC)</f>
        <v>0</v>
      </c>
      <c r="GZ164" s="6">
        <f>SUMIF('Eredeti fejléccel'!$B:$B,'Felosztás eredménykim'!$B164,'Eredeti fejléccel'!$DD:$DD)</f>
        <v>0</v>
      </c>
      <c r="HA164" s="6">
        <f>SUMIF('Eredeti fejléccel'!$B:$B,'Felosztás eredménykim'!$B164,'Eredeti fejléccel'!$DE:$DE)</f>
        <v>0</v>
      </c>
      <c r="HB164" s="103">
        <f t="shared" si="251"/>
        <v>0</v>
      </c>
      <c r="HD164" s="9">
        <f t="shared" si="256"/>
        <v>3498778.9500000007</v>
      </c>
      <c r="HE164" s="9">
        <v>3498778.9500000007</v>
      </c>
      <c r="HF164" s="476"/>
      <c r="HH164" s="34">
        <f t="shared" si="252"/>
        <v>0</v>
      </c>
    </row>
    <row r="165" spans="1:216" x14ac:dyDescent="0.25">
      <c r="A165" s="4" t="s">
        <v>866</v>
      </c>
      <c r="B165" s="4" t="s">
        <v>866</v>
      </c>
      <c r="D165" s="6">
        <f>SUMIF('Eredeti fejléccel'!$B:$B,'Felosztás eredménykim'!$B165,'Eredeti fejléccel'!$D:$D)</f>
        <v>0</v>
      </c>
      <c r="E165" s="6">
        <f>SUMIF('Eredeti fejléccel'!$B:$B,'Felosztás eredménykim'!$B165,'Eredeti fejléccel'!$E:$E)</f>
        <v>0</v>
      </c>
      <c r="F165" s="6">
        <f>SUMIF('Eredeti fejléccel'!$B:$B,'Felosztás eredménykim'!$B165,'Eredeti fejléccel'!$F:$F)</f>
        <v>0</v>
      </c>
      <c r="G165" s="6">
        <f>SUMIF('Eredeti fejléccel'!$B:$B,'Felosztás eredménykim'!$B165,'Eredeti fejléccel'!$G:$G)</f>
        <v>0</v>
      </c>
      <c r="H165" s="6"/>
      <c r="I165" s="6">
        <f>SUMIF('Eredeti fejléccel'!$B:$B,'Felosztás eredménykim'!$B165,'Eredeti fejléccel'!$O:$O)</f>
        <v>0</v>
      </c>
      <c r="J165" s="6">
        <f>SUMIF('Eredeti fejléccel'!$B:$B,'Felosztás eredménykim'!$B165,'Eredeti fejléccel'!$P:$P)</f>
        <v>0</v>
      </c>
      <c r="K165" s="6">
        <f>SUMIF('Eredeti fejléccel'!$B:$B,'Felosztás eredménykim'!$B165,'Eredeti fejléccel'!$Q:$Q)</f>
        <v>0</v>
      </c>
      <c r="L165" s="6">
        <f>SUMIF('Eredeti fejléccel'!$B:$B,'Felosztás eredménykim'!$B165,'Eredeti fejléccel'!$R:$R)</f>
        <v>0</v>
      </c>
      <c r="M165" s="6">
        <f>SUMIF('Eredeti fejléccel'!$B:$B,'Felosztás eredménykim'!$B165,'Eredeti fejléccel'!$T:$T)</f>
        <v>0</v>
      </c>
      <c r="N165" s="6">
        <f>SUMIF('Eredeti fejléccel'!$B:$B,'Felosztás eredménykim'!$B165,'Eredeti fejléccel'!$U:$U)</f>
        <v>0</v>
      </c>
      <c r="O165" s="6">
        <f>SUMIF('Eredeti fejléccel'!$B:$B,'Felosztás eredménykim'!$B165,'Eredeti fejléccel'!$V:$V)</f>
        <v>0</v>
      </c>
      <c r="P165" s="6">
        <f>SUMIF('Eredeti fejléccel'!$B:$B,'Felosztás eredménykim'!$B165,'Eredeti fejléccel'!$W:$W)</f>
        <v>0</v>
      </c>
      <c r="Q165" s="6">
        <f>SUMIF('Eredeti fejléccel'!$B:$B,'Felosztás eredménykim'!$B165,'Eredeti fejléccel'!$X:$X)</f>
        <v>0</v>
      </c>
      <c r="R165" s="6">
        <f>SUMIF('Eredeti fejléccel'!$B:$B,'Felosztás eredménykim'!$B165,'Eredeti fejléccel'!$Y:$Y)</f>
        <v>0</v>
      </c>
      <c r="S165" s="6">
        <f>SUMIF('Eredeti fejléccel'!$B:$B,'Felosztás eredménykim'!$B165,'Eredeti fejléccel'!$Z:$Z)</f>
        <v>0</v>
      </c>
      <c r="T165" s="6">
        <f>SUMIF('Eredeti fejléccel'!$B:$B,'Felosztás eredménykim'!$B165,'Eredeti fejléccel'!$AA:$AA)</f>
        <v>0</v>
      </c>
      <c r="U165" s="6">
        <f>SUMIF('Eredeti fejléccel'!$B:$B,'Felosztás eredménykim'!$B165,'Eredeti fejléccel'!$D:$D)</f>
        <v>0</v>
      </c>
      <c r="V165" s="6">
        <f>SUMIF('Eredeti fejléccel'!$B:$B,'Felosztás eredménykim'!$B165,'Eredeti fejléccel'!$AT:$AT)</f>
        <v>0</v>
      </c>
      <c r="W165" s="36">
        <f t="shared" si="302"/>
        <v>0</v>
      </c>
      <c r="X165" s="36">
        <f t="shared" si="211"/>
        <v>0</v>
      </c>
      <c r="Z165" s="6">
        <f>SUMIF('Eredeti fejléccel'!$B:$B,'Felosztás eredménykim'!$B165,'Eredeti fejléccel'!$K:$K)</f>
        <v>0</v>
      </c>
      <c r="AB165" s="6">
        <f>SUMIF('Eredeti fejléccel'!$B:$B,'Felosztás eredménykim'!$B165,'Eredeti fejléccel'!$AB:$AB)</f>
        <v>0</v>
      </c>
      <c r="AC165" s="6">
        <f>SUMIF('Eredeti fejléccel'!$B:$B,'Felosztás eredménykim'!$B165,'Eredeti fejléccel'!$AQ:$AQ)</f>
        <v>0</v>
      </c>
      <c r="AE165" s="73">
        <f t="shared" si="299"/>
        <v>0</v>
      </c>
      <c r="AF165" s="36">
        <f t="shared" si="212"/>
        <v>0</v>
      </c>
      <c r="AG165" s="8">
        <f t="shared" si="213"/>
        <v>0</v>
      </c>
      <c r="AI165" s="6">
        <f>SUMIF('Eredeti fejléccel'!$B:$B,'Felosztás eredménykim'!$B165,'Eredeti fejléccel'!$BB:$BB)</f>
        <v>0</v>
      </c>
      <c r="AJ165" s="6">
        <f>SUMIF('Eredeti fejléccel'!$B:$B,'Felosztás eredménykim'!$B165,'Eredeti fejléccel'!$AF:$AF)</f>
        <v>0</v>
      </c>
      <c r="AK165" s="8">
        <f t="shared" si="177"/>
        <v>0</v>
      </c>
      <c r="AL165" s="36">
        <f t="shared" si="214"/>
        <v>0</v>
      </c>
      <c r="AM165" s="8">
        <f t="shared" si="215"/>
        <v>0</v>
      </c>
      <c r="AN165" s="6">
        <f t="shared" si="291"/>
        <v>0</v>
      </c>
      <c r="AO165" s="6">
        <f>SUMIF('Eredeti fejléccel'!$B:$B,'Felosztás eredménykim'!$B165,'Eredeti fejléccel'!$AC:$AC)</f>
        <v>0</v>
      </c>
      <c r="AP165" s="6">
        <f>SUMIF('Eredeti fejléccel'!$B:$B,'Felosztás eredménykim'!$B165,'Eredeti fejléccel'!$AD:$AD)</f>
        <v>0</v>
      </c>
      <c r="AQ165" s="6">
        <f>SUMIF('Eredeti fejléccel'!$B:$B,'Felosztás eredménykim'!$B165,'Eredeti fejléccel'!$AE:$AE)</f>
        <v>0</v>
      </c>
      <c r="AR165" s="6">
        <f>SUMIF('Eredeti fejléccel'!$B:$B,'Felosztás eredménykim'!$B165,'Eredeti fejléccel'!$AG:$AG)</f>
        <v>0</v>
      </c>
      <c r="AS165" s="6">
        <f t="shared" si="292"/>
        <v>0</v>
      </c>
      <c r="AT165" s="36">
        <f t="shared" si="216"/>
        <v>0</v>
      </c>
      <c r="AU165" s="8">
        <f t="shared" si="217"/>
        <v>0</v>
      </c>
      <c r="AV165" s="6">
        <f>SUMIF('Eredeti fejléccel'!$B:$B,'Felosztás eredménykim'!$B165,'Eredeti fejléccel'!$AI:$AI)</f>
        <v>0</v>
      </c>
      <c r="AW165" s="6">
        <f>SUMIF('Eredeti fejléccel'!$B:$B,'Felosztás eredménykim'!$B165,'Eredeti fejléccel'!$AJ:$AJ)</f>
        <v>0</v>
      </c>
      <c r="AX165" s="6">
        <f>SUMIF('Eredeti fejléccel'!$B:$B,'Felosztás eredménykim'!$B165,'Eredeti fejléccel'!$AK:$AK)</f>
        <v>0</v>
      </c>
      <c r="AY165" s="6">
        <f>SUMIF('Eredeti fejléccel'!$B:$B,'Felosztás eredménykim'!$B165,'Eredeti fejléccel'!$AL:$AL)</f>
        <v>0</v>
      </c>
      <c r="AZ165" s="6">
        <f>SUMIF('Eredeti fejléccel'!$B:$B,'Felosztás eredménykim'!$B165,'Eredeti fejléccel'!$AM:$AM)</f>
        <v>0</v>
      </c>
      <c r="BA165" s="6">
        <f>SUMIF('Eredeti fejléccel'!$B:$B,'Felosztás eredménykim'!$B165,'Eredeti fejléccel'!$AN:$AN)</f>
        <v>0</v>
      </c>
      <c r="BB165" s="6">
        <f>SUMIF('Eredeti fejléccel'!$B:$B,'Felosztás eredménykim'!$B165,'Eredeti fejléccel'!$AP:$AP)</f>
        <v>0</v>
      </c>
      <c r="BD165" s="6">
        <f>SUMIF('Eredeti fejléccel'!$B:$B,'Felosztás eredménykim'!$B165,'Eredeti fejléccel'!$AS:$AS)</f>
        <v>0</v>
      </c>
      <c r="BE165" s="8">
        <f t="shared" si="238"/>
        <v>0</v>
      </c>
      <c r="BF165" s="36">
        <f t="shared" si="218"/>
        <v>0</v>
      </c>
      <c r="BG165" s="8">
        <f t="shared" si="219"/>
        <v>0</v>
      </c>
      <c r="BH165" s="6">
        <f t="shared" si="293"/>
        <v>0</v>
      </c>
      <c r="BI165" s="6">
        <f>SUMIF('Eredeti fejléccel'!$B:$B,'Felosztás eredménykim'!$B165,'Eredeti fejléccel'!$AH:$AH)</f>
        <v>0</v>
      </c>
      <c r="BJ165" s="6">
        <f>SUMIF('Eredeti fejléccel'!$B:$B,'Felosztás eredménykim'!$B165,'Eredeti fejléccel'!$AO:$AO)</f>
        <v>0</v>
      </c>
      <c r="BK165" s="6">
        <f>SUMIF('Eredeti fejléccel'!$B:$B,'Felosztás eredménykim'!$B165,'Eredeti fejléccel'!$BF:$BF)</f>
        <v>0</v>
      </c>
      <c r="BL165" s="8">
        <f t="shared" si="294"/>
        <v>0</v>
      </c>
      <c r="BM165" s="36">
        <f t="shared" si="220"/>
        <v>0</v>
      </c>
      <c r="BN165" s="8">
        <f t="shared" si="221"/>
        <v>0</v>
      </c>
      <c r="BP165" s="8">
        <f t="shared" si="295"/>
        <v>0</v>
      </c>
      <c r="BQ165" s="6">
        <f>SUMIF('Eredeti fejléccel'!$B:$B,'Felosztás eredménykim'!$B165,'Eredeti fejléccel'!$N:$N)</f>
        <v>0</v>
      </c>
      <c r="BR165" s="6">
        <f>SUMIF('Eredeti fejléccel'!$B:$B,'Felosztás eredménykim'!$B165,'Eredeti fejléccel'!$S:$S)</f>
        <v>0</v>
      </c>
      <c r="BT165" s="6">
        <f>SUMIF('Eredeti fejléccel'!$B:$B,'Felosztás eredménykim'!$B165,'Eredeti fejléccel'!$AR:$AR)</f>
        <v>0</v>
      </c>
      <c r="BU165" s="6">
        <f>SUMIF('Eredeti fejléccel'!$B:$B,'Felosztás eredménykim'!$B165,'Eredeti fejléccel'!$AU:$AU)</f>
        <v>0</v>
      </c>
      <c r="BV165" s="6">
        <f>SUMIF('Eredeti fejléccel'!$B:$B,'Felosztás eredménykim'!$B165,'Eredeti fejléccel'!$AV:$AV)</f>
        <v>0</v>
      </c>
      <c r="BW165" s="6">
        <f>SUMIF('Eredeti fejléccel'!$B:$B,'Felosztás eredménykim'!$B165,'Eredeti fejléccel'!$AW:$AW)</f>
        <v>0</v>
      </c>
      <c r="BX165" s="6">
        <f>SUMIF('Eredeti fejléccel'!$B:$B,'Felosztás eredménykim'!$B165,'Eredeti fejléccel'!$AX:$AX)</f>
        <v>0</v>
      </c>
      <c r="BY165" s="6">
        <f>SUMIF('Eredeti fejléccel'!$B:$B,'Felosztás eredménykim'!$B165,'Eredeti fejléccel'!$AY:$AY)</f>
        <v>0</v>
      </c>
      <c r="BZ165" s="6">
        <f>SUMIF('Eredeti fejléccel'!$B:$B,'Felosztás eredménykim'!$B165,'Eredeti fejléccel'!$AZ:$AZ)</f>
        <v>0</v>
      </c>
      <c r="CA165" s="6">
        <f>SUMIF('Eredeti fejléccel'!$B:$B,'Felosztás eredménykim'!$B165,'Eredeti fejléccel'!$BA:$BA)</f>
        <v>0</v>
      </c>
      <c r="CB165" s="6">
        <f t="shared" si="253"/>
        <v>0</v>
      </c>
      <c r="CC165" s="36">
        <f t="shared" si="222"/>
        <v>0</v>
      </c>
      <c r="CD165" s="8">
        <f t="shared" si="223"/>
        <v>0</v>
      </c>
      <c r="CE165" s="6">
        <f>SUMIF('Eredeti fejléccel'!$B:$B,'Felosztás eredménykim'!$B165,'Eredeti fejléccel'!$BC:$BC)</f>
        <v>0</v>
      </c>
      <c r="CF165" s="8">
        <f t="shared" si="300"/>
        <v>0</v>
      </c>
      <c r="CG165" s="6">
        <f>SUMIF('Eredeti fejléccel'!$B:$B,'Felosztás eredménykim'!$B165,'Eredeti fejléccel'!$H:$H)</f>
        <v>0</v>
      </c>
      <c r="CH165" s="6">
        <f>SUMIF('Eredeti fejléccel'!$B:$B,'Felosztás eredménykim'!$B165,'Eredeti fejléccel'!$BE:$BE)</f>
        <v>0</v>
      </c>
      <c r="CI165" s="6">
        <f t="shared" si="239"/>
        <v>0</v>
      </c>
      <c r="CJ165" s="36">
        <f t="shared" si="224"/>
        <v>0</v>
      </c>
      <c r="CK165" s="8">
        <f t="shared" si="225"/>
        <v>0</v>
      </c>
      <c r="CL165" s="8">
        <f t="shared" si="301"/>
        <v>0</v>
      </c>
      <c r="CM165" s="6">
        <f>SUMIF('Eredeti fejléccel'!$B:$B,'Felosztás eredménykim'!$B165,'Eredeti fejléccel'!$BD:$BD)</f>
        <v>0</v>
      </c>
      <c r="CN165" s="8">
        <f t="shared" si="240"/>
        <v>0</v>
      </c>
      <c r="CO165" s="8">
        <f t="shared" si="254"/>
        <v>0</v>
      </c>
      <c r="CR165" s="36">
        <f t="shared" si="226"/>
        <v>0</v>
      </c>
      <c r="CS165" s="6">
        <f>SUMIF('Eredeti fejléccel'!$B:$B,'Felosztás eredménykim'!$B165,'Eredeti fejléccel'!$I:$I)</f>
        <v>0</v>
      </c>
      <c r="CT165" s="6">
        <f>SUMIF('Eredeti fejléccel'!$B:$B,'Felosztás eredménykim'!$B165,'Eredeti fejléccel'!$BG:$BG)</f>
        <v>0</v>
      </c>
      <c r="CU165" s="6">
        <f>SUMIF('Eredeti fejléccel'!$B:$B,'Felosztás eredménykim'!$B165,'Eredeti fejléccel'!$BH:$BH)</f>
        <v>0</v>
      </c>
      <c r="CV165" s="6">
        <f>SUMIF('Eredeti fejléccel'!$B:$B,'Felosztás eredménykim'!$B165,'Eredeti fejléccel'!$BI:$BI)</f>
        <v>0</v>
      </c>
      <c r="CW165" s="6">
        <f>SUMIF('Eredeti fejléccel'!$B:$B,'Felosztás eredménykim'!$B165,'Eredeti fejléccel'!$BL:$BL)</f>
        <v>0</v>
      </c>
      <c r="CX165" s="6">
        <f t="shared" si="241"/>
        <v>0</v>
      </c>
      <c r="CY165" s="6">
        <f>SUMIF('Eredeti fejléccel'!$B:$B,'Felosztás eredménykim'!$B165,'Eredeti fejléccel'!$BJ:$BJ)</f>
        <v>0</v>
      </c>
      <c r="CZ165" s="6">
        <f>SUMIF('Eredeti fejléccel'!$B:$B,'Felosztás eredménykim'!$B165,'Eredeti fejléccel'!$BK:$BK)</f>
        <v>0</v>
      </c>
      <c r="DA165" s="99">
        <f t="shared" si="242"/>
        <v>0</v>
      </c>
      <c r="DC165" s="36">
        <f t="shared" si="227"/>
        <v>0</v>
      </c>
      <c r="DD165" s="6">
        <f>SUMIF('Eredeti fejléccel'!$B:$B,'Felosztás eredménykim'!$B165,'Eredeti fejléccel'!$J:$J)</f>
        <v>0</v>
      </c>
      <c r="DE165" s="6">
        <f>SUMIF('Eredeti fejléccel'!$B:$B,'Felosztás eredménykim'!$B165,'Eredeti fejléccel'!$BM:$BM)</f>
        <v>0</v>
      </c>
      <c r="DF165" s="6">
        <f t="shared" si="296"/>
        <v>0</v>
      </c>
      <c r="DG165" s="8">
        <f t="shared" si="255"/>
        <v>0</v>
      </c>
      <c r="DH165" s="8">
        <f t="shared" si="297"/>
        <v>0</v>
      </c>
      <c r="DJ165" s="6">
        <f>SUMIF('Eredeti fejléccel'!$B:$B,'Felosztás eredménykim'!$B165,'Eredeti fejléccel'!$BN:$BN)</f>
        <v>0</v>
      </c>
      <c r="DK165" s="6">
        <f>SUMIF('Eredeti fejléccel'!$B:$B,'Felosztás eredménykim'!$B165,'Eredeti fejléccel'!$BZ:$BZ)</f>
        <v>0</v>
      </c>
      <c r="DL165" s="8">
        <f t="shared" si="298"/>
        <v>0</v>
      </c>
      <c r="DM165" s="6">
        <f>SUMIF('Eredeti fejléccel'!$B:$B,'Felosztás eredménykim'!$B165,'Eredeti fejléccel'!$BR:$BR)</f>
        <v>0</v>
      </c>
      <c r="DN165" s="6">
        <f>SUMIF('Eredeti fejléccel'!$B:$B,'Felosztás eredménykim'!$B165,'Eredeti fejléccel'!$BS:$BS)</f>
        <v>0</v>
      </c>
      <c r="DO165" s="6">
        <f>SUMIF('Eredeti fejléccel'!$B:$B,'Felosztás eredménykim'!$B165,'Eredeti fejléccel'!$BO:$BO)</f>
        <v>0</v>
      </c>
      <c r="DP165" s="6">
        <f>SUMIF('Eredeti fejléccel'!$B:$B,'Felosztás eredménykim'!$B165,'Eredeti fejléccel'!$BP:$BP)</f>
        <v>0</v>
      </c>
      <c r="DQ165" s="6">
        <f>SUMIF('Eredeti fejléccel'!$B:$B,'Felosztás eredménykim'!$B165,'Eredeti fejléccel'!$BQ:$BQ)</f>
        <v>0</v>
      </c>
      <c r="DS165" s="8"/>
      <c r="DU165" s="6">
        <f>SUMIF('Eredeti fejléccel'!$B:$B,'Felosztás eredménykim'!$B165,'Eredeti fejléccel'!$BT:$BT)</f>
        <v>0</v>
      </c>
      <c r="DV165" s="6">
        <f>SUMIF('Eredeti fejléccel'!$B:$B,'Felosztás eredménykim'!$B165,'Eredeti fejléccel'!$BU:$BU)</f>
        <v>0</v>
      </c>
      <c r="DW165" s="6">
        <f>SUMIF('Eredeti fejléccel'!$B:$B,'Felosztás eredménykim'!$B165,'Eredeti fejléccel'!$BV:$BV)</f>
        <v>0</v>
      </c>
      <c r="DX165" s="6">
        <f>SUMIF('Eredeti fejléccel'!$B:$B,'Felosztás eredménykim'!$B165,'Eredeti fejléccel'!$BW:$BW)</f>
        <v>0</v>
      </c>
      <c r="DY165" s="6">
        <f>SUMIF('Eredeti fejléccel'!$B:$B,'Felosztás eredménykim'!$B165,'Eredeti fejléccel'!$BX:$BX)</f>
        <v>0</v>
      </c>
      <c r="EA165" s="6"/>
      <c r="EC165" s="6"/>
      <c r="EE165" s="6">
        <f>SUMIF('Eredeti fejléccel'!$B:$B,'Felosztás eredménykim'!$B165,'Eredeti fejléccel'!$CA:$CA)</f>
        <v>0</v>
      </c>
      <c r="EF165" s="6">
        <f>SUMIF('Eredeti fejléccel'!$B:$B,'Felosztás eredménykim'!$B165,'Eredeti fejléccel'!$CB:$CB)</f>
        <v>0</v>
      </c>
      <c r="EG165" s="6">
        <f>SUMIF('Eredeti fejléccel'!$B:$B,'Felosztás eredménykim'!$B165,'Eredeti fejléccel'!$CC:$CC)</f>
        <v>0</v>
      </c>
      <c r="EH165" s="6">
        <f>SUMIF('Eredeti fejléccel'!$B:$B,'Felosztás eredménykim'!$B165,'Eredeti fejléccel'!$CD:$CD)</f>
        <v>0</v>
      </c>
      <c r="EK165" s="6">
        <f>SUMIF('Eredeti fejléccel'!$B:$B,'Felosztás eredménykim'!$B165,'Eredeti fejléccel'!$CE:$CE)</f>
        <v>0</v>
      </c>
      <c r="EN165" s="6">
        <f>SUMIF('Eredeti fejléccel'!$B:$B,'Felosztás eredménykim'!$B165,'Eredeti fejléccel'!$CF:$CF)</f>
        <v>0</v>
      </c>
      <c r="EP165" s="6">
        <f>SUMIF('Eredeti fejléccel'!$B:$B,'Felosztás eredménykim'!$B165,'Eredeti fejléccel'!$CG:$CG)</f>
        <v>0</v>
      </c>
      <c r="ES165" s="6">
        <f>SUMIF('Eredeti fejléccel'!$B:$B,'Felosztás eredménykim'!$B165,'Eredeti fejléccel'!$CH:$CH)</f>
        <v>0</v>
      </c>
      <c r="ET165" s="6">
        <f>SUMIF('Eredeti fejléccel'!$B:$B,'Felosztás eredménykim'!$B165,'Eredeti fejléccel'!$CI:$CI)</f>
        <v>0</v>
      </c>
      <c r="EW165" s="8">
        <f t="shared" si="288"/>
        <v>0</v>
      </c>
      <c r="EX165" s="8">
        <f t="shared" si="243"/>
        <v>0</v>
      </c>
      <c r="EY165" s="8">
        <f t="shared" si="244"/>
        <v>0</v>
      </c>
      <c r="EZ165" s="8">
        <f t="shared" si="289"/>
        <v>0</v>
      </c>
      <c r="FA165" s="8">
        <f t="shared" si="290"/>
        <v>0</v>
      </c>
      <c r="FC165" s="6">
        <f>SUMIF('Eredeti fejléccel'!$B:$B,'Felosztás eredménykim'!$B165,'Eredeti fejléccel'!$L:$L)</f>
        <v>0</v>
      </c>
      <c r="FD165" s="6">
        <f>SUMIF('Eredeti fejléccel'!$B:$B,'Felosztás eredménykim'!$B165,'Eredeti fejléccel'!$CJ:$CJ)</f>
        <v>0</v>
      </c>
      <c r="FE165" s="6">
        <f>SUMIF('Eredeti fejléccel'!$B:$B,'Felosztás eredménykim'!$B165,'Eredeti fejléccel'!$CL:$CL)</f>
        <v>0</v>
      </c>
      <c r="FG165" s="99">
        <f t="shared" si="245"/>
        <v>0</v>
      </c>
      <c r="FH165" s="6">
        <f>SUMIF('Eredeti fejléccel'!$B:$B,'Felosztás eredménykim'!$B165,'Eredeti fejléccel'!$CK:$CK)</f>
        <v>0</v>
      </c>
      <c r="FI165" s="36">
        <f t="shared" si="228"/>
        <v>0</v>
      </c>
      <c r="FJ165" s="101">
        <f t="shared" si="229"/>
        <v>0</v>
      </c>
      <c r="FK165" s="6">
        <f>SUMIF('Eredeti fejléccel'!$B:$B,'Felosztás eredménykim'!$B165,'Eredeti fejléccel'!$CM:$CM)</f>
        <v>0</v>
      </c>
      <c r="FL165" s="6">
        <f>SUMIF('Eredeti fejléccel'!$B:$B,'Felosztás eredménykim'!$B165,'Eredeti fejléccel'!$CN:$CN)</f>
        <v>0</v>
      </c>
      <c r="FM165" s="8">
        <f t="shared" si="246"/>
        <v>0</v>
      </c>
      <c r="FN165" s="36">
        <f t="shared" si="230"/>
        <v>0</v>
      </c>
      <c r="FO165" s="101">
        <f t="shared" si="231"/>
        <v>0</v>
      </c>
      <c r="FP165" s="6">
        <f>SUMIF('Eredeti fejléccel'!$B:$B,'Felosztás eredménykim'!$B165,'Eredeti fejléccel'!$CO:$CO)</f>
        <v>0</v>
      </c>
      <c r="FQ165" s="6">
        <f>'Eredeti fejléccel'!CP165</f>
        <v>0</v>
      </c>
      <c r="FR165" s="6">
        <f>'Eredeti fejléccel'!CQ165</f>
        <v>0</v>
      </c>
      <c r="FS165" s="103">
        <f t="shared" si="247"/>
        <v>0</v>
      </c>
      <c r="FT165" s="36">
        <f t="shared" si="232"/>
        <v>0</v>
      </c>
      <c r="FU165" s="101">
        <f t="shared" si="233"/>
        <v>0</v>
      </c>
      <c r="FV165" s="101"/>
      <c r="FW165" s="6">
        <f>SUMIF('Eredeti fejléccel'!$B:$B,'Felosztás eredménykim'!$B165,'Eredeti fejléccel'!$CR:$CR)</f>
        <v>0</v>
      </c>
      <c r="FX165" s="6">
        <f>SUMIF('Eredeti fejléccel'!$B:$B,'Felosztás eredménykim'!$B165,'Eredeti fejléccel'!$CS:$CS)</f>
        <v>0</v>
      </c>
      <c r="FY165" s="6">
        <f>SUMIF('Eredeti fejléccel'!$B:$B,'Felosztás eredménykim'!$B165,'Eredeti fejléccel'!$CT:$CT)</f>
        <v>0</v>
      </c>
      <c r="FZ165" s="6">
        <f>SUMIF('Eredeti fejléccel'!$B:$B,'Felosztás eredménykim'!$B165,'Eredeti fejléccel'!$CU:$CU)</f>
        <v>0</v>
      </c>
      <c r="GA165" s="103">
        <f t="shared" si="248"/>
        <v>0</v>
      </c>
      <c r="GB165" s="36">
        <f t="shared" si="234"/>
        <v>0</v>
      </c>
      <c r="GC165" s="101">
        <f t="shared" si="235"/>
        <v>0</v>
      </c>
      <c r="GD165" s="6">
        <f>SUMIF('Eredeti fejléccel'!$B:$B,'Felosztás eredménykim'!$B165,'Eredeti fejléccel'!$CV:$CV)</f>
        <v>0</v>
      </c>
      <c r="GE165" s="6">
        <f>SUMIF('Eredeti fejléccel'!$B:$B,'Felosztás eredménykim'!$B165,'Eredeti fejléccel'!$CW:$CW)</f>
        <v>0</v>
      </c>
      <c r="GF165" s="103">
        <f t="shared" si="249"/>
        <v>0</v>
      </c>
      <c r="GG165" s="36">
        <f t="shared" si="236"/>
        <v>0</v>
      </c>
      <c r="GM165" s="6">
        <f>SUMIF('Eredeti fejléccel'!$B:$B,'Felosztás eredménykim'!$B165,'Eredeti fejléccel'!$CX:$CX)</f>
        <v>0</v>
      </c>
      <c r="GN165" s="6">
        <f>SUMIF('Eredeti fejléccel'!$B:$B,'Felosztás eredménykim'!$B165,'Eredeti fejléccel'!$CY:$CY)</f>
        <v>0</v>
      </c>
      <c r="GO165" s="6">
        <f>SUMIF('Eredeti fejléccel'!$B:$B,'Felosztás eredménykim'!$B165,'Eredeti fejléccel'!$CZ:$CZ)</f>
        <v>0</v>
      </c>
      <c r="GP165" s="6">
        <f>SUMIF('Eredeti fejléccel'!$B:$B,'Felosztás eredménykim'!$B165,'Eredeti fejléccel'!$DA:$DA)</f>
        <v>0</v>
      </c>
      <c r="GQ165" s="6">
        <f>SUMIF('Eredeti fejléccel'!$B:$B,'Felosztás eredménykim'!$B165,'Eredeti fejléccel'!$DB:$DB)</f>
        <v>0</v>
      </c>
      <c r="GR165" s="103">
        <f t="shared" si="250"/>
        <v>0</v>
      </c>
      <c r="GW165" s="36">
        <f t="shared" si="237"/>
        <v>0</v>
      </c>
      <c r="GX165" s="6">
        <f>SUMIF('Eredeti fejléccel'!$B:$B,'Felosztás eredménykim'!$B165,'Eredeti fejléccel'!$M:$M)</f>
        <v>0</v>
      </c>
      <c r="GY165" s="6">
        <f>SUMIF('Eredeti fejléccel'!$B:$B,'Felosztás eredménykim'!$B165,'Eredeti fejléccel'!$DC:$DC)</f>
        <v>0</v>
      </c>
      <c r="GZ165" s="6">
        <f>SUMIF('Eredeti fejléccel'!$B:$B,'Felosztás eredménykim'!$B165,'Eredeti fejléccel'!$DD:$DD)</f>
        <v>0</v>
      </c>
      <c r="HA165" s="6">
        <f>SUMIF('Eredeti fejléccel'!$B:$B,'Felosztás eredménykim'!$B165,'Eredeti fejléccel'!$DE:$DE)</f>
        <v>0</v>
      </c>
      <c r="HB165" s="103">
        <f t="shared" si="251"/>
        <v>0</v>
      </c>
      <c r="HD165" s="9">
        <f t="shared" si="256"/>
        <v>0</v>
      </c>
      <c r="HE165" s="9"/>
      <c r="HF165" s="476"/>
      <c r="HH165" s="34">
        <f t="shared" si="252"/>
        <v>0</v>
      </c>
    </row>
    <row r="166" spans="1:216" x14ac:dyDescent="0.25">
      <c r="A166" s="4" t="s">
        <v>867</v>
      </c>
      <c r="B166" s="4" t="s">
        <v>867</v>
      </c>
      <c r="D166" s="6">
        <f>SUMIF('Eredeti fejléccel'!$B:$B,'Felosztás eredménykim'!$B166,'Eredeti fejléccel'!$D:$D)</f>
        <v>0</v>
      </c>
      <c r="E166" s="6">
        <f>SUMIF('Eredeti fejléccel'!$B:$B,'Felosztás eredménykim'!$B166,'Eredeti fejléccel'!$E:$E)</f>
        <v>0</v>
      </c>
      <c r="F166" s="6">
        <f>SUMIF('Eredeti fejléccel'!$B:$B,'Felosztás eredménykim'!$B166,'Eredeti fejléccel'!$F:$F)</f>
        <v>0</v>
      </c>
      <c r="G166" s="6">
        <f>SUMIF('Eredeti fejléccel'!$B:$B,'Felosztás eredménykim'!$B166,'Eredeti fejléccel'!$G:$G)</f>
        <v>0</v>
      </c>
      <c r="H166" s="6"/>
      <c r="I166" s="6">
        <f>SUMIF('Eredeti fejléccel'!$B:$B,'Felosztás eredménykim'!$B166,'Eredeti fejléccel'!$O:$O)</f>
        <v>0</v>
      </c>
      <c r="J166" s="6">
        <f>SUMIF('Eredeti fejléccel'!$B:$B,'Felosztás eredménykim'!$B166,'Eredeti fejléccel'!$P:$P)</f>
        <v>0</v>
      </c>
      <c r="K166" s="6">
        <f>SUMIF('Eredeti fejléccel'!$B:$B,'Felosztás eredménykim'!$B166,'Eredeti fejléccel'!$Q:$Q)</f>
        <v>0</v>
      </c>
      <c r="L166" s="6">
        <f>SUMIF('Eredeti fejléccel'!$B:$B,'Felosztás eredménykim'!$B166,'Eredeti fejléccel'!$R:$R)</f>
        <v>0</v>
      </c>
      <c r="M166" s="6">
        <f>SUMIF('Eredeti fejléccel'!$B:$B,'Felosztás eredménykim'!$B166,'Eredeti fejléccel'!$T:$T)</f>
        <v>0</v>
      </c>
      <c r="N166" s="6">
        <f>SUMIF('Eredeti fejléccel'!$B:$B,'Felosztás eredménykim'!$B166,'Eredeti fejléccel'!$U:$U)</f>
        <v>0</v>
      </c>
      <c r="O166" s="6">
        <f>SUMIF('Eredeti fejléccel'!$B:$B,'Felosztás eredménykim'!$B166,'Eredeti fejléccel'!$V:$V)</f>
        <v>0</v>
      </c>
      <c r="P166" s="6">
        <f>SUMIF('Eredeti fejléccel'!$B:$B,'Felosztás eredménykim'!$B166,'Eredeti fejléccel'!$W:$W)</f>
        <v>0</v>
      </c>
      <c r="Q166" s="6">
        <f>SUMIF('Eredeti fejléccel'!$B:$B,'Felosztás eredménykim'!$B166,'Eredeti fejléccel'!$X:$X)</f>
        <v>0</v>
      </c>
      <c r="R166" s="6">
        <f>SUMIF('Eredeti fejléccel'!$B:$B,'Felosztás eredménykim'!$B166,'Eredeti fejléccel'!$Y:$Y)</f>
        <v>0</v>
      </c>
      <c r="S166" s="6">
        <f>SUMIF('Eredeti fejléccel'!$B:$B,'Felosztás eredménykim'!$B166,'Eredeti fejléccel'!$Z:$Z)</f>
        <v>0</v>
      </c>
      <c r="T166" s="6">
        <f>SUMIF('Eredeti fejléccel'!$B:$B,'Felosztás eredménykim'!$B166,'Eredeti fejléccel'!$AA:$AA)</f>
        <v>0</v>
      </c>
      <c r="U166" s="6">
        <f>SUMIF('Eredeti fejléccel'!$B:$B,'Felosztás eredménykim'!$B166,'Eredeti fejléccel'!$D:$D)</f>
        <v>0</v>
      </c>
      <c r="V166" s="6">
        <f>SUMIF('Eredeti fejléccel'!$B:$B,'Felosztás eredménykim'!$B166,'Eredeti fejléccel'!$AT:$AT)</f>
        <v>2821021</v>
      </c>
      <c r="W166" s="36">
        <f t="shared" si="302"/>
        <v>-2821021</v>
      </c>
      <c r="X166" s="36">
        <f t="shared" si="211"/>
        <v>0</v>
      </c>
      <c r="Z166" s="6">
        <f>SUMIF('Eredeti fejléccel'!$B:$B,'Felosztás eredménykim'!$B166,'Eredeti fejléccel'!$K:$K)</f>
        <v>0</v>
      </c>
      <c r="AB166" s="6">
        <f>SUMIF('Eredeti fejléccel'!$B:$B,'Felosztás eredménykim'!$B166,'Eredeti fejléccel'!$AB:$AB)</f>
        <v>0</v>
      </c>
      <c r="AC166" s="6">
        <f>SUMIF('Eredeti fejléccel'!$B:$B,'Felosztás eredménykim'!$B166,'Eredeti fejléccel'!$AQ:$AQ)</f>
        <v>0</v>
      </c>
      <c r="AE166" s="73">
        <f t="shared" si="299"/>
        <v>0</v>
      </c>
      <c r="AF166" s="36">
        <f t="shared" ref="AF166:AF169" si="303">$X166/$HD$290*(AG$290+AG$291)</f>
        <v>0</v>
      </c>
      <c r="AG166" s="8">
        <f t="shared" si="213"/>
        <v>0</v>
      </c>
      <c r="AI166" s="6">
        <f>SUMIF('Eredeti fejléccel'!$B:$B,'Felosztás eredménykim'!$B166,'Eredeti fejléccel'!$BB:$BB)</f>
        <v>0</v>
      </c>
      <c r="AJ166" s="6">
        <f>SUMIF('Eredeti fejléccel'!$B:$B,'Felosztás eredménykim'!$B166,'Eredeti fejléccel'!$AF:$AF)</f>
        <v>0</v>
      </c>
      <c r="AK166" s="8">
        <f t="shared" si="177"/>
        <v>0</v>
      </c>
      <c r="AL166" s="36">
        <f t="shared" ref="AL166:AL169" si="304">$X166/$HD$290*(AM$290+AM$291)</f>
        <v>0</v>
      </c>
      <c r="AM166" s="8">
        <f t="shared" si="215"/>
        <v>0</v>
      </c>
      <c r="AN166" s="6">
        <f t="shared" si="291"/>
        <v>0</v>
      </c>
      <c r="AO166" s="6">
        <f>SUMIF('Eredeti fejléccel'!$B:$B,'Felosztás eredménykim'!$B166,'Eredeti fejléccel'!$AC:$AC)</f>
        <v>0</v>
      </c>
      <c r="AP166" s="6">
        <f>SUMIF('Eredeti fejléccel'!$B:$B,'Felosztás eredménykim'!$B166,'Eredeti fejléccel'!$AD:$AD)</f>
        <v>0</v>
      </c>
      <c r="AQ166" s="6">
        <f>SUMIF('Eredeti fejléccel'!$B:$B,'Felosztás eredménykim'!$B166,'Eredeti fejléccel'!$AE:$AE)</f>
        <v>0</v>
      </c>
      <c r="AR166" s="6">
        <f>SUMIF('Eredeti fejléccel'!$B:$B,'Felosztás eredménykim'!$B166,'Eredeti fejléccel'!$AG:$AG)</f>
        <v>0</v>
      </c>
      <c r="AS166" s="6">
        <f t="shared" si="292"/>
        <v>0</v>
      </c>
      <c r="AT166" s="36">
        <f t="shared" ref="AT166:AT169" si="305">$X166/$HD$290*(AU$290+AU$291)</f>
        <v>0</v>
      </c>
      <c r="AU166" s="8">
        <f t="shared" si="217"/>
        <v>0</v>
      </c>
      <c r="AV166" s="6">
        <f>SUMIF('Eredeti fejléccel'!$B:$B,'Felosztás eredménykim'!$B166,'Eredeti fejléccel'!$AI:$AI)</f>
        <v>0</v>
      </c>
      <c r="AW166" s="6">
        <f>SUMIF('Eredeti fejléccel'!$B:$B,'Felosztás eredménykim'!$B166,'Eredeti fejléccel'!$AJ:$AJ)</f>
        <v>0</v>
      </c>
      <c r="AX166" s="6">
        <f>SUMIF('Eredeti fejléccel'!$B:$B,'Felosztás eredménykim'!$B166,'Eredeti fejléccel'!$AK:$AK)</f>
        <v>0</v>
      </c>
      <c r="AY166" s="6">
        <f>SUMIF('Eredeti fejléccel'!$B:$B,'Felosztás eredménykim'!$B166,'Eredeti fejléccel'!$AL:$AL)</f>
        <v>0</v>
      </c>
      <c r="AZ166" s="6">
        <f>SUMIF('Eredeti fejléccel'!$B:$B,'Felosztás eredménykim'!$B166,'Eredeti fejléccel'!$AM:$AM)</f>
        <v>0</v>
      </c>
      <c r="BA166" s="6">
        <f>SUMIF('Eredeti fejléccel'!$B:$B,'Felosztás eredménykim'!$B166,'Eredeti fejléccel'!$AN:$AN)</f>
        <v>0</v>
      </c>
      <c r="BB166" s="6">
        <f>SUMIF('Eredeti fejléccel'!$B:$B,'Felosztás eredménykim'!$B166,'Eredeti fejléccel'!$AP:$AP)</f>
        <v>0</v>
      </c>
      <c r="BD166" s="6">
        <f>SUMIF('Eredeti fejléccel'!$B:$B,'Felosztás eredménykim'!$B166,'Eredeti fejléccel'!$AS:$AS)</f>
        <v>0</v>
      </c>
      <c r="BE166" s="8">
        <f t="shared" si="238"/>
        <v>0</v>
      </c>
      <c r="BF166" s="36">
        <f t="shared" ref="BF166:BF169" si="306">$X166/$HD$290*(BG$290+BG$291)</f>
        <v>0</v>
      </c>
      <c r="BG166" s="8">
        <f t="shared" si="219"/>
        <v>0</v>
      </c>
      <c r="BH166" s="6">
        <f t="shared" si="293"/>
        <v>0</v>
      </c>
      <c r="BI166" s="6">
        <f>SUMIF('Eredeti fejléccel'!$B:$B,'Felosztás eredménykim'!$B166,'Eredeti fejléccel'!$AH:$AH)</f>
        <v>0</v>
      </c>
      <c r="BJ166" s="6">
        <f>SUMIF('Eredeti fejléccel'!$B:$B,'Felosztás eredménykim'!$B166,'Eredeti fejléccel'!$AO:$AO)</f>
        <v>0</v>
      </c>
      <c r="BK166" s="6">
        <f>SUMIF('Eredeti fejléccel'!$B:$B,'Felosztás eredménykim'!$B166,'Eredeti fejléccel'!$BF:$BF)</f>
        <v>0</v>
      </c>
      <c r="BL166" s="8">
        <f t="shared" si="294"/>
        <v>0</v>
      </c>
      <c r="BM166" s="36">
        <f t="shared" ref="BM166:BM169" si="307">$X166/$HD$290*(BN$290+BN$291)</f>
        <v>0</v>
      </c>
      <c r="BN166" s="8">
        <f t="shared" si="221"/>
        <v>0</v>
      </c>
      <c r="BP166" s="8">
        <f t="shared" si="295"/>
        <v>0</v>
      </c>
      <c r="BQ166" s="6">
        <f>SUMIF('Eredeti fejléccel'!$B:$B,'Felosztás eredménykim'!$B166,'Eredeti fejléccel'!$N:$N)</f>
        <v>0</v>
      </c>
      <c r="BR166" s="6">
        <f>SUMIF('Eredeti fejléccel'!$B:$B,'Felosztás eredménykim'!$B166,'Eredeti fejléccel'!$S:$S)</f>
        <v>0</v>
      </c>
      <c r="BT166" s="6">
        <f>SUMIF('Eredeti fejléccel'!$B:$B,'Felosztás eredménykim'!$B166,'Eredeti fejléccel'!$AR:$AR)</f>
        <v>0</v>
      </c>
      <c r="BU166" s="6">
        <f>SUMIF('Eredeti fejléccel'!$B:$B,'Felosztás eredménykim'!$B166,'Eredeti fejléccel'!$AU:$AU)</f>
        <v>0</v>
      </c>
      <c r="BV166" s="6">
        <f>SUMIF('Eredeti fejléccel'!$B:$B,'Felosztás eredménykim'!$B166,'Eredeti fejléccel'!$AV:$AV)</f>
        <v>0</v>
      </c>
      <c r="BW166" s="6">
        <f>SUMIF('Eredeti fejléccel'!$B:$B,'Felosztás eredménykim'!$B166,'Eredeti fejléccel'!$AW:$AW)</f>
        <v>0</v>
      </c>
      <c r="BX166" s="6">
        <f>SUMIF('Eredeti fejléccel'!$B:$B,'Felosztás eredménykim'!$B166,'Eredeti fejléccel'!$AX:$AX)</f>
        <v>0</v>
      </c>
      <c r="BY166" s="6">
        <f>SUMIF('Eredeti fejléccel'!$B:$B,'Felosztás eredménykim'!$B166,'Eredeti fejléccel'!$AY:$AY)</f>
        <v>0</v>
      </c>
      <c r="BZ166" s="6">
        <f>SUMIF('Eredeti fejléccel'!$B:$B,'Felosztás eredménykim'!$B166,'Eredeti fejléccel'!$AZ:$AZ)</f>
        <v>0</v>
      </c>
      <c r="CA166" s="6">
        <f>SUMIF('Eredeti fejléccel'!$B:$B,'Felosztás eredménykim'!$B166,'Eredeti fejléccel'!$BA:$BA)</f>
        <v>0</v>
      </c>
      <c r="CB166" s="6">
        <f t="shared" si="253"/>
        <v>0</v>
      </c>
      <c r="CC166" s="36">
        <f t="shared" ref="CC166:CC169" si="308">$X166/$HD$290*(CD$290+CD$291)</f>
        <v>0</v>
      </c>
      <c r="CD166" s="8">
        <f t="shared" si="223"/>
        <v>0</v>
      </c>
      <c r="CE166" s="6">
        <f>SUMIF('Eredeti fejléccel'!$B:$B,'Felosztás eredménykim'!$B166,'Eredeti fejléccel'!$BC:$BC)</f>
        <v>0</v>
      </c>
      <c r="CF166" s="8">
        <f t="shared" si="300"/>
        <v>0</v>
      </c>
      <c r="CG166" s="6">
        <f>SUMIF('Eredeti fejléccel'!$B:$B,'Felosztás eredménykim'!$B166,'Eredeti fejléccel'!$H:$H)</f>
        <v>0</v>
      </c>
      <c r="CH166" s="6">
        <f>SUMIF('Eredeti fejléccel'!$B:$B,'Felosztás eredménykim'!$B166,'Eredeti fejléccel'!$BE:$BE)</f>
        <v>0</v>
      </c>
      <c r="CI166" s="6">
        <f t="shared" si="239"/>
        <v>0</v>
      </c>
      <c r="CJ166" s="36">
        <f t="shared" ref="CJ166:CJ169" si="309">$X166/$HD$290*(CK$290+CK$291)</f>
        <v>0</v>
      </c>
      <c r="CK166" s="8">
        <f t="shared" si="225"/>
        <v>0</v>
      </c>
      <c r="CL166" s="8">
        <f t="shared" si="301"/>
        <v>0</v>
      </c>
      <c r="CM166" s="6">
        <f>SUMIF('Eredeti fejléccel'!$B:$B,'Felosztás eredménykim'!$B166,'Eredeti fejléccel'!$BD:$BD)</f>
        <v>0</v>
      </c>
      <c r="CN166" s="8">
        <f t="shared" si="240"/>
        <v>0</v>
      </c>
      <c r="CO166" s="8">
        <f t="shared" si="254"/>
        <v>0</v>
      </c>
      <c r="CR166" s="36">
        <f t="shared" si="226"/>
        <v>0</v>
      </c>
      <c r="CS166" s="6">
        <f>SUMIF('Eredeti fejléccel'!$B:$B,'Felosztás eredménykim'!$B166,'Eredeti fejléccel'!$I:$I)</f>
        <v>0</v>
      </c>
      <c r="CT166" s="6">
        <f>SUMIF('Eredeti fejléccel'!$B:$B,'Felosztás eredménykim'!$B166,'Eredeti fejléccel'!$BG:$BG)</f>
        <v>0</v>
      </c>
      <c r="CU166" s="6">
        <f>SUMIF('Eredeti fejléccel'!$B:$B,'Felosztás eredménykim'!$B166,'Eredeti fejléccel'!$BH:$BH)</f>
        <v>0</v>
      </c>
      <c r="CV166" s="6">
        <f>SUMIF('Eredeti fejléccel'!$B:$B,'Felosztás eredménykim'!$B166,'Eredeti fejléccel'!$BI:$BI)</f>
        <v>0</v>
      </c>
      <c r="CW166" s="6">
        <f>SUMIF('Eredeti fejléccel'!$B:$B,'Felosztás eredménykim'!$B166,'Eredeti fejléccel'!$BL:$BL)</f>
        <v>0</v>
      </c>
      <c r="CX166" s="6">
        <f t="shared" si="241"/>
        <v>0</v>
      </c>
      <c r="CY166" s="6">
        <f>SUMIF('Eredeti fejléccel'!$B:$B,'Felosztás eredménykim'!$B166,'Eredeti fejléccel'!$BJ:$BJ)</f>
        <v>0</v>
      </c>
      <c r="CZ166" s="6">
        <f>SUMIF('Eredeti fejléccel'!$B:$B,'Felosztás eredménykim'!$B166,'Eredeti fejléccel'!$BK:$BK)</f>
        <v>0</v>
      </c>
      <c r="DA166" s="99">
        <f t="shared" si="242"/>
        <v>0</v>
      </c>
      <c r="DC166" s="36">
        <f t="shared" si="227"/>
        <v>0</v>
      </c>
      <c r="DD166" s="6">
        <f>SUMIF('Eredeti fejléccel'!$B:$B,'Felosztás eredménykim'!$B166,'Eredeti fejléccel'!$J:$J)</f>
        <v>0</v>
      </c>
      <c r="DE166" s="6">
        <f>SUMIF('Eredeti fejléccel'!$B:$B,'Felosztás eredménykim'!$B166,'Eredeti fejléccel'!$BM:$BM)</f>
        <v>0</v>
      </c>
      <c r="DF166" s="6">
        <f t="shared" si="296"/>
        <v>0</v>
      </c>
      <c r="DG166" s="8">
        <f t="shared" si="255"/>
        <v>0</v>
      </c>
      <c r="DH166" s="8">
        <f t="shared" si="297"/>
        <v>0</v>
      </c>
      <c r="DJ166" s="6">
        <f>SUMIF('Eredeti fejléccel'!$B:$B,'Felosztás eredménykim'!$B166,'Eredeti fejléccel'!$BN:$BN)</f>
        <v>0</v>
      </c>
      <c r="DK166" s="6">
        <f>SUMIF('Eredeti fejléccel'!$B:$B,'Felosztás eredménykim'!$B166,'Eredeti fejléccel'!$BZ:$BZ)</f>
        <v>0</v>
      </c>
      <c r="DL166" s="8">
        <f t="shared" si="298"/>
        <v>0</v>
      </c>
      <c r="DM166" s="6">
        <f>SUMIF('Eredeti fejléccel'!$B:$B,'Felosztás eredménykim'!$B166,'Eredeti fejléccel'!$BR:$BR)</f>
        <v>0</v>
      </c>
      <c r="DN166" s="6">
        <f>SUMIF('Eredeti fejléccel'!$B:$B,'Felosztás eredménykim'!$B166,'Eredeti fejléccel'!$BS:$BS)</f>
        <v>0</v>
      </c>
      <c r="DO166" s="6">
        <f>SUMIF('Eredeti fejléccel'!$B:$B,'Felosztás eredménykim'!$B166,'Eredeti fejléccel'!$BO:$BO)</f>
        <v>0</v>
      </c>
      <c r="DP166" s="6">
        <f>SUMIF('Eredeti fejléccel'!$B:$B,'Felosztás eredménykim'!$B166,'Eredeti fejléccel'!$BP:$BP)</f>
        <v>0</v>
      </c>
      <c r="DQ166" s="6">
        <f>SUMIF('Eredeti fejléccel'!$B:$B,'Felosztás eredménykim'!$B166,'Eredeti fejléccel'!$BQ:$BQ)</f>
        <v>0</v>
      </c>
      <c r="DS166" s="8"/>
      <c r="DU166" s="6">
        <f>SUMIF('Eredeti fejléccel'!$B:$B,'Felosztás eredménykim'!$B166,'Eredeti fejléccel'!$BT:$BT)</f>
        <v>0</v>
      </c>
      <c r="DV166" s="6">
        <f>SUMIF('Eredeti fejléccel'!$B:$B,'Felosztás eredménykim'!$B166,'Eredeti fejléccel'!$BU:$BU)</f>
        <v>0</v>
      </c>
      <c r="DW166" s="6">
        <f>SUMIF('Eredeti fejléccel'!$B:$B,'Felosztás eredménykim'!$B166,'Eredeti fejléccel'!$BV:$BV)</f>
        <v>0</v>
      </c>
      <c r="DX166" s="6">
        <f>SUMIF('Eredeti fejléccel'!$B:$B,'Felosztás eredménykim'!$B166,'Eredeti fejléccel'!$BW:$BW)</f>
        <v>0</v>
      </c>
      <c r="DY166" s="6">
        <f>SUMIF('Eredeti fejléccel'!$B:$B,'Felosztás eredménykim'!$B166,'Eredeti fejléccel'!$BX:$BX)</f>
        <v>0</v>
      </c>
      <c r="EA166" s="6"/>
      <c r="EC166" s="6"/>
      <c r="EE166" s="6">
        <f>SUMIF('Eredeti fejléccel'!$B:$B,'Felosztás eredménykim'!$B166,'Eredeti fejléccel'!$CA:$CA)</f>
        <v>0</v>
      </c>
      <c r="EF166" s="6">
        <f>SUMIF('Eredeti fejléccel'!$B:$B,'Felosztás eredménykim'!$B166,'Eredeti fejléccel'!$CB:$CB)</f>
        <v>0</v>
      </c>
      <c r="EG166" s="6">
        <f>SUMIF('Eredeti fejléccel'!$B:$B,'Felosztás eredménykim'!$B166,'Eredeti fejléccel'!$CC:$CC)</f>
        <v>0</v>
      </c>
      <c r="EH166" s="6">
        <f>SUMIF('Eredeti fejléccel'!$B:$B,'Felosztás eredménykim'!$B166,'Eredeti fejléccel'!$CD:$CD)</f>
        <v>0</v>
      </c>
      <c r="EK166" s="6">
        <f>SUMIF('Eredeti fejléccel'!$B:$B,'Felosztás eredménykim'!$B166,'Eredeti fejléccel'!$CE:$CE)</f>
        <v>0</v>
      </c>
      <c r="EN166" s="6">
        <f>SUMIF('Eredeti fejléccel'!$B:$B,'Felosztás eredménykim'!$B166,'Eredeti fejléccel'!$CF:$CF)</f>
        <v>0</v>
      </c>
      <c r="EP166" s="6">
        <f>SUMIF('Eredeti fejléccel'!$B:$B,'Felosztás eredménykim'!$B166,'Eredeti fejléccel'!$CG:$CG)</f>
        <v>0</v>
      </c>
      <c r="ES166" s="6">
        <f>SUMIF('Eredeti fejléccel'!$B:$B,'Felosztás eredménykim'!$B166,'Eredeti fejléccel'!$CH:$CH)</f>
        <v>0</v>
      </c>
      <c r="ET166" s="6">
        <f>SUMIF('Eredeti fejléccel'!$B:$B,'Felosztás eredménykim'!$B166,'Eredeti fejléccel'!$CI:$CI)</f>
        <v>0</v>
      </c>
      <c r="EW166" s="8">
        <f t="shared" si="288"/>
        <v>0</v>
      </c>
      <c r="EX166" s="8">
        <f t="shared" si="243"/>
        <v>0</v>
      </c>
      <c r="EY166" s="8">
        <f t="shared" si="244"/>
        <v>0</v>
      </c>
      <c r="EZ166" s="8">
        <f t="shared" si="289"/>
        <v>0</v>
      </c>
      <c r="FA166" s="8">
        <f t="shared" si="290"/>
        <v>0</v>
      </c>
      <c r="FC166" s="6">
        <f>SUMIF('Eredeti fejléccel'!$B:$B,'Felosztás eredménykim'!$B166,'Eredeti fejléccel'!$L:$L)</f>
        <v>0</v>
      </c>
      <c r="FD166" s="6">
        <f>SUMIF('Eredeti fejléccel'!$B:$B,'Felosztás eredménykim'!$B166,'Eredeti fejléccel'!$CJ:$CJ)</f>
        <v>0</v>
      </c>
      <c r="FE166" s="6">
        <f>SUMIF('Eredeti fejléccel'!$B:$B,'Felosztás eredménykim'!$B166,'Eredeti fejléccel'!$CL:$CL)</f>
        <v>0</v>
      </c>
      <c r="FG166" s="99">
        <f t="shared" si="245"/>
        <v>0</v>
      </c>
      <c r="FH166" s="6">
        <f>SUMIF('Eredeti fejléccel'!$B:$B,'Felosztás eredménykim'!$B166,'Eredeti fejléccel'!$CK:$CK)</f>
        <v>0</v>
      </c>
      <c r="FI166" s="36">
        <f t="shared" ref="FI166:FI169" si="310">$X166/$HD$290*(FJ$290+FJ$293)</f>
        <v>0</v>
      </c>
      <c r="FJ166" s="101">
        <f t="shared" si="229"/>
        <v>0</v>
      </c>
      <c r="FK166" s="6">
        <f>SUMIF('Eredeti fejléccel'!$B:$B,'Felosztás eredménykim'!$B166,'Eredeti fejléccel'!$CM:$CM)</f>
        <v>0</v>
      </c>
      <c r="FL166" s="6">
        <f>SUMIF('Eredeti fejléccel'!$B:$B,'Felosztás eredménykim'!$B166,'Eredeti fejléccel'!$CN:$CN)</f>
        <v>0</v>
      </c>
      <c r="FM166" s="8">
        <f t="shared" si="246"/>
        <v>0</v>
      </c>
      <c r="FN166" s="36">
        <f t="shared" ref="FN166:FN169" si="311">$X166/$HD$290*(FO$290+FO$293)</f>
        <v>0</v>
      </c>
      <c r="FO166" s="101">
        <f t="shared" si="231"/>
        <v>0</v>
      </c>
      <c r="FP166" s="6">
        <f>SUMIF('Eredeti fejléccel'!$B:$B,'Felosztás eredménykim'!$B166,'Eredeti fejléccel'!$CO:$CO)</f>
        <v>0</v>
      </c>
      <c r="FQ166" s="6">
        <f>'Eredeti fejléccel'!CP166</f>
        <v>0</v>
      </c>
      <c r="FR166" s="6">
        <f>'Eredeti fejléccel'!CQ166</f>
        <v>0</v>
      </c>
      <c r="FS166" s="103">
        <f t="shared" si="247"/>
        <v>0</v>
      </c>
      <c r="FT166" s="36">
        <f t="shared" ref="FT166:FT169" si="312">$X166/$HD$290*(FU$290+FU$293)</f>
        <v>0</v>
      </c>
      <c r="FU166" s="101">
        <f t="shared" si="233"/>
        <v>0</v>
      </c>
      <c r="FV166" s="101"/>
      <c r="FW166" s="6">
        <f>SUMIF('Eredeti fejléccel'!$B:$B,'Felosztás eredménykim'!$B166,'Eredeti fejléccel'!$CR:$CR)</f>
        <v>0</v>
      </c>
      <c r="FX166" s="6">
        <f>SUMIF('Eredeti fejléccel'!$B:$B,'Felosztás eredménykim'!$B166,'Eredeti fejléccel'!$CS:$CS)</f>
        <v>0</v>
      </c>
      <c r="FY166" s="6">
        <f>SUMIF('Eredeti fejléccel'!$B:$B,'Felosztás eredménykim'!$B166,'Eredeti fejléccel'!$CT:$CT)</f>
        <v>0</v>
      </c>
      <c r="FZ166" s="6">
        <f>SUMIF('Eredeti fejléccel'!$B:$B,'Felosztás eredménykim'!$B166,'Eredeti fejléccel'!$CU:$CU)</f>
        <v>0</v>
      </c>
      <c r="GA166" s="103">
        <f t="shared" si="248"/>
        <v>0</v>
      </c>
      <c r="GB166" s="36">
        <f t="shared" ref="GB166:GB169" si="313">$X166/$HD$290*(GC$290+GC$293)</f>
        <v>0</v>
      </c>
      <c r="GC166" s="101">
        <f t="shared" si="235"/>
        <v>0</v>
      </c>
      <c r="GD166" s="6">
        <f>SUMIF('Eredeti fejléccel'!$B:$B,'Felosztás eredménykim'!$B166,'Eredeti fejléccel'!$CV:$CV)</f>
        <v>0</v>
      </c>
      <c r="GE166" s="6">
        <f>SUMIF('Eredeti fejléccel'!$B:$B,'Felosztás eredménykim'!$B166,'Eredeti fejléccel'!$CW:$CW)</f>
        <v>0</v>
      </c>
      <c r="GF166" s="103">
        <f t="shared" si="249"/>
        <v>0</v>
      </c>
      <c r="GG166" s="36">
        <f t="shared" si="236"/>
        <v>0</v>
      </c>
      <c r="GM166" s="6">
        <f>SUMIF('Eredeti fejléccel'!$B:$B,'Felosztás eredménykim'!$B166,'Eredeti fejléccel'!$CX:$CX)</f>
        <v>0</v>
      </c>
      <c r="GN166" s="6">
        <f>SUMIF('Eredeti fejléccel'!$B:$B,'Felosztás eredménykim'!$B166,'Eredeti fejléccel'!$CY:$CY)</f>
        <v>0</v>
      </c>
      <c r="GO166" s="6">
        <f>SUMIF('Eredeti fejléccel'!$B:$B,'Felosztás eredménykim'!$B166,'Eredeti fejléccel'!$CZ:$CZ)</f>
        <v>0</v>
      </c>
      <c r="GP166" s="6">
        <f>SUMIF('Eredeti fejléccel'!$B:$B,'Felosztás eredménykim'!$B166,'Eredeti fejléccel'!$DA:$DA)</f>
        <v>0</v>
      </c>
      <c r="GQ166" s="6">
        <f>SUMIF('Eredeti fejléccel'!$B:$B,'Felosztás eredménykim'!$B166,'Eredeti fejléccel'!$DB:$DB)</f>
        <v>0</v>
      </c>
      <c r="GR166" s="103">
        <f t="shared" si="250"/>
        <v>0</v>
      </c>
      <c r="GW166" s="36">
        <f t="shared" si="237"/>
        <v>0</v>
      </c>
      <c r="GX166" s="6">
        <f>SUMIF('Eredeti fejléccel'!$B:$B,'Felosztás eredménykim'!$B166,'Eredeti fejléccel'!$M:$M)</f>
        <v>0</v>
      </c>
      <c r="GY166" s="6">
        <f>SUMIF('Eredeti fejléccel'!$B:$B,'Felosztás eredménykim'!$B166,'Eredeti fejléccel'!$DC:$DC)</f>
        <v>0</v>
      </c>
      <c r="GZ166" s="6">
        <f>SUMIF('Eredeti fejléccel'!$B:$B,'Felosztás eredménykim'!$B166,'Eredeti fejléccel'!$DD:$DD)</f>
        <v>0</v>
      </c>
      <c r="HA166" s="6">
        <f>SUMIF('Eredeti fejléccel'!$B:$B,'Felosztás eredménykim'!$B166,'Eredeti fejléccel'!$DE:$DE)</f>
        <v>0</v>
      </c>
      <c r="HB166" s="103">
        <f t="shared" si="251"/>
        <v>0</v>
      </c>
      <c r="HD166" s="9">
        <f t="shared" si="256"/>
        <v>2821021</v>
      </c>
      <c r="HE166" s="9">
        <v>2821021</v>
      </c>
      <c r="HF166" s="476"/>
      <c r="HH166" s="34">
        <f t="shared" si="252"/>
        <v>0</v>
      </c>
    </row>
    <row r="167" spans="1:216" x14ac:dyDescent="0.25">
      <c r="A167" s="4" t="s">
        <v>868</v>
      </c>
      <c r="B167" s="4" t="s">
        <v>868</v>
      </c>
      <c r="D167" s="6">
        <f>SUMIF('Eredeti fejléccel'!$B:$B,'Felosztás eredménykim'!$B167,'Eredeti fejléccel'!$D:$D)</f>
        <v>0</v>
      </c>
      <c r="E167" s="6">
        <f>SUMIF('Eredeti fejléccel'!$B:$B,'Felosztás eredménykim'!$B167,'Eredeti fejléccel'!$E:$E)</f>
        <v>0</v>
      </c>
      <c r="F167" s="6">
        <f>SUMIF('Eredeti fejléccel'!$B:$B,'Felosztás eredménykim'!$B167,'Eredeti fejléccel'!$F:$F)</f>
        <v>0</v>
      </c>
      <c r="G167" s="6">
        <f>SUMIF('Eredeti fejléccel'!$B:$B,'Felosztás eredménykim'!$B167,'Eredeti fejléccel'!$G:$G)</f>
        <v>0</v>
      </c>
      <c r="H167" s="6"/>
      <c r="I167" s="6">
        <f>SUMIF('Eredeti fejléccel'!$B:$B,'Felosztás eredménykim'!$B167,'Eredeti fejléccel'!$O:$O)</f>
        <v>0</v>
      </c>
      <c r="J167" s="6">
        <f>SUMIF('Eredeti fejléccel'!$B:$B,'Felosztás eredménykim'!$B167,'Eredeti fejléccel'!$P:$P)</f>
        <v>0</v>
      </c>
      <c r="K167" s="6">
        <f>SUMIF('Eredeti fejléccel'!$B:$B,'Felosztás eredménykim'!$B167,'Eredeti fejléccel'!$Q:$Q)</f>
        <v>0</v>
      </c>
      <c r="L167" s="6">
        <f>SUMIF('Eredeti fejléccel'!$B:$B,'Felosztás eredménykim'!$B167,'Eredeti fejléccel'!$R:$R)</f>
        <v>0</v>
      </c>
      <c r="M167" s="6">
        <f>SUMIF('Eredeti fejléccel'!$B:$B,'Felosztás eredménykim'!$B167,'Eredeti fejléccel'!$T:$T)</f>
        <v>0</v>
      </c>
      <c r="N167" s="6">
        <f>SUMIF('Eredeti fejléccel'!$B:$B,'Felosztás eredménykim'!$B167,'Eredeti fejléccel'!$U:$U)</f>
        <v>0</v>
      </c>
      <c r="O167" s="6">
        <f>SUMIF('Eredeti fejléccel'!$B:$B,'Felosztás eredménykim'!$B167,'Eredeti fejléccel'!$V:$V)</f>
        <v>0</v>
      </c>
      <c r="P167" s="6">
        <f>SUMIF('Eredeti fejléccel'!$B:$B,'Felosztás eredménykim'!$B167,'Eredeti fejléccel'!$W:$W)</f>
        <v>0</v>
      </c>
      <c r="Q167" s="6">
        <f>SUMIF('Eredeti fejléccel'!$B:$B,'Felosztás eredménykim'!$B167,'Eredeti fejléccel'!$X:$X)</f>
        <v>0</v>
      </c>
      <c r="R167" s="6">
        <f>SUMIF('Eredeti fejléccel'!$B:$B,'Felosztás eredménykim'!$B167,'Eredeti fejléccel'!$Y:$Y)</f>
        <v>0</v>
      </c>
      <c r="S167" s="6">
        <f>SUMIF('Eredeti fejléccel'!$B:$B,'Felosztás eredménykim'!$B167,'Eredeti fejléccel'!$Z:$Z)</f>
        <v>0</v>
      </c>
      <c r="T167" s="6">
        <f>SUMIF('Eredeti fejléccel'!$B:$B,'Felosztás eredménykim'!$B167,'Eredeti fejléccel'!$AA:$AA)</f>
        <v>0</v>
      </c>
      <c r="U167" s="6">
        <f>SUMIF('Eredeti fejléccel'!$B:$B,'Felosztás eredménykim'!$B167,'Eredeti fejléccel'!$D:$D)</f>
        <v>0</v>
      </c>
      <c r="V167" s="6">
        <f>SUMIF('Eredeti fejléccel'!$B:$B,'Felosztás eredménykim'!$B167,'Eredeti fejléccel'!$AT:$AT)</f>
        <v>0</v>
      </c>
      <c r="W167" s="36">
        <f t="shared" si="302"/>
        <v>0</v>
      </c>
      <c r="X167" s="36">
        <f t="shared" si="211"/>
        <v>0</v>
      </c>
      <c r="Z167" s="6">
        <f>SUMIF('Eredeti fejléccel'!$B:$B,'Felosztás eredménykim'!$B167,'Eredeti fejléccel'!$K:$K)</f>
        <v>0</v>
      </c>
      <c r="AB167" s="6">
        <f>SUMIF('Eredeti fejléccel'!$B:$B,'Felosztás eredménykim'!$B167,'Eredeti fejléccel'!$AB:$AB)</f>
        <v>0</v>
      </c>
      <c r="AC167" s="6">
        <f>SUMIF('Eredeti fejléccel'!$B:$B,'Felosztás eredménykim'!$B167,'Eredeti fejléccel'!$AQ:$AQ)</f>
        <v>0</v>
      </c>
      <c r="AE167" s="73">
        <f t="shared" si="299"/>
        <v>0</v>
      </c>
      <c r="AF167" s="36">
        <f t="shared" si="303"/>
        <v>0</v>
      </c>
      <c r="AG167" s="8">
        <f t="shared" si="213"/>
        <v>0</v>
      </c>
      <c r="AI167" s="6">
        <f>SUMIF('Eredeti fejléccel'!$B:$B,'Felosztás eredménykim'!$B167,'Eredeti fejléccel'!$BB:$BB)</f>
        <v>0</v>
      </c>
      <c r="AJ167" s="6">
        <f>SUMIF('Eredeti fejléccel'!$B:$B,'Felosztás eredménykim'!$B167,'Eredeti fejléccel'!$AF:$AF)</f>
        <v>0</v>
      </c>
      <c r="AK167" s="8">
        <f t="shared" si="177"/>
        <v>0</v>
      </c>
      <c r="AL167" s="36">
        <f t="shared" si="304"/>
        <v>0</v>
      </c>
      <c r="AM167" s="8">
        <f t="shared" si="215"/>
        <v>0</v>
      </c>
      <c r="AN167" s="6">
        <f t="shared" si="291"/>
        <v>0</v>
      </c>
      <c r="AO167" s="6">
        <f>SUMIF('Eredeti fejléccel'!$B:$B,'Felosztás eredménykim'!$B167,'Eredeti fejléccel'!$AC:$AC)</f>
        <v>0</v>
      </c>
      <c r="AP167" s="6">
        <f>SUMIF('Eredeti fejléccel'!$B:$B,'Felosztás eredménykim'!$B167,'Eredeti fejléccel'!$AD:$AD)</f>
        <v>0</v>
      </c>
      <c r="AQ167" s="6">
        <f>SUMIF('Eredeti fejléccel'!$B:$B,'Felosztás eredménykim'!$B167,'Eredeti fejléccel'!$AE:$AE)</f>
        <v>0</v>
      </c>
      <c r="AR167" s="6">
        <f>SUMIF('Eredeti fejléccel'!$B:$B,'Felosztás eredménykim'!$B167,'Eredeti fejléccel'!$AG:$AG)</f>
        <v>0</v>
      </c>
      <c r="AS167" s="6">
        <f t="shared" si="292"/>
        <v>0</v>
      </c>
      <c r="AT167" s="36">
        <f t="shared" si="305"/>
        <v>0</v>
      </c>
      <c r="AU167" s="8">
        <f t="shared" si="217"/>
        <v>0</v>
      </c>
      <c r="AV167" s="6">
        <f>SUMIF('Eredeti fejléccel'!$B:$B,'Felosztás eredménykim'!$B167,'Eredeti fejléccel'!$AI:$AI)</f>
        <v>0</v>
      </c>
      <c r="AW167" s="6">
        <f>SUMIF('Eredeti fejléccel'!$B:$B,'Felosztás eredménykim'!$B167,'Eredeti fejléccel'!$AJ:$AJ)</f>
        <v>0</v>
      </c>
      <c r="AX167" s="6">
        <f>SUMIF('Eredeti fejléccel'!$B:$B,'Felosztás eredménykim'!$B167,'Eredeti fejléccel'!$AK:$AK)</f>
        <v>0</v>
      </c>
      <c r="AY167" s="6">
        <f>SUMIF('Eredeti fejléccel'!$B:$B,'Felosztás eredménykim'!$B167,'Eredeti fejléccel'!$AL:$AL)</f>
        <v>0</v>
      </c>
      <c r="AZ167" s="6">
        <f>SUMIF('Eredeti fejléccel'!$B:$B,'Felosztás eredménykim'!$B167,'Eredeti fejléccel'!$AM:$AM)</f>
        <v>0</v>
      </c>
      <c r="BA167" s="6">
        <f>SUMIF('Eredeti fejléccel'!$B:$B,'Felosztás eredménykim'!$B167,'Eredeti fejléccel'!$AN:$AN)</f>
        <v>0</v>
      </c>
      <c r="BB167" s="6">
        <f>SUMIF('Eredeti fejléccel'!$B:$B,'Felosztás eredménykim'!$B167,'Eredeti fejléccel'!$AP:$AP)</f>
        <v>0</v>
      </c>
      <c r="BD167" s="6">
        <f>SUMIF('Eredeti fejléccel'!$B:$B,'Felosztás eredménykim'!$B167,'Eredeti fejléccel'!$AS:$AS)</f>
        <v>0</v>
      </c>
      <c r="BE167" s="8">
        <f t="shared" si="238"/>
        <v>0</v>
      </c>
      <c r="BF167" s="36">
        <f t="shared" si="306"/>
        <v>0</v>
      </c>
      <c r="BG167" s="8">
        <f t="shared" si="219"/>
        <v>0</v>
      </c>
      <c r="BH167" s="6">
        <f t="shared" si="293"/>
        <v>0</v>
      </c>
      <c r="BI167" s="6">
        <f>SUMIF('Eredeti fejléccel'!$B:$B,'Felosztás eredménykim'!$B167,'Eredeti fejléccel'!$AH:$AH)</f>
        <v>0</v>
      </c>
      <c r="BJ167" s="6">
        <f>SUMIF('Eredeti fejléccel'!$B:$B,'Felosztás eredménykim'!$B167,'Eredeti fejléccel'!$AO:$AO)</f>
        <v>0</v>
      </c>
      <c r="BK167" s="6">
        <f>SUMIF('Eredeti fejléccel'!$B:$B,'Felosztás eredménykim'!$B167,'Eredeti fejléccel'!$BF:$BF)</f>
        <v>0</v>
      </c>
      <c r="BL167" s="8">
        <f t="shared" si="294"/>
        <v>0</v>
      </c>
      <c r="BM167" s="36">
        <f t="shared" si="307"/>
        <v>0</v>
      </c>
      <c r="BN167" s="8">
        <f t="shared" si="221"/>
        <v>0</v>
      </c>
      <c r="BP167" s="8">
        <f t="shared" si="295"/>
        <v>0</v>
      </c>
      <c r="BQ167" s="6">
        <f>SUMIF('Eredeti fejléccel'!$B:$B,'Felosztás eredménykim'!$B167,'Eredeti fejléccel'!$N:$N)</f>
        <v>0</v>
      </c>
      <c r="BR167" s="6">
        <f>SUMIF('Eredeti fejléccel'!$B:$B,'Felosztás eredménykim'!$B167,'Eredeti fejléccel'!$S:$S)</f>
        <v>0</v>
      </c>
      <c r="BT167" s="6">
        <f>SUMIF('Eredeti fejléccel'!$B:$B,'Felosztás eredménykim'!$B167,'Eredeti fejléccel'!$AR:$AR)</f>
        <v>0</v>
      </c>
      <c r="BU167" s="6">
        <f>SUMIF('Eredeti fejléccel'!$B:$B,'Felosztás eredménykim'!$B167,'Eredeti fejléccel'!$AU:$AU)</f>
        <v>0</v>
      </c>
      <c r="BV167" s="6">
        <f>SUMIF('Eredeti fejléccel'!$B:$B,'Felosztás eredménykim'!$B167,'Eredeti fejléccel'!$AV:$AV)</f>
        <v>0</v>
      </c>
      <c r="BW167" s="6">
        <f>SUMIF('Eredeti fejléccel'!$B:$B,'Felosztás eredménykim'!$B167,'Eredeti fejléccel'!$AW:$AW)</f>
        <v>0</v>
      </c>
      <c r="BX167" s="6">
        <f>SUMIF('Eredeti fejléccel'!$B:$B,'Felosztás eredménykim'!$B167,'Eredeti fejléccel'!$AX:$AX)</f>
        <v>0</v>
      </c>
      <c r="BY167" s="6">
        <f>SUMIF('Eredeti fejléccel'!$B:$B,'Felosztás eredménykim'!$B167,'Eredeti fejléccel'!$AY:$AY)</f>
        <v>0</v>
      </c>
      <c r="BZ167" s="6">
        <f>SUMIF('Eredeti fejléccel'!$B:$B,'Felosztás eredménykim'!$B167,'Eredeti fejléccel'!$AZ:$AZ)</f>
        <v>0</v>
      </c>
      <c r="CA167" s="6">
        <f>SUMIF('Eredeti fejléccel'!$B:$B,'Felosztás eredménykim'!$B167,'Eredeti fejléccel'!$BA:$BA)</f>
        <v>0</v>
      </c>
      <c r="CB167" s="6">
        <f t="shared" si="253"/>
        <v>0</v>
      </c>
      <c r="CC167" s="36">
        <f t="shared" si="308"/>
        <v>0</v>
      </c>
      <c r="CD167" s="8">
        <f t="shared" si="223"/>
        <v>0</v>
      </c>
      <c r="CE167" s="6">
        <f>SUMIF('Eredeti fejléccel'!$B:$B,'Felosztás eredménykim'!$B167,'Eredeti fejléccel'!$BC:$BC)</f>
        <v>0</v>
      </c>
      <c r="CF167" s="8">
        <f t="shared" si="300"/>
        <v>0</v>
      </c>
      <c r="CG167" s="6">
        <f>SUMIF('Eredeti fejléccel'!$B:$B,'Felosztás eredménykim'!$B167,'Eredeti fejléccel'!$H:$H)</f>
        <v>0</v>
      </c>
      <c r="CH167" s="6">
        <f>SUMIF('Eredeti fejléccel'!$B:$B,'Felosztás eredménykim'!$B167,'Eredeti fejléccel'!$BE:$BE)</f>
        <v>0</v>
      </c>
      <c r="CI167" s="6">
        <f t="shared" si="239"/>
        <v>0</v>
      </c>
      <c r="CJ167" s="36">
        <f t="shared" si="309"/>
        <v>0</v>
      </c>
      <c r="CK167" s="8">
        <f t="shared" si="225"/>
        <v>0</v>
      </c>
      <c r="CL167" s="8">
        <f t="shared" si="301"/>
        <v>0</v>
      </c>
      <c r="CM167" s="6">
        <f>SUMIF('Eredeti fejléccel'!$B:$B,'Felosztás eredménykim'!$B167,'Eredeti fejléccel'!$BD:$BD)</f>
        <v>0</v>
      </c>
      <c r="CN167" s="8">
        <f t="shared" si="240"/>
        <v>0</v>
      </c>
      <c r="CO167" s="8">
        <f t="shared" si="254"/>
        <v>0</v>
      </c>
      <c r="CR167" s="36">
        <f t="shared" si="226"/>
        <v>0</v>
      </c>
      <c r="CS167" s="6">
        <f>SUMIF('Eredeti fejléccel'!$B:$B,'Felosztás eredménykim'!$B167,'Eredeti fejléccel'!$I:$I)</f>
        <v>0</v>
      </c>
      <c r="CT167" s="6">
        <f>SUMIF('Eredeti fejléccel'!$B:$B,'Felosztás eredménykim'!$B167,'Eredeti fejléccel'!$BG:$BG)</f>
        <v>0</v>
      </c>
      <c r="CU167" s="6">
        <f>SUMIF('Eredeti fejléccel'!$B:$B,'Felosztás eredménykim'!$B167,'Eredeti fejléccel'!$BH:$BH)</f>
        <v>0</v>
      </c>
      <c r="CV167" s="6">
        <f>SUMIF('Eredeti fejléccel'!$B:$B,'Felosztás eredménykim'!$B167,'Eredeti fejléccel'!$BI:$BI)</f>
        <v>0</v>
      </c>
      <c r="CW167" s="6">
        <f>SUMIF('Eredeti fejléccel'!$B:$B,'Felosztás eredménykim'!$B167,'Eredeti fejléccel'!$BL:$BL)</f>
        <v>0</v>
      </c>
      <c r="CX167" s="6">
        <f t="shared" si="241"/>
        <v>0</v>
      </c>
      <c r="CY167" s="6">
        <f>SUMIF('Eredeti fejléccel'!$B:$B,'Felosztás eredménykim'!$B167,'Eredeti fejléccel'!$BJ:$BJ)</f>
        <v>0</v>
      </c>
      <c r="CZ167" s="6">
        <f>SUMIF('Eredeti fejléccel'!$B:$B,'Felosztás eredménykim'!$B167,'Eredeti fejléccel'!$BK:$BK)</f>
        <v>0</v>
      </c>
      <c r="DA167" s="99">
        <f t="shared" si="242"/>
        <v>0</v>
      </c>
      <c r="DC167" s="36">
        <f t="shared" si="227"/>
        <v>0</v>
      </c>
      <c r="DD167" s="6">
        <f>SUMIF('Eredeti fejléccel'!$B:$B,'Felosztás eredménykim'!$B167,'Eredeti fejléccel'!$J:$J)</f>
        <v>0</v>
      </c>
      <c r="DE167" s="6">
        <f>SUMIF('Eredeti fejléccel'!$B:$B,'Felosztás eredménykim'!$B167,'Eredeti fejléccel'!$BM:$BM)</f>
        <v>0</v>
      </c>
      <c r="DF167" s="6">
        <f t="shared" si="296"/>
        <v>0</v>
      </c>
      <c r="DG167" s="8">
        <f t="shared" si="255"/>
        <v>0</v>
      </c>
      <c r="DH167" s="8">
        <f t="shared" si="297"/>
        <v>0</v>
      </c>
      <c r="DJ167" s="6">
        <f>SUMIF('Eredeti fejléccel'!$B:$B,'Felosztás eredménykim'!$B167,'Eredeti fejléccel'!$BN:$BN)</f>
        <v>0</v>
      </c>
      <c r="DK167" s="6">
        <f>SUMIF('Eredeti fejléccel'!$B:$B,'Felosztás eredménykim'!$B167,'Eredeti fejléccel'!$BZ:$BZ)</f>
        <v>0</v>
      </c>
      <c r="DL167" s="8">
        <f t="shared" si="298"/>
        <v>0</v>
      </c>
      <c r="DM167" s="6">
        <f>SUMIF('Eredeti fejléccel'!$B:$B,'Felosztás eredménykim'!$B167,'Eredeti fejléccel'!$BR:$BR)</f>
        <v>0</v>
      </c>
      <c r="DN167" s="6">
        <f>SUMIF('Eredeti fejléccel'!$B:$B,'Felosztás eredménykim'!$B167,'Eredeti fejléccel'!$BS:$BS)</f>
        <v>0</v>
      </c>
      <c r="DO167" s="6">
        <f>SUMIF('Eredeti fejléccel'!$B:$B,'Felosztás eredménykim'!$B167,'Eredeti fejléccel'!$BO:$BO)</f>
        <v>0</v>
      </c>
      <c r="DP167" s="6">
        <f>SUMIF('Eredeti fejléccel'!$B:$B,'Felosztás eredménykim'!$B167,'Eredeti fejléccel'!$BP:$BP)</f>
        <v>0</v>
      </c>
      <c r="DQ167" s="6">
        <f>SUMIF('Eredeti fejléccel'!$B:$B,'Felosztás eredménykim'!$B167,'Eredeti fejléccel'!$BQ:$BQ)</f>
        <v>0</v>
      </c>
      <c r="DS167" s="8"/>
      <c r="DU167" s="6">
        <f>SUMIF('Eredeti fejléccel'!$B:$B,'Felosztás eredménykim'!$B167,'Eredeti fejléccel'!$BT:$BT)</f>
        <v>0</v>
      </c>
      <c r="DV167" s="6">
        <f>SUMIF('Eredeti fejléccel'!$B:$B,'Felosztás eredménykim'!$B167,'Eredeti fejléccel'!$BU:$BU)</f>
        <v>0</v>
      </c>
      <c r="DW167" s="6">
        <f>SUMIF('Eredeti fejléccel'!$B:$B,'Felosztás eredménykim'!$B167,'Eredeti fejléccel'!$BV:$BV)</f>
        <v>0</v>
      </c>
      <c r="DX167" s="6">
        <f>SUMIF('Eredeti fejléccel'!$B:$B,'Felosztás eredménykim'!$B167,'Eredeti fejléccel'!$BW:$BW)</f>
        <v>0</v>
      </c>
      <c r="DY167" s="6">
        <f>SUMIF('Eredeti fejléccel'!$B:$B,'Felosztás eredménykim'!$B167,'Eredeti fejléccel'!$BX:$BX)</f>
        <v>0</v>
      </c>
      <c r="EA167" s="6"/>
      <c r="EC167" s="6"/>
      <c r="EE167" s="6">
        <f>SUMIF('Eredeti fejléccel'!$B:$B,'Felosztás eredménykim'!$B167,'Eredeti fejléccel'!$CA:$CA)</f>
        <v>0</v>
      </c>
      <c r="EF167" s="6">
        <f>SUMIF('Eredeti fejléccel'!$B:$B,'Felosztás eredménykim'!$B167,'Eredeti fejléccel'!$CB:$CB)</f>
        <v>0</v>
      </c>
      <c r="EG167" s="6">
        <f>SUMIF('Eredeti fejléccel'!$B:$B,'Felosztás eredménykim'!$B167,'Eredeti fejléccel'!$CC:$CC)</f>
        <v>0</v>
      </c>
      <c r="EH167" s="6">
        <f>SUMIF('Eredeti fejléccel'!$B:$B,'Felosztás eredménykim'!$B167,'Eredeti fejléccel'!$CD:$CD)</f>
        <v>0</v>
      </c>
      <c r="EK167" s="6">
        <f>SUMIF('Eredeti fejléccel'!$B:$B,'Felosztás eredménykim'!$B167,'Eredeti fejléccel'!$CE:$CE)</f>
        <v>0</v>
      </c>
      <c r="EN167" s="6">
        <f>SUMIF('Eredeti fejléccel'!$B:$B,'Felosztás eredménykim'!$B167,'Eredeti fejléccel'!$CF:$CF)</f>
        <v>0</v>
      </c>
      <c r="EP167" s="6">
        <f>SUMIF('Eredeti fejléccel'!$B:$B,'Felosztás eredménykim'!$B167,'Eredeti fejléccel'!$CG:$CG)</f>
        <v>0</v>
      </c>
      <c r="ES167" s="6">
        <f>SUMIF('Eredeti fejléccel'!$B:$B,'Felosztás eredménykim'!$B167,'Eredeti fejléccel'!$CH:$CH)</f>
        <v>0</v>
      </c>
      <c r="ET167" s="6">
        <f>SUMIF('Eredeti fejléccel'!$B:$B,'Felosztás eredménykim'!$B167,'Eredeti fejléccel'!$CI:$CI)</f>
        <v>0</v>
      </c>
      <c r="EW167" s="8">
        <f t="shared" si="288"/>
        <v>0</v>
      </c>
      <c r="EX167" s="8">
        <f t="shared" si="243"/>
        <v>0</v>
      </c>
      <c r="EY167" s="8">
        <f t="shared" si="244"/>
        <v>0</v>
      </c>
      <c r="EZ167" s="8">
        <f t="shared" si="289"/>
        <v>0</v>
      </c>
      <c r="FA167" s="8">
        <f t="shared" si="290"/>
        <v>0</v>
      </c>
      <c r="FC167" s="6">
        <f>SUMIF('Eredeti fejléccel'!$B:$B,'Felosztás eredménykim'!$B167,'Eredeti fejléccel'!$L:$L)</f>
        <v>0</v>
      </c>
      <c r="FD167" s="6">
        <f>SUMIF('Eredeti fejléccel'!$B:$B,'Felosztás eredménykim'!$B167,'Eredeti fejléccel'!$CJ:$CJ)</f>
        <v>0</v>
      </c>
      <c r="FE167" s="6">
        <f>SUMIF('Eredeti fejléccel'!$B:$B,'Felosztás eredménykim'!$B167,'Eredeti fejléccel'!$CL:$CL)</f>
        <v>0</v>
      </c>
      <c r="FG167" s="99">
        <f t="shared" si="245"/>
        <v>0</v>
      </c>
      <c r="FH167" s="6">
        <f>SUMIF('Eredeti fejléccel'!$B:$B,'Felosztás eredménykim'!$B167,'Eredeti fejléccel'!$CK:$CK)</f>
        <v>0</v>
      </c>
      <c r="FI167" s="36">
        <f t="shared" si="310"/>
        <v>0</v>
      </c>
      <c r="FJ167" s="101">
        <f t="shared" si="229"/>
        <v>0</v>
      </c>
      <c r="FK167" s="6">
        <f>SUMIF('Eredeti fejléccel'!$B:$B,'Felosztás eredménykim'!$B167,'Eredeti fejléccel'!$CM:$CM)</f>
        <v>0</v>
      </c>
      <c r="FL167" s="6">
        <f>SUMIF('Eredeti fejléccel'!$B:$B,'Felosztás eredménykim'!$B167,'Eredeti fejléccel'!$CN:$CN)</f>
        <v>0</v>
      </c>
      <c r="FM167" s="8">
        <f t="shared" si="246"/>
        <v>0</v>
      </c>
      <c r="FN167" s="36">
        <f t="shared" si="311"/>
        <v>0</v>
      </c>
      <c r="FO167" s="101">
        <f t="shared" si="231"/>
        <v>0</v>
      </c>
      <c r="FP167" s="6">
        <f>SUMIF('Eredeti fejléccel'!$B:$B,'Felosztás eredménykim'!$B167,'Eredeti fejléccel'!$CO:$CO)</f>
        <v>0</v>
      </c>
      <c r="FQ167" s="6">
        <f>'Eredeti fejléccel'!CP167</f>
        <v>0</v>
      </c>
      <c r="FR167" s="6">
        <f>'Eredeti fejléccel'!CQ167</f>
        <v>0</v>
      </c>
      <c r="FS167" s="103">
        <f t="shared" si="247"/>
        <v>0</v>
      </c>
      <c r="FT167" s="36">
        <f t="shared" si="312"/>
        <v>0</v>
      </c>
      <c r="FU167" s="101">
        <f t="shared" si="233"/>
        <v>0</v>
      </c>
      <c r="FV167" s="101"/>
      <c r="FW167" s="6">
        <f>SUMIF('Eredeti fejléccel'!$B:$B,'Felosztás eredménykim'!$B167,'Eredeti fejléccel'!$CR:$CR)</f>
        <v>0</v>
      </c>
      <c r="FX167" s="6">
        <f>SUMIF('Eredeti fejléccel'!$B:$B,'Felosztás eredménykim'!$B167,'Eredeti fejléccel'!$CS:$CS)</f>
        <v>0</v>
      </c>
      <c r="FY167" s="6">
        <f>SUMIF('Eredeti fejléccel'!$B:$B,'Felosztás eredménykim'!$B167,'Eredeti fejléccel'!$CT:$CT)</f>
        <v>0</v>
      </c>
      <c r="FZ167" s="6">
        <f>SUMIF('Eredeti fejléccel'!$B:$B,'Felosztás eredménykim'!$B167,'Eredeti fejléccel'!$CU:$CU)</f>
        <v>0</v>
      </c>
      <c r="GA167" s="103">
        <f t="shared" si="248"/>
        <v>0</v>
      </c>
      <c r="GB167" s="36">
        <f t="shared" si="313"/>
        <v>0</v>
      </c>
      <c r="GC167" s="101">
        <f t="shared" si="235"/>
        <v>0</v>
      </c>
      <c r="GD167" s="6">
        <f>SUMIF('Eredeti fejléccel'!$B:$B,'Felosztás eredménykim'!$B167,'Eredeti fejléccel'!$CV:$CV)</f>
        <v>0</v>
      </c>
      <c r="GE167" s="6">
        <f>SUMIF('Eredeti fejléccel'!$B:$B,'Felosztás eredménykim'!$B167,'Eredeti fejléccel'!$CW:$CW)</f>
        <v>0</v>
      </c>
      <c r="GF167" s="103">
        <f t="shared" si="249"/>
        <v>0</v>
      </c>
      <c r="GG167" s="36">
        <f t="shared" si="236"/>
        <v>0</v>
      </c>
      <c r="GM167" s="6">
        <f>SUMIF('Eredeti fejléccel'!$B:$B,'Felosztás eredménykim'!$B167,'Eredeti fejléccel'!$CX:$CX)</f>
        <v>0</v>
      </c>
      <c r="GN167" s="6">
        <f>SUMIF('Eredeti fejléccel'!$B:$B,'Felosztás eredménykim'!$B167,'Eredeti fejléccel'!$CY:$CY)</f>
        <v>0</v>
      </c>
      <c r="GO167" s="6">
        <f>SUMIF('Eredeti fejléccel'!$B:$B,'Felosztás eredménykim'!$B167,'Eredeti fejléccel'!$CZ:$CZ)</f>
        <v>0</v>
      </c>
      <c r="GP167" s="6">
        <f>SUMIF('Eredeti fejléccel'!$B:$B,'Felosztás eredménykim'!$B167,'Eredeti fejléccel'!$DA:$DA)</f>
        <v>0</v>
      </c>
      <c r="GQ167" s="6">
        <f>SUMIF('Eredeti fejléccel'!$B:$B,'Felosztás eredménykim'!$B167,'Eredeti fejléccel'!$DB:$DB)</f>
        <v>0</v>
      </c>
      <c r="GR167" s="103">
        <f t="shared" si="250"/>
        <v>0</v>
      </c>
      <c r="GW167" s="36">
        <f t="shared" si="237"/>
        <v>0</v>
      </c>
      <c r="GX167" s="6">
        <f>SUMIF('Eredeti fejléccel'!$B:$B,'Felosztás eredménykim'!$B167,'Eredeti fejléccel'!$M:$M)</f>
        <v>0</v>
      </c>
      <c r="GY167" s="6">
        <f>SUMIF('Eredeti fejléccel'!$B:$B,'Felosztás eredménykim'!$B167,'Eredeti fejléccel'!$DC:$DC)</f>
        <v>0</v>
      </c>
      <c r="GZ167" s="6">
        <f>SUMIF('Eredeti fejléccel'!$B:$B,'Felosztás eredménykim'!$B167,'Eredeti fejléccel'!$DD:$DD)</f>
        <v>0</v>
      </c>
      <c r="HA167" s="6">
        <f>SUMIF('Eredeti fejléccel'!$B:$B,'Felosztás eredménykim'!$B167,'Eredeti fejléccel'!$DE:$DE)</f>
        <v>0</v>
      </c>
      <c r="HB167" s="103">
        <f t="shared" si="251"/>
        <v>0</v>
      </c>
      <c r="HD167" s="9">
        <f t="shared" si="256"/>
        <v>0</v>
      </c>
      <c r="HE167" s="9"/>
      <c r="HF167" s="476"/>
      <c r="HH167" s="34">
        <f t="shared" si="252"/>
        <v>0</v>
      </c>
    </row>
    <row r="168" spans="1:216" x14ac:dyDescent="0.25">
      <c r="A168" s="4" t="s">
        <v>869</v>
      </c>
      <c r="B168" s="4" t="s">
        <v>869</v>
      </c>
      <c r="D168" s="6">
        <f>SUMIF('Eredeti fejléccel'!$B:$B,'Felosztás eredménykim'!$B168,'Eredeti fejléccel'!$D:$D)</f>
        <v>0</v>
      </c>
      <c r="E168" s="6">
        <f>SUMIF('Eredeti fejléccel'!$B:$B,'Felosztás eredménykim'!$B168,'Eredeti fejléccel'!$E:$E)</f>
        <v>0</v>
      </c>
      <c r="F168" s="6">
        <f>SUMIF('Eredeti fejléccel'!$B:$B,'Felosztás eredménykim'!$B168,'Eredeti fejléccel'!$F:$F)</f>
        <v>0</v>
      </c>
      <c r="G168" s="6">
        <f>SUMIF('Eredeti fejléccel'!$B:$B,'Felosztás eredménykim'!$B168,'Eredeti fejléccel'!$G:$G)</f>
        <v>0</v>
      </c>
      <c r="H168" s="6"/>
      <c r="I168" s="6">
        <f>SUMIF('Eredeti fejléccel'!$B:$B,'Felosztás eredménykim'!$B168,'Eredeti fejléccel'!$O:$O)</f>
        <v>0</v>
      </c>
      <c r="J168" s="6">
        <f>SUMIF('Eredeti fejléccel'!$B:$B,'Felosztás eredménykim'!$B168,'Eredeti fejléccel'!$P:$P)</f>
        <v>0</v>
      </c>
      <c r="K168" s="6">
        <f>SUMIF('Eredeti fejléccel'!$B:$B,'Felosztás eredménykim'!$B168,'Eredeti fejléccel'!$Q:$Q)</f>
        <v>0</v>
      </c>
      <c r="L168" s="6">
        <f>SUMIF('Eredeti fejléccel'!$B:$B,'Felosztás eredménykim'!$B168,'Eredeti fejléccel'!$R:$R)</f>
        <v>0</v>
      </c>
      <c r="M168" s="6">
        <f>SUMIF('Eredeti fejléccel'!$B:$B,'Felosztás eredménykim'!$B168,'Eredeti fejléccel'!$T:$T)</f>
        <v>0</v>
      </c>
      <c r="N168" s="6">
        <f>SUMIF('Eredeti fejléccel'!$B:$B,'Felosztás eredménykim'!$B168,'Eredeti fejléccel'!$U:$U)</f>
        <v>0</v>
      </c>
      <c r="O168" s="6">
        <f>SUMIF('Eredeti fejléccel'!$B:$B,'Felosztás eredménykim'!$B168,'Eredeti fejléccel'!$V:$V)</f>
        <v>0</v>
      </c>
      <c r="P168" s="6">
        <f>SUMIF('Eredeti fejléccel'!$B:$B,'Felosztás eredménykim'!$B168,'Eredeti fejléccel'!$W:$W)</f>
        <v>0</v>
      </c>
      <c r="Q168" s="6">
        <f>SUMIF('Eredeti fejléccel'!$B:$B,'Felosztás eredménykim'!$B168,'Eredeti fejléccel'!$X:$X)</f>
        <v>0</v>
      </c>
      <c r="R168" s="6">
        <f>SUMIF('Eredeti fejléccel'!$B:$B,'Felosztás eredménykim'!$B168,'Eredeti fejléccel'!$Y:$Y)</f>
        <v>0</v>
      </c>
      <c r="S168" s="6">
        <f>SUMIF('Eredeti fejléccel'!$B:$B,'Felosztás eredménykim'!$B168,'Eredeti fejléccel'!$Z:$Z)</f>
        <v>0</v>
      </c>
      <c r="T168" s="6">
        <f>SUMIF('Eredeti fejléccel'!$B:$B,'Felosztás eredménykim'!$B168,'Eredeti fejléccel'!$AA:$AA)</f>
        <v>0</v>
      </c>
      <c r="U168" s="6">
        <f>SUMIF('Eredeti fejléccel'!$B:$B,'Felosztás eredménykim'!$B168,'Eredeti fejléccel'!$D:$D)</f>
        <v>0</v>
      </c>
      <c r="V168" s="6">
        <f>SUMIF('Eredeti fejléccel'!$B:$B,'Felosztás eredménykim'!$B168,'Eredeti fejléccel'!$AT:$AT)</f>
        <v>211267</v>
      </c>
      <c r="W168" s="36">
        <f t="shared" si="302"/>
        <v>-211267</v>
      </c>
      <c r="X168" s="36">
        <f t="shared" si="211"/>
        <v>0</v>
      </c>
      <c r="Z168" s="6">
        <f>SUMIF('Eredeti fejléccel'!$B:$B,'Felosztás eredménykim'!$B168,'Eredeti fejléccel'!$K:$K)</f>
        <v>0</v>
      </c>
      <c r="AB168" s="6">
        <f>SUMIF('Eredeti fejléccel'!$B:$B,'Felosztás eredménykim'!$B168,'Eredeti fejléccel'!$AB:$AB)</f>
        <v>0</v>
      </c>
      <c r="AC168" s="6">
        <f>SUMIF('Eredeti fejléccel'!$B:$B,'Felosztás eredménykim'!$B168,'Eredeti fejléccel'!$AQ:$AQ)</f>
        <v>0</v>
      </c>
      <c r="AE168" s="73">
        <f t="shared" si="299"/>
        <v>0</v>
      </c>
      <c r="AF168" s="36">
        <f t="shared" si="303"/>
        <v>0</v>
      </c>
      <c r="AG168" s="8">
        <f t="shared" si="213"/>
        <v>0</v>
      </c>
      <c r="AI168" s="6">
        <f>SUMIF('Eredeti fejléccel'!$B:$B,'Felosztás eredménykim'!$B168,'Eredeti fejléccel'!$BB:$BB)</f>
        <v>0</v>
      </c>
      <c r="AJ168" s="6">
        <f>SUMIF('Eredeti fejléccel'!$B:$B,'Felosztás eredménykim'!$B168,'Eredeti fejléccel'!$AF:$AF)</f>
        <v>0</v>
      </c>
      <c r="AK168" s="8">
        <f t="shared" si="177"/>
        <v>0</v>
      </c>
      <c r="AL168" s="36">
        <f t="shared" si="304"/>
        <v>0</v>
      </c>
      <c r="AM168" s="8">
        <f t="shared" si="215"/>
        <v>0</v>
      </c>
      <c r="AN168" s="6">
        <f t="shared" si="291"/>
        <v>0</v>
      </c>
      <c r="AO168" s="6">
        <f>SUMIF('Eredeti fejléccel'!$B:$B,'Felosztás eredménykim'!$B168,'Eredeti fejléccel'!$AC:$AC)</f>
        <v>0</v>
      </c>
      <c r="AP168" s="6">
        <f>SUMIF('Eredeti fejléccel'!$B:$B,'Felosztás eredménykim'!$B168,'Eredeti fejléccel'!$AD:$AD)</f>
        <v>0</v>
      </c>
      <c r="AQ168" s="6">
        <f>SUMIF('Eredeti fejléccel'!$B:$B,'Felosztás eredménykim'!$B168,'Eredeti fejléccel'!$AE:$AE)</f>
        <v>0</v>
      </c>
      <c r="AR168" s="6">
        <f>SUMIF('Eredeti fejléccel'!$B:$B,'Felosztás eredménykim'!$B168,'Eredeti fejléccel'!$AG:$AG)</f>
        <v>0</v>
      </c>
      <c r="AS168" s="6">
        <f t="shared" si="292"/>
        <v>0</v>
      </c>
      <c r="AT168" s="36">
        <f t="shared" si="305"/>
        <v>0</v>
      </c>
      <c r="AU168" s="8">
        <f t="shared" si="217"/>
        <v>0</v>
      </c>
      <c r="AV168" s="6">
        <f>SUMIF('Eredeti fejléccel'!$B:$B,'Felosztás eredménykim'!$B168,'Eredeti fejléccel'!$AI:$AI)</f>
        <v>0</v>
      </c>
      <c r="AW168" s="6">
        <f>SUMIF('Eredeti fejléccel'!$B:$B,'Felosztás eredménykim'!$B168,'Eredeti fejléccel'!$AJ:$AJ)</f>
        <v>0</v>
      </c>
      <c r="AX168" s="6">
        <f>SUMIF('Eredeti fejléccel'!$B:$B,'Felosztás eredménykim'!$B168,'Eredeti fejléccel'!$AK:$AK)</f>
        <v>0</v>
      </c>
      <c r="AY168" s="6">
        <f>SUMIF('Eredeti fejléccel'!$B:$B,'Felosztás eredménykim'!$B168,'Eredeti fejléccel'!$AL:$AL)</f>
        <v>0</v>
      </c>
      <c r="AZ168" s="6">
        <f>SUMIF('Eredeti fejléccel'!$B:$B,'Felosztás eredménykim'!$B168,'Eredeti fejléccel'!$AM:$AM)</f>
        <v>0</v>
      </c>
      <c r="BA168" s="6">
        <f>SUMIF('Eredeti fejléccel'!$B:$B,'Felosztás eredménykim'!$B168,'Eredeti fejléccel'!$AN:$AN)</f>
        <v>0</v>
      </c>
      <c r="BB168" s="6">
        <f>SUMIF('Eredeti fejléccel'!$B:$B,'Felosztás eredménykim'!$B168,'Eredeti fejléccel'!$AP:$AP)</f>
        <v>0</v>
      </c>
      <c r="BD168" s="6">
        <f>SUMIF('Eredeti fejléccel'!$B:$B,'Felosztás eredménykim'!$B168,'Eredeti fejléccel'!$AS:$AS)</f>
        <v>0</v>
      </c>
      <c r="BE168" s="8">
        <f t="shared" si="238"/>
        <v>0</v>
      </c>
      <c r="BF168" s="36">
        <f t="shared" si="306"/>
        <v>0</v>
      </c>
      <c r="BG168" s="8">
        <f t="shared" si="219"/>
        <v>0</v>
      </c>
      <c r="BH168" s="6">
        <f t="shared" si="293"/>
        <v>0</v>
      </c>
      <c r="BI168" s="6">
        <f>SUMIF('Eredeti fejléccel'!$B:$B,'Felosztás eredménykim'!$B168,'Eredeti fejléccel'!$AH:$AH)</f>
        <v>0</v>
      </c>
      <c r="BJ168" s="6">
        <f>SUMIF('Eredeti fejléccel'!$B:$B,'Felosztás eredménykim'!$B168,'Eredeti fejléccel'!$AO:$AO)</f>
        <v>0</v>
      </c>
      <c r="BK168" s="6">
        <f>SUMIF('Eredeti fejléccel'!$B:$B,'Felosztás eredménykim'!$B168,'Eredeti fejléccel'!$BF:$BF)</f>
        <v>0</v>
      </c>
      <c r="BL168" s="8">
        <f t="shared" si="294"/>
        <v>0</v>
      </c>
      <c r="BM168" s="36">
        <f t="shared" si="307"/>
        <v>0</v>
      </c>
      <c r="BN168" s="8">
        <f t="shared" si="221"/>
        <v>0</v>
      </c>
      <c r="BP168" s="8">
        <f t="shared" si="295"/>
        <v>0</v>
      </c>
      <c r="BQ168" s="6">
        <f>SUMIF('Eredeti fejléccel'!$B:$B,'Felosztás eredménykim'!$B168,'Eredeti fejléccel'!$N:$N)</f>
        <v>0</v>
      </c>
      <c r="BR168" s="6">
        <f>SUMIF('Eredeti fejléccel'!$B:$B,'Felosztás eredménykim'!$B168,'Eredeti fejléccel'!$S:$S)</f>
        <v>0</v>
      </c>
      <c r="BT168" s="6">
        <f>SUMIF('Eredeti fejléccel'!$B:$B,'Felosztás eredménykim'!$B168,'Eredeti fejléccel'!$AR:$AR)</f>
        <v>0</v>
      </c>
      <c r="BU168" s="6">
        <f>SUMIF('Eredeti fejléccel'!$B:$B,'Felosztás eredménykim'!$B168,'Eredeti fejléccel'!$AU:$AU)</f>
        <v>0</v>
      </c>
      <c r="BV168" s="6">
        <f>SUMIF('Eredeti fejléccel'!$B:$B,'Felosztás eredménykim'!$B168,'Eredeti fejléccel'!$AV:$AV)</f>
        <v>0</v>
      </c>
      <c r="BW168" s="6">
        <f>SUMIF('Eredeti fejléccel'!$B:$B,'Felosztás eredménykim'!$B168,'Eredeti fejléccel'!$AW:$AW)</f>
        <v>0</v>
      </c>
      <c r="BX168" s="6">
        <f>SUMIF('Eredeti fejléccel'!$B:$B,'Felosztás eredménykim'!$B168,'Eredeti fejléccel'!$AX:$AX)</f>
        <v>0</v>
      </c>
      <c r="BY168" s="6">
        <f>SUMIF('Eredeti fejléccel'!$B:$B,'Felosztás eredménykim'!$B168,'Eredeti fejléccel'!$AY:$AY)</f>
        <v>0</v>
      </c>
      <c r="BZ168" s="6">
        <f>SUMIF('Eredeti fejléccel'!$B:$B,'Felosztás eredménykim'!$B168,'Eredeti fejléccel'!$AZ:$AZ)</f>
        <v>0</v>
      </c>
      <c r="CA168" s="6">
        <f>SUMIF('Eredeti fejléccel'!$B:$B,'Felosztás eredménykim'!$B168,'Eredeti fejléccel'!$BA:$BA)</f>
        <v>0</v>
      </c>
      <c r="CB168" s="6">
        <f t="shared" si="253"/>
        <v>0</v>
      </c>
      <c r="CC168" s="36">
        <f t="shared" si="308"/>
        <v>0</v>
      </c>
      <c r="CD168" s="8">
        <f t="shared" si="223"/>
        <v>0</v>
      </c>
      <c r="CE168" s="6">
        <f>SUMIF('Eredeti fejléccel'!$B:$B,'Felosztás eredménykim'!$B168,'Eredeti fejléccel'!$BC:$BC)</f>
        <v>0</v>
      </c>
      <c r="CF168" s="8">
        <f t="shared" si="300"/>
        <v>0</v>
      </c>
      <c r="CG168" s="6">
        <f>SUMIF('Eredeti fejléccel'!$B:$B,'Felosztás eredménykim'!$B168,'Eredeti fejléccel'!$H:$H)</f>
        <v>0</v>
      </c>
      <c r="CH168" s="6">
        <f>SUMIF('Eredeti fejléccel'!$B:$B,'Felosztás eredménykim'!$B168,'Eredeti fejléccel'!$BE:$BE)</f>
        <v>0</v>
      </c>
      <c r="CI168" s="6">
        <f t="shared" si="239"/>
        <v>0</v>
      </c>
      <c r="CJ168" s="36">
        <f t="shared" si="309"/>
        <v>0</v>
      </c>
      <c r="CK168" s="8">
        <f t="shared" si="225"/>
        <v>0</v>
      </c>
      <c r="CL168" s="8">
        <f t="shared" si="301"/>
        <v>0</v>
      </c>
      <c r="CM168" s="6">
        <f>SUMIF('Eredeti fejléccel'!$B:$B,'Felosztás eredménykim'!$B168,'Eredeti fejléccel'!$BD:$BD)</f>
        <v>0</v>
      </c>
      <c r="CN168" s="8">
        <f t="shared" si="240"/>
        <v>0</v>
      </c>
      <c r="CO168" s="8">
        <f t="shared" si="254"/>
        <v>0</v>
      </c>
      <c r="CR168" s="36">
        <f t="shared" si="226"/>
        <v>0</v>
      </c>
      <c r="CS168" s="6">
        <f>SUMIF('Eredeti fejléccel'!$B:$B,'Felosztás eredménykim'!$B168,'Eredeti fejléccel'!$I:$I)</f>
        <v>0</v>
      </c>
      <c r="CT168" s="6">
        <f>SUMIF('Eredeti fejléccel'!$B:$B,'Felosztás eredménykim'!$B168,'Eredeti fejléccel'!$BG:$BG)</f>
        <v>0</v>
      </c>
      <c r="CU168" s="6">
        <f>SUMIF('Eredeti fejléccel'!$B:$B,'Felosztás eredménykim'!$B168,'Eredeti fejléccel'!$BH:$BH)</f>
        <v>0</v>
      </c>
      <c r="CV168" s="6">
        <f>SUMIF('Eredeti fejléccel'!$B:$B,'Felosztás eredménykim'!$B168,'Eredeti fejléccel'!$BI:$BI)</f>
        <v>0</v>
      </c>
      <c r="CW168" s="6">
        <f>SUMIF('Eredeti fejléccel'!$B:$B,'Felosztás eredménykim'!$B168,'Eredeti fejléccel'!$BL:$BL)</f>
        <v>0</v>
      </c>
      <c r="CX168" s="6">
        <f t="shared" si="241"/>
        <v>0</v>
      </c>
      <c r="CY168" s="6">
        <f>SUMIF('Eredeti fejléccel'!$B:$B,'Felosztás eredménykim'!$B168,'Eredeti fejléccel'!$BJ:$BJ)</f>
        <v>0</v>
      </c>
      <c r="CZ168" s="6">
        <f>SUMIF('Eredeti fejléccel'!$B:$B,'Felosztás eredménykim'!$B168,'Eredeti fejléccel'!$BK:$BK)</f>
        <v>0</v>
      </c>
      <c r="DA168" s="99">
        <f t="shared" si="242"/>
        <v>0</v>
      </c>
      <c r="DC168" s="36">
        <f t="shared" si="227"/>
        <v>0</v>
      </c>
      <c r="DD168" s="6">
        <f>SUMIF('Eredeti fejléccel'!$B:$B,'Felosztás eredménykim'!$B168,'Eredeti fejléccel'!$J:$J)</f>
        <v>0</v>
      </c>
      <c r="DE168" s="6">
        <f>SUMIF('Eredeti fejléccel'!$B:$B,'Felosztás eredménykim'!$B168,'Eredeti fejléccel'!$BM:$BM)</f>
        <v>0</v>
      </c>
      <c r="DF168" s="6">
        <f t="shared" si="296"/>
        <v>0</v>
      </c>
      <c r="DG168" s="8">
        <f t="shared" si="255"/>
        <v>0</v>
      </c>
      <c r="DH168" s="8">
        <f t="shared" si="297"/>
        <v>0</v>
      </c>
      <c r="DJ168" s="6">
        <f>SUMIF('Eredeti fejléccel'!$B:$B,'Felosztás eredménykim'!$B168,'Eredeti fejléccel'!$BN:$BN)</f>
        <v>0</v>
      </c>
      <c r="DK168" s="6">
        <f>SUMIF('Eredeti fejléccel'!$B:$B,'Felosztás eredménykim'!$B168,'Eredeti fejléccel'!$BZ:$BZ)</f>
        <v>0</v>
      </c>
      <c r="DL168" s="8">
        <f t="shared" si="298"/>
        <v>0</v>
      </c>
      <c r="DM168" s="6">
        <f>SUMIF('Eredeti fejléccel'!$B:$B,'Felosztás eredménykim'!$B168,'Eredeti fejléccel'!$BR:$BR)</f>
        <v>0</v>
      </c>
      <c r="DN168" s="6">
        <f>SUMIF('Eredeti fejléccel'!$B:$B,'Felosztás eredménykim'!$B168,'Eredeti fejléccel'!$BS:$BS)</f>
        <v>0</v>
      </c>
      <c r="DO168" s="6">
        <f>SUMIF('Eredeti fejléccel'!$B:$B,'Felosztás eredménykim'!$B168,'Eredeti fejléccel'!$BO:$BO)</f>
        <v>0</v>
      </c>
      <c r="DP168" s="6">
        <f>SUMIF('Eredeti fejléccel'!$B:$B,'Felosztás eredménykim'!$B168,'Eredeti fejléccel'!$BP:$BP)</f>
        <v>0</v>
      </c>
      <c r="DQ168" s="6">
        <f>SUMIF('Eredeti fejléccel'!$B:$B,'Felosztás eredménykim'!$B168,'Eredeti fejléccel'!$BQ:$BQ)</f>
        <v>0</v>
      </c>
      <c r="DS168" s="8"/>
      <c r="DU168" s="6">
        <f>SUMIF('Eredeti fejléccel'!$B:$B,'Felosztás eredménykim'!$B168,'Eredeti fejléccel'!$BT:$BT)</f>
        <v>0</v>
      </c>
      <c r="DV168" s="6">
        <f>SUMIF('Eredeti fejléccel'!$B:$B,'Felosztás eredménykim'!$B168,'Eredeti fejléccel'!$BU:$BU)</f>
        <v>0</v>
      </c>
      <c r="DW168" s="6">
        <f>SUMIF('Eredeti fejléccel'!$B:$B,'Felosztás eredménykim'!$B168,'Eredeti fejléccel'!$BV:$BV)</f>
        <v>0</v>
      </c>
      <c r="DX168" s="6">
        <f>SUMIF('Eredeti fejléccel'!$B:$B,'Felosztás eredménykim'!$B168,'Eredeti fejléccel'!$BW:$BW)</f>
        <v>0</v>
      </c>
      <c r="DY168" s="6">
        <f>SUMIF('Eredeti fejléccel'!$B:$B,'Felosztás eredménykim'!$B168,'Eredeti fejléccel'!$BX:$BX)</f>
        <v>0</v>
      </c>
      <c r="EA168" s="6"/>
      <c r="EC168" s="6"/>
      <c r="EE168" s="6">
        <f>SUMIF('Eredeti fejléccel'!$B:$B,'Felosztás eredménykim'!$B168,'Eredeti fejléccel'!$CA:$CA)</f>
        <v>0</v>
      </c>
      <c r="EF168" s="6">
        <f>SUMIF('Eredeti fejléccel'!$B:$B,'Felosztás eredménykim'!$B168,'Eredeti fejléccel'!$CB:$CB)</f>
        <v>0</v>
      </c>
      <c r="EG168" s="6">
        <f>SUMIF('Eredeti fejléccel'!$B:$B,'Felosztás eredménykim'!$B168,'Eredeti fejléccel'!$CC:$CC)</f>
        <v>0</v>
      </c>
      <c r="EH168" s="6">
        <f>SUMIF('Eredeti fejléccel'!$B:$B,'Felosztás eredménykim'!$B168,'Eredeti fejléccel'!$CD:$CD)</f>
        <v>0</v>
      </c>
      <c r="EK168" s="6">
        <f>SUMIF('Eredeti fejléccel'!$B:$B,'Felosztás eredménykim'!$B168,'Eredeti fejléccel'!$CE:$CE)</f>
        <v>0</v>
      </c>
      <c r="EN168" s="6">
        <f>SUMIF('Eredeti fejléccel'!$B:$B,'Felosztás eredménykim'!$B168,'Eredeti fejléccel'!$CF:$CF)</f>
        <v>0</v>
      </c>
      <c r="EP168" s="6">
        <f>SUMIF('Eredeti fejléccel'!$B:$B,'Felosztás eredménykim'!$B168,'Eredeti fejléccel'!$CG:$CG)</f>
        <v>0</v>
      </c>
      <c r="ES168" s="6">
        <f>SUMIF('Eredeti fejléccel'!$B:$B,'Felosztás eredménykim'!$B168,'Eredeti fejléccel'!$CH:$CH)</f>
        <v>0</v>
      </c>
      <c r="ET168" s="6">
        <f>SUMIF('Eredeti fejléccel'!$B:$B,'Felosztás eredménykim'!$B168,'Eredeti fejléccel'!$CI:$CI)</f>
        <v>0</v>
      </c>
      <c r="EW168" s="8">
        <f t="shared" si="288"/>
        <v>0</v>
      </c>
      <c r="EX168" s="8">
        <f t="shared" si="243"/>
        <v>0</v>
      </c>
      <c r="EY168" s="8">
        <f t="shared" si="244"/>
        <v>0</v>
      </c>
      <c r="EZ168" s="8">
        <f t="shared" si="289"/>
        <v>0</v>
      </c>
      <c r="FA168" s="8">
        <f t="shared" si="290"/>
        <v>0</v>
      </c>
      <c r="FC168" s="6">
        <f>SUMIF('Eredeti fejléccel'!$B:$B,'Felosztás eredménykim'!$B168,'Eredeti fejléccel'!$L:$L)</f>
        <v>0</v>
      </c>
      <c r="FD168" s="6">
        <f>SUMIF('Eredeti fejléccel'!$B:$B,'Felosztás eredménykim'!$B168,'Eredeti fejléccel'!$CJ:$CJ)</f>
        <v>0</v>
      </c>
      <c r="FE168" s="6">
        <f>SUMIF('Eredeti fejléccel'!$B:$B,'Felosztás eredménykim'!$B168,'Eredeti fejléccel'!$CL:$CL)</f>
        <v>0</v>
      </c>
      <c r="FG168" s="99">
        <f t="shared" si="245"/>
        <v>0</v>
      </c>
      <c r="FH168" s="6">
        <f>SUMIF('Eredeti fejléccel'!$B:$B,'Felosztás eredménykim'!$B168,'Eredeti fejléccel'!$CK:$CK)</f>
        <v>0</v>
      </c>
      <c r="FI168" s="36">
        <f t="shared" si="310"/>
        <v>0</v>
      </c>
      <c r="FJ168" s="101">
        <f t="shared" si="229"/>
        <v>0</v>
      </c>
      <c r="FK168" s="6">
        <f>SUMIF('Eredeti fejléccel'!$B:$B,'Felosztás eredménykim'!$B168,'Eredeti fejléccel'!$CM:$CM)</f>
        <v>0</v>
      </c>
      <c r="FL168" s="6">
        <f>SUMIF('Eredeti fejléccel'!$B:$B,'Felosztás eredménykim'!$B168,'Eredeti fejléccel'!$CN:$CN)</f>
        <v>0</v>
      </c>
      <c r="FM168" s="8">
        <f t="shared" si="246"/>
        <v>0</v>
      </c>
      <c r="FN168" s="36">
        <f t="shared" si="311"/>
        <v>0</v>
      </c>
      <c r="FO168" s="101">
        <f t="shared" si="231"/>
        <v>0</v>
      </c>
      <c r="FP168" s="6">
        <f>SUMIF('Eredeti fejléccel'!$B:$B,'Felosztás eredménykim'!$B168,'Eredeti fejléccel'!$CO:$CO)</f>
        <v>0</v>
      </c>
      <c r="FQ168" s="6">
        <f>'Eredeti fejléccel'!CP168</f>
        <v>0</v>
      </c>
      <c r="FR168" s="6">
        <f>'Eredeti fejléccel'!CQ168</f>
        <v>0</v>
      </c>
      <c r="FS168" s="103">
        <f t="shared" si="247"/>
        <v>0</v>
      </c>
      <c r="FT168" s="36">
        <f t="shared" si="312"/>
        <v>0</v>
      </c>
      <c r="FU168" s="101">
        <f t="shared" si="233"/>
        <v>0</v>
      </c>
      <c r="FV168" s="101"/>
      <c r="FW168" s="6">
        <f>SUMIF('Eredeti fejléccel'!$B:$B,'Felosztás eredménykim'!$B168,'Eredeti fejléccel'!$CR:$CR)</f>
        <v>0</v>
      </c>
      <c r="FX168" s="6">
        <f>SUMIF('Eredeti fejléccel'!$B:$B,'Felosztás eredménykim'!$B168,'Eredeti fejléccel'!$CS:$CS)</f>
        <v>0</v>
      </c>
      <c r="FY168" s="6">
        <f>SUMIF('Eredeti fejléccel'!$B:$B,'Felosztás eredménykim'!$B168,'Eredeti fejléccel'!$CT:$CT)</f>
        <v>0</v>
      </c>
      <c r="FZ168" s="6">
        <f>SUMIF('Eredeti fejléccel'!$B:$B,'Felosztás eredménykim'!$B168,'Eredeti fejléccel'!$CU:$CU)</f>
        <v>0</v>
      </c>
      <c r="GA168" s="103">
        <f t="shared" si="248"/>
        <v>0</v>
      </c>
      <c r="GB168" s="36">
        <f t="shared" si="313"/>
        <v>0</v>
      </c>
      <c r="GC168" s="101">
        <f t="shared" si="235"/>
        <v>0</v>
      </c>
      <c r="GD168" s="6">
        <f>SUMIF('Eredeti fejléccel'!$B:$B,'Felosztás eredménykim'!$B168,'Eredeti fejléccel'!$CV:$CV)</f>
        <v>0</v>
      </c>
      <c r="GE168" s="6">
        <f>SUMIF('Eredeti fejléccel'!$B:$B,'Felosztás eredménykim'!$B168,'Eredeti fejléccel'!$CW:$CW)</f>
        <v>0</v>
      </c>
      <c r="GF168" s="103">
        <f t="shared" si="249"/>
        <v>0</v>
      </c>
      <c r="GG168" s="36">
        <f t="shared" si="236"/>
        <v>0</v>
      </c>
      <c r="GM168" s="6">
        <f>SUMIF('Eredeti fejléccel'!$B:$B,'Felosztás eredménykim'!$B168,'Eredeti fejléccel'!$CX:$CX)</f>
        <v>0</v>
      </c>
      <c r="GN168" s="6">
        <f>SUMIF('Eredeti fejléccel'!$B:$B,'Felosztás eredménykim'!$B168,'Eredeti fejléccel'!$CY:$CY)</f>
        <v>0</v>
      </c>
      <c r="GO168" s="6">
        <f>SUMIF('Eredeti fejléccel'!$B:$B,'Felosztás eredménykim'!$B168,'Eredeti fejléccel'!$CZ:$CZ)</f>
        <v>0</v>
      </c>
      <c r="GP168" s="6">
        <f>SUMIF('Eredeti fejléccel'!$B:$B,'Felosztás eredménykim'!$B168,'Eredeti fejléccel'!$DA:$DA)</f>
        <v>0</v>
      </c>
      <c r="GQ168" s="6">
        <f>SUMIF('Eredeti fejléccel'!$B:$B,'Felosztás eredménykim'!$B168,'Eredeti fejléccel'!$DB:$DB)</f>
        <v>0</v>
      </c>
      <c r="GR168" s="103">
        <f t="shared" si="250"/>
        <v>0</v>
      </c>
      <c r="GW168" s="36">
        <f t="shared" si="237"/>
        <v>0</v>
      </c>
      <c r="GX168" s="6">
        <f>SUMIF('Eredeti fejléccel'!$B:$B,'Felosztás eredménykim'!$B168,'Eredeti fejléccel'!$M:$M)</f>
        <v>0</v>
      </c>
      <c r="GY168" s="6">
        <f>SUMIF('Eredeti fejléccel'!$B:$B,'Felosztás eredménykim'!$B168,'Eredeti fejléccel'!$DC:$DC)</f>
        <v>0</v>
      </c>
      <c r="GZ168" s="6">
        <f>SUMIF('Eredeti fejléccel'!$B:$B,'Felosztás eredménykim'!$B168,'Eredeti fejléccel'!$DD:$DD)</f>
        <v>0</v>
      </c>
      <c r="HA168" s="6">
        <f>SUMIF('Eredeti fejléccel'!$B:$B,'Felosztás eredménykim'!$B168,'Eredeti fejléccel'!$DE:$DE)</f>
        <v>0</v>
      </c>
      <c r="HB168" s="103">
        <f t="shared" si="251"/>
        <v>0</v>
      </c>
      <c r="HD168" s="9">
        <f t="shared" si="256"/>
        <v>211267</v>
      </c>
      <c r="HE168" s="9">
        <v>211267</v>
      </c>
      <c r="HF168" s="476"/>
      <c r="HH168" s="34">
        <f t="shared" si="252"/>
        <v>0</v>
      </c>
    </row>
    <row r="169" spans="1:216" x14ac:dyDescent="0.25">
      <c r="A169" s="4" t="s">
        <v>870</v>
      </c>
      <c r="B169" s="4" t="s">
        <v>870</v>
      </c>
      <c r="D169" s="6">
        <f>SUMIF('Eredeti fejléccel'!$B:$B,'Felosztás eredménykim'!$B169,'Eredeti fejléccel'!$D:$D)</f>
        <v>0</v>
      </c>
      <c r="E169" s="6">
        <f>SUMIF('Eredeti fejléccel'!$B:$B,'Felosztás eredménykim'!$B169,'Eredeti fejléccel'!$E:$E)</f>
        <v>0</v>
      </c>
      <c r="F169" s="6">
        <f>SUMIF('Eredeti fejléccel'!$B:$B,'Felosztás eredménykim'!$B169,'Eredeti fejléccel'!$F:$F)</f>
        <v>0</v>
      </c>
      <c r="G169" s="6">
        <f>SUMIF('Eredeti fejléccel'!$B:$B,'Felosztás eredménykim'!$B169,'Eredeti fejléccel'!$G:$G)</f>
        <v>0</v>
      </c>
      <c r="H169" s="6"/>
      <c r="I169" s="6">
        <f>SUMIF('Eredeti fejléccel'!$B:$B,'Felosztás eredménykim'!$B169,'Eredeti fejléccel'!$O:$O)</f>
        <v>0</v>
      </c>
      <c r="J169" s="6">
        <f>SUMIF('Eredeti fejléccel'!$B:$B,'Felosztás eredménykim'!$B169,'Eredeti fejléccel'!$P:$P)</f>
        <v>0</v>
      </c>
      <c r="K169" s="6">
        <f>SUMIF('Eredeti fejléccel'!$B:$B,'Felosztás eredménykim'!$B169,'Eredeti fejléccel'!$Q:$Q)</f>
        <v>0</v>
      </c>
      <c r="L169" s="6">
        <f>SUMIF('Eredeti fejléccel'!$B:$B,'Felosztás eredménykim'!$B169,'Eredeti fejléccel'!$R:$R)</f>
        <v>0</v>
      </c>
      <c r="M169" s="6">
        <f>SUMIF('Eredeti fejléccel'!$B:$B,'Felosztás eredménykim'!$B169,'Eredeti fejléccel'!$T:$T)</f>
        <v>0</v>
      </c>
      <c r="N169" s="6">
        <f>SUMIF('Eredeti fejléccel'!$B:$B,'Felosztás eredménykim'!$B169,'Eredeti fejléccel'!$U:$U)</f>
        <v>0</v>
      </c>
      <c r="O169" s="6">
        <f>SUMIF('Eredeti fejléccel'!$B:$B,'Felosztás eredménykim'!$B169,'Eredeti fejléccel'!$V:$V)</f>
        <v>0</v>
      </c>
      <c r="P169" s="6">
        <f>SUMIF('Eredeti fejléccel'!$B:$B,'Felosztás eredménykim'!$B169,'Eredeti fejléccel'!$W:$W)</f>
        <v>0</v>
      </c>
      <c r="Q169" s="6">
        <f>SUMIF('Eredeti fejléccel'!$B:$B,'Felosztás eredménykim'!$B169,'Eredeti fejléccel'!$X:$X)</f>
        <v>0</v>
      </c>
      <c r="R169" s="6">
        <f>SUMIF('Eredeti fejléccel'!$B:$B,'Felosztás eredménykim'!$B169,'Eredeti fejléccel'!$Y:$Y)</f>
        <v>0</v>
      </c>
      <c r="S169" s="6">
        <f>SUMIF('Eredeti fejléccel'!$B:$B,'Felosztás eredménykim'!$B169,'Eredeti fejléccel'!$Z:$Z)</f>
        <v>0</v>
      </c>
      <c r="T169" s="6">
        <f>SUMIF('Eredeti fejléccel'!$B:$B,'Felosztás eredménykim'!$B169,'Eredeti fejléccel'!$AA:$AA)</f>
        <v>0</v>
      </c>
      <c r="U169" s="6">
        <f>SUMIF('Eredeti fejléccel'!$B:$B,'Felosztás eredménykim'!$B169,'Eredeti fejléccel'!$D:$D)</f>
        <v>0</v>
      </c>
      <c r="V169" s="6">
        <f>SUMIF('Eredeti fejléccel'!$B:$B,'Felosztás eredménykim'!$B169,'Eredeti fejléccel'!$AT:$AT)</f>
        <v>0</v>
      </c>
      <c r="W169" s="36">
        <f t="shared" si="302"/>
        <v>0</v>
      </c>
      <c r="X169" s="36">
        <f t="shared" si="211"/>
        <v>0</v>
      </c>
      <c r="Z169" s="6">
        <f>SUMIF('Eredeti fejléccel'!$B:$B,'Felosztás eredménykim'!$B169,'Eredeti fejléccel'!$K:$K)</f>
        <v>0</v>
      </c>
      <c r="AB169" s="6">
        <f>SUMIF('Eredeti fejléccel'!$B:$B,'Felosztás eredménykim'!$B169,'Eredeti fejléccel'!$AB:$AB)</f>
        <v>0</v>
      </c>
      <c r="AC169" s="6">
        <f>SUMIF('Eredeti fejléccel'!$B:$B,'Felosztás eredménykim'!$B169,'Eredeti fejléccel'!$AQ:$AQ)</f>
        <v>0</v>
      </c>
      <c r="AE169" s="73">
        <f t="shared" si="299"/>
        <v>0</v>
      </c>
      <c r="AF169" s="36">
        <f t="shared" si="303"/>
        <v>0</v>
      </c>
      <c r="AG169" s="8">
        <f t="shared" si="213"/>
        <v>0</v>
      </c>
      <c r="AI169" s="6">
        <f>SUMIF('Eredeti fejléccel'!$B:$B,'Felosztás eredménykim'!$B169,'Eredeti fejléccel'!$BB:$BB)</f>
        <v>0</v>
      </c>
      <c r="AJ169" s="6">
        <f>SUMIF('Eredeti fejléccel'!$B:$B,'Felosztás eredménykim'!$B169,'Eredeti fejléccel'!$AF:$AF)</f>
        <v>0</v>
      </c>
      <c r="AK169" s="8">
        <f t="shared" si="177"/>
        <v>0</v>
      </c>
      <c r="AL169" s="36">
        <f t="shared" si="304"/>
        <v>0</v>
      </c>
      <c r="AM169" s="8">
        <f t="shared" si="215"/>
        <v>0</v>
      </c>
      <c r="AN169" s="6">
        <f t="shared" si="291"/>
        <v>0</v>
      </c>
      <c r="AO169" s="6">
        <f>SUMIF('Eredeti fejléccel'!$B:$B,'Felosztás eredménykim'!$B169,'Eredeti fejléccel'!$AC:$AC)</f>
        <v>0</v>
      </c>
      <c r="AP169" s="6">
        <f>SUMIF('Eredeti fejléccel'!$B:$B,'Felosztás eredménykim'!$B169,'Eredeti fejléccel'!$AD:$AD)</f>
        <v>0</v>
      </c>
      <c r="AQ169" s="6">
        <f>SUMIF('Eredeti fejléccel'!$B:$B,'Felosztás eredménykim'!$B169,'Eredeti fejléccel'!$AE:$AE)</f>
        <v>0</v>
      </c>
      <c r="AR169" s="6">
        <f>SUMIF('Eredeti fejléccel'!$B:$B,'Felosztás eredménykim'!$B169,'Eredeti fejléccel'!$AG:$AG)</f>
        <v>0</v>
      </c>
      <c r="AS169" s="6">
        <f t="shared" si="292"/>
        <v>0</v>
      </c>
      <c r="AT169" s="36">
        <f t="shared" si="305"/>
        <v>0</v>
      </c>
      <c r="AU169" s="8">
        <f t="shared" si="217"/>
        <v>0</v>
      </c>
      <c r="AV169" s="6">
        <f>SUMIF('Eredeti fejléccel'!$B:$B,'Felosztás eredménykim'!$B169,'Eredeti fejléccel'!$AI:$AI)</f>
        <v>0</v>
      </c>
      <c r="AW169" s="6">
        <f>SUMIF('Eredeti fejléccel'!$B:$B,'Felosztás eredménykim'!$B169,'Eredeti fejléccel'!$AJ:$AJ)</f>
        <v>0</v>
      </c>
      <c r="AX169" s="6">
        <f>SUMIF('Eredeti fejléccel'!$B:$B,'Felosztás eredménykim'!$B169,'Eredeti fejléccel'!$AK:$AK)</f>
        <v>0</v>
      </c>
      <c r="AY169" s="6">
        <f>SUMIF('Eredeti fejléccel'!$B:$B,'Felosztás eredménykim'!$B169,'Eredeti fejléccel'!$AL:$AL)</f>
        <v>0</v>
      </c>
      <c r="AZ169" s="6">
        <f>SUMIF('Eredeti fejléccel'!$B:$B,'Felosztás eredménykim'!$B169,'Eredeti fejléccel'!$AM:$AM)</f>
        <v>0</v>
      </c>
      <c r="BA169" s="6">
        <f>SUMIF('Eredeti fejléccel'!$B:$B,'Felosztás eredménykim'!$B169,'Eredeti fejléccel'!$AN:$AN)</f>
        <v>0</v>
      </c>
      <c r="BB169" s="6">
        <f>SUMIF('Eredeti fejléccel'!$B:$B,'Felosztás eredménykim'!$B169,'Eredeti fejléccel'!$AP:$AP)</f>
        <v>0</v>
      </c>
      <c r="BD169" s="6">
        <f>SUMIF('Eredeti fejléccel'!$B:$B,'Felosztás eredménykim'!$B169,'Eredeti fejléccel'!$AS:$AS)</f>
        <v>0</v>
      </c>
      <c r="BE169" s="8">
        <f t="shared" si="238"/>
        <v>0</v>
      </c>
      <c r="BF169" s="36">
        <f t="shared" si="306"/>
        <v>0</v>
      </c>
      <c r="BG169" s="8">
        <f t="shared" si="219"/>
        <v>0</v>
      </c>
      <c r="BH169" s="6">
        <f t="shared" si="293"/>
        <v>0</v>
      </c>
      <c r="BI169" s="6">
        <f>SUMIF('Eredeti fejléccel'!$B:$B,'Felosztás eredménykim'!$B169,'Eredeti fejléccel'!$AH:$AH)</f>
        <v>0</v>
      </c>
      <c r="BJ169" s="6">
        <f>SUMIF('Eredeti fejléccel'!$B:$B,'Felosztás eredménykim'!$B169,'Eredeti fejléccel'!$AO:$AO)</f>
        <v>0</v>
      </c>
      <c r="BK169" s="6">
        <f>SUMIF('Eredeti fejléccel'!$B:$B,'Felosztás eredménykim'!$B169,'Eredeti fejléccel'!$BF:$BF)</f>
        <v>0</v>
      </c>
      <c r="BL169" s="8">
        <f t="shared" si="294"/>
        <v>0</v>
      </c>
      <c r="BM169" s="36">
        <f t="shared" si="307"/>
        <v>0</v>
      </c>
      <c r="BN169" s="8">
        <f t="shared" si="221"/>
        <v>0</v>
      </c>
      <c r="BP169" s="8">
        <f t="shared" si="295"/>
        <v>0</v>
      </c>
      <c r="BQ169" s="6">
        <f>SUMIF('Eredeti fejléccel'!$B:$B,'Felosztás eredménykim'!$B169,'Eredeti fejléccel'!$N:$N)</f>
        <v>0</v>
      </c>
      <c r="BR169" s="6">
        <f>SUMIF('Eredeti fejléccel'!$B:$B,'Felosztás eredménykim'!$B169,'Eredeti fejléccel'!$S:$S)</f>
        <v>0</v>
      </c>
      <c r="BT169" s="6">
        <f>SUMIF('Eredeti fejléccel'!$B:$B,'Felosztás eredménykim'!$B169,'Eredeti fejléccel'!$AR:$AR)</f>
        <v>0</v>
      </c>
      <c r="BU169" s="6">
        <f>SUMIF('Eredeti fejléccel'!$B:$B,'Felosztás eredménykim'!$B169,'Eredeti fejléccel'!$AU:$AU)</f>
        <v>0</v>
      </c>
      <c r="BV169" s="6">
        <f>SUMIF('Eredeti fejléccel'!$B:$B,'Felosztás eredménykim'!$B169,'Eredeti fejléccel'!$AV:$AV)</f>
        <v>0</v>
      </c>
      <c r="BW169" s="6">
        <f>SUMIF('Eredeti fejléccel'!$B:$B,'Felosztás eredménykim'!$B169,'Eredeti fejléccel'!$AW:$AW)</f>
        <v>0</v>
      </c>
      <c r="BX169" s="6">
        <f>SUMIF('Eredeti fejléccel'!$B:$B,'Felosztás eredménykim'!$B169,'Eredeti fejléccel'!$AX:$AX)</f>
        <v>0</v>
      </c>
      <c r="BY169" s="6">
        <f>SUMIF('Eredeti fejléccel'!$B:$B,'Felosztás eredménykim'!$B169,'Eredeti fejléccel'!$AY:$AY)</f>
        <v>0</v>
      </c>
      <c r="BZ169" s="6">
        <f>SUMIF('Eredeti fejléccel'!$B:$B,'Felosztás eredménykim'!$B169,'Eredeti fejléccel'!$AZ:$AZ)</f>
        <v>0</v>
      </c>
      <c r="CA169" s="6">
        <f>SUMIF('Eredeti fejléccel'!$B:$B,'Felosztás eredménykim'!$B169,'Eredeti fejléccel'!$BA:$BA)</f>
        <v>0</v>
      </c>
      <c r="CB169" s="6">
        <f t="shared" si="253"/>
        <v>0</v>
      </c>
      <c r="CC169" s="36">
        <f t="shared" si="308"/>
        <v>0</v>
      </c>
      <c r="CD169" s="8">
        <f t="shared" si="223"/>
        <v>0</v>
      </c>
      <c r="CE169" s="6">
        <f>SUMIF('Eredeti fejléccel'!$B:$B,'Felosztás eredménykim'!$B169,'Eredeti fejléccel'!$BC:$BC)</f>
        <v>0</v>
      </c>
      <c r="CF169" s="8">
        <f t="shared" si="300"/>
        <v>0</v>
      </c>
      <c r="CG169" s="6">
        <f>SUMIF('Eredeti fejléccel'!$B:$B,'Felosztás eredménykim'!$B169,'Eredeti fejléccel'!$H:$H)</f>
        <v>0</v>
      </c>
      <c r="CH169" s="6">
        <f>SUMIF('Eredeti fejléccel'!$B:$B,'Felosztás eredménykim'!$B169,'Eredeti fejléccel'!$BE:$BE)</f>
        <v>0</v>
      </c>
      <c r="CI169" s="6">
        <f t="shared" si="239"/>
        <v>0</v>
      </c>
      <c r="CJ169" s="36">
        <f t="shared" si="309"/>
        <v>0</v>
      </c>
      <c r="CK169" s="8">
        <f t="shared" si="225"/>
        <v>0</v>
      </c>
      <c r="CL169" s="8">
        <f t="shared" si="301"/>
        <v>0</v>
      </c>
      <c r="CM169" s="6">
        <f>SUMIF('Eredeti fejléccel'!$B:$B,'Felosztás eredménykim'!$B169,'Eredeti fejléccel'!$BD:$BD)</f>
        <v>0</v>
      </c>
      <c r="CN169" s="8">
        <f t="shared" si="240"/>
        <v>0</v>
      </c>
      <c r="CO169" s="8">
        <f t="shared" si="254"/>
        <v>0</v>
      </c>
      <c r="CR169" s="36">
        <f t="shared" si="226"/>
        <v>0</v>
      </c>
      <c r="CS169" s="6">
        <f>SUMIF('Eredeti fejléccel'!$B:$B,'Felosztás eredménykim'!$B169,'Eredeti fejléccel'!$I:$I)</f>
        <v>0</v>
      </c>
      <c r="CT169" s="6">
        <f>SUMIF('Eredeti fejléccel'!$B:$B,'Felosztás eredménykim'!$B169,'Eredeti fejléccel'!$BG:$BG)</f>
        <v>0</v>
      </c>
      <c r="CU169" s="6">
        <f>SUMIF('Eredeti fejléccel'!$B:$B,'Felosztás eredménykim'!$B169,'Eredeti fejléccel'!$BH:$BH)</f>
        <v>0</v>
      </c>
      <c r="CV169" s="6">
        <f>SUMIF('Eredeti fejléccel'!$B:$B,'Felosztás eredménykim'!$B169,'Eredeti fejléccel'!$BI:$BI)</f>
        <v>0</v>
      </c>
      <c r="CW169" s="6">
        <f>SUMIF('Eredeti fejléccel'!$B:$B,'Felosztás eredménykim'!$B169,'Eredeti fejléccel'!$BL:$BL)</f>
        <v>0</v>
      </c>
      <c r="CX169" s="6">
        <f t="shared" si="241"/>
        <v>0</v>
      </c>
      <c r="CY169" s="6">
        <f>SUMIF('Eredeti fejléccel'!$B:$B,'Felosztás eredménykim'!$B169,'Eredeti fejléccel'!$BJ:$BJ)</f>
        <v>0</v>
      </c>
      <c r="CZ169" s="6">
        <f>SUMIF('Eredeti fejléccel'!$B:$B,'Felosztás eredménykim'!$B169,'Eredeti fejléccel'!$BK:$BK)</f>
        <v>0</v>
      </c>
      <c r="DA169" s="99">
        <f t="shared" si="242"/>
        <v>0</v>
      </c>
      <c r="DC169" s="36">
        <f t="shared" si="227"/>
        <v>0</v>
      </c>
      <c r="DD169" s="6">
        <f>SUMIF('Eredeti fejléccel'!$B:$B,'Felosztás eredménykim'!$B169,'Eredeti fejléccel'!$J:$J)</f>
        <v>0</v>
      </c>
      <c r="DE169" s="6">
        <f>SUMIF('Eredeti fejléccel'!$B:$B,'Felosztás eredménykim'!$B169,'Eredeti fejléccel'!$BM:$BM)</f>
        <v>0</v>
      </c>
      <c r="DF169" s="6">
        <f t="shared" si="296"/>
        <v>0</v>
      </c>
      <c r="DG169" s="8">
        <f t="shared" si="255"/>
        <v>0</v>
      </c>
      <c r="DH169" s="8">
        <f t="shared" si="297"/>
        <v>0</v>
      </c>
      <c r="DJ169" s="6">
        <f>SUMIF('Eredeti fejléccel'!$B:$B,'Felosztás eredménykim'!$B169,'Eredeti fejléccel'!$BN:$BN)</f>
        <v>0</v>
      </c>
      <c r="DK169" s="6">
        <f>SUMIF('Eredeti fejléccel'!$B:$B,'Felosztás eredménykim'!$B169,'Eredeti fejléccel'!$BZ:$BZ)</f>
        <v>0</v>
      </c>
      <c r="DL169" s="8">
        <f t="shared" si="298"/>
        <v>0</v>
      </c>
      <c r="DM169" s="6">
        <f>SUMIF('Eredeti fejléccel'!$B:$B,'Felosztás eredménykim'!$B169,'Eredeti fejléccel'!$BR:$BR)</f>
        <v>0</v>
      </c>
      <c r="DN169" s="6">
        <f>SUMIF('Eredeti fejléccel'!$B:$B,'Felosztás eredménykim'!$B169,'Eredeti fejléccel'!$BS:$BS)</f>
        <v>0</v>
      </c>
      <c r="DO169" s="6">
        <f>SUMIF('Eredeti fejléccel'!$B:$B,'Felosztás eredménykim'!$B169,'Eredeti fejléccel'!$BO:$BO)</f>
        <v>0</v>
      </c>
      <c r="DP169" s="6">
        <f>SUMIF('Eredeti fejléccel'!$B:$B,'Felosztás eredménykim'!$B169,'Eredeti fejléccel'!$BP:$BP)</f>
        <v>0</v>
      </c>
      <c r="DQ169" s="6">
        <f>SUMIF('Eredeti fejléccel'!$B:$B,'Felosztás eredménykim'!$B169,'Eredeti fejléccel'!$BQ:$BQ)</f>
        <v>0</v>
      </c>
      <c r="DS169" s="8"/>
      <c r="DU169" s="6">
        <f>SUMIF('Eredeti fejléccel'!$B:$B,'Felosztás eredménykim'!$B169,'Eredeti fejléccel'!$BT:$BT)</f>
        <v>0</v>
      </c>
      <c r="DV169" s="6">
        <f>SUMIF('Eredeti fejléccel'!$B:$B,'Felosztás eredménykim'!$B169,'Eredeti fejléccel'!$BU:$BU)</f>
        <v>0</v>
      </c>
      <c r="DW169" s="6">
        <f>SUMIF('Eredeti fejléccel'!$B:$B,'Felosztás eredménykim'!$B169,'Eredeti fejléccel'!$BV:$BV)</f>
        <v>0</v>
      </c>
      <c r="DX169" s="6">
        <f>SUMIF('Eredeti fejléccel'!$B:$B,'Felosztás eredménykim'!$B169,'Eredeti fejléccel'!$BW:$BW)</f>
        <v>0</v>
      </c>
      <c r="DY169" s="6">
        <f>SUMIF('Eredeti fejléccel'!$B:$B,'Felosztás eredménykim'!$B169,'Eredeti fejléccel'!$BX:$BX)</f>
        <v>0</v>
      </c>
      <c r="EA169" s="6"/>
      <c r="EC169" s="6"/>
      <c r="EE169" s="6">
        <f>SUMIF('Eredeti fejléccel'!$B:$B,'Felosztás eredménykim'!$B169,'Eredeti fejléccel'!$CA:$CA)</f>
        <v>0</v>
      </c>
      <c r="EF169" s="6">
        <f>SUMIF('Eredeti fejléccel'!$B:$B,'Felosztás eredménykim'!$B169,'Eredeti fejléccel'!$CB:$CB)</f>
        <v>0</v>
      </c>
      <c r="EG169" s="6">
        <f>SUMIF('Eredeti fejléccel'!$B:$B,'Felosztás eredménykim'!$B169,'Eredeti fejléccel'!$CC:$CC)</f>
        <v>0</v>
      </c>
      <c r="EH169" s="6">
        <f>SUMIF('Eredeti fejléccel'!$B:$B,'Felosztás eredménykim'!$B169,'Eredeti fejléccel'!$CD:$CD)</f>
        <v>0</v>
      </c>
      <c r="EK169" s="6">
        <f>SUMIF('Eredeti fejléccel'!$B:$B,'Felosztás eredménykim'!$B169,'Eredeti fejléccel'!$CE:$CE)</f>
        <v>0</v>
      </c>
      <c r="EN169" s="6">
        <f>SUMIF('Eredeti fejléccel'!$B:$B,'Felosztás eredménykim'!$B169,'Eredeti fejléccel'!$CF:$CF)</f>
        <v>0</v>
      </c>
      <c r="EP169" s="6">
        <f>SUMIF('Eredeti fejléccel'!$B:$B,'Felosztás eredménykim'!$B169,'Eredeti fejléccel'!$CG:$CG)</f>
        <v>0</v>
      </c>
      <c r="ES169" s="6">
        <f>SUMIF('Eredeti fejléccel'!$B:$B,'Felosztás eredménykim'!$B169,'Eredeti fejléccel'!$CH:$CH)</f>
        <v>0</v>
      </c>
      <c r="ET169" s="6">
        <f>SUMIF('Eredeti fejléccel'!$B:$B,'Felosztás eredménykim'!$B169,'Eredeti fejléccel'!$CI:$CI)</f>
        <v>0</v>
      </c>
      <c r="EW169" s="8">
        <f t="shared" si="288"/>
        <v>0</v>
      </c>
      <c r="EX169" s="8">
        <f t="shared" si="243"/>
        <v>0</v>
      </c>
      <c r="EY169" s="8">
        <f t="shared" si="244"/>
        <v>0</v>
      </c>
      <c r="EZ169" s="8">
        <f t="shared" si="289"/>
        <v>0</v>
      </c>
      <c r="FA169" s="8">
        <f t="shared" si="290"/>
        <v>0</v>
      </c>
      <c r="FC169" s="6">
        <f>SUMIF('Eredeti fejléccel'!$B:$B,'Felosztás eredménykim'!$B169,'Eredeti fejléccel'!$L:$L)</f>
        <v>0</v>
      </c>
      <c r="FD169" s="6">
        <f>SUMIF('Eredeti fejléccel'!$B:$B,'Felosztás eredménykim'!$B169,'Eredeti fejléccel'!$CJ:$CJ)</f>
        <v>0</v>
      </c>
      <c r="FE169" s="6">
        <f>SUMIF('Eredeti fejléccel'!$B:$B,'Felosztás eredménykim'!$B169,'Eredeti fejléccel'!$CL:$CL)</f>
        <v>0</v>
      </c>
      <c r="FG169" s="99">
        <f t="shared" si="245"/>
        <v>0</v>
      </c>
      <c r="FH169" s="6">
        <f>SUMIF('Eredeti fejléccel'!$B:$B,'Felosztás eredménykim'!$B169,'Eredeti fejléccel'!$CK:$CK)</f>
        <v>0</v>
      </c>
      <c r="FI169" s="36">
        <f t="shared" si="310"/>
        <v>0</v>
      </c>
      <c r="FJ169" s="101">
        <f t="shared" si="229"/>
        <v>0</v>
      </c>
      <c r="FK169" s="6">
        <f>SUMIF('Eredeti fejléccel'!$B:$B,'Felosztás eredménykim'!$B169,'Eredeti fejléccel'!$CM:$CM)</f>
        <v>0</v>
      </c>
      <c r="FL169" s="6">
        <f>SUMIF('Eredeti fejléccel'!$B:$B,'Felosztás eredménykim'!$B169,'Eredeti fejléccel'!$CN:$CN)</f>
        <v>0</v>
      </c>
      <c r="FM169" s="8">
        <f t="shared" si="246"/>
        <v>0</v>
      </c>
      <c r="FN169" s="36">
        <f t="shared" si="311"/>
        <v>0</v>
      </c>
      <c r="FO169" s="101">
        <f t="shared" si="231"/>
        <v>0</v>
      </c>
      <c r="FP169" s="6">
        <f>SUMIF('Eredeti fejléccel'!$B:$B,'Felosztás eredménykim'!$B169,'Eredeti fejléccel'!$CO:$CO)</f>
        <v>0</v>
      </c>
      <c r="FQ169" s="6">
        <f>'Eredeti fejléccel'!CP169</f>
        <v>0</v>
      </c>
      <c r="FR169" s="6">
        <f>'Eredeti fejléccel'!CQ169</f>
        <v>0</v>
      </c>
      <c r="FS169" s="103">
        <f t="shared" si="247"/>
        <v>0</v>
      </c>
      <c r="FT169" s="36">
        <f t="shared" si="312"/>
        <v>0</v>
      </c>
      <c r="FU169" s="101">
        <f t="shared" si="233"/>
        <v>0</v>
      </c>
      <c r="FV169" s="101"/>
      <c r="FW169" s="6">
        <f>SUMIF('Eredeti fejléccel'!$B:$B,'Felosztás eredménykim'!$B169,'Eredeti fejléccel'!$CR:$CR)</f>
        <v>0</v>
      </c>
      <c r="FX169" s="6">
        <f>SUMIF('Eredeti fejléccel'!$B:$B,'Felosztás eredménykim'!$B169,'Eredeti fejléccel'!$CS:$CS)</f>
        <v>0</v>
      </c>
      <c r="FY169" s="6">
        <f>SUMIF('Eredeti fejléccel'!$B:$B,'Felosztás eredménykim'!$B169,'Eredeti fejléccel'!$CT:$CT)</f>
        <v>0</v>
      </c>
      <c r="FZ169" s="6">
        <f>SUMIF('Eredeti fejléccel'!$B:$B,'Felosztás eredménykim'!$B169,'Eredeti fejléccel'!$CU:$CU)</f>
        <v>0</v>
      </c>
      <c r="GA169" s="103">
        <f t="shared" si="248"/>
        <v>0</v>
      </c>
      <c r="GB169" s="36">
        <f t="shared" si="313"/>
        <v>0</v>
      </c>
      <c r="GC169" s="101">
        <f t="shared" si="235"/>
        <v>0</v>
      </c>
      <c r="GD169" s="6">
        <f>SUMIF('Eredeti fejléccel'!$B:$B,'Felosztás eredménykim'!$B169,'Eredeti fejléccel'!$CV:$CV)</f>
        <v>0</v>
      </c>
      <c r="GE169" s="6">
        <f>SUMIF('Eredeti fejléccel'!$B:$B,'Felosztás eredménykim'!$B169,'Eredeti fejléccel'!$CW:$CW)</f>
        <v>0</v>
      </c>
      <c r="GF169" s="103">
        <f t="shared" si="249"/>
        <v>0</v>
      </c>
      <c r="GG169" s="36">
        <f t="shared" si="236"/>
        <v>0</v>
      </c>
      <c r="GM169" s="6">
        <f>SUMIF('Eredeti fejléccel'!$B:$B,'Felosztás eredménykim'!$B169,'Eredeti fejléccel'!$CX:$CX)</f>
        <v>0</v>
      </c>
      <c r="GN169" s="6">
        <f>SUMIF('Eredeti fejléccel'!$B:$B,'Felosztás eredménykim'!$B169,'Eredeti fejléccel'!$CY:$CY)</f>
        <v>0</v>
      </c>
      <c r="GO169" s="6">
        <f>SUMIF('Eredeti fejléccel'!$B:$B,'Felosztás eredménykim'!$B169,'Eredeti fejléccel'!$CZ:$CZ)</f>
        <v>0</v>
      </c>
      <c r="GP169" s="6">
        <f>SUMIF('Eredeti fejléccel'!$B:$B,'Felosztás eredménykim'!$B169,'Eredeti fejléccel'!$DA:$DA)</f>
        <v>0</v>
      </c>
      <c r="GQ169" s="6">
        <f>SUMIF('Eredeti fejléccel'!$B:$B,'Felosztás eredménykim'!$B169,'Eredeti fejléccel'!$DB:$DB)</f>
        <v>0</v>
      </c>
      <c r="GR169" s="103">
        <f t="shared" si="250"/>
        <v>0</v>
      </c>
      <c r="GW169" s="36">
        <f t="shared" si="237"/>
        <v>0</v>
      </c>
      <c r="GX169" s="6">
        <f>SUMIF('Eredeti fejléccel'!$B:$B,'Felosztás eredménykim'!$B169,'Eredeti fejléccel'!$M:$M)</f>
        <v>0</v>
      </c>
      <c r="GY169" s="6">
        <f>SUMIF('Eredeti fejléccel'!$B:$B,'Felosztás eredménykim'!$B169,'Eredeti fejléccel'!$DC:$DC)</f>
        <v>0</v>
      </c>
      <c r="GZ169" s="6">
        <f>SUMIF('Eredeti fejléccel'!$B:$B,'Felosztás eredménykim'!$B169,'Eredeti fejléccel'!$DD:$DD)</f>
        <v>0</v>
      </c>
      <c r="HA169" s="6">
        <f>SUMIF('Eredeti fejléccel'!$B:$B,'Felosztás eredménykim'!$B169,'Eredeti fejléccel'!$DE:$DE)</f>
        <v>0</v>
      </c>
      <c r="HB169" s="103">
        <f t="shared" si="251"/>
        <v>0</v>
      </c>
      <c r="HD169" s="9">
        <f t="shared" si="256"/>
        <v>0</v>
      </c>
      <c r="HE169" s="9"/>
      <c r="HF169" s="476"/>
      <c r="HH169" s="34">
        <f t="shared" si="252"/>
        <v>0</v>
      </c>
    </row>
    <row r="170" spans="1:216" x14ac:dyDescent="0.25">
      <c r="A170" s="4" t="s">
        <v>1713</v>
      </c>
      <c r="B170" s="4" t="s">
        <v>1713</v>
      </c>
      <c r="C170" s="1" t="s">
        <v>1714</v>
      </c>
      <c r="D170" s="6">
        <f>SUMIF('Eredeti fejléccel'!$B:$B,'Felosztás eredménykim'!$B170,'Eredeti fejléccel'!$D:$D)</f>
        <v>0</v>
      </c>
      <c r="E170" s="6">
        <f>SUMIF('Eredeti fejléccel'!$B:$B,'Felosztás eredménykim'!$B170,'Eredeti fejléccel'!$E:$E)</f>
        <v>0</v>
      </c>
      <c r="F170" s="6">
        <f>SUMIF('Eredeti fejléccel'!$B:$B,'Felosztás eredménykim'!$B170,'Eredeti fejléccel'!$F:$F)</f>
        <v>0</v>
      </c>
      <c r="G170" s="6">
        <f>SUMIF('Eredeti fejléccel'!$B:$B,'Felosztás eredménykim'!$B170,'Eredeti fejléccel'!$G:$G)</f>
        <v>0</v>
      </c>
      <c r="H170" s="6"/>
      <c r="I170" s="6">
        <f>SUMIF('Eredeti fejléccel'!$B:$B,'Felosztás eredménykim'!$B170,'Eredeti fejléccel'!$O:$O)</f>
        <v>0</v>
      </c>
      <c r="J170" s="6">
        <f>SUMIF('Eredeti fejléccel'!$B:$B,'Felosztás eredménykim'!$B170,'Eredeti fejléccel'!$P:$P)</f>
        <v>0</v>
      </c>
      <c r="K170" s="6">
        <f>SUMIF('Eredeti fejléccel'!$B:$B,'Felosztás eredménykim'!$B170,'Eredeti fejléccel'!$Q:$Q)</f>
        <v>0</v>
      </c>
      <c r="L170" s="6">
        <f>SUMIF('Eredeti fejléccel'!$B:$B,'Felosztás eredménykim'!$B170,'Eredeti fejléccel'!$R:$R)</f>
        <v>0</v>
      </c>
      <c r="M170" s="6">
        <f>SUMIF('Eredeti fejléccel'!$B:$B,'Felosztás eredménykim'!$B170,'Eredeti fejléccel'!$T:$T)</f>
        <v>0</v>
      </c>
      <c r="N170" s="6">
        <f>SUMIF('Eredeti fejléccel'!$B:$B,'Felosztás eredménykim'!$B170,'Eredeti fejléccel'!$U:$U)</f>
        <v>0</v>
      </c>
      <c r="O170" s="6">
        <f>SUMIF('Eredeti fejléccel'!$B:$B,'Felosztás eredménykim'!$B170,'Eredeti fejléccel'!$V:$V)</f>
        <v>0</v>
      </c>
      <c r="P170" s="6">
        <f>SUMIF('Eredeti fejléccel'!$B:$B,'Felosztás eredménykim'!$B170,'Eredeti fejléccel'!$W:$W)</f>
        <v>0</v>
      </c>
      <c r="Q170" s="6">
        <f>SUMIF('Eredeti fejléccel'!$B:$B,'Felosztás eredménykim'!$B170,'Eredeti fejléccel'!$X:$X)</f>
        <v>0</v>
      </c>
      <c r="R170" s="6">
        <f>SUMIF('Eredeti fejléccel'!$B:$B,'Felosztás eredménykim'!$B170,'Eredeti fejléccel'!$Y:$Y)</f>
        <v>0</v>
      </c>
      <c r="S170" s="6">
        <f>SUMIF('Eredeti fejléccel'!$B:$B,'Felosztás eredménykim'!$B170,'Eredeti fejléccel'!$Z:$Z)</f>
        <v>0</v>
      </c>
      <c r="T170" s="6">
        <f>SUMIF('Eredeti fejléccel'!$B:$B,'Felosztás eredménykim'!$B170,'Eredeti fejléccel'!$AA:$AA)</f>
        <v>0</v>
      </c>
      <c r="U170" s="6">
        <f>SUMIF('Eredeti fejléccel'!$B:$B,'Felosztás eredménykim'!$B170,'Eredeti fejléccel'!$D:$D)</f>
        <v>0</v>
      </c>
      <c r="V170" s="6">
        <f>SUMIF('Eredeti fejléccel'!$B:$B,'Felosztás eredménykim'!$B170,'Eredeti fejléccel'!$AT:$AT)</f>
        <v>0</v>
      </c>
      <c r="W170" s="36">
        <f t="shared" si="302"/>
        <v>0</v>
      </c>
      <c r="X170" s="36">
        <f t="shared" si="211"/>
        <v>0</v>
      </c>
      <c r="Z170" s="6">
        <f>SUMIF('Eredeti fejléccel'!$B:$B,'Felosztás eredménykim'!$B170,'Eredeti fejléccel'!$K:$K)</f>
        <v>0</v>
      </c>
      <c r="AB170" s="6">
        <f>SUMIF('Eredeti fejléccel'!$B:$B,'Felosztás eredménykim'!$B170,'Eredeti fejléccel'!$AB:$AB)</f>
        <v>0</v>
      </c>
      <c r="AC170" s="6">
        <f>SUMIF('Eredeti fejléccel'!$B:$B,'Felosztás eredménykim'!$B170,'Eredeti fejléccel'!$AQ:$AQ)</f>
        <v>0</v>
      </c>
      <c r="AE170" s="73">
        <f>SUM(Z170:AD170)</f>
        <v>0</v>
      </c>
      <c r="AF170" s="36">
        <f t="shared" ref="AF170" si="314">$X170/$HD$290*(AG$290+AG$291)</f>
        <v>0</v>
      </c>
      <c r="AG170" s="8">
        <f t="shared" si="213"/>
        <v>0</v>
      </c>
      <c r="AI170" s="6">
        <f>SUMIF('Eredeti fejléccel'!$B:$B,'Felosztás eredménykim'!$B170,'Eredeti fejléccel'!$BB:$BB)</f>
        <v>0</v>
      </c>
      <c r="AJ170" s="6">
        <f>SUMIF('Eredeti fejléccel'!$B:$B,'Felosztás eredménykim'!$B170,'Eredeti fejléccel'!$AF:$AF)</f>
        <v>0</v>
      </c>
      <c r="AK170" s="8">
        <f>SUM(AG170:AJ170)</f>
        <v>0</v>
      </c>
      <c r="AL170" s="36">
        <f t="shared" ref="AL170" si="315">$X170/$HD$290*(AM$290+AM$291)</f>
        <v>0</v>
      </c>
      <c r="AM170" s="8">
        <f t="shared" si="215"/>
        <v>0</v>
      </c>
      <c r="AN170" s="6">
        <f t="shared" ref="AN170" si="316">-AO170/2</f>
        <v>0</v>
      </c>
      <c r="AO170" s="6">
        <f>SUMIF('Eredeti fejléccel'!$B:$B,'Felosztás eredménykim'!$B170,'Eredeti fejléccel'!$AC:$AC)</f>
        <v>0</v>
      </c>
      <c r="AP170" s="6">
        <f>SUMIF('Eredeti fejléccel'!$B:$B,'Felosztás eredménykim'!$B170,'Eredeti fejléccel'!$AD:$AD)</f>
        <v>0</v>
      </c>
      <c r="AQ170" s="6">
        <f>SUMIF('Eredeti fejléccel'!$B:$B,'Felosztás eredménykim'!$B170,'Eredeti fejléccel'!$AE:$AE)</f>
        <v>0</v>
      </c>
      <c r="AR170" s="6">
        <f>SUMIF('Eredeti fejléccel'!$B:$B,'Felosztás eredménykim'!$B170,'Eredeti fejléccel'!$AG:$AG)</f>
        <v>0</v>
      </c>
      <c r="AS170" s="6">
        <f t="shared" ref="AS170" si="317">SUM(AM170:AR170)</f>
        <v>0</v>
      </c>
      <c r="AT170" s="36">
        <f t="shared" ref="AT170" si="318">$X170/$HD$290*(AU$290+AU$291)</f>
        <v>0</v>
      </c>
      <c r="AU170" s="8">
        <f t="shared" si="217"/>
        <v>0</v>
      </c>
      <c r="AV170" s="6">
        <f>SUMIF('Eredeti fejléccel'!$B:$B,'Felosztás eredménykim'!$B170,'Eredeti fejléccel'!$AI:$AI)</f>
        <v>0</v>
      </c>
      <c r="AW170" s="6">
        <f>SUMIF('Eredeti fejléccel'!$B:$B,'Felosztás eredménykim'!$B170,'Eredeti fejléccel'!$AJ:$AJ)</f>
        <v>0</v>
      </c>
      <c r="AX170" s="6">
        <f>SUMIF('Eredeti fejléccel'!$B:$B,'Felosztás eredménykim'!$B170,'Eredeti fejléccel'!$AK:$AK)</f>
        <v>0</v>
      </c>
      <c r="AY170" s="6">
        <f>SUMIF('Eredeti fejléccel'!$B:$B,'Felosztás eredménykim'!$B170,'Eredeti fejléccel'!$AL:$AL)</f>
        <v>0</v>
      </c>
      <c r="AZ170" s="6">
        <f>SUMIF('Eredeti fejléccel'!$B:$B,'Felosztás eredménykim'!$B170,'Eredeti fejléccel'!$AM:$AM)</f>
        <v>0</v>
      </c>
      <c r="BA170" s="6">
        <f>SUMIF('Eredeti fejléccel'!$B:$B,'Felosztás eredménykim'!$B170,'Eredeti fejléccel'!$AN:$AN)</f>
        <v>0</v>
      </c>
      <c r="BB170" s="6">
        <f>SUMIF('Eredeti fejléccel'!$B:$B,'Felosztás eredménykim'!$B170,'Eredeti fejléccel'!$AP:$AP)</f>
        <v>0</v>
      </c>
      <c r="BD170" s="6">
        <f>SUMIF('Eredeti fejléccel'!$B:$B,'Felosztás eredménykim'!$B170,'Eredeti fejléccel'!$AS:$AS)</f>
        <v>0</v>
      </c>
      <c r="BE170" s="8">
        <f>SUM(AU170:BD170)</f>
        <v>0</v>
      </c>
      <c r="BF170" s="36">
        <f t="shared" ref="BF170" si="319">$X170/$HD$290*(BG$290+BG$291)</f>
        <v>0</v>
      </c>
      <c r="BG170" s="8">
        <f t="shared" si="219"/>
        <v>0</v>
      </c>
      <c r="BH170" s="6">
        <f t="shared" ref="BH170" si="320">AO170/2</f>
        <v>0</v>
      </c>
      <c r="BI170" s="6">
        <f>SUMIF('Eredeti fejléccel'!$B:$B,'Felosztás eredménykim'!$B170,'Eredeti fejléccel'!$AH:$AH)</f>
        <v>0</v>
      </c>
      <c r="BJ170" s="6">
        <f>SUMIF('Eredeti fejléccel'!$B:$B,'Felosztás eredménykim'!$B170,'Eredeti fejléccel'!$AO:$AO)</f>
        <v>0</v>
      </c>
      <c r="BK170" s="6">
        <f>SUMIF('Eredeti fejléccel'!$B:$B,'Felosztás eredménykim'!$B170,'Eredeti fejléccel'!$BF:$BF)</f>
        <v>0</v>
      </c>
      <c r="BL170" s="8">
        <f t="shared" ref="BL170" si="321">SUM(BG170:BK170)</f>
        <v>0</v>
      </c>
      <c r="BM170" s="36">
        <f t="shared" ref="BM170" si="322">$X170/$HD$290*(BN$290+BN$291)</f>
        <v>0</v>
      </c>
      <c r="BN170" s="8">
        <f t="shared" si="221"/>
        <v>0</v>
      </c>
      <c r="BP170" s="8">
        <f t="shared" ref="BP170" si="323">-FV170</f>
        <v>0</v>
      </c>
      <c r="BQ170" s="6">
        <f>SUMIF('Eredeti fejléccel'!$B:$B,'Felosztás eredménykim'!$B170,'Eredeti fejléccel'!$N:$N)</f>
        <v>0</v>
      </c>
      <c r="BR170" s="6">
        <f>SUMIF('Eredeti fejléccel'!$B:$B,'Felosztás eredménykim'!$B170,'Eredeti fejléccel'!$S:$S)</f>
        <v>0</v>
      </c>
      <c r="BT170" s="6">
        <f>SUMIF('Eredeti fejléccel'!$B:$B,'Felosztás eredménykim'!$B170,'Eredeti fejléccel'!$AR:$AR)</f>
        <v>0</v>
      </c>
      <c r="BU170" s="6">
        <f>SUMIF('Eredeti fejléccel'!$B:$B,'Felosztás eredménykim'!$B170,'Eredeti fejléccel'!$AU:$AU)</f>
        <v>0</v>
      </c>
      <c r="BV170" s="6">
        <f>SUMIF('Eredeti fejléccel'!$B:$B,'Felosztás eredménykim'!$B170,'Eredeti fejléccel'!$AV:$AV)</f>
        <v>0</v>
      </c>
      <c r="BW170" s="6">
        <f>SUMIF('Eredeti fejléccel'!$B:$B,'Felosztás eredménykim'!$B170,'Eredeti fejléccel'!$AW:$AW)</f>
        <v>0</v>
      </c>
      <c r="BX170" s="6">
        <f>SUMIF('Eredeti fejléccel'!$B:$B,'Felosztás eredménykim'!$B170,'Eredeti fejléccel'!$AX:$AX)</f>
        <v>0</v>
      </c>
      <c r="BY170" s="6">
        <f>SUMIF('Eredeti fejléccel'!$B:$B,'Felosztás eredménykim'!$B170,'Eredeti fejléccel'!$AY:$AY)</f>
        <v>0</v>
      </c>
      <c r="BZ170" s="6">
        <f>SUMIF('Eredeti fejléccel'!$B:$B,'Felosztás eredménykim'!$B170,'Eredeti fejléccel'!$AZ:$AZ)</f>
        <v>0</v>
      </c>
      <c r="CA170" s="6">
        <f>SUMIF('Eredeti fejléccel'!$B:$B,'Felosztás eredménykim'!$B170,'Eredeti fejléccel'!$BA:$BA)</f>
        <v>0</v>
      </c>
      <c r="CB170" s="6">
        <f t="shared" ref="CB170" si="324">SUM(BN170:CA170)</f>
        <v>0</v>
      </c>
      <c r="CC170" s="36">
        <f t="shared" ref="CC170" si="325">$X170/$HD$290*(CD$290+CD$291)</f>
        <v>0</v>
      </c>
      <c r="CD170" s="8">
        <f t="shared" si="223"/>
        <v>0</v>
      </c>
      <c r="CE170" s="6">
        <f>SUMIF('Eredeti fejléccel'!$B:$B,'Felosztás eredménykim'!$B170,'Eredeti fejléccel'!$BC:$BC)</f>
        <v>0</v>
      </c>
      <c r="CF170" s="8">
        <f>-CE170/2</f>
        <v>0</v>
      </c>
      <c r="CG170" s="6">
        <f>SUMIF('Eredeti fejléccel'!$B:$B,'Felosztás eredménykim'!$B170,'Eredeti fejléccel'!$H:$H)</f>
        <v>0</v>
      </c>
      <c r="CH170" s="6">
        <f>SUMIF('Eredeti fejléccel'!$B:$B,'Felosztás eredménykim'!$B170,'Eredeti fejléccel'!$BE:$BE)</f>
        <v>0</v>
      </c>
      <c r="CI170" s="6">
        <f>SUM(CD170:CH170)</f>
        <v>0</v>
      </c>
      <c r="CJ170" s="36">
        <f t="shared" ref="CJ170" si="326">$X170/$HD$290*(CK$290+CK$291)</f>
        <v>0</v>
      </c>
      <c r="CK170" s="8">
        <f t="shared" si="225"/>
        <v>0</v>
      </c>
      <c r="CL170" s="8">
        <f>CE170/2</f>
        <v>0</v>
      </c>
      <c r="CM170" s="6">
        <f>SUMIF('Eredeti fejléccel'!$B:$B,'Felosztás eredménykim'!$B170,'Eredeti fejléccel'!$BD:$BD)</f>
        <v>0</v>
      </c>
      <c r="CN170" s="8">
        <f>SUM(CK170:CM170)</f>
        <v>0</v>
      </c>
      <c r="CO170" s="8">
        <f t="shared" ref="CO170" si="327">+AF170+AK170+AL170+AS170+AT170+BE170+BF170+BL170+BM170+CB170+CC170+CI170+CJ170+CN170</f>
        <v>0</v>
      </c>
      <c r="CR170" s="36">
        <f t="shared" si="226"/>
        <v>0</v>
      </c>
      <c r="CS170" s="6">
        <f>SUMIF('Eredeti fejléccel'!$B:$B,'Felosztás eredménykim'!$B170,'Eredeti fejléccel'!$I:$I)</f>
        <v>0</v>
      </c>
      <c r="CT170" s="6">
        <f>SUMIF('Eredeti fejléccel'!$B:$B,'Felosztás eredménykim'!$B170,'Eredeti fejléccel'!$BG:$BG)</f>
        <v>0</v>
      </c>
      <c r="CU170" s="6">
        <f>SUMIF('Eredeti fejléccel'!$B:$B,'Felosztás eredménykim'!$B170,'Eredeti fejléccel'!$BH:$BH)</f>
        <v>0</v>
      </c>
      <c r="CV170" s="6">
        <f>SUMIF('Eredeti fejléccel'!$B:$B,'Felosztás eredménykim'!$B170,'Eredeti fejléccel'!$BI:$BI)</f>
        <v>0</v>
      </c>
      <c r="CW170" s="6">
        <f>SUMIF('Eredeti fejléccel'!$B:$B,'Felosztás eredménykim'!$B170,'Eredeti fejléccel'!$BL:$BL)</f>
        <v>0</v>
      </c>
      <c r="CX170" s="6">
        <f>SUM(CS170:CW170)</f>
        <v>0</v>
      </c>
      <c r="CY170" s="6">
        <f>SUMIF('Eredeti fejléccel'!$B:$B,'Felosztás eredménykim'!$B170,'Eredeti fejléccel'!$BJ:$BJ)</f>
        <v>0</v>
      </c>
      <c r="CZ170" s="6">
        <f>SUMIF('Eredeti fejléccel'!$B:$B,'Felosztás eredménykim'!$B170,'Eredeti fejléccel'!$BK:$BK)</f>
        <v>0</v>
      </c>
      <c r="DA170" s="99">
        <f t="shared" si="242"/>
        <v>0</v>
      </c>
      <c r="DC170" s="36">
        <f t="shared" si="227"/>
        <v>0</v>
      </c>
      <c r="DD170" s="6">
        <f>SUMIF('Eredeti fejléccel'!$B:$B,'Felosztás eredménykim'!$B170,'Eredeti fejléccel'!$J:$J)</f>
        <v>0</v>
      </c>
      <c r="DE170" s="6">
        <f>SUMIF('Eredeti fejléccel'!$B:$B,'Felosztás eredménykim'!$B170,'Eredeti fejléccel'!$BM:$BM)</f>
        <v>0</v>
      </c>
      <c r="DF170" s="6">
        <f t="shared" ref="DF170" si="328">-DI170</f>
        <v>0</v>
      </c>
      <c r="DG170" s="8">
        <f t="shared" ref="DG170" si="329">-BO170</f>
        <v>0</v>
      </c>
      <c r="DH170" s="8">
        <f t="shared" ref="DH170" si="330">SUM(DD170:DG170)</f>
        <v>0</v>
      </c>
      <c r="DJ170" s="6">
        <f>SUMIF('Eredeti fejléccel'!$B:$B,'Felosztás eredménykim'!$B170,'Eredeti fejléccel'!$BN:$BN)</f>
        <v>0</v>
      </c>
      <c r="DK170" s="6">
        <f>SUMIF('Eredeti fejléccel'!$B:$B,'Felosztás eredménykim'!$B170,'Eredeti fejléccel'!$BZ:$BZ)</f>
        <v>0</v>
      </c>
      <c r="DL170" s="8">
        <f t="shared" ref="DL170" si="331">SUM(DI170:DK170)</f>
        <v>0</v>
      </c>
      <c r="DM170" s="6">
        <f>SUMIF('Eredeti fejléccel'!$B:$B,'Felosztás eredménykim'!$B170,'Eredeti fejléccel'!$BR:$BR)</f>
        <v>0</v>
      </c>
      <c r="DN170" s="6">
        <f>SUMIF('Eredeti fejléccel'!$B:$B,'Felosztás eredménykim'!$B170,'Eredeti fejléccel'!$BS:$BS)</f>
        <v>0</v>
      </c>
      <c r="DO170" s="6">
        <f>SUMIF('Eredeti fejléccel'!$B:$B,'Felosztás eredménykim'!$B170,'Eredeti fejléccel'!$BO:$BO)</f>
        <v>0</v>
      </c>
      <c r="DP170" s="6">
        <f>SUMIF('Eredeti fejléccel'!$B:$B,'Felosztás eredménykim'!$B170,'Eredeti fejléccel'!$BP:$BP)</f>
        <v>0</v>
      </c>
      <c r="DQ170" s="6">
        <f>SUMIF('Eredeti fejléccel'!$B:$B,'Felosztás eredménykim'!$B170,'Eredeti fejléccel'!$BQ:$BQ)</f>
        <v>0</v>
      </c>
      <c r="DS170" s="8"/>
      <c r="DU170" s="6">
        <f>SUMIF('Eredeti fejléccel'!$B:$B,'Felosztás eredménykim'!$B170,'Eredeti fejléccel'!$BT:$BT)</f>
        <v>0</v>
      </c>
      <c r="DV170" s="6">
        <f>SUMIF('Eredeti fejléccel'!$B:$B,'Felosztás eredménykim'!$B170,'Eredeti fejléccel'!$BU:$BU)</f>
        <v>0</v>
      </c>
      <c r="DW170" s="6">
        <f>SUMIF('Eredeti fejléccel'!$B:$B,'Felosztás eredménykim'!$B170,'Eredeti fejléccel'!$BV:$BV)</f>
        <v>0</v>
      </c>
      <c r="DX170" s="6">
        <f>SUMIF('Eredeti fejléccel'!$B:$B,'Felosztás eredménykim'!$B170,'Eredeti fejléccel'!$BW:$BW)</f>
        <v>0</v>
      </c>
      <c r="DY170" s="6">
        <f>SUMIF('Eredeti fejléccel'!$B:$B,'Felosztás eredménykim'!$B170,'Eredeti fejléccel'!$BX:$BX)</f>
        <v>0</v>
      </c>
      <c r="EA170" s="6"/>
      <c r="EC170" s="6"/>
      <c r="EE170" s="6">
        <f>SUMIF('Eredeti fejléccel'!$B:$B,'Felosztás eredménykim'!$B170,'Eredeti fejléccel'!$CA:$CA)</f>
        <v>0</v>
      </c>
      <c r="EF170" s="6">
        <f>SUMIF('Eredeti fejléccel'!$B:$B,'Felosztás eredménykim'!$B170,'Eredeti fejléccel'!$CB:$CB)</f>
        <v>0</v>
      </c>
      <c r="EG170" s="6">
        <f>SUMIF('Eredeti fejléccel'!$B:$B,'Felosztás eredménykim'!$B170,'Eredeti fejléccel'!$CC:$CC)</f>
        <v>0</v>
      </c>
      <c r="EH170" s="6">
        <f>SUMIF('Eredeti fejléccel'!$B:$B,'Felosztás eredménykim'!$B170,'Eredeti fejléccel'!$CD:$CD)</f>
        <v>0</v>
      </c>
      <c r="EK170" s="6">
        <f>SUMIF('Eredeti fejléccel'!$B:$B,'Felosztás eredménykim'!$B170,'Eredeti fejléccel'!$CE:$CE)</f>
        <v>0</v>
      </c>
      <c r="EN170" s="6">
        <f>SUMIF('Eredeti fejléccel'!$B:$B,'Felosztás eredménykim'!$B170,'Eredeti fejléccel'!$CF:$CF)</f>
        <v>0</v>
      </c>
      <c r="EP170" s="6">
        <f>SUMIF('Eredeti fejléccel'!$B:$B,'Felosztás eredménykim'!$B170,'Eredeti fejléccel'!$CG:$CG)</f>
        <v>0</v>
      </c>
      <c r="ES170" s="6">
        <f>SUMIF('Eredeti fejléccel'!$B:$B,'Felosztás eredménykim'!$B170,'Eredeti fejléccel'!$CH:$CH)</f>
        <v>0</v>
      </c>
      <c r="ET170" s="6">
        <f>SUMIF('Eredeti fejléccel'!$B:$B,'Felosztás eredménykim'!$B170,'Eredeti fejléccel'!$CI:$CI)</f>
        <v>0</v>
      </c>
      <c r="EW170" s="8">
        <f t="shared" ref="EW170" si="332">SUM(DR170:ED170)</f>
        <v>0</v>
      </c>
      <c r="EX170" s="8">
        <f>SUM(EE170:EV170)</f>
        <v>0</v>
      </c>
      <c r="EY170" s="8">
        <f t="shared" si="244"/>
        <v>0</v>
      </c>
      <c r="EZ170" s="8">
        <f t="shared" ref="EZ170" si="333">EY170+DL170+DM170+DN170+DO170+DP170+DQ170</f>
        <v>0</v>
      </c>
      <c r="FA170" s="8">
        <f t="shared" ref="FA170" si="334">EZ170-DL170-DM170</f>
        <v>0</v>
      </c>
      <c r="FC170" s="6">
        <f>SUMIF('Eredeti fejléccel'!$B:$B,'Felosztás eredménykim'!$B170,'Eredeti fejléccel'!$L:$L)</f>
        <v>0</v>
      </c>
      <c r="FD170" s="6">
        <f>SUMIF('Eredeti fejléccel'!$B:$B,'Felosztás eredménykim'!$B170,'Eredeti fejléccel'!$CJ:$CJ)</f>
        <v>0</v>
      </c>
      <c r="FE170" s="6">
        <f>SUMIF('Eredeti fejléccel'!$B:$B,'Felosztás eredménykim'!$B170,'Eredeti fejléccel'!$CL:$CL)</f>
        <v>0</v>
      </c>
      <c r="FG170" s="99">
        <f>SUM(FC170:FF170)</f>
        <v>0</v>
      </c>
      <c r="FH170" s="6">
        <f>SUMIF('Eredeti fejléccel'!$B:$B,'Felosztás eredménykim'!$B170,'Eredeti fejléccel'!$CK:$CK)</f>
        <v>0</v>
      </c>
      <c r="FI170" s="36">
        <f t="shared" ref="FI170" si="335">$X170/$HD$290*(FJ$290+FJ$293)</f>
        <v>0</v>
      </c>
      <c r="FJ170" s="101">
        <f t="shared" si="229"/>
        <v>0</v>
      </c>
      <c r="FK170" s="6">
        <f>SUMIF('Eredeti fejléccel'!$B:$B,'Felosztás eredménykim'!$B170,'Eredeti fejléccel'!$CM:$CM)</f>
        <v>0</v>
      </c>
      <c r="FL170" s="6">
        <f>SUMIF('Eredeti fejléccel'!$B:$B,'Felosztás eredménykim'!$B170,'Eredeti fejléccel'!$CN:$CN)</f>
        <v>0</v>
      </c>
      <c r="FM170" s="8">
        <f>SUM(FJ170:FL170)</f>
        <v>0</v>
      </c>
      <c r="FN170" s="36">
        <f t="shared" ref="FN170" si="336">$X170/$HD$290*(FO$290+FO$293)</f>
        <v>0</v>
      </c>
      <c r="FO170" s="101">
        <f t="shared" si="231"/>
        <v>0</v>
      </c>
      <c r="FP170" s="6">
        <f>SUMIF('Eredeti fejléccel'!$B:$B,'Felosztás eredménykim'!$B170,'Eredeti fejléccel'!$CO:$CO)</f>
        <v>0</v>
      </c>
      <c r="FQ170" s="6">
        <f>'Eredeti fejléccel'!CP170</f>
        <v>0</v>
      </c>
      <c r="FR170" s="6">
        <f>'Eredeti fejléccel'!CQ170</f>
        <v>0</v>
      </c>
      <c r="FS170" s="103">
        <f t="shared" si="247"/>
        <v>0</v>
      </c>
      <c r="FT170" s="36">
        <f t="shared" ref="FT170" si="337">$X170/$HD$290*(FU$290+FU$293)</f>
        <v>0</v>
      </c>
      <c r="FU170" s="101">
        <f t="shared" si="233"/>
        <v>0</v>
      </c>
      <c r="FV170" s="101"/>
      <c r="FW170" s="6">
        <f>SUMIF('Eredeti fejléccel'!$B:$B,'Felosztás eredménykim'!$B170,'Eredeti fejléccel'!$CR:$CR)</f>
        <v>0</v>
      </c>
      <c r="FX170" s="6">
        <f>SUMIF('Eredeti fejléccel'!$B:$B,'Felosztás eredménykim'!$B170,'Eredeti fejléccel'!$CS:$CS)</f>
        <v>0</v>
      </c>
      <c r="FY170" s="6">
        <f>SUMIF('Eredeti fejléccel'!$B:$B,'Felosztás eredménykim'!$B170,'Eredeti fejléccel'!$CT:$CT)</f>
        <v>0</v>
      </c>
      <c r="FZ170" s="6">
        <f>SUMIF('Eredeti fejléccel'!$B:$B,'Felosztás eredménykim'!$B170,'Eredeti fejléccel'!$CU:$CU)</f>
        <v>0</v>
      </c>
      <c r="GA170" s="103">
        <f>SUM(FU170:FZ170)</f>
        <v>0</v>
      </c>
      <c r="GB170" s="36">
        <f t="shared" ref="GB170" si="338">$X170/$HD$290*(GC$290+GC$293)</f>
        <v>0</v>
      </c>
      <c r="GC170" s="101">
        <f t="shared" si="235"/>
        <v>0</v>
      </c>
      <c r="GD170" s="6">
        <f>SUMIF('Eredeti fejléccel'!$B:$B,'Felosztás eredménykim'!$B170,'Eredeti fejléccel'!$CV:$CV)</f>
        <v>0</v>
      </c>
      <c r="GE170" s="6">
        <f>SUMIF('Eredeti fejléccel'!$B:$B,'Felosztás eredménykim'!$B170,'Eredeti fejléccel'!$CW:$CW)</f>
        <v>0</v>
      </c>
      <c r="GF170" s="103">
        <f>SUM(GC170:GE170)</f>
        <v>0</v>
      </c>
      <c r="GG170" s="36">
        <f t="shared" si="236"/>
        <v>0</v>
      </c>
      <c r="GM170" s="6">
        <f>SUMIF('Eredeti fejléccel'!$B:$B,'Felosztás eredménykim'!$B170,'Eredeti fejléccel'!$CX:$CX)</f>
        <v>0</v>
      </c>
      <c r="GN170" s="6">
        <f>SUMIF('Eredeti fejléccel'!$B:$B,'Felosztás eredménykim'!$B170,'Eredeti fejléccel'!$CY:$CY)</f>
        <v>0</v>
      </c>
      <c r="GO170" s="6">
        <f>SUMIF('Eredeti fejléccel'!$B:$B,'Felosztás eredménykim'!$B170,'Eredeti fejléccel'!$CZ:$CZ)</f>
        <v>0</v>
      </c>
      <c r="GP170" s="6">
        <f>SUMIF('Eredeti fejléccel'!$B:$B,'Felosztás eredménykim'!$B170,'Eredeti fejléccel'!$DA:$DA)</f>
        <v>0</v>
      </c>
      <c r="GQ170" s="6">
        <f>SUMIF('Eredeti fejléccel'!$B:$B,'Felosztás eredménykim'!$B170,'Eredeti fejléccel'!$DB:$DB)</f>
        <v>0</v>
      </c>
      <c r="GR170" s="103">
        <f>SUM(GH170:GQ170)</f>
        <v>0</v>
      </c>
      <c r="GW170" s="36">
        <f t="shared" si="237"/>
        <v>0</v>
      </c>
      <c r="GX170" s="6">
        <f>SUMIF('Eredeti fejléccel'!$B:$B,'Felosztás eredménykim'!$B170,'Eredeti fejléccel'!$M:$M)</f>
        <v>0</v>
      </c>
      <c r="GY170" s="6">
        <f>SUMIF('Eredeti fejléccel'!$B:$B,'Felosztás eredménykim'!$B170,'Eredeti fejléccel'!$DC:$DC)</f>
        <v>0</v>
      </c>
      <c r="GZ170" s="6">
        <f>SUMIF('Eredeti fejléccel'!$B:$B,'Felosztás eredménykim'!$B170,'Eredeti fejléccel'!$DD:$DD)</f>
        <v>0</v>
      </c>
      <c r="HA170" s="6">
        <f>SUMIF('Eredeti fejléccel'!$B:$B,'Felosztás eredménykim'!$B170,'Eredeti fejléccel'!$DE:$DE)</f>
        <v>0</v>
      </c>
      <c r="HB170" s="103">
        <f>SUM(GX170:HA170)</f>
        <v>0</v>
      </c>
      <c r="HD170" s="9">
        <f t="shared" si="256"/>
        <v>0</v>
      </c>
      <c r="HE170" s="9"/>
      <c r="HF170" s="476"/>
      <c r="HH170" s="34">
        <f>+HD170-HE170</f>
        <v>0</v>
      </c>
    </row>
    <row r="171" spans="1:216" x14ac:dyDescent="0.25">
      <c r="A171" s="208" t="s">
        <v>933</v>
      </c>
      <c r="B171" s="208" t="s">
        <v>933</v>
      </c>
      <c r="D171" s="6">
        <f>SUMIF('Eredeti fejléccel'!$B:$B,'Felosztás eredménykim'!$B171,'Eredeti fejléccel'!$D:$D)</f>
        <v>0</v>
      </c>
      <c r="E171" s="6">
        <f>SUMIF('Eredeti fejléccel'!$B:$B,'Felosztás eredménykim'!$B171,'Eredeti fejléccel'!$E:$E)</f>
        <v>0</v>
      </c>
      <c r="F171" s="6">
        <f>SUMIF('Eredeti fejléccel'!$B:$B,'Felosztás eredménykim'!$B171,'Eredeti fejléccel'!$F:$F)</f>
        <v>0</v>
      </c>
      <c r="G171" s="6">
        <f>SUMIF('Eredeti fejléccel'!$B:$B,'Felosztás eredménykim'!$B171,'Eredeti fejléccel'!$G:$G)</f>
        <v>0</v>
      </c>
      <c r="H171" s="6"/>
      <c r="I171" s="6">
        <f>SUMIF('Eredeti fejléccel'!$B:$B,'Felosztás eredménykim'!$B171,'Eredeti fejléccel'!$O:$O)</f>
        <v>0</v>
      </c>
      <c r="J171" s="6">
        <f>SUMIF('Eredeti fejléccel'!$B:$B,'Felosztás eredménykim'!$B171,'Eredeti fejléccel'!$P:$P)</f>
        <v>0</v>
      </c>
      <c r="K171" s="6">
        <f>SUMIF('Eredeti fejléccel'!$B:$B,'Felosztás eredménykim'!$B171,'Eredeti fejléccel'!$Q:$Q)</f>
        <v>0</v>
      </c>
      <c r="L171" s="6">
        <f>SUMIF('Eredeti fejléccel'!$B:$B,'Felosztás eredménykim'!$B171,'Eredeti fejléccel'!$R:$R)</f>
        <v>0</v>
      </c>
      <c r="M171" s="6">
        <f>SUMIF('Eredeti fejléccel'!$B:$B,'Felosztás eredménykim'!$B171,'Eredeti fejléccel'!$T:$T)</f>
        <v>0</v>
      </c>
      <c r="N171" s="6">
        <f>SUMIF('Eredeti fejléccel'!$B:$B,'Felosztás eredménykim'!$B171,'Eredeti fejléccel'!$U:$U)</f>
        <v>0</v>
      </c>
      <c r="O171" s="6">
        <f>SUMIF('Eredeti fejléccel'!$B:$B,'Felosztás eredménykim'!$B171,'Eredeti fejléccel'!$V:$V)</f>
        <v>0</v>
      </c>
      <c r="P171" s="6">
        <f>SUMIF('Eredeti fejléccel'!$B:$B,'Felosztás eredménykim'!$B171,'Eredeti fejléccel'!$W:$W)</f>
        <v>0</v>
      </c>
      <c r="Q171" s="6">
        <f>SUMIF('Eredeti fejléccel'!$B:$B,'Felosztás eredménykim'!$B171,'Eredeti fejléccel'!$X:$X)</f>
        <v>0</v>
      </c>
      <c r="R171" s="6">
        <f>SUMIF('Eredeti fejléccel'!$B:$B,'Felosztás eredménykim'!$B171,'Eredeti fejléccel'!$Y:$Y)</f>
        <v>0</v>
      </c>
      <c r="S171" s="6">
        <f>SUMIF('Eredeti fejléccel'!$B:$B,'Felosztás eredménykim'!$B171,'Eredeti fejléccel'!$Z:$Z)</f>
        <v>0</v>
      </c>
      <c r="T171" s="6">
        <f>SUMIF('Eredeti fejléccel'!$B:$B,'Felosztás eredménykim'!$B171,'Eredeti fejléccel'!$AA:$AA)</f>
        <v>0</v>
      </c>
      <c r="U171" s="6">
        <f>SUMIF('Eredeti fejléccel'!$B:$B,'Felosztás eredménykim'!$B171,'Eredeti fejléccel'!$D:$D)</f>
        <v>0</v>
      </c>
      <c r="V171" s="6">
        <f>SUMIF('Eredeti fejléccel'!$B:$B,'Felosztás eredménykim'!$B171,'Eredeti fejléccel'!$AT:$AT)</f>
        <v>0</v>
      </c>
      <c r="W171" s="36">
        <f t="shared" si="302"/>
        <v>0</v>
      </c>
      <c r="X171" s="36">
        <f t="shared" si="211"/>
        <v>0</v>
      </c>
      <c r="Z171" s="6">
        <f>SUMIF('Eredeti fejléccel'!$B:$B,'Felosztás eredménykim'!$B171,'Eredeti fejléccel'!$K:$K)</f>
        <v>0</v>
      </c>
      <c r="AB171" s="6">
        <f>SUMIF('Eredeti fejléccel'!$B:$B,'Felosztás eredménykim'!$B171,'Eredeti fejléccel'!$AB:$AB)</f>
        <v>0</v>
      </c>
      <c r="AC171" s="6">
        <f>SUMIF('Eredeti fejléccel'!$B:$B,'Felosztás eredménykim'!$B171,'Eredeti fejléccel'!$AQ:$AQ)</f>
        <v>0</v>
      </c>
      <c r="AE171" s="73">
        <f>SUM(Z171:AD171)</f>
        <v>0</v>
      </c>
      <c r="AF171" s="36">
        <f t="shared" ref="AF171:AF203" si="339">$X171/$HD$290*(AG$290+AG$291)</f>
        <v>0</v>
      </c>
      <c r="AG171" s="8">
        <f t="shared" si="213"/>
        <v>0</v>
      </c>
      <c r="AI171" s="6">
        <f>SUMIF('Eredeti fejléccel'!$B:$B,'Felosztás eredménykim'!$B171,'Eredeti fejléccel'!$BB:$BB)</f>
        <v>0</v>
      </c>
      <c r="AJ171" s="6">
        <f>SUMIF('Eredeti fejléccel'!$B:$B,'Felosztás eredménykim'!$B171,'Eredeti fejléccel'!$AF:$AF)</f>
        <v>0</v>
      </c>
      <c r="AK171" s="8">
        <f>SUM(AG171:AJ171)</f>
        <v>0</v>
      </c>
      <c r="AL171" s="36">
        <f t="shared" ref="AL171:AL203" si="340">$X171/$HD$290*(AM$290+AM$291)</f>
        <v>0</v>
      </c>
      <c r="AM171" s="8">
        <f t="shared" si="215"/>
        <v>0</v>
      </c>
      <c r="AN171" s="6">
        <f t="shared" si="291"/>
        <v>0</v>
      </c>
      <c r="AO171" s="6">
        <f>SUMIF('Eredeti fejléccel'!$B:$B,'Felosztás eredménykim'!$B171,'Eredeti fejléccel'!$AC:$AC)</f>
        <v>0</v>
      </c>
      <c r="AP171" s="6">
        <f>SUMIF('Eredeti fejléccel'!$B:$B,'Felosztás eredménykim'!$B171,'Eredeti fejléccel'!$AD:$AD)</f>
        <v>0</v>
      </c>
      <c r="AQ171" s="6">
        <f>SUMIF('Eredeti fejléccel'!$B:$B,'Felosztás eredménykim'!$B171,'Eredeti fejléccel'!$AE:$AE)</f>
        <v>0</v>
      </c>
      <c r="AR171" s="6">
        <f>SUMIF('Eredeti fejléccel'!$B:$B,'Felosztás eredménykim'!$B171,'Eredeti fejléccel'!$AG:$AG)</f>
        <v>0</v>
      </c>
      <c r="AS171" s="6">
        <f t="shared" si="292"/>
        <v>0</v>
      </c>
      <c r="AT171" s="36">
        <f t="shared" ref="AT171:AT203" si="341">$X171/$HD$290*(AU$290+AU$291)</f>
        <v>0</v>
      </c>
      <c r="AU171" s="8">
        <f t="shared" si="217"/>
        <v>0</v>
      </c>
      <c r="AV171" s="6">
        <f>SUMIF('Eredeti fejléccel'!$B:$B,'Felosztás eredménykim'!$B171,'Eredeti fejléccel'!$AI:$AI)</f>
        <v>0</v>
      </c>
      <c r="AW171" s="6">
        <f>SUMIF('Eredeti fejléccel'!$B:$B,'Felosztás eredménykim'!$B171,'Eredeti fejléccel'!$AJ:$AJ)</f>
        <v>0</v>
      </c>
      <c r="AX171" s="6">
        <f>SUMIF('Eredeti fejléccel'!$B:$B,'Felosztás eredménykim'!$B171,'Eredeti fejléccel'!$AK:$AK)</f>
        <v>0</v>
      </c>
      <c r="AY171" s="6">
        <f>SUMIF('Eredeti fejléccel'!$B:$B,'Felosztás eredménykim'!$B171,'Eredeti fejléccel'!$AL:$AL)</f>
        <v>0</v>
      </c>
      <c r="AZ171" s="6">
        <f>SUMIF('Eredeti fejléccel'!$B:$B,'Felosztás eredménykim'!$B171,'Eredeti fejléccel'!$AM:$AM)</f>
        <v>0</v>
      </c>
      <c r="BA171" s="6">
        <f>SUMIF('Eredeti fejléccel'!$B:$B,'Felosztás eredménykim'!$B171,'Eredeti fejléccel'!$AN:$AN)</f>
        <v>0</v>
      </c>
      <c r="BB171" s="6">
        <f>SUMIF('Eredeti fejléccel'!$B:$B,'Felosztás eredménykim'!$B171,'Eredeti fejléccel'!$AP:$AP)</f>
        <v>0</v>
      </c>
      <c r="BD171" s="6">
        <f>SUMIF('Eredeti fejléccel'!$B:$B,'Felosztás eredménykim'!$B171,'Eredeti fejléccel'!$AS:$AS)</f>
        <v>0</v>
      </c>
      <c r="BE171" s="8">
        <f>SUM(AU171:BD171)</f>
        <v>0</v>
      </c>
      <c r="BF171" s="36">
        <f t="shared" ref="BF171:BF203" si="342">$X171/$HD$290*(BG$290+BG$291)</f>
        <v>0</v>
      </c>
      <c r="BG171" s="8">
        <f t="shared" si="219"/>
        <v>0</v>
      </c>
      <c r="BH171" s="6">
        <f t="shared" si="293"/>
        <v>0</v>
      </c>
      <c r="BI171" s="6">
        <f>SUMIF('Eredeti fejléccel'!$B:$B,'Felosztás eredménykim'!$B171,'Eredeti fejléccel'!$AH:$AH)</f>
        <v>0</v>
      </c>
      <c r="BJ171" s="6">
        <f>SUMIF('Eredeti fejléccel'!$B:$B,'Felosztás eredménykim'!$B171,'Eredeti fejléccel'!$AO:$AO)</f>
        <v>0</v>
      </c>
      <c r="BK171" s="6">
        <f>SUMIF('Eredeti fejléccel'!$B:$B,'Felosztás eredménykim'!$B171,'Eredeti fejléccel'!$BF:$BF)</f>
        <v>0</v>
      </c>
      <c r="BL171" s="8">
        <f t="shared" si="294"/>
        <v>0</v>
      </c>
      <c r="BM171" s="36">
        <f t="shared" ref="BM171:BM203" si="343">$X171/$HD$290*(BN$290+BN$291)</f>
        <v>0</v>
      </c>
      <c r="BN171" s="8">
        <f t="shared" si="221"/>
        <v>0</v>
      </c>
      <c r="BP171" s="8">
        <f t="shared" si="295"/>
        <v>0</v>
      </c>
      <c r="BQ171" s="6">
        <f>SUMIF('Eredeti fejléccel'!$B:$B,'Felosztás eredménykim'!$B171,'Eredeti fejléccel'!$N:$N)</f>
        <v>0</v>
      </c>
      <c r="BR171" s="6">
        <f>SUMIF('Eredeti fejléccel'!$B:$B,'Felosztás eredménykim'!$B171,'Eredeti fejléccel'!$S:$S)</f>
        <v>0</v>
      </c>
      <c r="BT171" s="6">
        <f>SUMIF('Eredeti fejléccel'!$B:$B,'Felosztás eredménykim'!$B171,'Eredeti fejléccel'!$AR:$AR)</f>
        <v>0</v>
      </c>
      <c r="BU171" s="6">
        <f>SUMIF('Eredeti fejléccel'!$B:$B,'Felosztás eredménykim'!$B171,'Eredeti fejléccel'!$AU:$AU)</f>
        <v>0</v>
      </c>
      <c r="BV171" s="6">
        <f>SUMIF('Eredeti fejléccel'!$B:$B,'Felosztás eredménykim'!$B171,'Eredeti fejléccel'!$AV:$AV)</f>
        <v>0</v>
      </c>
      <c r="BW171" s="6">
        <f>SUMIF('Eredeti fejléccel'!$B:$B,'Felosztás eredménykim'!$B171,'Eredeti fejléccel'!$AW:$AW)</f>
        <v>0</v>
      </c>
      <c r="BX171" s="6">
        <f>SUMIF('Eredeti fejléccel'!$B:$B,'Felosztás eredménykim'!$B171,'Eredeti fejléccel'!$AX:$AX)</f>
        <v>0</v>
      </c>
      <c r="BY171" s="6">
        <f>SUMIF('Eredeti fejléccel'!$B:$B,'Felosztás eredménykim'!$B171,'Eredeti fejléccel'!$AY:$AY)</f>
        <v>0</v>
      </c>
      <c r="BZ171" s="6">
        <f>SUMIF('Eredeti fejléccel'!$B:$B,'Felosztás eredménykim'!$B171,'Eredeti fejléccel'!$AZ:$AZ)</f>
        <v>0</v>
      </c>
      <c r="CA171" s="6">
        <f>SUMIF('Eredeti fejléccel'!$B:$B,'Felosztás eredménykim'!$B171,'Eredeti fejléccel'!$BA:$BA)</f>
        <v>0</v>
      </c>
      <c r="CB171" s="6">
        <f t="shared" si="253"/>
        <v>0</v>
      </c>
      <c r="CC171" s="36">
        <f t="shared" ref="CC171:CC203" si="344">$X171/$HD$290*(CD$290+CD$291)</f>
        <v>0</v>
      </c>
      <c r="CD171" s="8">
        <f t="shared" si="223"/>
        <v>0</v>
      </c>
      <c r="CE171" s="6">
        <f>SUMIF('Eredeti fejléccel'!$B:$B,'Felosztás eredménykim'!$B171,'Eredeti fejléccel'!$BC:$BC)</f>
        <v>0</v>
      </c>
      <c r="CF171" s="8">
        <f>-CE171/2</f>
        <v>0</v>
      </c>
      <c r="CG171" s="6">
        <f>SUMIF('Eredeti fejléccel'!$B:$B,'Felosztás eredménykim'!$B171,'Eredeti fejléccel'!$H:$H)</f>
        <v>0</v>
      </c>
      <c r="CH171" s="6">
        <f>SUMIF('Eredeti fejléccel'!$B:$B,'Felosztás eredménykim'!$B171,'Eredeti fejléccel'!$BE:$BE)</f>
        <v>0</v>
      </c>
      <c r="CI171" s="6">
        <f>SUM(CD171:CH171)</f>
        <v>0</v>
      </c>
      <c r="CJ171" s="36">
        <f t="shared" ref="CJ171:CJ203" si="345">$X171/$HD$290*(CK$290+CK$291)</f>
        <v>0</v>
      </c>
      <c r="CK171" s="8">
        <f t="shared" si="225"/>
        <v>0</v>
      </c>
      <c r="CL171" s="8">
        <f>CE171/2</f>
        <v>0</v>
      </c>
      <c r="CM171" s="6">
        <f>SUMIF('Eredeti fejléccel'!$B:$B,'Felosztás eredménykim'!$B171,'Eredeti fejléccel'!$BD:$BD)</f>
        <v>0</v>
      </c>
      <c r="CN171" s="8">
        <f>SUM(CK171:CM171)</f>
        <v>0</v>
      </c>
      <c r="CO171" s="8">
        <f t="shared" si="254"/>
        <v>0</v>
      </c>
      <c r="CR171" s="36">
        <f t="shared" si="226"/>
        <v>0</v>
      </c>
      <c r="CS171" s="6">
        <f>SUMIF('Eredeti fejléccel'!$B:$B,'Felosztás eredménykim'!$B171,'Eredeti fejléccel'!$I:$I)</f>
        <v>0</v>
      </c>
      <c r="CT171" s="6">
        <f>SUMIF('Eredeti fejléccel'!$B:$B,'Felosztás eredménykim'!$B171,'Eredeti fejléccel'!$BG:$BG)</f>
        <v>0</v>
      </c>
      <c r="CU171" s="6">
        <f>SUMIF('Eredeti fejléccel'!$B:$B,'Felosztás eredménykim'!$B171,'Eredeti fejléccel'!$BH:$BH)</f>
        <v>0</v>
      </c>
      <c r="CV171" s="6">
        <f>SUMIF('Eredeti fejléccel'!$B:$B,'Felosztás eredménykim'!$B171,'Eredeti fejléccel'!$BI:$BI)</f>
        <v>0</v>
      </c>
      <c r="CW171" s="6">
        <f>SUMIF('Eredeti fejléccel'!$B:$B,'Felosztás eredménykim'!$B171,'Eredeti fejléccel'!$BL:$BL)</f>
        <v>0</v>
      </c>
      <c r="CX171" s="6">
        <f>SUM(CS171:CW171)</f>
        <v>0</v>
      </c>
      <c r="CY171" s="6">
        <f>SUMIF('Eredeti fejléccel'!$B:$B,'Felosztás eredménykim'!$B171,'Eredeti fejléccel'!$BJ:$BJ)</f>
        <v>0</v>
      </c>
      <c r="CZ171" s="6">
        <f>SUMIF('Eredeti fejléccel'!$B:$B,'Felosztás eredménykim'!$B171,'Eredeti fejléccel'!$BK:$BK)</f>
        <v>0</v>
      </c>
      <c r="DA171" s="99">
        <f t="shared" si="242"/>
        <v>0</v>
      </c>
      <c r="DC171" s="36">
        <f t="shared" si="227"/>
        <v>0</v>
      </c>
      <c r="DD171" s="6">
        <f>SUMIF('Eredeti fejléccel'!$B:$B,'Felosztás eredménykim'!$B171,'Eredeti fejléccel'!$J:$J)</f>
        <v>0</v>
      </c>
      <c r="DE171" s="6">
        <f>SUMIF('Eredeti fejléccel'!$B:$B,'Felosztás eredménykim'!$B171,'Eredeti fejléccel'!$BM:$BM)</f>
        <v>0</v>
      </c>
      <c r="DF171" s="6">
        <f t="shared" si="296"/>
        <v>0</v>
      </c>
      <c r="DG171" s="8">
        <f t="shared" si="255"/>
        <v>0</v>
      </c>
      <c r="DH171" s="8">
        <f t="shared" si="297"/>
        <v>0</v>
      </c>
      <c r="DJ171" s="6">
        <f>SUMIF('Eredeti fejléccel'!$B:$B,'Felosztás eredménykim'!$B171,'Eredeti fejléccel'!$BN:$BN)</f>
        <v>0</v>
      </c>
      <c r="DK171" s="6">
        <f>SUMIF('Eredeti fejléccel'!$B:$B,'Felosztás eredménykim'!$B171,'Eredeti fejléccel'!$BZ:$BZ)</f>
        <v>0</v>
      </c>
      <c r="DL171" s="8">
        <f t="shared" si="298"/>
        <v>0</v>
      </c>
      <c r="DM171" s="6">
        <f>SUMIF('Eredeti fejléccel'!$B:$B,'Felosztás eredménykim'!$B171,'Eredeti fejléccel'!$BR:$BR)</f>
        <v>0</v>
      </c>
      <c r="DN171" s="6">
        <f>SUMIF('Eredeti fejléccel'!$B:$B,'Felosztás eredménykim'!$B171,'Eredeti fejléccel'!$BS:$BS)</f>
        <v>0</v>
      </c>
      <c r="DO171" s="6">
        <f>SUMIF('Eredeti fejléccel'!$B:$B,'Felosztás eredménykim'!$B171,'Eredeti fejléccel'!$BO:$BO)</f>
        <v>0</v>
      </c>
      <c r="DP171" s="6">
        <f>SUMIF('Eredeti fejléccel'!$B:$B,'Felosztás eredménykim'!$B171,'Eredeti fejléccel'!$BP:$BP)</f>
        <v>0</v>
      </c>
      <c r="DQ171" s="6">
        <f>SUMIF('Eredeti fejléccel'!$B:$B,'Felosztás eredménykim'!$B171,'Eredeti fejléccel'!$BQ:$BQ)</f>
        <v>0</v>
      </c>
      <c r="DS171" s="8"/>
      <c r="DU171" s="6">
        <f>SUMIF('Eredeti fejléccel'!$B:$B,'Felosztás eredménykim'!$B171,'Eredeti fejléccel'!$BT:$BT)</f>
        <v>0</v>
      </c>
      <c r="DV171" s="6">
        <f>SUMIF('Eredeti fejléccel'!$B:$B,'Felosztás eredménykim'!$B171,'Eredeti fejléccel'!$BU:$BU)</f>
        <v>0</v>
      </c>
      <c r="DW171" s="6">
        <f>SUMIF('Eredeti fejléccel'!$B:$B,'Felosztás eredménykim'!$B171,'Eredeti fejléccel'!$BV:$BV)</f>
        <v>0</v>
      </c>
      <c r="DX171" s="6">
        <f>SUMIF('Eredeti fejléccel'!$B:$B,'Felosztás eredménykim'!$B171,'Eredeti fejléccel'!$BW:$BW)</f>
        <v>0</v>
      </c>
      <c r="DY171" s="6">
        <f>SUMIF('Eredeti fejléccel'!$B:$B,'Felosztás eredménykim'!$B171,'Eredeti fejléccel'!$BX:$BX)</f>
        <v>0</v>
      </c>
      <c r="EA171" s="6"/>
      <c r="EC171" s="6"/>
      <c r="EE171" s="6">
        <f>SUMIF('Eredeti fejléccel'!$B:$B,'Felosztás eredménykim'!$B171,'Eredeti fejléccel'!$CA:$CA)</f>
        <v>0</v>
      </c>
      <c r="EF171" s="6">
        <f>SUMIF('Eredeti fejléccel'!$B:$B,'Felosztás eredménykim'!$B171,'Eredeti fejléccel'!$CB:$CB)</f>
        <v>0</v>
      </c>
      <c r="EG171" s="6">
        <f>SUMIF('Eredeti fejléccel'!$B:$B,'Felosztás eredménykim'!$B171,'Eredeti fejléccel'!$CC:$CC)</f>
        <v>0</v>
      </c>
      <c r="EH171" s="6">
        <f>SUMIF('Eredeti fejléccel'!$B:$B,'Felosztás eredménykim'!$B171,'Eredeti fejléccel'!$CD:$CD)</f>
        <v>0</v>
      </c>
      <c r="EK171" s="6">
        <f>SUMIF('Eredeti fejléccel'!$B:$B,'Felosztás eredménykim'!$B171,'Eredeti fejléccel'!$CE:$CE)</f>
        <v>0</v>
      </c>
      <c r="EN171" s="6">
        <f>SUMIF('Eredeti fejléccel'!$B:$B,'Felosztás eredménykim'!$B171,'Eredeti fejléccel'!$CF:$CF)</f>
        <v>0</v>
      </c>
      <c r="EP171" s="6">
        <f>SUMIF('Eredeti fejléccel'!$B:$B,'Felosztás eredménykim'!$B171,'Eredeti fejléccel'!$CG:$CG)</f>
        <v>0</v>
      </c>
      <c r="ES171" s="6">
        <f>SUMIF('Eredeti fejléccel'!$B:$B,'Felosztás eredménykim'!$B171,'Eredeti fejléccel'!$CH:$CH)</f>
        <v>0</v>
      </c>
      <c r="ET171" s="6">
        <f>SUMIF('Eredeti fejléccel'!$B:$B,'Felosztás eredménykim'!$B171,'Eredeti fejléccel'!$CI:$CI)</f>
        <v>0</v>
      </c>
      <c r="EW171" s="8">
        <f t="shared" si="288"/>
        <v>0</v>
      </c>
      <c r="EX171" s="8">
        <f>SUM(EE171:EV171)</f>
        <v>0</v>
      </c>
      <c r="EY171" s="8">
        <f t="shared" si="244"/>
        <v>0</v>
      </c>
      <c r="EZ171" s="8">
        <f t="shared" si="289"/>
        <v>0</v>
      </c>
      <c r="FA171" s="8">
        <f t="shared" si="290"/>
        <v>0</v>
      </c>
      <c r="FC171" s="6">
        <f>SUMIF('Eredeti fejléccel'!$B:$B,'Felosztás eredménykim'!$B171,'Eredeti fejléccel'!$L:$L)</f>
        <v>0</v>
      </c>
      <c r="FD171" s="6">
        <f>SUMIF('Eredeti fejléccel'!$B:$B,'Felosztás eredménykim'!$B171,'Eredeti fejléccel'!$CJ:$CJ)</f>
        <v>0</v>
      </c>
      <c r="FE171" s="6">
        <f>SUMIF('Eredeti fejléccel'!$B:$B,'Felosztás eredménykim'!$B171,'Eredeti fejléccel'!$CL:$CL)</f>
        <v>0</v>
      </c>
      <c r="FG171" s="99">
        <f>SUM(FC171:FF171)</f>
        <v>0</v>
      </c>
      <c r="FH171" s="6">
        <f>SUMIF('Eredeti fejléccel'!$B:$B,'Felosztás eredménykim'!$B171,'Eredeti fejléccel'!$CK:$CK)</f>
        <v>0</v>
      </c>
      <c r="FI171" s="36">
        <f t="shared" ref="FI171:FI203" si="346">$X171/$HD$290*(FJ$290+FJ$293)</f>
        <v>0</v>
      </c>
      <c r="FJ171" s="101">
        <f t="shared" si="229"/>
        <v>0</v>
      </c>
      <c r="FK171" s="6">
        <f>SUMIF('Eredeti fejléccel'!$B:$B,'Felosztás eredménykim'!$B171,'Eredeti fejléccel'!$CM:$CM)</f>
        <v>0</v>
      </c>
      <c r="FL171" s="6">
        <f>SUMIF('Eredeti fejléccel'!$B:$B,'Felosztás eredménykim'!$B171,'Eredeti fejléccel'!$CN:$CN)</f>
        <v>0</v>
      </c>
      <c r="FM171" s="8">
        <f>SUM(FJ171:FL171)</f>
        <v>0</v>
      </c>
      <c r="FN171" s="36">
        <f t="shared" ref="FN171:FN203" si="347">$X171/$HD$290*(FO$290+FO$293)</f>
        <v>0</v>
      </c>
      <c r="FO171" s="101">
        <f t="shared" si="231"/>
        <v>0</v>
      </c>
      <c r="FP171" s="6">
        <f>SUMIF('Eredeti fejléccel'!$B:$B,'Felosztás eredménykim'!$B171,'Eredeti fejléccel'!$CO:$CO)</f>
        <v>0</v>
      </c>
      <c r="FQ171" s="6">
        <f>'Eredeti fejléccel'!CP171</f>
        <v>0</v>
      </c>
      <c r="FR171" s="6">
        <f>'Eredeti fejléccel'!CQ171</f>
        <v>0</v>
      </c>
      <c r="FS171" s="103">
        <f t="shared" si="247"/>
        <v>0</v>
      </c>
      <c r="FT171" s="36">
        <f t="shared" ref="FT171:FT203" si="348">$X171/$HD$290*(FU$290+FU$293)</f>
        <v>0</v>
      </c>
      <c r="FU171" s="101">
        <f t="shared" si="233"/>
        <v>0</v>
      </c>
      <c r="FV171" s="101"/>
      <c r="FW171" s="6">
        <f>SUMIF('Eredeti fejléccel'!$B:$B,'Felosztás eredménykim'!$B171,'Eredeti fejléccel'!$CR:$CR)</f>
        <v>0</v>
      </c>
      <c r="FX171" s="6">
        <f>SUMIF('Eredeti fejléccel'!$B:$B,'Felosztás eredménykim'!$B171,'Eredeti fejléccel'!$CS:$CS)</f>
        <v>0</v>
      </c>
      <c r="FY171" s="6">
        <f>SUMIF('Eredeti fejléccel'!$B:$B,'Felosztás eredménykim'!$B171,'Eredeti fejléccel'!$CT:$CT)</f>
        <v>0</v>
      </c>
      <c r="FZ171" s="6">
        <f>SUMIF('Eredeti fejléccel'!$B:$B,'Felosztás eredménykim'!$B171,'Eredeti fejléccel'!$CU:$CU)</f>
        <v>0</v>
      </c>
      <c r="GA171" s="103">
        <f>SUM(FU171:FZ171)</f>
        <v>0</v>
      </c>
      <c r="GB171" s="36">
        <f t="shared" ref="GB171:GB203" si="349">$X171/$HD$290*(GC$290+GC$293)</f>
        <v>0</v>
      </c>
      <c r="GC171" s="101">
        <f t="shared" si="235"/>
        <v>0</v>
      </c>
      <c r="GD171" s="6">
        <f>SUMIF('Eredeti fejléccel'!$B:$B,'Felosztás eredménykim'!$B171,'Eredeti fejléccel'!$CV:$CV)</f>
        <v>0</v>
      </c>
      <c r="GE171" s="6">
        <f>SUMIF('Eredeti fejléccel'!$B:$B,'Felosztás eredménykim'!$B171,'Eredeti fejléccel'!$CW:$CW)</f>
        <v>0</v>
      </c>
      <c r="GF171" s="103">
        <f>SUM(GC171:GE171)</f>
        <v>0</v>
      </c>
      <c r="GG171" s="36">
        <f t="shared" si="236"/>
        <v>0</v>
      </c>
      <c r="GM171" s="6">
        <f>SUMIF('Eredeti fejléccel'!$B:$B,'Felosztás eredménykim'!$B171,'Eredeti fejléccel'!$CX:$CX)</f>
        <v>0</v>
      </c>
      <c r="GN171" s="6">
        <f>SUMIF('Eredeti fejléccel'!$B:$B,'Felosztás eredménykim'!$B171,'Eredeti fejléccel'!$CY:$CY)</f>
        <v>0</v>
      </c>
      <c r="GO171" s="6">
        <f>SUMIF('Eredeti fejléccel'!$B:$B,'Felosztás eredménykim'!$B171,'Eredeti fejléccel'!$CZ:$CZ)</f>
        <v>0</v>
      </c>
      <c r="GP171" s="6">
        <f>SUMIF('Eredeti fejléccel'!$B:$B,'Felosztás eredménykim'!$B171,'Eredeti fejléccel'!$DA:$DA)</f>
        <v>0</v>
      </c>
      <c r="GQ171" s="6">
        <f>SUMIF('Eredeti fejléccel'!$B:$B,'Felosztás eredménykim'!$B171,'Eredeti fejléccel'!$DB:$DB)</f>
        <v>0</v>
      </c>
      <c r="GR171" s="103">
        <f>SUM(GH171:GQ171)</f>
        <v>0</v>
      </c>
      <c r="GW171" s="36">
        <f t="shared" si="237"/>
        <v>0</v>
      </c>
      <c r="GX171" s="6">
        <f>SUMIF('Eredeti fejléccel'!$B:$B,'Felosztás eredménykim'!$B171,'Eredeti fejléccel'!$M:$M)</f>
        <v>0</v>
      </c>
      <c r="GY171" s="6">
        <f>SUMIF('Eredeti fejléccel'!$B:$B,'Felosztás eredménykim'!$B171,'Eredeti fejléccel'!$DC:$DC)</f>
        <v>0</v>
      </c>
      <c r="GZ171" s="6">
        <f>SUMIF('Eredeti fejléccel'!$B:$B,'Felosztás eredménykim'!$B171,'Eredeti fejléccel'!$DD:$DD)</f>
        <v>0</v>
      </c>
      <c r="HA171" s="6">
        <f>SUMIF('Eredeti fejléccel'!$B:$B,'Felosztás eredménykim'!$B171,'Eredeti fejléccel'!$DE:$DE)</f>
        <v>0</v>
      </c>
      <c r="HB171" s="103">
        <f>SUM(GX171:HA171)</f>
        <v>0</v>
      </c>
      <c r="HD171" s="9">
        <f t="shared" si="256"/>
        <v>0</v>
      </c>
      <c r="HE171" s="9"/>
      <c r="HF171" s="476"/>
      <c r="HH171" s="34">
        <f>+HD171-HE171</f>
        <v>0</v>
      </c>
    </row>
    <row r="172" spans="1:216" x14ac:dyDescent="0.25">
      <c r="A172" s="4" t="s">
        <v>776</v>
      </c>
      <c r="B172" s="4" t="s">
        <v>776</v>
      </c>
      <c r="C172" s="1" t="s">
        <v>777</v>
      </c>
      <c r="D172" s="6">
        <f>SUMIF('Eredeti fejléccel'!$B:$B,'Felosztás eredménykim'!$B172,'Eredeti fejléccel'!$D:$D)</f>
        <v>0</v>
      </c>
      <c r="E172" s="6">
        <f>SUMIF('Eredeti fejléccel'!$B:$B,'Felosztás eredménykim'!$B172,'Eredeti fejléccel'!$E:$E)</f>
        <v>0</v>
      </c>
      <c r="F172" s="6">
        <f>SUMIF('Eredeti fejléccel'!$B:$B,'Felosztás eredménykim'!$B172,'Eredeti fejléccel'!$F:$F)</f>
        <v>0</v>
      </c>
      <c r="G172" s="6">
        <f>SUMIF('Eredeti fejléccel'!$B:$B,'Felosztás eredménykim'!$B172,'Eredeti fejléccel'!$G:$G)</f>
        <v>0</v>
      </c>
      <c r="H172" s="6"/>
      <c r="I172" s="6">
        <f>SUMIF('Eredeti fejléccel'!$B:$B,'Felosztás eredménykim'!$B172,'Eredeti fejléccel'!$O:$O)</f>
        <v>0</v>
      </c>
      <c r="J172" s="6">
        <f>SUMIF('Eredeti fejléccel'!$B:$B,'Felosztás eredménykim'!$B172,'Eredeti fejléccel'!$P:$P)</f>
        <v>0</v>
      </c>
      <c r="K172" s="6">
        <f>SUMIF('Eredeti fejléccel'!$B:$B,'Felosztás eredménykim'!$B172,'Eredeti fejléccel'!$Q:$Q)</f>
        <v>0</v>
      </c>
      <c r="L172" s="6">
        <f>SUMIF('Eredeti fejléccel'!$B:$B,'Felosztás eredménykim'!$B172,'Eredeti fejléccel'!$R:$R)</f>
        <v>0</v>
      </c>
      <c r="M172" s="6">
        <f>SUMIF('Eredeti fejléccel'!$B:$B,'Felosztás eredménykim'!$B172,'Eredeti fejléccel'!$T:$T)</f>
        <v>0</v>
      </c>
      <c r="N172" s="6">
        <f>SUMIF('Eredeti fejléccel'!$B:$B,'Felosztás eredménykim'!$B172,'Eredeti fejléccel'!$U:$U)</f>
        <v>0</v>
      </c>
      <c r="O172" s="6">
        <f>SUMIF('Eredeti fejléccel'!$B:$B,'Felosztás eredménykim'!$B172,'Eredeti fejléccel'!$V:$V)</f>
        <v>0</v>
      </c>
      <c r="P172" s="6">
        <f>SUMIF('Eredeti fejléccel'!$B:$B,'Felosztás eredménykim'!$B172,'Eredeti fejléccel'!$W:$W)</f>
        <v>0</v>
      </c>
      <c r="Q172" s="6">
        <f>SUMIF('Eredeti fejléccel'!$B:$B,'Felosztás eredménykim'!$B172,'Eredeti fejléccel'!$X:$X)</f>
        <v>0</v>
      </c>
      <c r="R172" s="6">
        <f>SUMIF('Eredeti fejléccel'!$B:$B,'Felosztás eredménykim'!$B172,'Eredeti fejléccel'!$Y:$Y)</f>
        <v>0</v>
      </c>
      <c r="S172" s="6">
        <f>SUMIF('Eredeti fejléccel'!$B:$B,'Felosztás eredménykim'!$B172,'Eredeti fejléccel'!$Z:$Z)</f>
        <v>0</v>
      </c>
      <c r="T172" s="6">
        <f>SUMIF('Eredeti fejléccel'!$B:$B,'Felosztás eredménykim'!$B172,'Eredeti fejléccel'!$AA:$AA)</f>
        <v>0</v>
      </c>
      <c r="U172" s="6">
        <f>SUMIF('Eredeti fejléccel'!$B:$B,'Felosztás eredménykim'!$B172,'Eredeti fejléccel'!$D:$D)</f>
        <v>0</v>
      </c>
      <c r="V172" s="6">
        <f>SUMIF('Eredeti fejléccel'!$B:$B,'Felosztás eredménykim'!$B172,'Eredeti fejléccel'!$AT:$AT)</f>
        <v>1743345.1800000002</v>
      </c>
      <c r="W172" s="36">
        <f t="shared" si="302"/>
        <v>-1743345.1800000002</v>
      </c>
      <c r="X172" s="36">
        <f t="shared" si="211"/>
        <v>0</v>
      </c>
      <c r="Z172" s="6">
        <f>SUMIF('Eredeti fejléccel'!$B:$B,'Felosztás eredménykim'!$B172,'Eredeti fejléccel'!$K:$K)</f>
        <v>0</v>
      </c>
      <c r="AB172" s="6">
        <f>SUMIF('Eredeti fejléccel'!$B:$B,'Felosztás eredménykim'!$B172,'Eredeti fejléccel'!$AB:$AB)</f>
        <v>0</v>
      </c>
      <c r="AC172" s="6">
        <f>SUMIF('Eredeti fejléccel'!$B:$B,'Felosztás eredménykim'!$B172,'Eredeti fejléccel'!$AQ:$AQ)</f>
        <v>0</v>
      </c>
      <c r="AE172" s="73">
        <f t="shared" si="299"/>
        <v>0</v>
      </c>
      <c r="AF172" s="36">
        <f t="shared" si="339"/>
        <v>0</v>
      </c>
      <c r="AG172" s="8">
        <f t="shared" si="213"/>
        <v>0</v>
      </c>
      <c r="AI172" s="6">
        <f>SUMIF('Eredeti fejléccel'!$B:$B,'Felosztás eredménykim'!$B172,'Eredeti fejléccel'!$BB:$BB)</f>
        <v>0</v>
      </c>
      <c r="AJ172" s="6">
        <f>SUMIF('Eredeti fejléccel'!$B:$B,'Felosztás eredménykim'!$B172,'Eredeti fejléccel'!$AF:$AF)</f>
        <v>0</v>
      </c>
      <c r="AK172" s="8">
        <f t="shared" si="177"/>
        <v>0</v>
      </c>
      <c r="AL172" s="36">
        <f t="shared" si="340"/>
        <v>0</v>
      </c>
      <c r="AM172" s="8">
        <f t="shared" si="215"/>
        <v>0</v>
      </c>
      <c r="AN172" s="6">
        <f t="shared" si="291"/>
        <v>0</v>
      </c>
      <c r="AO172" s="6">
        <f>SUMIF('Eredeti fejléccel'!$B:$B,'Felosztás eredménykim'!$B172,'Eredeti fejléccel'!$AC:$AC)</f>
        <v>0</v>
      </c>
      <c r="AP172" s="6">
        <f>SUMIF('Eredeti fejléccel'!$B:$B,'Felosztás eredménykim'!$B172,'Eredeti fejléccel'!$AD:$AD)</f>
        <v>0</v>
      </c>
      <c r="AQ172" s="6">
        <f>SUMIF('Eredeti fejléccel'!$B:$B,'Felosztás eredménykim'!$B172,'Eredeti fejléccel'!$AE:$AE)</f>
        <v>0</v>
      </c>
      <c r="AR172" s="6">
        <f>SUMIF('Eredeti fejléccel'!$B:$B,'Felosztás eredménykim'!$B172,'Eredeti fejléccel'!$AG:$AG)</f>
        <v>0</v>
      </c>
      <c r="AS172" s="6">
        <f t="shared" si="292"/>
        <v>0</v>
      </c>
      <c r="AT172" s="36">
        <f t="shared" si="341"/>
        <v>0</v>
      </c>
      <c r="AU172" s="8">
        <f t="shared" si="217"/>
        <v>0</v>
      </c>
      <c r="AV172" s="6">
        <f>SUMIF('Eredeti fejléccel'!$B:$B,'Felosztás eredménykim'!$B172,'Eredeti fejléccel'!$AI:$AI)</f>
        <v>0</v>
      </c>
      <c r="AW172" s="6">
        <f>SUMIF('Eredeti fejléccel'!$B:$B,'Felosztás eredménykim'!$B172,'Eredeti fejléccel'!$AJ:$AJ)</f>
        <v>0</v>
      </c>
      <c r="AX172" s="6">
        <f>SUMIF('Eredeti fejléccel'!$B:$B,'Felosztás eredménykim'!$B172,'Eredeti fejléccel'!$AK:$AK)</f>
        <v>0</v>
      </c>
      <c r="AY172" s="6">
        <f>SUMIF('Eredeti fejléccel'!$B:$B,'Felosztás eredménykim'!$B172,'Eredeti fejléccel'!$AL:$AL)</f>
        <v>0</v>
      </c>
      <c r="AZ172" s="6">
        <f>SUMIF('Eredeti fejléccel'!$B:$B,'Felosztás eredménykim'!$B172,'Eredeti fejléccel'!$AM:$AM)</f>
        <v>0</v>
      </c>
      <c r="BA172" s="6">
        <f>SUMIF('Eredeti fejléccel'!$B:$B,'Felosztás eredménykim'!$B172,'Eredeti fejléccel'!$AN:$AN)</f>
        <v>0</v>
      </c>
      <c r="BB172" s="6">
        <f>SUMIF('Eredeti fejléccel'!$B:$B,'Felosztás eredménykim'!$B172,'Eredeti fejléccel'!$AP:$AP)</f>
        <v>0</v>
      </c>
      <c r="BD172" s="6">
        <f>SUMIF('Eredeti fejléccel'!$B:$B,'Felosztás eredménykim'!$B172,'Eredeti fejléccel'!$AS:$AS)</f>
        <v>0</v>
      </c>
      <c r="BE172" s="8">
        <f t="shared" si="238"/>
        <v>0</v>
      </c>
      <c r="BF172" s="36">
        <f t="shared" si="342"/>
        <v>0</v>
      </c>
      <c r="BG172" s="8">
        <f t="shared" si="219"/>
        <v>0</v>
      </c>
      <c r="BH172" s="6">
        <f t="shared" si="293"/>
        <v>0</v>
      </c>
      <c r="BI172" s="6">
        <f>SUMIF('Eredeti fejléccel'!$B:$B,'Felosztás eredménykim'!$B172,'Eredeti fejléccel'!$AH:$AH)</f>
        <v>0</v>
      </c>
      <c r="BJ172" s="6">
        <f>SUMIF('Eredeti fejléccel'!$B:$B,'Felosztás eredménykim'!$B172,'Eredeti fejléccel'!$AO:$AO)</f>
        <v>0</v>
      </c>
      <c r="BK172" s="6">
        <f>SUMIF('Eredeti fejléccel'!$B:$B,'Felosztás eredménykim'!$B172,'Eredeti fejléccel'!$BF:$BF)</f>
        <v>0</v>
      </c>
      <c r="BL172" s="8">
        <f t="shared" si="294"/>
        <v>0</v>
      </c>
      <c r="BM172" s="36">
        <f t="shared" si="343"/>
        <v>0</v>
      </c>
      <c r="BN172" s="8">
        <f t="shared" si="221"/>
        <v>0</v>
      </c>
      <c r="BP172" s="8">
        <f t="shared" si="295"/>
        <v>0</v>
      </c>
      <c r="BQ172" s="6">
        <f>SUMIF('Eredeti fejléccel'!$B:$B,'Felosztás eredménykim'!$B172,'Eredeti fejléccel'!$N:$N)</f>
        <v>0</v>
      </c>
      <c r="BR172" s="6">
        <f>SUMIF('Eredeti fejléccel'!$B:$B,'Felosztás eredménykim'!$B172,'Eredeti fejléccel'!$S:$S)</f>
        <v>0</v>
      </c>
      <c r="BT172" s="6">
        <f>SUMIF('Eredeti fejléccel'!$B:$B,'Felosztás eredménykim'!$B172,'Eredeti fejléccel'!$AR:$AR)</f>
        <v>0</v>
      </c>
      <c r="BU172" s="6">
        <f>SUMIF('Eredeti fejléccel'!$B:$B,'Felosztás eredménykim'!$B172,'Eredeti fejléccel'!$AU:$AU)</f>
        <v>0</v>
      </c>
      <c r="BV172" s="6">
        <f>SUMIF('Eredeti fejléccel'!$B:$B,'Felosztás eredménykim'!$B172,'Eredeti fejléccel'!$AV:$AV)</f>
        <v>0</v>
      </c>
      <c r="BW172" s="6">
        <f>SUMIF('Eredeti fejléccel'!$B:$B,'Felosztás eredménykim'!$B172,'Eredeti fejléccel'!$AW:$AW)</f>
        <v>0</v>
      </c>
      <c r="BX172" s="6">
        <f>SUMIF('Eredeti fejléccel'!$B:$B,'Felosztás eredménykim'!$B172,'Eredeti fejléccel'!$AX:$AX)</f>
        <v>0</v>
      </c>
      <c r="BY172" s="6">
        <f>SUMIF('Eredeti fejléccel'!$B:$B,'Felosztás eredménykim'!$B172,'Eredeti fejléccel'!$AY:$AY)</f>
        <v>0</v>
      </c>
      <c r="BZ172" s="6">
        <f>SUMIF('Eredeti fejléccel'!$B:$B,'Felosztás eredménykim'!$B172,'Eredeti fejléccel'!$AZ:$AZ)</f>
        <v>0</v>
      </c>
      <c r="CA172" s="6">
        <f>SUMIF('Eredeti fejléccel'!$B:$B,'Felosztás eredménykim'!$B172,'Eredeti fejléccel'!$BA:$BA)</f>
        <v>0</v>
      </c>
      <c r="CB172" s="6">
        <f t="shared" si="253"/>
        <v>0</v>
      </c>
      <c r="CC172" s="36">
        <f t="shared" si="344"/>
        <v>0</v>
      </c>
      <c r="CD172" s="8">
        <f t="shared" si="223"/>
        <v>0</v>
      </c>
      <c r="CE172" s="6">
        <f>SUMIF('Eredeti fejléccel'!$B:$B,'Felosztás eredménykim'!$B172,'Eredeti fejléccel'!$BC:$BC)</f>
        <v>0</v>
      </c>
      <c r="CF172" s="8">
        <f t="shared" si="300"/>
        <v>0</v>
      </c>
      <c r="CG172" s="6">
        <f>SUMIF('Eredeti fejléccel'!$B:$B,'Felosztás eredménykim'!$B172,'Eredeti fejléccel'!$H:$H)</f>
        <v>0</v>
      </c>
      <c r="CH172" s="6">
        <f>SUMIF('Eredeti fejléccel'!$B:$B,'Felosztás eredménykim'!$B172,'Eredeti fejléccel'!$BE:$BE)</f>
        <v>0</v>
      </c>
      <c r="CI172" s="6">
        <f t="shared" si="239"/>
        <v>0</v>
      </c>
      <c r="CJ172" s="36">
        <f t="shared" si="345"/>
        <v>0</v>
      </c>
      <c r="CK172" s="8">
        <f t="shared" si="225"/>
        <v>0</v>
      </c>
      <c r="CL172" s="8">
        <f t="shared" si="301"/>
        <v>0</v>
      </c>
      <c r="CM172" s="6">
        <f>SUMIF('Eredeti fejléccel'!$B:$B,'Felosztás eredménykim'!$B172,'Eredeti fejléccel'!$BD:$BD)</f>
        <v>0</v>
      </c>
      <c r="CN172" s="8">
        <f t="shared" si="240"/>
        <v>0</v>
      </c>
      <c r="CO172" s="8">
        <f t="shared" si="254"/>
        <v>0</v>
      </c>
      <c r="CR172" s="36">
        <f t="shared" si="226"/>
        <v>0</v>
      </c>
      <c r="CS172" s="6">
        <f>SUMIF('Eredeti fejléccel'!$B:$B,'Felosztás eredménykim'!$B172,'Eredeti fejléccel'!$I:$I)</f>
        <v>0</v>
      </c>
      <c r="CT172" s="6">
        <f>SUMIF('Eredeti fejléccel'!$B:$B,'Felosztás eredménykim'!$B172,'Eredeti fejléccel'!$BG:$BG)</f>
        <v>0</v>
      </c>
      <c r="CU172" s="6">
        <f>SUMIF('Eredeti fejléccel'!$B:$B,'Felosztás eredménykim'!$B172,'Eredeti fejléccel'!$BH:$BH)</f>
        <v>0</v>
      </c>
      <c r="CV172" s="6">
        <f>SUMIF('Eredeti fejléccel'!$B:$B,'Felosztás eredménykim'!$B172,'Eredeti fejléccel'!$BI:$BI)</f>
        <v>0</v>
      </c>
      <c r="CW172" s="6">
        <f>SUMIF('Eredeti fejléccel'!$B:$B,'Felosztás eredménykim'!$B172,'Eredeti fejléccel'!$BL:$BL)</f>
        <v>0</v>
      </c>
      <c r="CX172" s="6">
        <f t="shared" si="241"/>
        <v>0</v>
      </c>
      <c r="CY172" s="6">
        <f>SUMIF('Eredeti fejléccel'!$B:$B,'Felosztás eredménykim'!$B172,'Eredeti fejléccel'!$BJ:$BJ)</f>
        <v>0</v>
      </c>
      <c r="CZ172" s="6">
        <f>SUMIF('Eredeti fejléccel'!$B:$B,'Felosztás eredménykim'!$B172,'Eredeti fejléccel'!$BK:$BK)</f>
        <v>0</v>
      </c>
      <c r="DA172" s="99">
        <f t="shared" si="242"/>
        <v>0</v>
      </c>
      <c r="DC172" s="36">
        <f t="shared" si="227"/>
        <v>0</v>
      </c>
      <c r="DD172" s="6">
        <f>SUMIF('Eredeti fejléccel'!$B:$B,'Felosztás eredménykim'!$B172,'Eredeti fejléccel'!$J:$J)</f>
        <v>0</v>
      </c>
      <c r="DE172" s="6">
        <f>SUMIF('Eredeti fejléccel'!$B:$B,'Felosztás eredménykim'!$B172,'Eredeti fejléccel'!$BM:$BM)</f>
        <v>0</v>
      </c>
      <c r="DF172" s="6">
        <f t="shared" si="296"/>
        <v>0</v>
      </c>
      <c r="DG172" s="8">
        <f t="shared" si="255"/>
        <v>0</v>
      </c>
      <c r="DH172" s="8">
        <f t="shared" si="297"/>
        <v>0</v>
      </c>
      <c r="DJ172" s="6">
        <f>SUMIF('Eredeti fejléccel'!$B:$B,'Felosztás eredménykim'!$B172,'Eredeti fejléccel'!$BN:$BN)</f>
        <v>0</v>
      </c>
      <c r="DK172" s="6">
        <f>SUMIF('Eredeti fejléccel'!$B:$B,'Felosztás eredménykim'!$B172,'Eredeti fejléccel'!$BZ:$BZ)</f>
        <v>0</v>
      </c>
      <c r="DL172" s="8">
        <f t="shared" si="298"/>
        <v>0</v>
      </c>
      <c r="DM172" s="6">
        <f>SUMIF('Eredeti fejléccel'!$B:$B,'Felosztás eredménykim'!$B172,'Eredeti fejléccel'!$BR:$BR)</f>
        <v>0</v>
      </c>
      <c r="DN172" s="6">
        <f>SUMIF('Eredeti fejléccel'!$B:$B,'Felosztás eredménykim'!$B172,'Eredeti fejléccel'!$BS:$BS)</f>
        <v>0</v>
      </c>
      <c r="DO172" s="6">
        <f>SUMIF('Eredeti fejléccel'!$B:$B,'Felosztás eredménykim'!$B172,'Eredeti fejléccel'!$BO:$BO)</f>
        <v>0</v>
      </c>
      <c r="DP172" s="6">
        <f>SUMIF('Eredeti fejléccel'!$B:$B,'Felosztás eredménykim'!$B172,'Eredeti fejléccel'!$BP:$BP)</f>
        <v>0</v>
      </c>
      <c r="DQ172" s="6">
        <f>SUMIF('Eredeti fejléccel'!$B:$B,'Felosztás eredménykim'!$B172,'Eredeti fejléccel'!$BQ:$BQ)</f>
        <v>0</v>
      </c>
      <c r="DS172" s="8"/>
      <c r="DU172" s="6">
        <f>SUMIF('Eredeti fejléccel'!$B:$B,'Felosztás eredménykim'!$B172,'Eredeti fejléccel'!$BT:$BT)</f>
        <v>0</v>
      </c>
      <c r="DV172" s="6">
        <f>SUMIF('Eredeti fejléccel'!$B:$B,'Felosztás eredménykim'!$B172,'Eredeti fejléccel'!$BU:$BU)</f>
        <v>0</v>
      </c>
      <c r="DW172" s="6">
        <f>SUMIF('Eredeti fejléccel'!$B:$B,'Felosztás eredménykim'!$B172,'Eredeti fejléccel'!$BV:$BV)</f>
        <v>0</v>
      </c>
      <c r="DX172" s="6">
        <f>SUMIF('Eredeti fejléccel'!$B:$B,'Felosztás eredménykim'!$B172,'Eredeti fejléccel'!$BW:$BW)</f>
        <v>0</v>
      </c>
      <c r="DY172" s="6">
        <f>SUMIF('Eredeti fejléccel'!$B:$B,'Felosztás eredménykim'!$B172,'Eredeti fejléccel'!$BX:$BX)</f>
        <v>0</v>
      </c>
      <c r="EA172" s="6"/>
      <c r="EC172" s="6"/>
      <c r="EE172" s="6">
        <f>SUMIF('Eredeti fejléccel'!$B:$B,'Felosztás eredménykim'!$B172,'Eredeti fejléccel'!$CA:$CA)</f>
        <v>0</v>
      </c>
      <c r="EF172" s="6">
        <f>SUMIF('Eredeti fejléccel'!$B:$B,'Felosztás eredménykim'!$B172,'Eredeti fejléccel'!$CB:$CB)</f>
        <v>0</v>
      </c>
      <c r="EG172" s="6">
        <f>SUMIF('Eredeti fejléccel'!$B:$B,'Felosztás eredménykim'!$B172,'Eredeti fejléccel'!$CC:$CC)</f>
        <v>0</v>
      </c>
      <c r="EH172" s="6">
        <f>SUMIF('Eredeti fejléccel'!$B:$B,'Felosztás eredménykim'!$B172,'Eredeti fejléccel'!$CD:$CD)</f>
        <v>0</v>
      </c>
      <c r="EK172" s="6">
        <f>SUMIF('Eredeti fejléccel'!$B:$B,'Felosztás eredménykim'!$B172,'Eredeti fejléccel'!$CE:$CE)</f>
        <v>0</v>
      </c>
      <c r="EN172" s="6">
        <f>SUMIF('Eredeti fejléccel'!$B:$B,'Felosztás eredménykim'!$B172,'Eredeti fejléccel'!$CF:$CF)</f>
        <v>0</v>
      </c>
      <c r="EP172" s="6">
        <f>SUMIF('Eredeti fejléccel'!$B:$B,'Felosztás eredménykim'!$B172,'Eredeti fejléccel'!$CG:$CG)</f>
        <v>0</v>
      </c>
      <c r="ES172" s="6">
        <f>SUMIF('Eredeti fejléccel'!$B:$B,'Felosztás eredménykim'!$B172,'Eredeti fejléccel'!$CH:$CH)</f>
        <v>0</v>
      </c>
      <c r="ET172" s="6">
        <f>SUMIF('Eredeti fejléccel'!$B:$B,'Felosztás eredménykim'!$B172,'Eredeti fejléccel'!$CI:$CI)</f>
        <v>0</v>
      </c>
      <c r="EW172" s="8">
        <f t="shared" si="288"/>
        <v>0</v>
      </c>
      <c r="EX172" s="8">
        <f t="shared" si="243"/>
        <v>0</v>
      </c>
      <c r="EY172" s="8">
        <f t="shared" si="244"/>
        <v>0</v>
      </c>
      <c r="EZ172" s="8">
        <f t="shared" si="289"/>
        <v>0</v>
      </c>
      <c r="FA172" s="8">
        <f t="shared" si="290"/>
        <v>0</v>
      </c>
      <c r="FC172" s="6">
        <f>SUMIF('Eredeti fejléccel'!$B:$B,'Felosztás eredménykim'!$B172,'Eredeti fejléccel'!$L:$L)</f>
        <v>0</v>
      </c>
      <c r="FD172" s="6">
        <f>SUMIF('Eredeti fejléccel'!$B:$B,'Felosztás eredménykim'!$B172,'Eredeti fejléccel'!$CJ:$CJ)</f>
        <v>0</v>
      </c>
      <c r="FE172" s="6">
        <f>SUMIF('Eredeti fejléccel'!$B:$B,'Felosztás eredménykim'!$B172,'Eredeti fejléccel'!$CL:$CL)</f>
        <v>0</v>
      </c>
      <c r="FG172" s="99">
        <f t="shared" si="245"/>
        <v>0</v>
      </c>
      <c r="FH172" s="6">
        <f>SUMIF('Eredeti fejléccel'!$B:$B,'Felosztás eredménykim'!$B172,'Eredeti fejléccel'!$CK:$CK)</f>
        <v>0</v>
      </c>
      <c r="FI172" s="36">
        <f t="shared" si="346"/>
        <v>0</v>
      </c>
      <c r="FJ172" s="101">
        <f t="shared" si="229"/>
        <v>0</v>
      </c>
      <c r="FK172" s="6">
        <f>SUMIF('Eredeti fejléccel'!$B:$B,'Felosztás eredménykim'!$B172,'Eredeti fejléccel'!$CM:$CM)</f>
        <v>0</v>
      </c>
      <c r="FL172" s="6">
        <f>SUMIF('Eredeti fejléccel'!$B:$B,'Felosztás eredménykim'!$B172,'Eredeti fejléccel'!$CN:$CN)</f>
        <v>0</v>
      </c>
      <c r="FM172" s="8">
        <f t="shared" si="246"/>
        <v>0</v>
      </c>
      <c r="FN172" s="36">
        <f t="shared" si="347"/>
        <v>0</v>
      </c>
      <c r="FO172" s="101">
        <f t="shared" si="231"/>
        <v>0</v>
      </c>
      <c r="FP172" s="6">
        <f>SUMIF('Eredeti fejléccel'!$B:$B,'Felosztás eredménykim'!$B172,'Eredeti fejléccel'!$CO:$CO)</f>
        <v>0</v>
      </c>
      <c r="FQ172" s="6">
        <f>'Eredeti fejléccel'!CP172</f>
        <v>0</v>
      </c>
      <c r="FR172" s="6">
        <f>'Eredeti fejléccel'!CQ172</f>
        <v>0</v>
      </c>
      <c r="FS172" s="103">
        <f t="shared" si="247"/>
        <v>0</v>
      </c>
      <c r="FT172" s="36">
        <f t="shared" si="348"/>
        <v>0</v>
      </c>
      <c r="FU172" s="101">
        <f t="shared" si="233"/>
        <v>0</v>
      </c>
      <c r="FV172" s="101"/>
      <c r="FW172" s="6">
        <f>SUMIF('Eredeti fejléccel'!$B:$B,'Felosztás eredménykim'!$B172,'Eredeti fejléccel'!$CR:$CR)</f>
        <v>0</v>
      </c>
      <c r="FX172" s="6">
        <f>SUMIF('Eredeti fejléccel'!$B:$B,'Felosztás eredménykim'!$B172,'Eredeti fejléccel'!$CS:$CS)</f>
        <v>0</v>
      </c>
      <c r="FY172" s="6">
        <f>SUMIF('Eredeti fejléccel'!$B:$B,'Felosztás eredménykim'!$B172,'Eredeti fejléccel'!$CT:$CT)</f>
        <v>0</v>
      </c>
      <c r="FZ172" s="6">
        <f>SUMIF('Eredeti fejléccel'!$B:$B,'Felosztás eredménykim'!$B172,'Eredeti fejléccel'!$CU:$CU)</f>
        <v>0</v>
      </c>
      <c r="GA172" s="103">
        <f t="shared" si="248"/>
        <v>0</v>
      </c>
      <c r="GB172" s="36">
        <f t="shared" si="349"/>
        <v>0</v>
      </c>
      <c r="GC172" s="101">
        <f t="shared" si="235"/>
        <v>0</v>
      </c>
      <c r="GD172" s="6">
        <f>SUMIF('Eredeti fejléccel'!$B:$B,'Felosztás eredménykim'!$B172,'Eredeti fejléccel'!$CV:$CV)</f>
        <v>0</v>
      </c>
      <c r="GE172" s="6">
        <f>SUMIF('Eredeti fejléccel'!$B:$B,'Felosztás eredménykim'!$B172,'Eredeti fejléccel'!$CW:$CW)</f>
        <v>0</v>
      </c>
      <c r="GF172" s="103">
        <f t="shared" si="249"/>
        <v>0</v>
      </c>
      <c r="GG172" s="36">
        <f t="shared" si="236"/>
        <v>0</v>
      </c>
      <c r="GM172" s="6">
        <f>SUMIF('Eredeti fejléccel'!$B:$B,'Felosztás eredménykim'!$B172,'Eredeti fejléccel'!$CX:$CX)</f>
        <v>0</v>
      </c>
      <c r="GN172" s="6">
        <f>SUMIF('Eredeti fejléccel'!$B:$B,'Felosztás eredménykim'!$B172,'Eredeti fejléccel'!$CY:$CY)</f>
        <v>0</v>
      </c>
      <c r="GO172" s="6">
        <f>SUMIF('Eredeti fejléccel'!$B:$B,'Felosztás eredménykim'!$B172,'Eredeti fejléccel'!$CZ:$CZ)</f>
        <v>0</v>
      </c>
      <c r="GP172" s="6">
        <f>SUMIF('Eredeti fejléccel'!$B:$B,'Felosztás eredménykim'!$B172,'Eredeti fejléccel'!$DA:$DA)</f>
        <v>0</v>
      </c>
      <c r="GQ172" s="6">
        <f>SUMIF('Eredeti fejléccel'!$B:$B,'Felosztás eredménykim'!$B172,'Eredeti fejléccel'!$DB:$DB)</f>
        <v>0</v>
      </c>
      <c r="GR172" s="103">
        <f t="shared" si="250"/>
        <v>0</v>
      </c>
      <c r="GW172" s="36">
        <f t="shared" si="237"/>
        <v>0</v>
      </c>
      <c r="GX172" s="6">
        <f>SUMIF('Eredeti fejléccel'!$B:$B,'Felosztás eredménykim'!$B172,'Eredeti fejléccel'!$M:$M)</f>
        <v>0</v>
      </c>
      <c r="GY172" s="6">
        <f>SUMIF('Eredeti fejléccel'!$B:$B,'Felosztás eredménykim'!$B172,'Eredeti fejléccel'!$DC:$DC)</f>
        <v>0</v>
      </c>
      <c r="GZ172" s="6">
        <f>SUMIF('Eredeti fejléccel'!$B:$B,'Felosztás eredménykim'!$B172,'Eredeti fejléccel'!$DD:$DD)</f>
        <v>0</v>
      </c>
      <c r="HA172" s="6">
        <f>SUMIF('Eredeti fejléccel'!$B:$B,'Felosztás eredménykim'!$B172,'Eredeti fejléccel'!$DE:$DE)</f>
        <v>0</v>
      </c>
      <c r="HB172" s="103">
        <f t="shared" si="251"/>
        <v>0</v>
      </c>
      <c r="HD172" s="9">
        <f t="shared" ref="HD172:HD203" si="350">SUM(D172:HA172)-W172-X172-AD172-AE172-AF172-AG172-AK172-AL172-AM172-AS172-AT172-AU172-BE172-BF172-BG172-BL172-BM172-BN172-CB172-CC172-CD172-CI172-CJ172-CK172-CN172-CO172-CP172-CR172-CX172-DA172-DC172-DG172-DH172-DL172-EW172-EX172-EY172-EZ172-FA172-FF172-FG172-FI172-FJ172-FM172-FN172-FO172-FS172-FT172-FU172-GA172-GB172-GC172-GF172-GG172-GR172-GS172-GT172-GU172-GW172</f>
        <v>1743345.1800000002</v>
      </c>
      <c r="HE172" s="9">
        <v>1743345.1800000002</v>
      </c>
      <c r="HF172" s="476"/>
      <c r="HH172" s="34">
        <f t="shared" si="252"/>
        <v>0</v>
      </c>
    </row>
    <row r="173" spans="1:216" x14ac:dyDescent="0.25">
      <c r="A173" s="4" t="s">
        <v>995</v>
      </c>
      <c r="B173" s="4" t="s">
        <v>995</v>
      </c>
      <c r="C173" s="1" t="s">
        <v>996</v>
      </c>
      <c r="D173" s="6">
        <f>SUMIF('Eredeti fejléccel'!$B:$B,'Felosztás eredménykim'!$B173,'Eredeti fejléccel'!$D:$D)</f>
        <v>0</v>
      </c>
      <c r="E173" s="6">
        <f>SUMIF('Eredeti fejléccel'!$B:$B,'Felosztás eredménykim'!$B173,'Eredeti fejléccel'!$E:$E)</f>
        <v>0</v>
      </c>
      <c r="F173" s="6">
        <f>SUMIF('Eredeti fejléccel'!$B:$B,'Felosztás eredménykim'!$B173,'Eredeti fejléccel'!$F:$F)</f>
        <v>0</v>
      </c>
      <c r="G173" s="6">
        <f>SUMIF('Eredeti fejléccel'!$B:$B,'Felosztás eredménykim'!$B173,'Eredeti fejléccel'!$G:$G)</f>
        <v>0</v>
      </c>
      <c r="H173" s="6"/>
      <c r="I173" s="6">
        <f>SUMIF('Eredeti fejléccel'!$B:$B,'Felosztás eredménykim'!$B173,'Eredeti fejléccel'!$O:$O)</f>
        <v>0</v>
      </c>
      <c r="J173" s="6">
        <f>SUMIF('Eredeti fejléccel'!$B:$B,'Felosztás eredménykim'!$B173,'Eredeti fejléccel'!$P:$P)</f>
        <v>0</v>
      </c>
      <c r="K173" s="6">
        <f>SUMIF('Eredeti fejléccel'!$B:$B,'Felosztás eredménykim'!$B173,'Eredeti fejléccel'!$Q:$Q)</f>
        <v>0</v>
      </c>
      <c r="L173" s="6">
        <f>SUMIF('Eredeti fejléccel'!$B:$B,'Felosztás eredménykim'!$B173,'Eredeti fejléccel'!$R:$R)</f>
        <v>0</v>
      </c>
      <c r="M173" s="6">
        <f>SUMIF('Eredeti fejléccel'!$B:$B,'Felosztás eredménykim'!$B173,'Eredeti fejléccel'!$T:$T)</f>
        <v>0</v>
      </c>
      <c r="N173" s="6">
        <f>SUMIF('Eredeti fejléccel'!$B:$B,'Felosztás eredménykim'!$B173,'Eredeti fejléccel'!$U:$U)</f>
        <v>0</v>
      </c>
      <c r="O173" s="6">
        <f>SUMIF('Eredeti fejléccel'!$B:$B,'Felosztás eredménykim'!$B173,'Eredeti fejléccel'!$V:$V)</f>
        <v>0</v>
      </c>
      <c r="P173" s="6">
        <f>SUMIF('Eredeti fejléccel'!$B:$B,'Felosztás eredménykim'!$B173,'Eredeti fejléccel'!$W:$W)</f>
        <v>0</v>
      </c>
      <c r="Q173" s="6">
        <f>SUMIF('Eredeti fejléccel'!$B:$B,'Felosztás eredménykim'!$B173,'Eredeti fejléccel'!$X:$X)</f>
        <v>0</v>
      </c>
      <c r="R173" s="6">
        <f>SUMIF('Eredeti fejléccel'!$B:$B,'Felosztás eredménykim'!$B173,'Eredeti fejléccel'!$Y:$Y)</f>
        <v>0</v>
      </c>
      <c r="S173" s="6">
        <f>SUMIF('Eredeti fejléccel'!$B:$B,'Felosztás eredménykim'!$B173,'Eredeti fejléccel'!$Z:$Z)</f>
        <v>0</v>
      </c>
      <c r="T173" s="6">
        <f>SUMIF('Eredeti fejléccel'!$B:$B,'Felosztás eredménykim'!$B173,'Eredeti fejléccel'!$AA:$AA)</f>
        <v>0</v>
      </c>
      <c r="U173" s="6">
        <f>SUMIF('Eredeti fejléccel'!$B:$B,'Felosztás eredménykim'!$B173,'Eredeti fejléccel'!$D:$D)</f>
        <v>0</v>
      </c>
      <c r="V173" s="6">
        <f>SUMIF('Eredeti fejléccel'!$B:$B,'Felosztás eredménykim'!$B173,'Eredeti fejléccel'!$AT:$AT)</f>
        <v>0</v>
      </c>
      <c r="W173" s="36">
        <f t="shared" si="302"/>
        <v>0</v>
      </c>
      <c r="X173" s="36">
        <f t="shared" si="211"/>
        <v>0</v>
      </c>
      <c r="Z173" s="6">
        <f>SUMIF('Eredeti fejléccel'!$B:$B,'Felosztás eredménykim'!$B173,'Eredeti fejléccel'!$K:$K)</f>
        <v>0</v>
      </c>
      <c r="AB173" s="6">
        <f>SUMIF('Eredeti fejléccel'!$B:$B,'Felosztás eredménykim'!$B173,'Eredeti fejléccel'!$AB:$AB)</f>
        <v>0</v>
      </c>
      <c r="AC173" s="6">
        <f>SUMIF('Eredeti fejléccel'!$B:$B,'Felosztás eredménykim'!$B173,'Eredeti fejléccel'!$AQ:$AQ)</f>
        <v>0</v>
      </c>
      <c r="AE173" s="73">
        <f t="shared" si="299"/>
        <v>0</v>
      </c>
      <c r="AF173" s="36">
        <f t="shared" si="339"/>
        <v>0</v>
      </c>
      <c r="AG173" s="8">
        <f t="shared" si="213"/>
        <v>0</v>
      </c>
      <c r="AI173" s="6">
        <f>SUMIF('Eredeti fejléccel'!$B:$B,'Felosztás eredménykim'!$B173,'Eredeti fejléccel'!$BB:$BB)</f>
        <v>0</v>
      </c>
      <c r="AJ173" s="6">
        <f>SUMIF('Eredeti fejléccel'!$B:$B,'Felosztás eredménykim'!$B173,'Eredeti fejléccel'!$AF:$AF)</f>
        <v>0</v>
      </c>
      <c r="AK173" s="8">
        <f>SUM(AG173:AJ173)</f>
        <v>0</v>
      </c>
      <c r="AL173" s="36">
        <f t="shared" si="340"/>
        <v>0</v>
      </c>
      <c r="AM173" s="8">
        <f t="shared" si="215"/>
        <v>0</v>
      </c>
      <c r="AN173" s="6">
        <f t="shared" si="291"/>
        <v>0</v>
      </c>
      <c r="AO173" s="6">
        <f>SUMIF('Eredeti fejléccel'!$B:$B,'Felosztás eredménykim'!$B173,'Eredeti fejléccel'!$AC:$AC)</f>
        <v>0</v>
      </c>
      <c r="AP173" s="6">
        <f>SUMIF('Eredeti fejléccel'!$B:$B,'Felosztás eredménykim'!$B173,'Eredeti fejléccel'!$AD:$AD)</f>
        <v>0</v>
      </c>
      <c r="AQ173" s="6">
        <f>SUMIF('Eredeti fejléccel'!$B:$B,'Felosztás eredménykim'!$B173,'Eredeti fejléccel'!$AE:$AE)</f>
        <v>0</v>
      </c>
      <c r="AR173" s="6">
        <f>SUMIF('Eredeti fejléccel'!$B:$B,'Felosztás eredménykim'!$B173,'Eredeti fejléccel'!$AG:$AG)</f>
        <v>0</v>
      </c>
      <c r="AS173" s="6">
        <f t="shared" si="292"/>
        <v>0</v>
      </c>
      <c r="AT173" s="36">
        <f t="shared" si="341"/>
        <v>0</v>
      </c>
      <c r="AU173" s="8">
        <f t="shared" si="217"/>
        <v>0</v>
      </c>
      <c r="AV173" s="6">
        <f>SUMIF('Eredeti fejléccel'!$B:$B,'Felosztás eredménykim'!$B173,'Eredeti fejléccel'!$AI:$AI)</f>
        <v>0</v>
      </c>
      <c r="AW173" s="6">
        <f>SUMIF('Eredeti fejléccel'!$B:$B,'Felosztás eredménykim'!$B173,'Eredeti fejléccel'!$AJ:$AJ)</f>
        <v>0</v>
      </c>
      <c r="AX173" s="6">
        <f>SUMIF('Eredeti fejléccel'!$B:$B,'Felosztás eredménykim'!$B173,'Eredeti fejléccel'!$AK:$AK)</f>
        <v>0</v>
      </c>
      <c r="AY173" s="6">
        <f>SUMIF('Eredeti fejléccel'!$B:$B,'Felosztás eredménykim'!$B173,'Eredeti fejléccel'!$AL:$AL)</f>
        <v>0</v>
      </c>
      <c r="AZ173" s="6">
        <f>SUMIF('Eredeti fejléccel'!$B:$B,'Felosztás eredménykim'!$B173,'Eredeti fejléccel'!$AM:$AM)</f>
        <v>0</v>
      </c>
      <c r="BA173" s="6">
        <f>SUMIF('Eredeti fejléccel'!$B:$B,'Felosztás eredménykim'!$B173,'Eredeti fejléccel'!$AN:$AN)</f>
        <v>0</v>
      </c>
      <c r="BB173" s="6">
        <f>SUMIF('Eredeti fejléccel'!$B:$B,'Felosztás eredménykim'!$B173,'Eredeti fejléccel'!$AP:$AP)</f>
        <v>0</v>
      </c>
      <c r="BD173" s="6">
        <f>SUMIF('Eredeti fejléccel'!$B:$B,'Felosztás eredménykim'!$B173,'Eredeti fejléccel'!$AS:$AS)</f>
        <v>0</v>
      </c>
      <c r="BE173" s="8">
        <f>SUM(AU173:BD173)</f>
        <v>0</v>
      </c>
      <c r="BF173" s="36">
        <f t="shared" si="342"/>
        <v>0</v>
      </c>
      <c r="BG173" s="8">
        <f t="shared" si="219"/>
        <v>0</v>
      </c>
      <c r="BH173" s="6">
        <f t="shared" si="293"/>
        <v>0</v>
      </c>
      <c r="BI173" s="6">
        <f>SUMIF('Eredeti fejléccel'!$B:$B,'Felosztás eredménykim'!$B173,'Eredeti fejléccel'!$AH:$AH)</f>
        <v>0</v>
      </c>
      <c r="BJ173" s="6">
        <f>SUMIF('Eredeti fejléccel'!$B:$B,'Felosztás eredménykim'!$B173,'Eredeti fejléccel'!$AO:$AO)</f>
        <v>0</v>
      </c>
      <c r="BK173" s="6">
        <f>SUMIF('Eredeti fejléccel'!$B:$B,'Felosztás eredménykim'!$B173,'Eredeti fejléccel'!$BF:$BF)</f>
        <v>0</v>
      </c>
      <c r="BL173" s="8">
        <f t="shared" si="294"/>
        <v>0</v>
      </c>
      <c r="BM173" s="36">
        <f t="shared" si="343"/>
        <v>0</v>
      </c>
      <c r="BN173" s="8">
        <f t="shared" si="221"/>
        <v>0</v>
      </c>
      <c r="BP173" s="8">
        <f t="shared" si="295"/>
        <v>0</v>
      </c>
      <c r="BQ173" s="6">
        <f>SUMIF('Eredeti fejléccel'!$B:$B,'Felosztás eredménykim'!$B173,'Eredeti fejléccel'!$N:$N)</f>
        <v>0</v>
      </c>
      <c r="BR173" s="6">
        <f>SUMIF('Eredeti fejléccel'!$B:$B,'Felosztás eredménykim'!$B173,'Eredeti fejléccel'!$S:$S)</f>
        <v>0</v>
      </c>
      <c r="BT173" s="6">
        <f>SUMIF('Eredeti fejléccel'!$B:$B,'Felosztás eredménykim'!$B173,'Eredeti fejléccel'!$AR:$AR)</f>
        <v>0</v>
      </c>
      <c r="BU173" s="6">
        <f>SUMIF('Eredeti fejléccel'!$B:$B,'Felosztás eredménykim'!$B173,'Eredeti fejléccel'!$AU:$AU)</f>
        <v>0</v>
      </c>
      <c r="BV173" s="6">
        <f>SUMIF('Eredeti fejléccel'!$B:$B,'Felosztás eredménykim'!$B173,'Eredeti fejléccel'!$AV:$AV)</f>
        <v>0</v>
      </c>
      <c r="BW173" s="6">
        <f>SUMIF('Eredeti fejléccel'!$B:$B,'Felosztás eredménykim'!$B173,'Eredeti fejléccel'!$AW:$AW)</f>
        <v>0</v>
      </c>
      <c r="BX173" s="6">
        <f>SUMIF('Eredeti fejléccel'!$B:$B,'Felosztás eredménykim'!$B173,'Eredeti fejléccel'!$AX:$AX)</f>
        <v>0</v>
      </c>
      <c r="BY173" s="6">
        <f>SUMIF('Eredeti fejléccel'!$B:$B,'Felosztás eredménykim'!$B173,'Eredeti fejléccel'!$AY:$AY)</f>
        <v>0</v>
      </c>
      <c r="BZ173" s="6">
        <f>SUMIF('Eredeti fejléccel'!$B:$B,'Felosztás eredménykim'!$B173,'Eredeti fejléccel'!$AZ:$AZ)</f>
        <v>0</v>
      </c>
      <c r="CA173" s="6">
        <f>SUMIF('Eredeti fejléccel'!$B:$B,'Felosztás eredménykim'!$B173,'Eredeti fejléccel'!$BA:$BA)</f>
        <v>0</v>
      </c>
      <c r="CB173" s="6">
        <f t="shared" si="253"/>
        <v>0</v>
      </c>
      <c r="CC173" s="36">
        <f t="shared" si="344"/>
        <v>0</v>
      </c>
      <c r="CD173" s="8">
        <f t="shared" si="223"/>
        <v>0</v>
      </c>
      <c r="CE173" s="6">
        <f>SUMIF('Eredeti fejléccel'!$B:$B,'Felosztás eredménykim'!$B173,'Eredeti fejléccel'!$BC:$BC)</f>
        <v>0</v>
      </c>
      <c r="CF173" s="8">
        <f t="shared" si="300"/>
        <v>0</v>
      </c>
      <c r="CG173" s="6">
        <f>SUMIF('Eredeti fejléccel'!$B:$B,'Felosztás eredménykim'!$B173,'Eredeti fejléccel'!$H:$H)</f>
        <v>0</v>
      </c>
      <c r="CH173" s="6">
        <f>SUMIF('Eredeti fejléccel'!$B:$B,'Felosztás eredménykim'!$B173,'Eredeti fejléccel'!$BE:$BE)</f>
        <v>0</v>
      </c>
      <c r="CI173" s="6">
        <f>SUM(CD173:CH173)</f>
        <v>0</v>
      </c>
      <c r="CJ173" s="36">
        <f t="shared" si="345"/>
        <v>0</v>
      </c>
      <c r="CK173" s="8">
        <f t="shared" si="225"/>
        <v>0</v>
      </c>
      <c r="CL173" s="8">
        <f t="shared" si="301"/>
        <v>0</v>
      </c>
      <c r="CM173" s="6">
        <f>SUMIF('Eredeti fejléccel'!$B:$B,'Felosztás eredménykim'!$B173,'Eredeti fejléccel'!$BD:$BD)</f>
        <v>0</v>
      </c>
      <c r="CN173" s="8">
        <f>SUM(CK173:CM173)</f>
        <v>0</v>
      </c>
      <c r="CO173" s="8">
        <f t="shared" si="254"/>
        <v>0</v>
      </c>
      <c r="CR173" s="36">
        <f t="shared" si="226"/>
        <v>0</v>
      </c>
      <c r="CS173" s="6">
        <f>SUMIF('Eredeti fejléccel'!$B:$B,'Felosztás eredménykim'!$B173,'Eredeti fejléccel'!$I:$I)</f>
        <v>0</v>
      </c>
      <c r="CT173" s="6">
        <f>SUMIF('Eredeti fejléccel'!$B:$B,'Felosztás eredménykim'!$B173,'Eredeti fejléccel'!$BG:$BG)</f>
        <v>0</v>
      </c>
      <c r="CU173" s="6">
        <f>SUMIF('Eredeti fejléccel'!$B:$B,'Felosztás eredménykim'!$B173,'Eredeti fejléccel'!$BH:$BH)</f>
        <v>0</v>
      </c>
      <c r="CV173" s="6">
        <f>SUMIF('Eredeti fejléccel'!$B:$B,'Felosztás eredménykim'!$B173,'Eredeti fejléccel'!$BI:$BI)</f>
        <v>0</v>
      </c>
      <c r="CW173" s="6">
        <f>SUMIF('Eredeti fejléccel'!$B:$B,'Felosztás eredménykim'!$B173,'Eredeti fejléccel'!$BL:$BL)</f>
        <v>0</v>
      </c>
      <c r="CX173" s="6">
        <f>SUM(CS173:CW173)</f>
        <v>0</v>
      </c>
      <c r="CY173" s="6">
        <f>SUMIF('Eredeti fejléccel'!$B:$B,'Felosztás eredménykim'!$B173,'Eredeti fejléccel'!$BJ:$BJ)</f>
        <v>0</v>
      </c>
      <c r="CZ173" s="6">
        <f>SUMIF('Eredeti fejléccel'!$B:$B,'Felosztás eredménykim'!$B173,'Eredeti fejléccel'!$BK:$BK)</f>
        <v>0</v>
      </c>
      <c r="DA173" s="99">
        <f t="shared" si="242"/>
        <v>0</v>
      </c>
      <c r="DC173" s="36">
        <f t="shared" si="227"/>
        <v>0</v>
      </c>
      <c r="DD173" s="6">
        <f>SUMIF('Eredeti fejléccel'!$B:$B,'Felosztás eredménykim'!$B173,'Eredeti fejléccel'!$J:$J)</f>
        <v>0</v>
      </c>
      <c r="DE173" s="6">
        <f>SUMIF('Eredeti fejléccel'!$B:$B,'Felosztás eredménykim'!$B173,'Eredeti fejléccel'!$BM:$BM)</f>
        <v>0</v>
      </c>
      <c r="DF173" s="6">
        <f t="shared" si="296"/>
        <v>0</v>
      </c>
      <c r="DG173" s="8">
        <f t="shared" si="255"/>
        <v>0</v>
      </c>
      <c r="DH173" s="8">
        <f t="shared" si="297"/>
        <v>0</v>
      </c>
      <c r="DJ173" s="6">
        <f>SUMIF('Eredeti fejléccel'!$B:$B,'Felosztás eredménykim'!$B173,'Eredeti fejléccel'!$BN:$BN)</f>
        <v>0</v>
      </c>
      <c r="DK173" s="6">
        <f>SUMIF('Eredeti fejléccel'!$B:$B,'Felosztás eredménykim'!$B173,'Eredeti fejléccel'!$BZ:$BZ)</f>
        <v>0</v>
      </c>
      <c r="DL173" s="8">
        <f t="shared" si="298"/>
        <v>0</v>
      </c>
      <c r="DM173" s="6">
        <f>SUMIF('Eredeti fejléccel'!$B:$B,'Felosztás eredménykim'!$B173,'Eredeti fejléccel'!$BR:$BR)</f>
        <v>0</v>
      </c>
      <c r="DN173" s="6">
        <f>SUMIF('Eredeti fejléccel'!$B:$B,'Felosztás eredménykim'!$B173,'Eredeti fejléccel'!$BS:$BS)</f>
        <v>0</v>
      </c>
      <c r="DO173" s="6">
        <f>SUMIF('Eredeti fejléccel'!$B:$B,'Felosztás eredménykim'!$B173,'Eredeti fejléccel'!$BO:$BO)</f>
        <v>0</v>
      </c>
      <c r="DP173" s="6">
        <f>SUMIF('Eredeti fejléccel'!$B:$B,'Felosztás eredménykim'!$B173,'Eredeti fejléccel'!$BP:$BP)</f>
        <v>0</v>
      </c>
      <c r="DQ173" s="6">
        <f>SUMIF('Eredeti fejléccel'!$B:$B,'Felosztás eredménykim'!$B173,'Eredeti fejléccel'!$BQ:$BQ)</f>
        <v>0</v>
      </c>
      <c r="DS173" s="8"/>
      <c r="DU173" s="6">
        <f>SUMIF('Eredeti fejléccel'!$B:$B,'Felosztás eredménykim'!$B173,'Eredeti fejléccel'!$BT:$BT)</f>
        <v>0</v>
      </c>
      <c r="DV173" s="6">
        <f>SUMIF('Eredeti fejléccel'!$B:$B,'Felosztás eredménykim'!$B173,'Eredeti fejléccel'!$BU:$BU)</f>
        <v>0</v>
      </c>
      <c r="DW173" s="6">
        <f>SUMIF('Eredeti fejléccel'!$B:$B,'Felosztás eredménykim'!$B173,'Eredeti fejléccel'!$BV:$BV)</f>
        <v>0</v>
      </c>
      <c r="DX173" s="6">
        <f>SUMIF('Eredeti fejléccel'!$B:$B,'Felosztás eredménykim'!$B173,'Eredeti fejléccel'!$BW:$BW)</f>
        <v>0</v>
      </c>
      <c r="DY173" s="6">
        <f>SUMIF('Eredeti fejléccel'!$B:$B,'Felosztás eredménykim'!$B173,'Eredeti fejléccel'!$BX:$BX)</f>
        <v>0</v>
      </c>
      <c r="EA173" s="6"/>
      <c r="EC173" s="6"/>
      <c r="EE173" s="6">
        <f>SUMIF('Eredeti fejléccel'!$B:$B,'Felosztás eredménykim'!$B173,'Eredeti fejléccel'!$CA:$CA)</f>
        <v>0</v>
      </c>
      <c r="EF173" s="6">
        <f>SUMIF('Eredeti fejléccel'!$B:$B,'Felosztás eredménykim'!$B173,'Eredeti fejléccel'!$CB:$CB)</f>
        <v>0</v>
      </c>
      <c r="EG173" s="6">
        <f>SUMIF('Eredeti fejléccel'!$B:$B,'Felosztás eredménykim'!$B173,'Eredeti fejléccel'!$CC:$CC)</f>
        <v>0</v>
      </c>
      <c r="EH173" s="6">
        <f>SUMIF('Eredeti fejléccel'!$B:$B,'Felosztás eredménykim'!$B173,'Eredeti fejléccel'!$CD:$CD)</f>
        <v>0</v>
      </c>
      <c r="EK173" s="6">
        <f>SUMIF('Eredeti fejléccel'!$B:$B,'Felosztás eredménykim'!$B173,'Eredeti fejléccel'!$CE:$CE)</f>
        <v>0</v>
      </c>
      <c r="EN173" s="6">
        <f>SUMIF('Eredeti fejléccel'!$B:$B,'Felosztás eredménykim'!$B173,'Eredeti fejléccel'!$CF:$CF)</f>
        <v>0</v>
      </c>
      <c r="EP173" s="6">
        <f>SUMIF('Eredeti fejléccel'!$B:$B,'Felosztás eredménykim'!$B173,'Eredeti fejléccel'!$CG:$CG)</f>
        <v>0</v>
      </c>
      <c r="ES173" s="6">
        <f>SUMIF('Eredeti fejléccel'!$B:$B,'Felosztás eredménykim'!$B173,'Eredeti fejléccel'!$CH:$CH)</f>
        <v>0</v>
      </c>
      <c r="ET173" s="6">
        <f>SUMIF('Eredeti fejléccel'!$B:$B,'Felosztás eredménykim'!$B173,'Eredeti fejléccel'!$CI:$CI)</f>
        <v>0</v>
      </c>
      <c r="EW173" s="8">
        <f t="shared" si="288"/>
        <v>0</v>
      </c>
      <c r="EX173" s="8">
        <f>SUM(EE173:EV173)</f>
        <v>0</v>
      </c>
      <c r="EY173" s="8">
        <f t="shared" si="244"/>
        <v>0</v>
      </c>
      <c r="EZ173" s="8">
        <f t="shared" si="289"/>
        <v>0</v>
      </c>
      <c r="FA173" s="8">
        <f t="shared" si="290"/>
        <v>0</v>
      </c>
      <c r="FC173" s="6">
        <f>SUMIF('Eredeti fejléccel'!$B:$B,'Felosztás eredménykim'!$B173,'Eredeti fejléccel'!$L:$L)</f>
        <v>0</v>
      </c>
      <c r="FD173" s="6">
        <f>SUMIF('Eredeti fejléccel'!$B:$B,'Felosztás eredménykim'!$B173,'Eredeti fejléccel'!$CJ:$CJ)</f>
        <v>0</v>
      </c>
      <c r="FE173" s="6">
        <f>SUMIF('Eredeti fejléccel'!$B:$B,'Felosztás eredménykim'!$B173,'Eredeti fejléccel'!$CL:$CL)</f>
        <v>0</v>
      </c>
      <c r="FG173" s="99">
        <f>SUM(FC173:FF173)</f>
        <v>0</v>
      </c>
      <c r="FH173" s="6">
        <f>SUMIF('Eredeti fejléccel'!$B:$B,'Felosztás eredménykim'!$B173,'Eredeti fejléccel'!$CK:$CK)</f>
        <v>0</v>
      </c>
      <c r="FI173" s="36">
        <f t="shared" si="346"/>
        <v>0</v>
      </c>
      <c r="FJ173" s="101">
        <f t="shared" si="229"/>
        <v>0</v>
      </c>
      <c r="FK173" s="6">
        <f>SUMIF('Eredeti fejléccel'!$B:$B,'Felosztás eredménykim'!$B173,'Eredeti fejléccel'!$CM:$CM)</f>
        <v>0</v>
      </c>
      <c r="FL173" s="6">
        <f>SUMIF('Eredeti fejléccel'!$B:$B,'Felosztás eredménykim'!$B173,'Eredeti fejléccel'!$CN:$CN)</f>
        <v>0</v>
      </c>
      <c r="FM173" s="8">
        <f>SUM(FJ173:FL173)</f>
        <v>0</v>
      </c>
      <c r="FN173" s="36">
        <f t="shared" si="347"/>
        <v>0</v>
      </c>
      <c r="FO173" s="101">
        <f t="shared" si="231"/>
        <v>0</v>
      </c>
      <c r="FP173" s="6">
        <f>SUMIF('Eredeti fejléccel'!$B:$B,'Felosztás eredménykim'!$B173,'Eredeti fejléccel'!$CO:$CO)</f>
        <v>0</v>
      </c>
      <c r="FQ173" s="6">
        <f>'Eredeti fejléccel'!CP173</f>
        <v>0</v>
      </c>
      <c r="FR173" s="6">
        <f>'Eredeti fejléccel'!CQ173</f>
        <v>0</v>
      </c>
      <c r="FS173" s="103">
        <f t="shared" si="247"/>
        <v>0</v>
      </c>
      <c r="FT173" s="36">
        <f t="shared" si="348"/>
        <v>0</v>
      </c>
      <c r="FU173" s="101">
        <f t="shared" si="233"/>
        <v>0</v>
      </c>
      <c r="FV173" s="101"/>
      <c r="FW173" s="6">
        <f>SUMIF('Eredeti fejléccel'!$B:$B,'Felosztás eredménykim'!$B173,'Eredeti fejléccel'!$CR:$CR)</f>
        <v>0</v>
      </c>
      <c r="FX173" s="6">
        <f>SUMIF('Eredeti fejléccel'!$B:$B,'Felosztás eredménykim'!$B173,'Eredeti fejléccel'!$CS:$CS)</f>
        <v>0</v>
      </c>
      <c r="FY173" s="6">
        <f>SUMIF('Eredeti fejléccel'!$B:$B,'Felosztás eredménykim'!$B173,'Eredeti fejléccel'!$CT:$CT)</f>
        <v>0</v>
      </c>
      <c r="FZ173" s="6">
        <f>SUMIF('Eredeti fejléccel'!$B:$B,'Felosztás eredménykim'!$B173,'Eredeti fejléccel'!$CU:$CU)</f>
        <v>0</v>
      </c>
      <c r="GA173" s="103">
        <f>SUM(FU173:FZ173)</f>
        <v>0</v>
      </c>
      <c r="GB173" s="36">
        <f t="shared" si="349"/>
        <v>0</v>
      </c>
      <c r="GC173" s="101">
        <f t="shared" si="235"/>
        <v>0</v>
      </c>
      <c r="GD173" s="6">
        <f>SUMIF('Eredeti fejléccel'!$B:$B,'Felosztás eredménykim'!$B173,'Eredeti fejléccel'!$CV:$CV)</f>
        <v>0</v>
      </c>
      <c r="GE173" s="6">
        <f>SUMIF('Eredeti fejléccel'!$B:$B,'Felosztás eredménykim'!$B173,'Eredeti fejléccel'!$CW:$CW)</f>
        <v>0</v>
      </c>
      <c r="GF173" s="103">
        <f>SUM(GC173:GE173)</f>
        <v>0</v>
      </c>
      <c r="GG173" s="36">
        <f t="shared" si="236"/>
        <v>0</v>
      </c>
      <c r="GM173" s="6">
        <f>SUMIF('Eredeti fejléccel'!$B:$B,'Felosztás eredménykim'!$B173,'Eredeti fejléccel'!$CX:$CX)</f>
        <v>0</v>
      </c>
      <c r="GN173" s="6">
        <f>SUMIF('Eredeti fejléccel'!$B:$B,'Felosztás eredménykim'!$B173,'Eredeti fejléccel'!$CY:$CY)</f>
        <v>0</v>
      </c>
      <c r="GO173" s="6">
        <f>SUMIF('Eredeti fejléccel'!$B:$B,'Felosztás eredménykim'!$B173,'Eredeti fejléccel'!$CZ:$CZ)</f>
        <v>0</v>
      </c>
      <c r="GP173" s="6">
        <f>SUMIF('Eredeti fejléccel'!$B:$B,'Felosztás eredménykim'!$B173,'Eredeti fejléccel'!$DA:$DA)</f>
        <v>0</v>
      </c>
      <c r="GQ173" s="6">
        <f>SUMIF('Eredeti fejléccel'!$B:$B,'Felosztás eredménykim'!$B173,'Eredeti fejléccel'!$DB:$DB)</f>
        <v>0</v>
      </c>
      <c r="GR173" s="103">
        <f>SUM(GH173:GQ173)</f>
        <v>0</v>
      </c>
      <c r="GW173" s="36">
        <f t="shared" si="237"/>
        <v>0</v>
      </c>
      <c r="GX173" s="6">
        <f>SUMIF('Eredeti fejléccel'!$B:$B,'Felosztás eredménykim'!$B173,'Eredeti fejléccel'!$M:$M)</f>
        <v>0</v>
      </c>
      <c r="GY173" s="6">
        <f>SUMIF('Eredeti fejléccel'!$B:$B,'Felosztás eredménykim'!$B173,'Eredeti fejléccel'!$DC:$DC)</f>
        <v>0</v>
      </c>
      <c r="GZ173" s="6">
        <f>SUMIF('Eredeti fejléccel'!$B:$B,'Felosztás eredménykim'!$B173,'Eredeti fejléccel'!$DD:$DD)</f>
        <v>0</v>
      </c>
      <c r="HA173" s="6">
        <f>SUMIF('Eredeti fejléccel'!$B:$B,'Felosztás eredménykim'!$B173,'Eredeti fejléccel'!$DE:$DE)</f>
        <v>0</v>
      </c>
      <c r="HB173" s="103">
        <f>SUM(GX173:HA173)</f>
        <v>0</v>
      </c>
      <c r="HD173" s="9">
        <f t="shared" si="350"/>
        <v>0</v>
      </c>
      <c r="HE173" s="9"/>
      <c r="HF173" s="476"/>
      <c r="HH173" s="34">
        <f>+HD173-HE173</f>
        <v>0</v>
      </c>
    </row>
    <row r="174" spans="1:216" x14ac:dyDescent="0.25">
      <c r="A174" s="4" t="s">
        <v>778</v>
      </c>
      <c r="B174" s="4" t="s">
        <v>778</v>
      </c>
      <c r="C174" s="1" t="s">
        <v>779</v>
      </c>
      <c r="D174" s="6">
        <f>SUMIF('Eredeti fejléccel'!$B:$B,'Felosztás eredménykim'!$B174,'Eredeti fejléccel'!$D:$D)</f>
        <v>0</v>
      </c>
      <c r="E174" s="6">
        <f>SUMIF('Eredeti fejléccel'!$B:$B,'Felosztás eredménykim'!$B174,'Eredeti fejléccel'!$E:$E)</f>
        <v>0</v>
      </c>
      <c r="F174" s="6">
        <f>SUMIF('Eredeti fejléccel'!$B:$B,'Felosztás eredménykim'!$B174,'Eredeti fejléccel'!$F:$F)</f>
        <v>0</v>
      </c>
      <c r="G174" s="6">
        <f>SUMIF('Eredeti fejléccel'!$B:$B,'Felosztás eredménykim'!$B174,'Eredeti fejléccel'!$G:$G)</f>
        <v>0</v>
      </c>
      <c r="H174" s="6"/>
      <c r="I174" s="6">
        <f>SUMIF('Eredeti fejléccel'!$B:$B,'Felosztás eredménykim'!$B174,'Eredeti fejléccel'!$O:$O)</f>
        <v>0</v>
      </c>
      <c r="J174" s="6">
        <f>SUMIF('Eredeti fejléccel'!$B:$B,'Felosztás eredménykim'!$B174,'Eredeti fejléccel'!$P:$P)</f>
        <v>0</v>
      </c>
      <c r="K174" s="6">
        <f>SUMIF('Eredeti fejléccel'!$B:$B,'Felosztás eredménykim'!$B174,'Eredeti fejléccel'!$Q:$Q)</f>
        <v>0</v>
      </c>
      <c r="L174" s="6">
        <f>SUMIF('Eredeti fejléccel'!$B:$B,'Felosztás eredménykim'!$B174,'Eredeti fejléccel'!$R:$R)</f>
        <v>0</v>
      </c>
      <c r="M174" s="6">
        <f>SUMIF('Eredeti fejléccel'!$B:$B,'Felosztás eredménykim'!$B174,'Eredeti fejléccel'!$T:$T)</f>
        <v>0</v>
      </c>
      <c r="N174" s="6">
        <f>SUMIF('Eredeti fejléccel'!$B:$B,'Felosztás eredménykim'!$B174,'Eredeti fejléccel'!$U:$U)</f>
        <v>0</v>
      </c>
      <c r="O174" s="6">
        <f>SUMIF('Eredeti fejléccel'!$B:$B,'Felosztás eredménykim'!$B174,'Eredeti fejléccel'!$V:$V)</f>
        <v>0</v>
      </c>
      <c r="P174" s="6">
        <f>SUMIF('Eredeti fejléccel'!$B:$B,'Felosztás eredménykim'!$B174,'Eredeti fejléccel'!$W:$W)</f>
        <v>0</v>
      </c>
      <c r="Q174" s="6">
        <f>SUMIF('Eredeti fejléccel'!$B:$B,'Felosztás eredménykim'!$B174,'Eredeti fejléccel'!$X:$X)</f>
        <v>0</v>
      </c>
      <c r="R174" s="6">
        <f>SUMIF('Eredeti fejléccel'!$B:$B,'Felosztás eredménykim'!$B174,'Eredeti fejléccel'!$Y:$Y)</f>
        <v>0</v>
      </c>
      <c r="S174" s="6">
        <f>SUMIF('Eredeti fejléccel'!$B:$B,'Felosztás eredménykim'!$B174,'Eredeti fejléccel'!$Z:$Z)</f>
        <v>0</v>
      </c>
      <c r="T174" s="6">
        <f>SUMIF('Eredeti fejléccel'!$B:$B,'Felosztás eredménykim'!$B174,'Eredeti fejléccel'!$AA:$AA)</f>
        <v>0</v>
      </c>
      <c r="U174" s="6">
        <f>SUMIF('Eredeti fejléccel'!$B:$B,'Felosztás eredménykim'!$B174,'Eredeti fejléccel'!$D:$D)</f>
        <v>0</v>
      </c>
      <c r="V174" s="6">
        <f>SUMIF('Eredeti fejléccel'!$B:$B,'Felosztás eredménykim'!$B174,'Eredeti fejléccel'!$AT:$AT)</f>
        <v>68928828.160000086</v>
      </c>
      <c r="W174" s="36">
        <f t="shared" si="302"/>
        <v>-68928828.160000086</v>
      </c>
      <c r="X174" s="36">
        <f t="shared" si="211"/>
        <v>0</v>
      </c>
      <c r="Z174" s="6">
        <f>SUMIF('Eredeti fejléccel'!$B:$B,'Felosztás eredménykim'!$B174,'Eredeti fejléccel'!$K:$K)</f>
        <v>0</v>
      </c>
      <c r="AB174" s="6">
        <f>SUMIF('Eredeti fejléccel'!$B:$B,'Felosztás eredménykim'!$B174,'Eredeti fejléccel'!$AB:$AB)</f>
        <v>0</v>
      </c>
      <c r="AC174" s="6">
        <f>SUMIF('Eredeti fejléccel'!$B:$B,'Felosztás eredménykim'!$B174,'Eredeti fejléccel'!$AQ:$AQ)</f>
        <v>0</v>
      </c>
      <c r="AE174" s="73">
        <f t="shared" si="299"/>
        <v>0</v>
      </c>
      <c r="AF174" s="36">
        <f t="shared" si="339"/>
        <v>0</v>
      </c>
      <c r="AG174" s="8">
        <f t="shared" si="213"/>
        <v>0</v>
      </c>
      <c r="AI174" s="6">
        <f>SUMIF('Eredeti fejléccel'!$B:$B,'Felosztás eredménykim'!$B174,'Eredeti fejléccel'!$BB:$BB)</f>
        <v>0</v>
      </c>
      <c r="AJ174" s="6">
        <f>SUMIF('Eredeti fejléccel'!$B:$B,'Felosztás eredménykim'!$B174,'Eredeti fejléccel'!$AF:$AF)</f>
        <v>0</v>
      </c>
      <c r="AK174" s="8">
        <f t="shared" si="177"/>
        <v>0</v>
      </c>
      <c r="AL174" s="36">
        <f t="shared" si="340"/>
        <v>0</v>
      </c>
      <c r="AM174" s="8">
        <f t="shared" si="215"/>
        <v>0</v>
      </c>
      <c r="AN174" s="6">
        <f t="shared" si="291"/>
        <v>0</v>
      </c>
      <c r="AO174" s="6">
        <f>SUMIF('Eredeti fejléccel'!$B:$B,'Felosztás eredménykim'!$B174,'Eredeti fejléccel'!$AC:$AC)</f>
        <v>0</v>
      </c>
      <c r="AP174" s="6">
        <f>SUMIF('Eredeti fejléccel'!$B:$B,'Felosztás eredménykim'!$B174,'Eredeti fejléccel'!$AD:$AD)</f>
        <v>0</v>
      </c>
      <c r="AQ174" s="6">
        <f>SUMIF('Eredeti fejléccel'!$B:$B,'Felosztás eredménykim'!$B174,'Eredeti fejléccel'!$AE:$AE)</f>
        <v>0</v>
      </c>
      <c r="AR174" s="6">
        <f>SUMIF('Eredeti fejléccel'!$B:$B,'Felosztás eredménykim'!$B174,'Eredeti fejléccel'!$AG:$AG)</f>
        <v>0</v>
      </c>
      <c r="AS174" s="6">
        <f t="shared" si="292"/>
        <v>0</v>
      </c>
      <c r="AT174" s="36">
        <f t="shared" si="341"/>
        <v>0</v>
      </c>
      <c r="AU174" s="8">
        <f t="shared" si="217"/>
        <v>0</v>
      </c>
      <c r="AV174" s="6">
        <f>SUMIF('Eredeti fejléccel'!$B:$B,'Felosztás eredménykim'!$B174,'Eredeti fejléccel'!$AI:$AI)</f>
        <v>0</v>
      </c>
      <c r="AW174" s="6">
        <f>SUMIF('Eredeti fejléccel'!$B:$B,'Felosztás eredménykim'!$B174,'Eredeti fejléccel'!$AJ:$AJ)</f>
        <v>0</v>
      </c>
      <c r="AX174" s="6">
        <f>SUMIF('Eredeti fejléccel'!$B:$B,'Felosztás eredménykim'!$B174,'Eredeti fejléccel'!$AK:$AK)</f>
        <v>0</v>
      </c>
      <c r="AY174" s="6">
        <f>SUMIF('Eredeti fejléccel'!$B:$B,'Felosztás eredménykim'!$B174,'Eredeti fejléccel'!$AL:$AL)</f>
        <v>0</v>
      </c>
      <c r="AZ174" s="6">
        <f>SUMIF('Eredeti fejléccel'!$B:$B,'Felosztás eredménykim'!$B174,'Eredeti fejléccel'!$AM:$AM)</f>
        <v>0</v>
      </c>
      <c r="BA174" s="6">
        <f>SUMIF('Eredeti fejléccel'!$B:$B,'Felosztás eredménykim'!$B174,'Eredeti fejléccel'!$AN:$AN)</f>
        <v>0</v>
      </c>
      <c r="BB174" s="6">
        <f>SUMIF('Eredeti fejléccel'!$B:$B,'Felosztás eredménykim'!$B174,'Eredeti fejléccel'!$AP:$AP)</f>
        <v>0</v>
      </c>
      <c r="BD174" s="6">
        <f>SUMIF('Eredeti fejléccel'!$B:$B,'Felosztás eredménykim'!$B174,'Eredeti fejléccel'!$AS:$AS)</f>
        <v>0</v>
      </c>
      <c r="BE174" s="8">
        <f t="shared" si="238"/>
        <v>0</v>
      </c>
      <c r="BF174" s="36">
        <f t="shared" si="342"/>
        <v>0</v>
      </c>
      <c r="BG174" s="8">
        <f t="shared" si="219"/>
        <v>0</v>
      </c>
      <c r="BH174" s="6">
        <f t="shared" si="293"/>
        <v>0</v>
      </c>
      <c r="BI174" s="6">
        <f>SUMIF('Eredeti fejléccel'!$B:$B,'Felosztás eredménykim'!$B174,'Eredeti fejléccel'!$AH:$AH)</f>
        <v>0</v>
      </c>
      <c r="BJ174" s="6">
        <f>SUMIF('Eredeti fejléccel'!$B:$B,'Felosztás eredménykim'!$B174,'Eredeti fejléccel'!$AO:$AO)</f>
        <v>0</v>
      </c>
      <c r="BK174" s="6">
        <f>SUMIF('Eredeti fejléccel'!$B:$B,'Felosztás eredménykim'!$B174,'Eredeti fejléccel'!$BF:$BF)</f>
        <v>0</v>
      </c>
      <c r="BL174" s="8">
        <f t="shared" si="294"/>
        <v>0</v>
      </c>
      <c r="BM174" s="36">
        <f t="shared" si="343"/>
        <v>0</v>
      </c>
      <c r="BN174" s="8">
        <f t="shared" si="221"/>
        <v>0</v>
      </c>
      <c r="BP174" s="8">
        <f t="shared" si="295"/>
        <v>0</v>
      </c>
      <c r="BQ174" s="6">
        <f>SUMIF('Eredeti fejléccel'!$B:$B,'Felosztás eredménykim'!$B174,'Eredeti fejléccel'!$N:$N)</f>
        <v>0</v>
      </c>
      <c r="BR174" s="6">
        <f>SUMIF('Eredeti fejléccel'!$B:$B,'Felosztás eredménykim'!$B174,'Eredeti fejléccel'!$S:$S)</f>
        <v>0</v>
      </c>
      <c r="BT174" s="6">
        <f>SUMIF('Eredeti fejléccel'!$B:$B,'Felosztás eredménykim'!$B174,'Eredeti fejléccel'!$AR:$AR)</f>
        <v>0</v>
      </c>
      <c r="BU174" s="6">
        <f>SUMIF('Eredeti fejléccel'!$B:$B,'Felosztás eredménykim'!$B174,'Eredeti fejléccel'!$AU:$AU)</f>
        <v>0</v>
      </c>
      <c r="BV174" s="6">
        <f>SUMIF('Eredeti fejléccel'!$B:$B,'Felosztás eredménykim'!$B174,'Eredeti fejléccel'!$AV:$AV)</f>
        <v>0</v>
      </c>
      <c r="BW174" s="6">
        <f>SUMIF('Eredeti fejléccel'!$B:$B,'Felosztás eredménykim'!$B174,'Eredeti fejléccel'!$AW:$AW)</f>
        <v>0</v>
      </c>
      <c r="BX174" s="6">
        <f>SUMIF('Eredeti fejléccel'!$B:$B,'Felosztás eredménykim'!$B174,'Eredeti fejléccel'!$AX:$AX)</f>
        <v>0</v>
      </c>
      <c r="BY174" s="6">
        <f>SUMIF('Eredeti fejléccel'!$B:$B,'Felosztás eredménykim'!$B174,'Eredeti fejléccel'!$AY:$AY)</f>
        <v>0</v>
      </c>
      <c r="BZ174" s="6">
        <f>SUMIF('Eredeti fejléccel'!$B:$B,'Felosztás eredménykim'!$B174,'Eredeti fejléccel'!$AZ:$AZ)</f>
        <v>0</v>
      </c>
      <c r="CA174" s="6">
        <f>SUMIF('Eredeti fejléccel'!$B:$B,'Felosztás eredménykim'!$B174,'Eredeti fejléccel'!$BA:$BA)</f>
        <v>0</v>
      </c>
      <c r="CB174" s="6">
        <f t="shared" si="253"/>
        <v>0</v>
      </c>
      <c r="CC174" s="36">
        <f t="shared" si="344"/>
        <v>0</v>
      </c>
      <c r="CD174" s="8">
        <f t="shared" si="223"/>
        <v>0</v>
      </c>
      <c r="CE174" s="6">
        <f>SUMIF('Eredeti fejléccel'!$B:$B,'Felosztás eredménykim'!$B174,'Eredeti fejléccel'!$BC:$BC)</f>
        <v>0</v>
      </c>
      <c r="CF174" s="8">
        <f t="shared" si="300"/>
        <v>0</v>
      </c>
      <c r="CG174" s="6">
        <f>SUMIF('Eredeti fejléccel'!$B:$B,'Felosztás eredménykim'!$B174,'Eredeti fejléccel'!$H:$H)</f>
        <v>0</v>
      </c>
      <c r="CH174" s="6">
        <f>SUMIF('Eredeti fejléccel'!$B:$B,'Felosztás eredménykim'!$B174,'Eredeti fejléccel'!$BE:$BE)</f>
        <v>0</v>
      </c>
      <c r="CI174" s="6">
        <f t="shared" si="239"/>
        <v>0</v>
      </c>
      <c r="CJ174" s="36">
        <f t="shared" si="345"/>
        <v>0</v>
      </c>
      <c r="CK174" s="8">
        <f t="shared" si="225"/>
        <v>0</v>
      </c>
      <c r="CL174" s="8">
        <f t="shared" si="301"/>
        <v>0</v>
      </c>
      <c r="CM174" s="6">
        <f>SUMIF('Eredeti fejléccel'!$B:$B,'Felosztás eredménykim'!$B174,'Eredeti fejléccel'!$BD:$BD)</f>
        <v>0</v>
      </c>
      <c r="CN174" s="8">
        <f t="shared" si="240"/>
        <v>0</v>
      </c>
      <c r="CO174" s="8">
        <f t="shared" si="254"/>
        <v>0</v>
      </c>
      <c r="CR174" s="36">
        <f t="shared" si="226"/>
        <v>0</v>
      </c>
      <c r="CS174" s="6">
        <f>SUMIF('Eredeti fejléccel'!$B:$B,'Felosztás eredménykim'!$B174,'Eredeti fejléccel'!$I:$I)</f>
        <v>0</v>
      </c>
      <c r="CT174" s="6">
        <f>SUMIF('Eredeti fejléccel'!$B:$B,'Felosztás eredménykim'!$B174,'Eredeti fejléccel'!$BG:$BG)</f>
        <v>0</v>
      </c>
      <c r="CU174" s="6">
        <f>SUMIF('Eredeti fejléccel'!$B:$B,'Felosztás eredménykim'!$B174,'Eredeti fejléccel'!$BH:$BH)</f>
        <v>0</v>
      </c>
      <c r="CV174" s="6">
        <f>SUMIF('Eredeti fejléccel'!$B:$B,'Felosztás eredménykim'!$B174,'Eredeti fejléccel'!$BI:$BI)</f>
        <v>0</v>
      </c>
      <c r="CW174" s="6">
        <f>SUMIF('Eredeti fejléccel'!$B:$B,'Felosztás eredménykim'!$B174,'Eredeti fejléccel'!$BL:$BL)</f>
        <v>0</v>
      </c>
      <c r="CX174" s="6">
        <f t="shared" si="241"/>
        <v>0</v>
      </c>
      <c r="CY174" s="6">
        <f>SUMIF('Eredeti fejléccel'!$B:$B,'Felosztás eredménykim'!$B174,'Eredeti fejléccel'!$BJ:$BJ)</f>
        <v>0</v>
      </c>
      <c r="CZ174" s="6">
        <f>SUMIF('Eredeti fejléccel'!$B:$B,'Felosztás eredménykim'!$B174,'Eredeti fejléccel'!$BK:$BK)</f>
        <v>0</v>
      </c>
      <c r="DA174" s="99">
        <f t="shared" si="242"/>
        <v>0</v>
      </c>
      <c r="DC174" s="36">
        <f t="shared" si="227"/>
        <v>0</v>
      </c>
      <c r="DD174" s="6">
        <f>SUMIF('Eredeti fejléccel'!$B:$B,'Felosztás eredménykim'!$B174,'Eredeti fejléccel'!$J:$J)</f>
        <v>0</v>
      </c>
      <c r="DE174" s="6">
        <f>SUMIF('Eredeti fejléccel'!$B:$B,'Felosztás eredménykim'!$B174,'Eredeti fejléccel'!$BM:$BM)</f>
        <v>0</v>
      </c>
      <c r="DF174" s="6">
        <f t="shared" si="296"/>
        <v>0</v>
      </c>
      <c r="DG174" s="8">
        <f t="shared" si="255"/>
        <v>0</v>
      </c>
      <c r="DH174" s="8">
        <f t="shared" si="297"/>
        <v>0</v>
      </c>
      <c r="DJ174" s="6">
        <f>SUMIF('Eredeti fejléccel'!$B:$B,'Felosztás eredménykim'!$B174,'Eredeti fejléccel'!$BN:$BN)</f>
        <v>0</v>
      </c>
      <c r="DK174" s="6">
        <f>SUMIF('Eredeti fejléccel'!$B:$B,'Felosztás eredménykim'!$B174,'Eredeti fejléccel'!$BZ:$BZ)</f>
        <v>0</v>
      </c>
      <c r="DL174" s="8">
        <f t="shared" si="298"/>
        <v>0</v>
      </c>
      <c r="DM174" s="6">
        <f>SUMIF('Eredeti fejléccel'!$B:$B,'Felosztás eredménykim'!$B174,'Eredeti fejléccel'!$BR:$BR)</f>
        <v>0</v>
      </c>
      <c r="DN174" s="6">
        <f>SUMIF('Eredeti fejléccel'!$B:$B,'Felosztás eredménykim'!$B174,'Eredeti fejléccel'!$BS:$BS)</f>
        <v>0</v>
      </c>
      <c r="DO174" s="6">
        <f>SUMIF('Eredeti fejléccel'!$B:$B,'Felosztás eredménykim'!$B174,'Eredeti fejléccel'!$BO:$BO)</f>
        <v>0</v>
      </c>
      <c r="DP174" s="6">
        <f>SUMIF('Eredeti fejléccel'!$B:$B,'Felosztás eredménykim'!$B174,'Eredeti fejléccel'!$BP:$BP)</f>
        <v>0</v>
      </c>
      <c r="DQ174" s="6">
        <f>SUMIF('Eredeti fejléccel'!$B:$B,'Felosztás eredménykim'!$B174,'Eredeti fejléccel'!$BQ:$BQ)</f>
        <v>0</v>
      </c>
      <c r="DS174" s="8"/>
      <c r="DU174" s="6">
        <f>SUMIF('Eredeti fejléccel'!$B:$B,'Felosztás eredménykim'!$B174,'Eredeti fejléccel'!$BT:$BT)</f>
        <v>0</v>
      </c>
      <c r="DV174" s="6">
        <f>SUMIF('Eredeti fejléccel'!$B:$B,'Felosztás eredménykim'!$B174,'Eredeti fejléccel'!$BU:$BU)</f>
        <v>0</v>
      </c>
      <c r="DW174" s="6">
        <f>SUMIF('Eredeti fejléccel'!$B:$B,'Felosztás eredménykim'!$B174,'Eredeti fejléccel'!$BV:$BV)</f>
        <v>0</v>
      </c>
      <c r="DX174" s="6">
        <f>SUMIF('Eredeti fejléccel'!$B:$B,'Felosztás eredménykim'!$B174,'Eredeti fejléccel'!$BW:$BW)</f>
        <v>0</v>
      </c>
      <c r="DY174" s="6">
        <f>SUMIF('Eredeti fejléccel'!$B:$B,'Felosztás eredménykim'!$B174,'Eredeti fejléccel'!$BX:$BX)</f>
        <v>0</v>
      </c>
      <c r="EA174" s="6"/>
      <c r="EC174" s="6"/>
      <c r="EE174" s="6">
        <f>SUMIF('Eredeti fejléccel'!$B:$B,'Felosztás eredménykim'!$B174,'Eredeti fejléccel'!$CA:$CA)</f>
        <v>0</v>
      </c>
      <c r="EF174" s="6">
        <f>SUMIF('Eredeti fejléccel'!$B:$B,'Felosztás eredménykim'!$B174,'Eredeti fejléccel'!$CB:$CB)</f>
        <v>0</v>
      </c>
      <c r="EG174" s="6">
        <f>SUMIF('Eredeti fejléccel'!$B:$B,'Felosztás eredménykim'!$B174,'Eredeti fejléccel'!$CC:$CC)</f>
        <v>0</v>
      </c>
      <c r="EH174" s="6">
        <f>SUMIF('Eredeti fejléccel'!$B:$B,'Felosztás eredménykim'!$B174,'Eredeti fejléccel'!$CD:$CD)</f>
        <v>0</v>
      </c>
      <c r="EK174" s="6">
        <f>SUMIF('Eredeti fejléccel'!$B:$B,'Felosztás eredménykim'!$B174,'Eredeti fejléccel'!$CE:$CE)</f>
        <v>0</v>
      </c>
      <c r="EN174" s="6">
        <f>SUMIF('Eredeti fejléccel'!$B:$B,'Felosztás eredménykim'!$B174,'Eredeti fejléccel'!$CF:$CF)</f>
        <v>0</v>
      </c>
      <c r="EP174" s="6">
        <f>SUMIF('Eredeti fejléccel'!$B:$B,'Felosztás eredménykim'!$B174,'Eredeti fejléccel'!$CG:$CG)</f>
        <v>0</v>
      </c>
      <c r="ES174" s="6">
        <f>SUMIF('Eredeti fejléccel'!$B:$B,'Felosztás eredménykim'!$B174,'Eredeti fejléccel'!$CH:$CH)</f>
        <v>0</v>
      </c>
      <c r="ET174" s="6">
        <f>SUMIF('Eredeti fejléccel'!$B:$B,'Felosztás eredménykim'!$B174,'Eredeti fejléccel'!$CI:$CI)</f>
        <v>0</v>
      </c>
      <c r="EW174" s="8">
        <f t="shared" si="288"/>
        <v>0</v>
      </c>
      <c r="EX174" s="8">
        <f t="shared" si="243"/>
        <v>0</v>
      </c>
      <c r="EY174" s="8">
        <f t="shared" si="244"/>
        <v>0</v>
      </c>
      <c r="EZ174" s="8">
        <f t="shared" si="289"/>
        <v>0</v>
      </c>
      <c r="FA174" s="8">
        <f t="shared" si="290"/>
        <v>0</v>
      </c>
      <c r="FC174" s="6">
        <f>SUMIF('Eredeti fejléccel'!$B:$B,'Felosztás eredménykim'!$B174,'Eredeti fejléccel'!$L:$L)</f>
        <v>0</v>
      </c>
      <c r="FD174" s="6">
        <f>SUMIF('Eredeti fejléccel'!$B:$B,'Felosztás eredménykim'!$B174,'Eredeti fejléccel'!$CJ:$CJ)</f>
        <v>0</v>
      </c>
      <c r="FE174" s="6">
        <f>SUMIF('Eredeti fejléccel'!$B:$B,'Felosztás eredménykim'!$B174,'Eredeti fejléccel'!$CL:$CL)</f>
        <v>0</v>
      </c>
      <c r="FG174" s="99">
        <f t="shared" si="245"/>
        <v>0</v>
      </c>
      <c r="FH174" s="6">
        <f>SUMIF('Eredeti fejléccel'!$B:$B,'Felosztás eredménykim'!$B174,'Eredeti fejléccel'!$CK:$CK)</f>
        <v>0</v>
      </c>
      <c r="FI174" s="36">
        <f t="shared" si="346"/>
        <v>0</v>
      </c>
      <c r="FJ174" s="101">
        <f t="shared" si="229"/>
        <v>0</v>
      </c>
      <c r="FK174" s="6">
        <f>SUMIF('Eredeti fejléccel'!$B:$B,'Felosztás eredménykim'!$B174,'Eredeti fejléccel'!$CM:$CM)</f>
        <v>0</v>
      </c>
      <c r="FL174" s="6">
        <f>SUMIF('Eredeti fejléccel'!$B:$B,'Felosztás eredménykim'!$B174,'Eredeti fejléccel'!$CN:$CN)</f>
        <v>0</v>
      </c>
      <c r="FM174" s="8">
        <f t="shared" si="246"/>
        <v>0</v>
      </c>
      <c r="FN174" s="36">
        <f t="shared" si="347"/>
        <v>0</v>
      </c>
      <c r="FO174" s="101">
        <f t="shared" si="231"/>
        <v>0</v>
      </c>
      <c r="FP174" s="6">
        <f>SUMIF('Eredeti fejléccel'!$B:$B,'Felosztás eredménykim'!$B174,'Eredeti fejléccel'!$CO:$CO)</f>
        <v>0</v>
      </c>
      <c r="FQ174" s="6">
        <f>'Eredeti fejléccel'!CP174</f>
        <v>0</v>
      </c>
      <c r="FR174" s="6">
        <f>'Eredeti fejléccel'!CQ174</f>
        <v>0</v>
      </c>
      <c r="FS174" s="103">
        <f t="shared" si="247"/>
        <v>0</v>
      </c>
      <c r="FT174" s="36">
        <f t="shared" si="348"/>
        <v>0</v>
      </c>
      <c r="FU174" s="101">
        <f t="shared" si="233"/>
        <v>0</v>
      </c>
      <c r="FV174" s="101"/>
      <c r="FW174" s="6">
        <f>SUMIF('Eredeti fejléccel'!$B:$B,'Felosztás eredménykim'!$B174,'Eredeti fejléccel'!$CR:$CR)</f>
        <v>0</v>
      </c>
      <c r="FX174" s="6">
        <f>SUMIF('Eredeti fejléccel'!$B:$B,'Felosztás eredménykim'!$B174,'Eredeti fejléccel'!$CS:$CS)</f>
        <v>0</v>
      </c>
      <c r="FY174" s="6">
        <f>SUMIF('Eredeti fejléccel'!$B:$B,'Felosztás eredménykim'!$B174,'Eredeti fejléccel'!$CT:$CT)</f>
        <v>0</v>
      </c>
      <c r="FZ174" s="6">
        <f>SUMIF('Eredeti fejléccel'!$B:$B,'Felosztás eredménykim'!$B174,'Eredeti fejléccel'!$CU:$CU)</f>
        <v>0</v>
      </c>
      <c r="GA174" s="103">
        <f t="shared" si="248"/>
        <v>0</v>
      </c>
      <c r="GB174" s="36">
        <f t="shared" si="349"/>
        <v>0</v>
      </c>
      <c r="GC174" s="101">
        <f t="shared" si="235"/>
        <v>0</v>
      </c>
      <c r="GD174" s="6">
        <f>SUMIF('Eredeti fejléccel'!$B:$B,'Felosztás eredménykim'!$B174,'Eredeti fejléccel'!$CV:$CV)</f>
        <v>0</v>
      </c>
      <c r="GE174" s="6">
        <f>SUMIF('Eredeti fejléccel'!$B:$B,'Felosztás eredménykim'!$B174,'Eredeti fejléccel'!$CW:$CW)</f>
        <v>0</v>
      </c>
      <c r="GF174" s="103">
        <f t="shared" si="249"/>
        <v>0</v>
      </c>
      <c r="GG174" s="36">
        <f t="shared" si="236"/>
        <v>0</v>
      </c>
      <c r="GM174" s="6">
        <f>SUMIF('Eredeti fejléccel'!$B:$B,'Felosztás eredménykim'!$B174,'Eredeti fejléccel'!$CX:$CX)</f>
        <v>0</v>
      </c>
      <c r="GN174" s="6">
        <f>SUMIF('Eredeti fejléccel'!$B:$B,'Felosztás eredménykim'!$B174,'Eredeti fejléccel'!$CY:$CY)</f>
        <v>0</v>
      </c>
      <c r="GO174" s="6">
        <f>SUMIF('Eredeti fejléccel'!$B:$B,'Felosztás eredménykim'!$B174,'Eredeti fejléccel'!$CZ:$CZ)</f>
        <v>0</v>
      </c>
      <c r="GP174" s="6">
        <f>SUMIF('Eredeti fejléccel'!$B:$B,'Felosztás eredménykim'!$B174,'Eredeti fejléccel'!$DA:$DA)</f>
        <v>0</v>
      </c>
      <c r="GQ174" s="6">
        <f>SUMIF('Eredeti fejléccel'!$B:$B,'Felosztás eredménykim'!$B174,'Eredeti fejléccel'!$DB:$DB)</f>
        <v>0</v>
      </c>
      <c r="GR174" s="103">
        <f t="shared" si="250"/>
        <v>0</v>
      </c>
      <c r="GW174" s="36">
        <f t="shared" si="237"/>
        <v>0</v>
      </c>
      <c r="GX174" s="6">
        <f>SUMIF('Eredeti fejléccel'!$B:$B,'Felosztás eredménykim'!$B174,'Eredeti fejléccel'!$M:$M)</f>
        <v>0</v>
      </c>
      <c r="GY174" s="6">
        <f>SUMIF('Eredeti fejléccel'!$B:$B,'Felosztás eredménykim'!$B174,'Eredeti fejléccel'!$DC:$DC)</f>
        <v>0</v>
      </c>
      <c r="GZ174" s="6">
        <f>SUMIF('Eredeti fejléccel'!$B:$B,'Felosztás eredménykim'!$B174,'Eredeti fejléccel'!$DD:$DD)</f>
        <v>0</v>
      </c>
      <c r="HA174" s="6">
        <f>SUMIF('Eredeti fejléccel'!$B:$B,'Felosztás eredménykim'!$B174,'Eredeti fejléccel'!$DE:$DE)</f>
        <v>0</v>
      </c>
      <c r="HB174" s="103">
        <f t="shared" si="251"/>
        <v>0</v>
      </c>
      <c r="HD174" s="9">
        <f t="shared" si="350"/>
        <v>68928828.160000086</v>
      </c>
      <c r="HE174" s="9">
        <v>68928828.160000086</v>
      </c>
      <c r="HF174" s="476"/>
      <c r="HH174" s="34">
        <f t="shared" si="252"/>
        <v>0</v>
      </c>
    </row>
    <row r="175" spans="1:216" x14ac:dyDescent="0.25">
      <c r="A175" s="4" t="s">
        <v>780</v>
      </c>
      <c r="B175" s="4" t="s">
        <v>780</v>
      </c>
      <c r="C175" s="1" t="s">
        <v>781</v>
      </c>
      <c r="D175" s="6">
        <f>SUMIF('Eredeti fejléccel'!$B:$B,'Felosztás eredménykim'!$B175,'Eredeti fejléccel'!$D:$D)</f>
        <v>0</v>
      </c>
      <c r="E175" s="6">
        <f>SUMIF('Eredeti fejléccel'!$B:$B,'Felosztás eredménykim'!$B175,'Eredeti fejléccel'!$E:$E)</f>
        <v>0</v>
      </c>
      <c r="F175" s="6">
        <f>SUMIF('Eredeti fejléccel'!$B:$B,'Felosztás eredménykim'!$B175,'Eredeti fejléccel'!$F:$F)</f>
        <v>0</v>
      </c>
      <c r="G175" s="6">
        <f>SUMIF('Eredeti fejléccel'!$B:$B,'Felosztás eredménykim'!$B175,'Eredeti fejléccel'!$G:$G)</f>
        <v>0</v>
      </c>
      <c r="H175" s="6"/>
      <c r="I175" s="6">
        <f>SUMIF('Eredeti fejléccel'!$B:$B,'Felosztás eredménykim'!$B175,'Eredeti fejléccel'!$O:$O)</f>
        <v>0</v>
      </c>
      <c r="J175" s="6">
        <f>SUMIF('Eredeti fejléccel'!$B:$B,'Felosztás eredménykim'!$B175,'Eredeti fejléccel'!$P:$P)</f>
        <v>0</v>
      </c>
      <c r="K175" s="6">
        <f>SUMIF('Eredeti fejléccel'!$B:$B,'Felosztás eredménykim'!$B175,'Eredeti fejléccel'!$Q:$Q)</f>
        <v>0</v>
      </c>
      <c r="L175" s="6">
        <f>SUMIF('Eredeti fejléccel'!$B:$B,'Felosztás eredménykim'!$B175,'Eredeti fejléccel'!$R:$R)</f>
        <v>0</v>
      </c>
      <c r="M175" s="6">
        <f>SUMIF('Eredeti fejléccel'!$B:$B,'Felosztás eredménykim'!$B175,'Eredeti fejléccel'!$T:$T)</f>
        <v>0</v>
      </c>
      <c r="N175" s="6">
        <f>SUMIF('Eredeti fejléccel'!$B:$B,'Felosztás eredménykim'!$B175,'Eredeti fejléccel'!$U:$U)</f>
        <v>0</v>
      </c>
      <c r="O175" s="6">
        <f>SUMIF('Eredeti fejléccel'!$B:$B,'Felosztás eredménykim'!$B175,'Eredeti fejléccel'!$V:$V)</f>
        <v>0</v>
      </c>
      <c r="P175" s="6">
        <f>SUMIF('Eredeti fejléccel'!$B:$B,'Felosztás eredménykim'!$B175,'Eredeti fejléccel'!$W:$W)</f>
        <v>0</v>
      </c>
      <c r="Q175" s="6">
        <f>SUMIF('Eredeti fejléccel'!$B:$B,'Felosztás eredménykim'!$B175,'Eredeti fejléccel'!$X:$X)</f>
        <v>0</v>
      </c>
      <c r="R175" s="6">
        <f>SUMIF('Eredeti fejléccel'!$B:$B,'Felosztás eredménykim'!$B175,'Eredeti fejléccel'!$Y:$Y)</f>
        <v>0</v>
      </c>
      <c r="S175" s="6">
        <f>SUMIF('Eredeti fejléccel'!$B:$B,'Felosztás eredménykim'!$B175,'Eredeti fejléccel'!$Z:$Z)</f>
        <v>0</v>
      </c>
      <c r="T175" s="6">
        <f>SUMIF('Eredeti fejléccel'!$B:$B,'Felosztás eredménykim'!$B175,'Eredeti fejléccel'!$AA:$AA)</f>
        <v>0</v>
      </c>
      <c r="U175" s="6">
        <f>SUMIF('Eredeti fejléccel'!$B:$B,'Felosztás eredménykim'!$B175,'Eredeti fejléccel'!$D:$D)</f>
        <v>0</v>
      </c>
      <c r="V175" s="6">
        <f>SUMIF('Eredeti fejléccel'!$B:$B,'Felosztás eredménykim'!$B175,'Eredeti fejléccel'!$AT:$AT)</f>
        <v>428397.00000000012</v>
      </c>
      <c r="W175" s="36">
        <f t="shared" si="302"/>
        <v>-428397.00000000012</v>
      </c>
      <c r="X175" s="36">
        <f t="shared" si="211"/>
        <v>0</v>
      </c>
      <c r="Z175" s="6">
        <f>SUMIF('Eredeti fejléccel'!$B:$B,'Felosztás eredménykim'!$B175,'Eredeti fejléccel'!$K:$K)</f>
        <v>0</v>
      </c>
      <c r="AB175" s="6">
        <f>SUMIF('Eredeti fejléccel'!$B:$B,'Felosztás eredménykim'!$B175,'Eredeti fejléccel'!$AB:$AB)</f>
        <v>0</v>
      </c>
      <c r="AC175" s="6">
        <f>SUMIF('Eredeti fejléccel'!$B:$B,'Felosztás eredménykim'!$B175,'Eredeti fejléccel'!$AQ:$AQ)</f>
        <v>0</v>
      </c>
      <c r="AE175" s="73">
        <f t="shared" si="299"/>
        <v>0</v>
      </c>
      <c r="AF175" s="36">
        <f t="shared" si="339"/>
        <v>0</v>
      </c>
      <c r="AG175" s="8">
        <f t="shared" si="213"/>
        <v>0</v>
      </c>
      <c r="AI175" s="6">
        <f>SUMIF('Eredeti fejléccel'!$B:$B,'Felosztás eredménykim'!$B175,'Eredeti fejléccel'!$BB:$BB)</f>
        <v>0</v>
      </c>
      <c r="AJ175" s="6">
        <f>SUMIF('Eredeti fejléccel'!$B:$B,'Felosztás eredménykim'!$B175,'Eredeti fejléccel'!$AF:$AF)</f>
        <v>0</v>
      </c>
      <c r="AK175" s="8">
        <f t="shared" si="177"/>
        <v>0</v>
      </c>
      <c r="AL175" s="36">
        <f t="shared" si="340"/>
        <v>0</v>
      </c>
      <c r="AM175" s="8">
        <f t="shared" si="215"/>
        <v>0</v>
      </c>
      <c r="AN175" s="6">
        <f t="shared" si="291"/>
        <v>0</v>
      </c>
      <c r="AO175" s="6">
        <f>SUMIF('Eredeti fejléccel'!$B:$B,'Felosztás eredménykim'!$B175,'Eredeti fejléccel'!$AC:$AC)</f>
        <v>0</v>
      </c>
      <c r="AP175" s="6">
        <f>SUMIF('Eredeti fejléccel'!$B:$B,'Felosztás eredménykim'!$B175,'Eredeti fejléccel'!$AD:$AD)</f>
        <v>0</v>
      </c>
      <c r="AQ175" s="6">
        <f>SUMIF('Eredeti fejléccel'!$B:$B,'Felosztás eredménykim'!$B175,'Eredeti fejléccel'!$AE:$AE)</f>
        <v>0</v>
      </c>
      <c r="AR175" s="6">
        <f>SUMIF('Eredeti fejléccel'!$B:$B,'Felosztás eredménykim'!$B175,'Eredeti fejléccel'!$AG:$AG)</f>
        <v>0</v>
      </c>
      <c r="AS175" s="6">
        <f t="shared" si="292"/>
        <v>0</v>
      </c>
      <c r="AT175" s="36">
        <f t="shared" si="341"/>
        <v>0</v>
      </c>
      <c r="AU175" s="8">
        <f t="shared" si="217"/>
        <v>0</v>
      </c>
      <c r="AV175" s="6">
        <f>SUMIF('Eredeti fejléccel'!$B:$B,'Felosztás eredménykim'!$B175,'Eredeti fejléccel'!$AI:$AI)</f>
        <v>0</v>
      </c>
      <c r="AW175" s="6">
        <f>SUMIF('Eredeti fejléccel'!$B:$B,'Felosztás eredménykim'!$B175,'Eredeti fejléccel'!$AJ:$AJ)</f>
        <v>0</v>
      </c>
      <c r="AX175" s="6">
        <f>SUMIF('Eredeti fejléccel'!$B:$B,'Felosztás eredménykim'!$B175,'Eredeti fejléccel'!$AK:$AK)</f>
        <v>0</v>
      </c>
      <c r="AY175" s="6">
        <f>SUMIF('Eredeti fejléccel'!$B:$B,'Felosztás eredménykim'!$B175,'Eredeti fejléccel'!$AL:$AL)</f>
        <v>0</v>
      </c>
      <c r="AZ175" s="6">
        <f>SUMIF('Eredeti fejléccel'!$B:$B,'Felosztás eredménykim'!$B175,'Eredeti fejléccel'!$AM:$AM)</f>
        <v>0</v>
      </c>
      <c r="BA175" s="6">
        <f>SUMIF('Eredeti fejléccel'!$B:$B,'Felosztás eredménykim'!$B175,'Eredeti fejléccel'!$AN:$AN)</f>
        <v>0</v>
      </c>
      <c r="BB175" s="6">
        <f>SUMIF('Eredeti fejléccel'!$B:$B,'Felosztás eredménykim'!$B175,'Eredeti fejléccel'!$AP:$AP)</f>
        <v>0</v>
      </c>
      <c r="BD175" s="6">
        <f>SUMIF('Eredeti fejléccel'!$B:$B,'Felosztás eredménykim'!$B175,'Eredeti fejléccel'!$AS:$AS)</f>
        <v>0</v>
      </c>
      <c r="BE175" s="8">
        <f t="shared" si="238"/>
        <v>0</v>
      </c>
      <c r="BF175" s="36">
        <f t="shared" si="342"/>
        <v>0</v>
      </c>
      <c r="BG175" s="8">
        <f t="shared" si="219"/>
        <v>0</v>
      </c>
      <c r="BH175" s="6">
        <f t="shared" si="293"/>
        <v>0</v>
      </c>
      <c r="BI175" s="6">
        <f>SUMIF('Eredeti fejléccel'!$B:$B,'Felosztás eredménykim'!$B175,'Eredeti fejléccel'!$AH:$AH)</f>
        <v>0</v>
      </c>
      <c r="BJ175" s="6">
        <f>SUMIF('Eredeti fejléccel'!$B:$B,'Felosztás eredménykim'!$B175,'Eredeti fejléccel'!$AO:$AO)</f>
        <v>0</v>
      </c>
      <c r="BK175" s="6">
        <f>SUMIF('Eredeti fejléccel'!$B:$B,'Felosztás eredménykim'!$B175,'Eredeti fejléccel'!$BF:$BF)</f>
        <v>0</v>
      </c>
      <c r="BL175" s="8">
        <f t="shared" si="294"/>
        <v>0</v>
      </c>
      <c r="BM175" s="36">
        <f t="shared" si="343"/>
        <v>0</v>
      </c>
      <c r="BN175" s="8">
        <f t="shared" si="221"/>
        <v>0</v>
      </c>
      <c r="BP175" s="8">
        <f t="shared" si="295"/>
        <v>0</v>
      </c>
      <c r="BQ175" s="6">
        <f>SUMIF('Eredeti fejléccel'!$B:$B,'Felosztás eredménykim'!$B175,'Eredeti fejléccel'!$N:$N)</f>
        <v>0</v>
      </c>
      <c r="BR175" s="6">
        <f>SUMIF('Eredeti fejléccel'!$B:$B,'Felosztás eredménykim'!$B175,'Eredeti fejléccel'!$S:$S)</f>
        <v>0</v>
      </c>
      <c r="BT175" s="6">
        <f>SUMIF('Eredeti fejléccel'!$B:$B,'Felosztás eredménykim'!$B175,'Eredeti fejléccel'!$AR:$AR)</f>
        <v>0</v>
      </c>
      <c r="BU175" s="6">
        <f>SUMIF('Eredeti fejléccel'!$B:$B,'Felosztás eredménykim'!$B175,'Eredeti fejléccel'!$AU:$AU)</f>
        <v>0</v>
      </c>
      <c r="BV175" s="6">
        <f>SUMIF('Eredeti fejléccel'!$B:$B,'Felosztás eredménykim'!$B175,'Eredeti fejléccel'!$AV:$AV)</f>
        <v>0</v>
      </c>
      <c r="BW175" s="6">
        <f>SUMIF('Eredeti fejléccel'!$B:$B,'Felosztás eredménykim'!$B175,'Eredeti fejléccel'!$AW:$AW)</f>
        <v>0</v>
      </c>
      <c r="BX175" s="6">
        <f>SUMIF('Eredeti fejléccel'!$B:$B,'Felosztás eredménykim'!$B175,'Eredeti fejléccel'!$AX:$AX)</f>
        <v>0</v>
      </c>
      <c r="BY175" s="6">
        <f>SUMIF('Eredeti fejléccel'!$B:$B,'Felosztás eredménykim'!$B175,'Eredeti fejléccel'!$AY:$AY)</f>
        <v>0</v>
      </c>
      <c r="BZ175" s="6">
        <f>SUMIF('Eredeti fejléccel'!$B:$B,'Felosztás eredménykim'!$B175,'Eredeti fejléccel'!$AZ:$AZ)</f>
        <v>0</v>
      </c>
      <c r="CA175" s="6">
        <f>SUMIF('Eredeti fejléccel'!$B:$B,'Felosztás eredménykim'!$B175,'Eredeti fejléccel'!$BA:$BA)</f>
        <v>0</v>
      </c>
      <c r="CB175" s="6">
        <f t="shared" si="253"/>
        <v>0</v>
      </c>
      <c r="CC175" s="36">
        <f t="shared" si="344"/>
        <v>0</v>
      </c>
      <c r="CD175" s="8">
        <f t="shared" si="223"/>
        <v>0</v>
      </c>
      <c r="CE175" s="6">
        <f>SUMIF('Eredeti fejléccel'!$B:$B,'Felosztás eredménykim'!$B175,'Eredeti fejléccel'!$BC:$BC)</f>
        <v>0</v>
      </c>
      <c r="CF175" s="8">
        <f t="shared" si="300"/>
        <v>0</v>
      </c>
      <c r="CG175" s="6">
        <f>SUMIF('Eredeti fejléccel'!$B:$B,'Felosztás eredménykim'!$B175,'Eredeti fejléccel'!$H:$H)</f>
        <v>0</v>
      </c>
      <c r="CH175" s="6">
        <f>SUMIF('Eredeti fejléccel'!$B:$B,'Felosztás eredménykim'!$B175,'Eredeti fejléccel'!$BE:$BE)</f>
        <v>0</v>
      </c>
      <c r="CI175" s="6">
        <f t="shared" si="239"/>
        <v>0</v>
      </c>
      <c r="CJ175" s="36">
        <f t="shared" si="345"/>
        <v>0</v>
      </c>
      <c r="CK175" s="8">
        <f t="shared" si="225"/>
        <v>0</v>
      </c>
      <c r="CL175" s="8">
        <f t="shared" si="301"/>
        <v>0</v>
      </c>
      <c r="CM175" s="6">
        <f>SUMIF('Eredeti fejléccel'!$B:$B,'Felosztás eredménykim'!$B175,'Eredeti fejléccel'!$BD:$BD)</f>
        <v>0</v>
      </c>
      <c r="CN175" s="8">
        <f t="shared" si="240"/>
        <v>0</v>
      </c>
      <c r="CO175" s="8">
        <f t="shared" si="254"/>
        <v>0</v>
      </c>
      <c r="CR175" s="36">
        <f t="shared" si="226"/>
        <v>0</v>
      </c>
      <c r="CS175" s="6">
        <f>SUMIF('Eredeti fejléccel'!$B:$B,'Felosztás eredménykim'!$B175,'Eredeti fejléccel'!$I:$I)</f>
        <v>0</v>
      </c>
      <c r="CT175" s="6">
        <f>SUMIF('Eredeti fejléccel'!$B:$B,'Felosztás eredménykim'!$B175,'Eredeti fejléccel'!$BG:$BG)</f>
        <v>0</v>
      </c>
      <c r="CU175" s="6">
        <f>SUMIF('Eredeti fejléccel'!$B:$B,'Felosztás eredménykim'!$B175,'Eredeti fejléccel'!$BH:$BH)</f>
        <v>0</v>
      </c>
      <c r="CV175" s="6">
        <f>SUMIF('Eredeti fejléccel'!$B:$B,'Felosztás eredménykim'!$B175,'Eredeti fejléccel'!$BI:$BI)</f>
        <v>0</v>
      </c>
      <c r="CW175" s="6">
        <f>SUMIF('Eredeti fejléccel'!$B:$B,'Felosztás eredménykim'!$B175,'Eredeti fejléccel'!$BL:$BL)</f>
        <v>0</v>
      </c>
      <c r="CX175" s="6">
        <f t="shared" si="241"/>
        <v>0</v>
      </c>
      <c r="CY175" s="6">
        <f>SUMIF('Eredeti fejléccel'!$B:$B,'Felosztás eredménykim'!$B175,'Eredeti fejléccel'!$BJ:$BJ)</f>
        <v>0</v>
      </c>
      <c r="CZ175" s="6">
        <f>SUMIF('Eredeti fejléccel'!$B:$B,'Felosztás eredménykim'!$B175,'Eredeti fejléccel'!$BK:$BK)</f>
        <v>0</v>
      </c>
      <c r="DA175" s="99">
        <f t="shared" si="242"/>
        <v>0</v>
      </c>
      <c r="DC175" s="36">
        <f t="shared" si="227"/>
        <v>0</v>
      </c>
      <c r="DD175" s="6">
        <f>SUMIF('Eredeti fejléccel'!$B:$B,'Felosztás eredménykim'!$B175,'Eredeti fejléccel'!$J:$J)</f>
        <v>0</v>
      </c>
      <c r="DE175" s="6">
        <f>SUMIF('Eredeti fejléccel'!$B:$B,'Felosztás eredménykim'!$B175,'Eredeti fejléccel'!$BM:$BM)</f>
        <v>0</v>
      </c>
      <c r="DF175" s="6">
        <f t="shared" si="296"/>
        <v>0</v>
      </c>
      <c r="DG175" s="8">
        <f t="shared" si="255"/>
        <v>0</v>
      </c>
      <c r="DH175" s="8">
        <f t="shared" si="297"/>
        <v>0</v>
      </c>
      <c r="DJ175" s="6">
        <f>SUMIF('Eredeti fejléccel'!$B:$B,'Felosztás eredménykim'!$B175,'Eredeti fejléccel'!$BN:$BN)</f>
        <v>0</v>
      </c>
      <c r="DK175" s="6">
        <f>SUMIF('Eredeti fejléccel'!$B:$B,'Felosztás eredménykim'!$B175,'Eredeti fejléccel'!$BZ:$BZ)</f>
        <v>0</v>
      </c>
      <c r="DL175" s="8">
        <f t="shared" si="298"/>
        <v>0</v>
      </c>
      <c r="DM175" s="6">
        <f>SUMIF('Eredeti fejléccel'!$B:$B,'Felosztás eredménykim'!$B175,'Eredeti fejléccel'!$BR:$BR)</f>
        <v>0</v>
      </c>
      <c r="DN175" s="6">
        <f>SUMIF('Eredeti fejléccel'!$B:$B,'Felosztás eredménykim'!$B175,'Eredeti fejléccel'!$BS:$BS)</f>
        <v>0</v>
      </c>
      <c r="DO175" s="6">
        <f>SUMIF('Eredeti fejléccel'!$B:$B,'Felosztás eredménykim'!$B175,'Eredeti fejléccel'!$BO:$BO)</f>
        <v>0</v>
      </c>
      <c r="DP175" s="6">
        <f>SUMIF('Eredeti fejléccel'!$B:$B,'Felosztás eredménykim'!$B175,'Eredeti fejléccel'!$BP:$BP)</f>
        <v>0</v>
      </c>
      <c r="DQ175" s="6">
        <f>SUMIF('Eredeti fejléccel'!$B:$B,'Felosztás eredménykim'!$B175,'Eredeti fejléccel'!$BQ:$BQ)</f>
        <v>0</v>
      </c>
      <c r="DS175" s="8"/>
      <c r="DU175" s="6">
        <f>SUMIF('Eredeti fejléccel'!$B:$B,'Felosztás eredménykim'!$B175,'Eredeti fejléccel'!$BT:$BT)</f>
        <v>0</v>
      </c>
      <c r="DV175" s="6">
        <f>SUMIF('Eredeti fejléccel'!$B:$B,'Felosztás eredménykim'!$B175,'Eredeti fejléccel'!$BU:$BU)</f>
        <v>0</v>
      </c>
      <c r="DW175" s="6">
        <f>SUMIF('Eredeti fejléccel'!$B:$B,'Felosztás eredménykim'!$B175,'Eredeti fejléccel'!$BV:$BV)</f>
        <v>0</v>
      </c>
      <c r="DX175" s="6">
        <f>SUMIF('Eredeti fejléccel'!$B:$B,'Felosztás eredménykim'!$B175,'Eredeti fejléccel'!$BW:$BW)</f>
        <v>0</v>
      </c>
      <c r="DY175" s="6">
        <f>SUMIF('Eredeti fejléccel'!$B:$B,'Felosztás eredménykim'!$B175,'Eredeti fejléccel'!$BX:$BX)</f>
        <v>0</v>
      </c>
      <c r="EA175" s="6"/>
      <c r="EC175" s="6"/>
      <c r="EE175" s="6">
        <f>SUMIF('Eredeti fejléccel'!$B:$B,'Felosztás eredménykim'!$B175,'Eredeti fejléccel'!$CA:$CA)</f>
        <v>0</v>
      </c>
      <c r="EF175" s="6">
        <f>SUMIF('Eredeti fejléccel'!$B:$B,'Felosztás eredménykim'!$B175,'Eredeti fejléccel'!$CB:$CB)</f>
        <v>0</v>
      </c>
      <c r="EG175" s="6">
        <f>SUMIF('Eredeti fejléccel'!$B:$B,'Felosztás eredménykim'!$B175,'Eredeti fejléccel'!$CC:$CC)</f>
        <v>0</v>
      </c>
      <c r="EH175" s="6">
        <f>SUMIF('Eredeti fejléccel'!$B:$B,'Felosztás eredménykim'!$B175,'Eredeti fejléccel'!$CD:$CD)</f>
        <v>0</v>
      </c>
      <c r="EK175" s="6">
        <f>SUMIF('Eredeti fejléccel'!$B:$B,'Felosztás eredménykim'!$B175,'Eredeti fejléccel'!$CE:$CE)</f>
        <v>0</v>
      </c>
      <c r="EN175" s="6">
        <f>SUMIF('Eredeti fejléccel'!$B:$B,'Felosztás eredménykim'!$B175,'Eredeti fejléccel'!$CF:$CF)</f>
        <v>0</v>
      </c>
      <c r="EP175" s="6">
        <f>SUMIF('Eredeti fejléccel'!$B:$B,'Felosztás eredménykim'!$B175,'Eredeti fejléccel'!$CG:$CG)</f>
        <v>0</v>
      </c>
      <c r="ES175" s="6">
        <f>SUMIF('Eredeti fejléccel'!$B:$B,'Felosztás eredménykim'!$B175,'Eredeti fejléccel'!$CH:$CH)</f>
        <v>0</v>
      </c>
      <c r="ET175" s="6">
        <f>SUMIF('Eredeti fejléccel'!$B:$B,'Felosztás eredménykim'!$B175,'Eredeti fejléccel'!$CI:$CI)</f>
        <v>0</v>
      </c>
      <c r="EW175" s="8">
        <f t="shared" si="288"/>
        <v>0</v>
      </c>
      <c r="EX175" s="8">
        <f t="shared" si="243"/>
        <v>0</v>
      </c>
      <c r="EY175" s="8">
        <f t="shared" si="244"/>
        <v>0</v>
      </c>
      <c r="EZ175" s="8">
        <f t="shared" si="289"/>
        <v>0</v>
      </c>
      <c r="FA175" s="8">
        <f t="shared" si="290"/>
        <v>0</v>
      </c>
      <c r="FC175" s="6">
        <f>SUMIF('Eredeti fejléccel'!$B:$B,'Felosztás eredménykim'!$B175,'Eredeti fejléccel'!$L:$L)</f>
        <v>0</v>
      </c>
      <c r="FD175" s="6">
        <f>SUMIF('Eredeti fejléccel'!$B:$B,'Felosztás eredménykim'!$B175,'Eredeti fejléccel'!$CJ:$CJ)</f>
        <v>0</v>
      </c>
      <c r="FE175" s="6">
        <f>SUMIF('Eredeti fejléccel'!$B:$B,'Felosztás eredménykim'!$B175,'Eredeti fejléccel'!$CL:$CL)</f>
        <v>0</v>
      </c>
      <c r="FG175" s="99">
        <f t="shared" si="245"/>
        <v>0</v>
      </c>
      <c r="FH175" s="6">
        <f>SUMIF('Eredeti fejléccel'!$B:$B,'Felosztás eredménykim'!$B175,'Eredeti fejléccel'!$CK:$CK)</f>
        <v>0</v>
      </c>
      <c r="FI175" s="36">
        <f t="shared" si="346"/>
        <v>0</v>
      </c>
      <c r="FJ175" s="101">
        <f t="shared" si="229"/>
        <v>0</v>
      </c>
      <c r="FK175" s="6">
        <f>SUMIF('Eredeti fejléccel'!$B:$B,'Felosztás eredménykim'!$B175,'Eredeti fejléccel'!$CM:$CM)</f>
        <v>0</v>
      </c>
      <c r="FL175" s="6">
        <f>SUMIF('Eredeti fejléccel'!$B:$B,'Felosztás eredménykim'!$B175,'Eredeti fejléccel'!$CN:$CN)</f>
        <v>0</v>
      </c>
      <c r="FM175" s="8">
        <f t="shared" si="246"/>
        <v>0</v>
      </c>
      <c r="FN175" s="36">
        <f t="shared" si="347"/>
        <v>0</v>
      </c>
      <c r="FO175" s="101">
        <f t="shared" si="231"/>
        <v>0</v>
      </c>
      <c r="FP175" s="6">
        <f>SUMIF('Eredeti fejléccel'!$B:$B,'Felosztás eredménykim'!$B175,'Eredeti fejléccel'!$CO:$CO)</f>
        <v>0</v>
      </c>
      <c r="FQ175" s="6">
        <f>'Eredeti fejléccel'!CP175</f>
        <v>0</v>
      </c>
      <c r="FR175" s="6">
        <f>'Eredeti fejléccel'!CQ175</f>
        <v>0</v>
      </c>
      <c r="FS175" s="103">
        <f t="shared" si="247"/>
        <v>0</v>
      </c>
      <c r="FT175" s="36">
        <f t="shared" si="348"/>
        <v>0</v>
      </c>
      <c r="FU175" s="101">
        <f t="shared" si="233"/>
        <v>0</v>
      </c>
      <c r="FV175" s="101"/>
      <c r="FW175" s="6">
        <f>SUMIF('Eredeti fejléccel'!$B:$B,'Felosztás eredménykim'!$B175,'Eredeti fejléccel'!$CR:$CR)</f>
        <v>0</v>
      </c>
      <c r="FX175" s="6">
        <f>SUMIF('Eredeti fejléccel'!$B:$B,'Felosztás eredménykim'!$B175,'Eredeti fejléccel'!$CS:$CS)</f>
        <v>0</v>
      </c>
      <c r="FY175" s="6">
        <f>SUMIF('Eredeti fejléccel'!$B:$B,'Felosztás eredménykim'!$B175,'Eredeti fejléccel'!$CT:$CT)</f>
        <v>0</v>
      </c>
      <c r="FZ175" s="6">
        <f>SUMIF('Eredeti fejléccel'!$B:$B,'Felosztás eredménykim'!$B175,'Eredeti fejléccel'!$CU:$CU)</f>
        <v>0</v>
      </c>
      <c r="GA175" s="103">
        <f t="shared" si="248"/>
        <v>0</v>
      </c>
      <c r="GB175" s="36">
        <f t="shared" si="349"/>
        <v>0</v>
      </c>
      <c r="GC175" s="101">
        <f t="shared" si="235"/>
        <v>0</v>
      </c>
      <c r="GD175" s="6">
        <f>SUMIF('Eredeti fejléccel'!$B:$B,'Felosztás eredménykim'!$B175,'Eredeti fejléccel'!$CV:$CV)</f>
        <v>0</v>
      </c>
      <c r="GE175" s="6">
        <f>SUMIF('Eredeti fejléccel'!$B:$B,'Felosztás eredménykim'!$B175,'Eredeti fejléccel'!$CW:$CW)</f>
        <v>0</v>
      </c>
      <c r="GF175" s="103">
        <f t="shared" si="249"/>
        <v>0</v>
      </c>
      <c r="GG175" s="36">
        <f t="shared" si="236"/>
        <v>0</v>
      </c>
      <c r="GM175" s="6">
        <f>SUMIF('Eredeti fejléccel'!$B:$B,'Felosztás eredménykim'!$B175,'Eredeti fejléccel'!$CX:$CX)</f>
        <v>0</v>
      </c>
      <c r="GN175" s="6">
        <f>SUMIF('Eredeti fejléccel'!$B:$B,'Felosztás eredménykim'!$B175,'Eredeti fejléccel'!$CY:$CY)</f>
        <v>0</v>
      </c>
      <c r="GO175" s="6">
        <f>SUMIF('Eredeti fejléccel'!$B:$B,'Felosztás eredménykim'!$B175,'Eredeti fejléccel'!$CZ:$CZ)</f>
        <v>0</v>
      </c>
      <c r="GP175" s="6">
        <f>SUMIF('Eredeti fejléccel'!$B:$B,'Felosztás eredménykim'!$B175,'Eredeti fejléccel'!$DA:$DA)</f>
        <v>0</v>
      </c>
      <c r="GQ175" s="6">
        <f>SUMIF('Eredeti fejléccel'!$B:$B,'Felosztás eredménykim'!$B175,'Eredeti fejléccel'!$DB:$DB)</f>
        <v>0</v>
      </c>
      <c r="GR175" s="103">
        <f t="shared" si="250"/>
        <v>0</v>
      </c>
      <c r="GW175" s="36">
        <f t="shared" si="237"/>
        <v>0</v>
      </c>
      <c r="GX175" s="6">
        <f>SUMIF('Eredeti fejléccel'!$B:$B,'Felosztás eredménykim'!$B175,'Eredeti fejléccel'!$M:$M)</f>
        <v>0</v>
      </c>
      <c r="GY175" s="6">
        <f>SUMIF('Eredeti fejléccel'!$B:$B,'Felosztás eredménykim'!$B175,'Eredeti fejléccel'!$DC:$DC)</f>
        <v>0</v>
      </c>
      <c r="GZ175" s="6">
        <f>SUMIF('Eredeti fejléccel'!$B:$B,'Felosztás eredménykim'!$B175,'Eredeti fejléccel'!$DD:$DD)</f>
        <v>0</v>
      </c>
      <c r="HA175" s="6">
        <f>SUMIF('Eredeti fejléccel'!$B:$B,'Felosztás eredménykim'!$B175,'Eredeti fejléccel'!$DE:$DE)</f>
        <v>0</v>
      </c>
      <c r="HB175" s="103">
        <f t="shared" si="251"/>
        <v>0</v>
      </c>
      <c r="HD175" s="9">
        <f t="shared" si="350"/>
        <v>428397.00000000012</v>
      </c>
      <c r="HE175" s="9">
        <v>428397.00000000012</v>
      </c>
      <c r="HF175" s="476"/>
      <c r="HH175" s="34">
        <f t="shared" si="252"/>
        <v>0</v>
      </c>
    </row>
    <row r="176" spans="1:216" x14ac:dyDescent="0.25">
      <c r="A176" s="4" t="s">
        <v>1629</v>
      </c>
      <c r="B176" s="4" t="s">
        <v>1629</v>
      </c>
      <c r="C176" s="1" t="s">
        <v>1630</v>
      </c>
      <c r="D176" s="6">
        <f>SUMIF('Eredeti fejléccel'!$B:$B,'Felosztás eredménykim'!$B176,'Eredeti fejléccel'!$D:$D)</f>
        <v>0</v>
      </c>
      <c r="E176" s="6">
        <f>SUMIF('Eredeti fejléccel'!$B:$B,'Felosztás eredménykim'!$B176,'Eredeti fejléccel'!$E:$E)</f>
        <v>0</v>
      </c>
      <c r="F176" s="6">
        <f>SUMIF('Eredeti fejléccel'!$B:$B,'Felosztás eredménykim'!$B176,'Eredeti fejléccel'!$F:$F)</f>
        <v>0</v>
      </c>
      <c r="G176" s="6">
        <f>SUMIF('Eredeti fejléccel'!$B:$B,'Felosztás eredménykim'!$B176,'Eredeti fejléccel'!$G:$G)</f>
        <v>0</v>
      </c>
      <c r="H176" s="6"/>
      <c r="I176" s="6">
        <f>SUMIF('Eredeti fejléccel'!$B:$B,'Felosztás eredménykim'!$B176,'Eredeti fejléccel'!$O:$O)</f>
        <v>0</v>
      </c>
      <c r="J176" s="6">
        <f>SUMIF('Eredeti fejléccel'!$B:$B,'Felosztás eredménykim'!$B176,'Eredeti fejléccel'!$P:$P)</f>
        <v>0</v>
      </c>
      <c r="K176" s="6">
        <f>SUMIF('Eredeti fejléccel'!$B:$B,'Felosztás eredménykim'!$B176,'Eredeti fejléccel'!$Q:$Q)</f>
        <v>0</v>
      </c>
      <c r="L176" s="6">
        <f>SUMIF('Eredeti fejléccel'!$B:$B,'Felosztás eredménykim'!$B176,'Eredeti fejléccel'!$R:$R)</f>
        <v>0</v>
      </c>
      <c r="M176" s="6">
        <f>SUMIF('Eredeti fejléccel'!$B:$B,'Felosztás eredménykim'!$B176,'Eredeti fejléccel'!$T:$T)</f>
        <v>0</v>
      </c>
      <c r="N176" s="6">
        <f>SUMIF('Eredeti fejléccel'!$B:$B,'Felosztás eredménykim'!$B176,'Eredeti fejléccel'!$U:$U)</f>
        <v>0</v>
      </c>
      <c r="O176" s="6">
        <f>SUMIF('Eredeti fejléccel'!$B:$B,'Felosztás eredménykim'!$B176,'Eredeti fejléccel'!$V:$V)</f>
        <v>0</v>
      </c>
      <c r="P176" s="6">
        <f>SUMIF('Eredeti fejléccel'!$B:$B,'Felosztás eredménykim'!$B176,'Eredeti fejléccel'!$W:$W)</f>
        <v>0</v>
      </c>
      <c r="Q176" s="6">
        <f>SUMIF('Eredeti fejléccel'!$B:$B,'Felosztás eredménykim'!$B176,'Eredeti fejléccel'!$X:$X)</f>
        <v>0</v>
      </c>
      <c r="R176" s="6">
        <f>SUMIF('Eredeti fejléccel'!$B:$B,'Felosztás eredménykim'!$B176,'Eredeti fejléccel'!$Y:$Y)</f>
        <v>0</v>
      </c>
      <c r="S176" s="6">
        <f>SUMIF('Eredeti fejléccel'!$B:$B,'Felosztás eredménykim'!$B176,'Eredeti fejléccel'!$Z:$Z)</f>
        <v>0</v>
      </c>
      <c r="T176" s="6">
        <f>SUMIF('Eredeti fejléccel'!$B:$B,'Felosztás eredménykim'!$B176,'Eredeti fejléccel'!$AA:$AA)</f>
        <v>0</v>
      </c>
      <c r="U176" s="6">
        <f>SUMIF('Eredeti fejléccel'!$B:$B,'Felosztás eredménykim'!$B176,'Eredeti fejléccel'!$D:$D)</f>
        <v>0</v>
      </c>
      <c r="V176" s="6">
        <f>SUMIF('Eredeti fejléccel'!$B:$B,'Felosztás eredménykim'!$B176,'Eredeti fejléccel'!$AT:$AT)</f>
        <v>0</v>
      </c>
      <c r="W176" s="36">
        <f t="shared" si="302"/>
        <v>0</v>
      </c>
      <c r="X176" s="36">
        <f t="shared" si="211"/>
        <v>0</v>
      </c>
      <c r="Z176" s="6">
        <f>SUMIF('Eredeti fejléccel'!$B:$B,'Felosztás eredménykim'!$B176,'Eredeti fejléccel'!$K:$K)</f>
        <v>0</v>
      </c>
      <c r="AB176" s="6">
        <f>SUMIF('Eredeti fejléccel'!$B:$B,'Felosztás eredménykim'!$B176,'Eredeti fejléccel'!$AB:$AB)</f>
        <v>0</v>
      </c>
      <c r="AC176" s="6">
        <f>SUMIF('Eredeti fejléccel'!$B:$B,'Felosztás eredménykim'!$B176,'Eredeti fejléccel'!$AQ:$AQ)</f>
        <v>0</v>
      </c>
      <c r="AE176" s="73">
        <f>SUM(Z176:AD176)</f>
        <v>0</v>
      </c>
      <c r="AF176" s="36">
        <f t="shared" si="339"/>
        <v>0</v>
      </c>
      <c r="AG176" s="8">
        <f t="shared" si="213"/>
        <v>0</v>
      </c>
      <c r="AI176" s="6">
        <f>SUMIF('Eredeti fejléccel'!$B:$B,'Felosztás eredménykim'!$B176,'Eredeti fejléccel'!$BB:$BB)</f>
        <v>0</v>
      </c>
      <c r="AJ176" s="6">
        <f>SUMIF('Eredeti fejléccel'!$B:$B,'Felosztás eredménykim'!$B176,'Eredeti fejléccel'!$AF:$AF)</f>
        <v>0</v>
      </c>
      <c r="AK176" s="8">
        <f>SUM(AG176:AJ176)</f>
        <v>0</v>
      </c>
      <c r="AL176" s="36">
        <f t="shared" si="340"/>
        <v>0</v>
      </c>
      <c r="AM176" s="8">
        <f t="shared" si="215"/>
        <v>0</v>
      </c>
      <c r="AN176" s="6">
        <f>-AO176/2</f>
        <v>0</v>
      </c>
      <c r="AO176" s="6">
        <f>SUMIF('Eredeti fejléccel'!$B:$B,'Felosztás eredménykim'!$B176,'Eredeti fejléccel'!$AC:$AC)</f>
        <v>0</v>
      </c>
      <c r="AP176" s="6">
        <f>SUMIF('Eredeti fejléccel'!$B:$B,'Felosztás eredménykim'!$B176,'Eredeti fejléccel'!$AD:$AD)</f>
        <v>0</v>
      </c>
      <c r="AQ176" s="6">
        <f>SUMIF('Eredeti fejléccel'!$B:$B,'Felosztás eredménykim'!$B176,'Eredeti fejléccel'!$AE:$AE)</f>
        <v>0</v>
      </c>
      <c r="AR176" s="6">
        <f>SUMIF('Eredeti fejléccel'!$B:$B,'Felosztás eredménykim'!$B176,'Eredeti fejléccel'!$AG:$AG)</f>
        <v>0</v>
      </c>
      <c r="AS176" s="6">
        <f>SUM(AM176:AR176)</f>
        <v>0</v>
      </c>
      <c r="AT176" s="36">
        <f t="shared" si="341"/>
        <v>0</v>
      </c>
      <c r="AU176" s="8">
        <f t="shared" si="217"/>
        <v>0</v>
      </c>
      <c r="AV176" s="6">
        <f>SUMIF('Eredeti fejléccel'!$B:$B,'Felosztás eredménykim'!$B176,'Eredeti fejléccel'!$AI:$AI)</f>
        <v>0</v>
      </c>
      <c r="AW176" s="6">
        <f>SUMIF('Eredeti fejléccel'!$B:$B,'Felosztás eredménykim'!$B176,'Eredeti fejléccel'!$AJ:$AJ)</f>
        <v>0</v>
      </c>
      <c r="AX176" s="6">
        <f>SUMIF('Eredeti fejléccel'!$B:$B,'Felosztás eredménykim'!$B176,'Eredeti fejléccel'!$AK:$AK)</f>
        <v>0</v>
      </c>
      <c r="AY176" s="6">
        <f>SUMIF('Eredeti fejléccel'!$B:$B,'Felosztás eredménykim'!$B176,'Eredeti fejléccel'!$AL:$AL)</f>
        <v>0</v>
      </c>
      <c r="AZ176" s="6">
        <f>SUMIF('Eredeti fejléccel'!$B:$B,'Felosztás eredménykim'!$B176,'Eredeti fejléccel'!$AM:$AM)</f>
        <v>0</v>
      </c>
      <c r="BA176" s="6">
        <f>SUMIF('Eredeti fejléccel'!$B:$B,'Felosztás eredménykim'!$B176,'Eredeti fejléccel'!$AN:$AN)</f>
        <v>0</v>
      </c>
      <c r="BB176" s="6">
        <f>SUMIF('Eredeti fejléccel'!$B:$B,'Felosztás eredménykim'!$B176,'Eredeti fejléccel'!$AP:$AP)</f>
        <v>0</v>
      </c>
      <c r="BD176" s="6">
        <f>SUMIF('Eredeti fejléccel'!$B:$B,'Felosztás eredménykim'!$B176,'Eredeti fejléccel'!$AS:$AS)</f>
        <v>0</v>
      </c>
      <c r="BE176" s="8">
        <f>SUM(AU176:BD176)</f>
        <v>0</v>
      </c>
      <c r="BF176" s="36">
        <f t="shared" si="342"/>
        <v>0</v>
      </c>
      <c r="BG176" s="8">
        <f t="shared" si="219"/>
        <v>0</v>
      </c>
      <c r="BH176" s="6">
        <f>AO176/2</f>
        <v>0</v>
      </c>
      <c r="BI176" s="6">
        <f>SUMIF('Eredeti fejléccel'!$B:$B,'Felosztás eredménykim'!$B176,'Eredeti fejléccel'!$AH:$AH)</f>
        <v>0</v>
      </c>
      <c r="BJ176" s="6">
        <f>SUMIF('Eredeti fejléccel'!$B:$B,'Felosztás eredménykim'!$B176,'Eredeti fejléccel'!$AO:$AO)</f>
        <v>0</v>
      </c>
      <c r="BK176" s="6">
        <f>SUMIF('Eredeti fejléccel'!$B:$B,'Felosztás eredménykim'!$B176,'Eredeti fejléccel'!$BF:$BF)</f>
        <v>0</v>
      </c>
      <c r="BL176" s="8">
        <f>SUM(BG176:BK176)</f>
        <v>0</v>
      </c>
      <c r="BM176" s="36">
        <f t="shared" si="343"/>
        <v>0</v>
      </c>
      <c r="BN176" s="8">
        <f t="shared" si="221"/>
        <v>0</v>
      </c>
      <c r="BP176" s="8">
        <f>-FV176</f>
        <v>0</v>
      </c>
      <c r="BQ176" s="6">
        <f>SUMIF('Eredeti fejléccel'!$B:$B,'Felosztás eredménykim'!$B176,'Eredeti fejléccel'!$N:$N)</f>
        <v>0</v>
      </c>
      <c r="BR176" s="6">
        <f>SUMIF('Eredeti fejléccel'!$B:$B,'Felosztás eredménykim'!$B176,'Eredeti fejléccel'!$S:$S)</f>
        <v>0</v>
      </c>
      <c r="BT176" s="6">
        <f>SUMIF('Eredeti fejléccel'!$B:$B,'Felosztás eredménykim'!$B176,'Eredeti fejléccel'!$AR:$AR)</f>
        <v>0</v>
      </c>
      <c r="BU176" s="6">
        <f>SUMIF('Eredeti fejléccel'!$B:$B,'Felosztás eredménykim'!$B176,'Eredeti fejléccel'!$AU:$AU)</f>
        <v>0</v>
      </c>
      <c r="BV176" s="6">
        <f>SUMIF('Eredeti fejléccel'!$B:$B,'Felosztás eredménykim'!$B176,'Eredeti fejléccel'!$AV:$AV)</f>
        <v>0</v>
      </c>
      <c r="BW176" s="6">
        <f>SUMIF('Eredeti fejléccel'!$B:$B,'Felosztás eredménykim'!$B176,'Eredeti fejléccel'!$AW:$AW)</f>
        <v>0</v>
      </c>
      <c r="BX176" s="6">
        <f>SUMIF('Eredeti fejléccel'!$B:$B,'Felosztás eredménykim'!$B176,'Eredeti fejléccel'!$AX:$AX)</f>
        <v>0</v>
      </c>
      <c r="BY176" s="6">
        <f>SUMIF('Eredeti fejléccel'!$B:$B,'Felosztás eredménykim'!$B176,'Eredeti fejléccel'!$AY:$AY)</f>
        <v>0</v>
      </c>
      <c r="BZ176" s="6">
        <f>SUMIF('Eredeti fejléccel'!$B:$B,'Felosztás eredménykim'!$B176,'Eredeti fejléccel'!$AZ:$AZ)</f>
        <v>0</v>
      </c>
      <c r="CA176" s="6">
        <f>SUMIF('Eredeti fejléccel'!$B:$B,'Felosztás eredménykim'!$B176,'Eredeti fejléccel'!$BA:$BA)</f>
        <v>0</v>
      </c>
      <c r="CB176" s="6">
        <f t="shared" si="253"/>
        <v>0</v>
      </c>
      <c r="CC176" s="36">
        <f t="shared" si="344"/>
        <v>0</v>
      </c>
      <c r="CD176" s="8">
        <f t="shared" si="223"/>
        <v>0</v>
      </c>
      <c r="CE176" s="6">
        <f>SUMIF('Eredeti fejléccel'!$B:$B,'Felosztás eredménykim'!$B176,'Eredeti fejléccel'!$BC:$BC)</f>
        <v>0</v>
      </c>
      <c r="CF176" s="8">
        <f>-CE176/2</f>
        <v>0</v>
      </c>
      <c r="CG176" s="6">
        <f>SUMIF('Eredeti fejléccel'!$B:$B,'Felosztás eredménykim'!$B176,'Eredeti fejléccel'!$H:$H)</f>
        <v>0</v>
      </c>
      <c r="CH176" s="6">
        <f>SUMIF('Eredeti fejléccel'!$B:$B,'Felosztás eredménykim'!$B176,'Eredeti fejléccel'!$BE:$BE)</f>
        <v>0</v>
      </c>
      <c r="CI176" s="6">
        <f>SUM(CD176:CH176)</f>
        <v>0</v>
      </c>
      <c r="CJ176" s="36">
        <f t="shared" si="345"/>
        <v>0</v>
      </c>
      <c r="CK176" s="8">
        <f t="shared" si="225"/>
        <v>0</v>
      </c>
      <c r="CL176" s="8">
        <f>CE176/2</f>
        <v>0</v>
      </c>
      <c r="CM176" s="6">
        <f>SUMIF('Eredeti fejléccel'!$B:$B,'Felosztás eredménykim'!$B176,'Eredeti fejléccel'!$BD:$BD)</f>
        <v>0</v>
      </c>
      <c r="CN176" s="8">
        <f>SUM(CK176:CM176)</f>
        <v>0</v>
      </c>
      <c r="CO176" s="8">
        <f t="shared" si="254"/>
        <v>0</v>
      </c>
      <c r="CR176" s="36">
        <f t="shared" si="226"/>
        <v>0</v>
      </c>
      <c r="CS176" s="6">
        <f>SUMIF('Eredeti fejléccel'!$B:$B,'Felosztás eredménykim'!$B176,'Eredeti fejléccel'!$I:$I)</f>
        <v>0</v>
      </c>
      <c r="CT176" s="6">
        <f>SUMIF('Eredeti fejléccel'!$B:$B,'Felosztás eredménykim'!$B176,'Eredeti fejléccel'!$BG:$BG)</f>
        <v>0</v>
      </c>
      <c r="CU176" s="6">
        <f>SUMIF('Eredeti fejléccel'!$B:$B,'Felosztás eredménykim'!$B176,'Eredeti fejléccel'!$BH:$BH)</f>
        <v>0</v>
      </c>
      <c r="CV176" s="6">
        <f>SUMIF('Eredeti fejléccel'!$B:$B,'Felosztás eredménykim'!$B176,'Eredeti fejléccel'!$BI:$BI)</f>
        <v>0</v>
      </c>
      <c r="CW176" s="6">
        <f>SUMIF('Eredeti fejléccel'!$B:$B,'Felosztás eredménykim'!$B176,'Eredeti fejléccel'!$BL:$BL)</f>
        <v>0</v>
      </c>
      <c r="CX176" s="6">
        <f>SUM(CS176:CW176)</f>
        <v>0</v>
      </c>
      <c r="CY176" s="6">
        <f>SUMIF('Eredeti fejléccel'!$B:$B,'Felosztás eredménykim'!$B176,'Eredeti fejléccel'!$BJ:$BJ)</f>
        <v>0</v>
      </c>
      <c r="CZ176" s="6">
        <f>SUMIF('Eredeti fejléccel'!$B:$B,'Felosztás eredménykim'!$B176,'Eredeti fejléccel'!$BK:$BK)</f>
        <v>0</v>
      </c>
      <c r="DA176" s="99">
        <f t="shared" si="242"/>
        <v>0</v>
      </c>
      <c r="DC176" s="36">
        <f t="shared" si="227"/>
        <v>0</v>
      </c>
      <c r="DD176" s="6">
        <f>SUMIF('Eredeti fejléccel'!$B:$B,'Felosztás eredménykim'!$B176,'Eredeti fejléccel'!$J:$J)</f>
        <v>0</v>
      </c>
      <c r="DE176" s="6">
        <f>SUMIF('Eredeti fejléccel'!$B:$B,'Felosztás eredménykim'!$B176,'Eredeti fejléccel'!$BM:$BM)</f>
        <v>0</v>
      </c>
      <c r="DF176" s="6">
        <f>-DI176</f>
        <v>0</v>
      </c>
      <c r="DG176" s="8">
        <f t="shared" si="255"/>
        <v>0</v>
      </c>
      <c r="DH176" s="8">
        <f>SUM(DD176:DG176)</f>
        <v>0</v>
      </c>
      <c r="DJ176" s="6">
        <f>SUMIF('Eredeti fejléccel'!$B:$B,'Felosztás eredménykim'!$B176,'Eredeti fejléccel'!$BN:$BN)</f>
        <v>0</v>
      </c>
      <c r="DK176" s="6">
        <f>SUMIF('Eredeti fejléccel'!$B:$B,'Felosztás eredménykim'!$B176,'Eredeti fejléccel'!$BZ:$BZ)</f>
        <v>0</v>
      </c>
      <c r="DL176" s="8">
        <f>SUM(DI176:DK176)</f>
        <v>0</v>
      </c>
      <c r="DM176" s="6">
        <f>SUMIF('Eredeti fejléccel'!$B:$B,'Felosztás eredménykim'!$B176,'Eredeti fejléccel'!$BR:$BR)</f>
        <v>0</v>
      </c>
      <c r="DN176" s="6">
        <f>SUMIF('Eredeti fejléccel'!$B:$B,'Felosztás eredménykim'!$B176,'Eredeti fejléccel'!$BS:$BS)</f>
        <v>0</v>
      </c>
      <c r="DO176" s="6">
        <f>SUMIF('Eredeti fejléccel'!$B:$B,'Felosztás eredménykim'!$B176,'Eredeti fejléccel'!$BO:$BO)</f>
        <v>0</v>
      </c>
      <c r="DP176" s="6">
        <f>SUMIF('Eredeti fejléccel'!$B:$B,'Felosztás eredménykim'!$B176,'Eredeti fejléccel'!$BP:$BP)</f>
        <v>0</v>
      </c>
      <c r="DQ176" s="6">
        <f>SUMIF('Eredeti fejléccel'!$B:$B,'Felosztás eredménykim'!$B176,'Eredeti fejléccel'!$BQ:$BQ)</f>
        <v>0</v>
      </c>
      <c r="DS176" s="8"/>
      <c r="DU176" s="6">
        <f>SUMIF('Eredeti fejléccel'!$B:$B,'Felosztás eredménykim'!$B176,'Eredeti fejléccel'!$BT:$BT)</f>
        <v>0</v>
      </c>
      <c r="DV176" s="6">
        <f>SUMIF('Eredeti fejléccel'!$B:$B,'Felosztás eredménykim'!$B176,'Eredeti fejléccel'!$BU:$BU)</f>
        <v>0</v>
      </c>
      <c r="DW176" s="6">
        <f>SUMIF('Eredeti fejléccel'!$B:$B,'Felosztás eredménykim'!$B176,'Eredeti fejléccel'!$BV:$BV)</f>
        <v>0</v>
      </c>
      <c r="DX176" s="6">
        <f>SUMIF('Eredeti fejléccel'!$B:$B,'Felosztás eredménykim'!$B176,'Eredeti fejléccel'!$BW:$BW)</f>
        <v>0</v>
      </c>
      <c r="DY176" s="6">
        <f>SUMIF('Eredeti fejléccel'!$B:$B,'Felosztás eredménykim'!$B176,'Eredeti fejléccel'!$BX:$BX)</f>
        <v>0</v>
      </c>
      <c r="EA176" s="6"/>
      <c r="EC176" s="6"/>
      <c r="EE176" s="6">
        <f>SUMIF('Eredeti fejléccel'!$B:$B,'Felosztás eredménykim'!$B176,'Eredeti fejléccel'!$CA:$CA)</f>
        <v>0</v>
      </c>
      <c r="EF176" s="6">
        <f>SUMIF('Eredeti fejléccel'!$B:$B,'Felosztás eredménykim'!$B176,'Eredeti fejléccel'!$CB:$CB)</f>
        <v>0</v>
      </c>
      <c r="EG176" s="6">
        <f>SUMIF('Eredeti fejléccel'!$B:$B,'Felosztás eredménykim'!$B176,'Eredeti fejléccel'!$CC:$CC)</f>
        <v>0</v>
      </c>
      <c r="EH176" s="6">
        <f>SUMIF('Eredeti fejléccel'!$B:$B,'Felosztás eredménykim'!$B176,'Eredeti fejléccel'!$CD:$CD)</f>
        <v>0</v>
      </c>
      <c r="EK176" s="6">
        <f>SUMIF('Eredeti fejléccel'!$B:$B,'Felosztás eredménykim'!$B176,'Eredeti fejléccel'!$CE:$CE)</f>
        <v>0</v>
      </c>
      <c r="EN176" s="6">
        <f>SUMIF('Eredeti fejléccel'!$B:$B,'Felosztás eredménykim'!$B176,'Eredeti fejléccel'!$CF:$CF)</f>
        <v>0</v>
      </c>
      <c r="EP176" s="6">
        <f>SUMIF('Eredeti fejléccel'!$B:$B,'Felosztás eredménykim'!$B176,'Eredeti fejléccel'!$CG:$CG)</f>
        <v>0</v>
      </c>
      <c r="ES176" s="6">
        <f>SUMIF('Eredeti fejléccel'!$B:$B,'Felosztás eredménykim'!$B176,'Eredeti fejléccel'!$CH:$CH)</f>
        <v>0</v>
      </c>
      <c r="ET176" s="6">
        <f>SUMIF('Eredeti fejléccel'!$B:$B,'Felosztás eredménykim'!$B176,'Eredeti fejléccel'!$CI:$CI)</f>
        <v>0</v>
      </c>
      <c r="EW176" s="8">
        <f>SUM(DR176:ED176)</f>
        <v>0</v>
      </c>
      <c r="EX176" s="8">
        <f>SUM(EE176:EV176)</f>
        <v>0</v>
      </c>
      <c r="EY176" s="8">
        <f t="shared" si="244"/>
        <v>0</v>
      </c>
      <c r="EZ176" s="8">
        <f>EY176+DL176+DM176+DN176+DO176+DP176+DQ176</f>
        <v>0</v>
      </c>
      <c r="FA176" s="8">
        <f>EZ176-DL176-DM176</f>
        <v>0</v>
      </c>
      <c r="FC176" s="6">
        <f>SUMIF('Eredeti fejléccel'!$B:$B,'Felosztás eredménykim'!$B176,'Eredeti fejléccel'!$L:$L)</f>
        <v>0</v>
      </c>
      <c r="FD176" s="6">
        <f>SUMIF('Eredeti fejléccel'!$B:$B,'Felosztás eredménykim'!$B176,'Eredeti fejléccel'!$CJ:$CJ)</f>
        <v>0</v>
      </c>
      <c r="FE176" s="6">
        <f>SUMIF('Eredeti fejléccel'!$B:$B,'Felosztás eredménykim'!$B176,'Eredeti fejléccel'!$CL:$CL)</f>
        <v>0</v>
      </c>
      <c r="FG176" s="99">
        <f>SUM(FC176:FF176)</f>
        <v>0</v>
      </c>
      <c r="FH176" s="6">
        <f>SUMIF('Eredeti fejléccel'!$B:$B,'Felosztás eredménykim'!$B176,'Eredeti fejléccel'!$CK:$CK)</f>
        <v>0</v>
      </c>
      <c r="FI176" s="36">
        <f t="shared" si="346"/>
        <v>0</v>
      </c>
      <c r="FJ176" s="101">
        <f t="shared" si="229"/>
        <v>0</v>
      </c>
      <c r="FK176" s="6">
        <f>SUMIF('Eredeti fejléccel'!$B:$B,'Felosztás eredménykim'!$B176,'Eredeti fejléccel'!$CM:$CM)</f>
        <v>0</v>
      </c>
      <c r="FL176" s="6">
        <f>SUMIF('Eredeti fejléccel'!$B:$B,'Felosztás eredménykim'!$B176,'Eredeti fejléccel'!$CN:$CN)</f>
        <v>0</v>
      </c>
      <c r="FM176" s="8">
        <f>SUM(FJ176:FL176)</f>
        <v>0</v>
      </c>
      <c r="FN176" s="36">
        <f t="shared" si="347"/>
        <v>0</v>
      </c>
      <c r="FO176" s="101">
        <f t="shared" si="231"/>
        <v>0</v>
      </c>
      <c r="FP176" s="6">
        <f>SUMIF('Eredeti fejléccel'!$B:$B,'Felosztás eredménykim'!$B176,'Eredeti fejléccel'!$CO:$CO)</f>
        <v>0</v>
      </c>
      <c r="FQ176" s="6">
        <f>'Eredeti fejléccel'!CP176</f>
        <v>0</v>
      </c>
      <c r="FR176" s="6">
        <f>'Eredeti fejléccel'!CQ176</f>
        <v>0</v>
      </c>
      <c r="FS176" s="103">
        <f t="shared" si="247"/>
        <v>0</v>
      </c>
      <c r="FT176" s="36">
        <f t="shared" si="348"/>
        <v>0</v>
      </c>
      <c r="FU176" s="101">
        <f t="shared" si="233"/>
        <v>0</v>
      </c>
      <c r="FV176" s="101"/>
      <c r="FW176" s="6">
        <f>SUMIF('Eredeti fejléccel'!$B:$B,'Felosztás eredménykim'!$B176,'Eredeti fejléccel'!$CR:$CR)</f>
        <v>0</v>
      </c>
      <c r="FX176" s="6">
        <f>SUMIF('Eredeti fejléccel'!$B:$B,'Felosztás eredménykim'!$B176,'Eredeti fejléccel'!$CS:$CS)</f>
        <v>0</v>
      </c>
      <c r="FY176" s="6">
        <f>SUMIF('Eredeti fejléccel'!$B:$B,'Felosztás eredménykim'!$B176,'Eredeti fejléccel'!$CT:$CT)</f>
        <v>0</v>
      </c>
      <c r="FZ176" s="6">
        <f>SUMIF('Eredeti fejléccel'!$B:$B,'Felosztás eredménykim'!$B176,'Eredeti fejléccel'!$CU:$CU)</f>
        <v>0</v>
      </c>
      <c r="GA176" s="103">
        <f>SUM(FU176:FZ176)</f>
        <v>0</v>
      </c>
      <c r="GB176" s="36">
        <f t="shared" si="349"/>
        <v>0</v>
      </c>
      <c r="GC176" s="101">
        <f t="shared" si="235"/>
        <v>0</v>
      </c>
      <c r="GD176" s="6">
        <f>SUMIF('Eredeti fejléccel'!$B:$B,'Felosztás eredménykim'!$B176,'Eredeti fejléccel'!$CV:$CV)</f>
        <v>0</v>
      </c>
      <c r="GE176" s="6">
        <f>SUMIF('Eredeti fejléccel'!$B:$B,'Felosztás eredménykim'!$B176,'Eredeti fejléccel'!$CW:$CW)</f>
        <v>0</v>
      </c>
      <c r="GF176" s="103">
        <f>SUM(GC176:GE176)</f>
        <v>0</v>
      </c>
      <c r="GG176" s="36">
        <f t="shared" si="236"/>
        <v>0</v>
      </c>
      <c r="GM176" s="6">
        <f>SUMIF('Eredeti fejléccel'!$B:$B,'Felosztás eredménykim'!$B176,'Eredeti fejléccel'!$CX:$CX)</f>
        <v>0</v>
      </c>
      <c r="GN176" s="6">
        <f>SUMIF('Eredeti fejléccel'!$B:$B,'Felosztás eredménykim'!$B176,'Eredeti fejléccel'!$CY:$CY)</f>
        <v>0</v>
      </c>
      <c r="GO176" s="6">
        <f>SUMIF('Eredeti fejléccel'!$B:$B,'Felosztás eredménykim'!$B176,'Eredeti fejléccel'!$CZ:$CZ)</f>
        <v>0</v>
      </c>
      <c r="GP176" s="6">
        <f>SUMIF('Eredeti fejléccel'!$B:$B,'Felosztás eredménykim'!$B176,'Eredeti fejléccel'!$DA:$DA)</f>
        <v>0</v>
      </c>
      <c r="GQ176" s="6">
        <f>SUMIF('Eredeti fejléccel'!$B:$B,'Felosztás eredménykim'!$B176,'Eredeti fejléccel'!$DB:$DB)</f>
        <v>0</v>
      </c>
      <c r="GR176" s="103">
        <f>SUM(GH176:GQ176)</f>
        <v>0</v>
      </c>
      <c r="GW176" s="36">
        <f t="shared" si="237"/>
        <v>0</v>
      </c>
      <c r="GX176" s="6">
        <f>SUMIF('Eredeti fejléccel'!$B:$B,'Felosztás eredménykim'!$B176,'Eredeti fejléccel'!$M:$M)</f>
        <v>0</v>
      </c>
      <c r="GY176" s="6">
        <f>SUMIF('Eredeti fejléccel'!$B:$B,'Felosztás eredménykim'!$B176,'Eredeti fejléccel'!$DC:$DC)</f>
        <v>0</v>
      </c>
      <c r="GZ176" s="6">
        <f>SUMIF('Eredeti fejléccel'!$B:$B,'Felosztás eredménykim'!$B176,'Eredeti fejléccel'!$DD:$DD)</f>
        <v>0</v>
      </c>
      <c r="HA176" s="6">
        <f>SUMIF('Eredeti fejléccel'!$B:$B,'Felosztás eredménykim'!$B176,'Eredeti fejléccel'!$DE:$DE)</f>
        <v>0</v>
      </c>
      <c r="HB176" s="103">
        <f>SUM(GX176:HA176)</f>
        <v>0</v>
      </c>
      <c r="HD176" s="9">
        <f t="shared" si="350"/>
        <v>0</v>
      </c>
      <c r="HE176" s="9"/>
      <c r="HF176" s="476"/>
      <c r="HH176" s="34">
        <f>+HD176-HE176</f>
        <v>0</v>
      </c>
    </row>
    <row r="177" spans="1:216" x14ac:dyDescent="0.25">
      <c r="A177" s="4" t="s">
        <v>1488</v>
      </c>
      <c r="B177" s="4" t="s">
        <v>1488</v>
      </c>
      <c r="C177" s="1" t="s">
        <v>1489</v>
      </c>
      <c r="D177" s="6">
        <f>SUMIF('Eredeti fejléccel'!$B:$B,'Felosztás eredménykim'!$B177,'Eredeti fejléccel'!$D:$D)</f>
        <v>0</v>
      </c>
      <c r="E177" s="6">
        <f>SUMIF('Eredeti fejléccel'!$B:$B,'Felosztás eredménykim'!$B177,'Eredeti fejléccel'!$E:$E)</f>
        <v>0</v>
      </c>
      <c r="F177" s="6">
        <f>SUMIF('Eredeti fejléccel'!$B:$B,'Felosztás eredménykim'!$B177,'Eredeti fejléccel'!$F:$F)</f>
        <v>0</v>
      </c>
      <c r="G177" s="6">
        <f>SUMIF('Eredeti fejléccel'!$B:$B,'Felosztás eredménykim'!$B177,'Eredeti fejléccel'!$G:$G)</f>
        <v>0</v>
      </c>
      <c r="H177" s="6"/>
      <c r="I177" s="6">
        <f>SUMIF('Eredeti fejléccel'!$B:$B,'Felosztás eredménykim'!$B177,'Eredeti fejléccel'!$O:$O)</f>
        <v>0</v>
      </c>
      <c r="J177" s="6">
        <f>SUMIF('Eredeti fejléccel'!$B:$B,'Felosztás eredménykim'!$B177,'Eredeti fejléccel'!$P:$P)</f>
        <v>0</v>
      </c>
      <c r="K177" s="6">
        <f>SUMIF('Eredeti fejléccel'!$B:$B,'Felosztás eredménykim'!$B177,'Eredeti fejléccel'!$Q:$Q)</f>
        <v>0</v>
      </c>
      <c r="L177" s="6">
        <f>SUMIF('Eredeti fejléccel'!$B:$B,'Felosztás eredménykim'!$B177,'Eredeti fejléccel'!$R:$R)</f>
        <v>0</v>
      </c>
      <c r="M177" s="6">
        <f>SUMIF('Eredeti fejléccel'!$B:$B,'Felosztás eredménykim'!$B177,'Eredeti fejléccel'!$T:$T)</f>
        <v>0</v>
      </c>
      <c r="N177" s="6">
        <f>SUMIF('Eredeti fejléccel'!$B:$B,'Felosztás eredménykim'!$B177,'Eredeti fejléccel'!$U:$U)</f>
        <v>0</v>
      </c>
      <c r="O177" s="6">
        <f>SUMIF('Eredeti fejléccel'!$B:$B,'Felosztás eredménykim'!$B177,'Eredeti fejléccel'!$V:$V)</f>
        <v>0</v>
      </c>
      <c r="P177" s="6">
        <f>SUMIF('Eredeti fejléccel'!$B:$B,'Felosztás eredménykim'!$B177,'Eredeti fejléccel'!$W:$W)</f>
        <v>0</v>
      </c>
      <c r="Q177" s="6">
        <f>SUMIF('Eredeti fejléccel'!$B:$B,'Felosztás eredménykim'!$B177,'Eredeti fejléccel'!$X:$X)</f>
        <v>0</v>
      </c>
      <c r="R177" s="6">
        <f>SUMIF('Eredeti fejléccel'!$B:$B,'Felosztás eredménykim'!$B177,'Eredeti fejléccel'!$Y:$Y)</f>
        <v>0</v>
      </c>
      <c r="S177" s="6">
        <f>SUMIF('Eredeti fejléccel'!$B:$B,'Felosztás eredménykim'!$B177,'Eredeti fejléccel'!$Z:$Z)</f>
        <v>0</v>
      </c>
      <c r="T177" s="6">
        <f>SUMIF('Eredeti fejléccel'!$B:$B,'Felosztás eredménykim'!$B177,'Eredeti fejléccel'!$AA:$AA)</f>
        <v>0</v>
      </c>
      <c r="U177" s="6">
        <f>SUMIF('Eredeti fejléccel'!$B:$B,'Felosztás eredménykim'!$B177,'Eredeti fejléccel'!$D:$D)</f>
        <v>0</v>
      </c>
      <c r="V177" s="6">
        <f>SUMIF('Eredeti fejléccel'!$B:$B,'Felosztás eredménykim'!$B177,'Eredeti fejléccel'!$AT:$AT)</f>
        <v>0</v>
      </c>
      <c r="W177" s="36">
        <f t="shared" si="302"/>
        <v>0</v>
      </c>
      <c r="X177" s="36">
        <f t="shared" si="211"/>
        <v>0</v>
      </c>
      <c r="Z177" s="6">
        <f>SUMIF('Eredeti fejléccel'!$B:$B,'Felosztás eredménykim'!$B177,'Eredeti fejléccel'!$K:$K)</f>
        <v>0</v>
      </c>
      <c r="AB177" s="6">
        <f>SUMIF('Eredeti fejléccel'!$B:$B,'Felosztás eredménykim'!$B177,'Eredeti fejléccel'!$AB:$AB)</f>
        <v>0</v>
      </c>
      <c r="AC177" s="6">
        <f>SUMIF('Eredeti fejléccel'!$B:$B,'Felosztás eredménykim'!$B177,'Eredeti fejléccel'!$AQ:$AQ)</f>
        <v>0</v>
      </c>
      <c r="AE177" s="73">
        <f>SUM(Z177:AD177)</f>
        <v>0</v>
      </c>
      <c r="AF177" s="36">
        <f t="shared" si="339"/>
        <v>0</v>
      </c>
      <c r="AG177" s="8">
        <f t="shared" si="213"/>
        <v>0</v>
      </c>
      <c r="AI177" s="6">
        <f>SUMIF('Eredeti fejléccel'!$B:$B,'Felosztás eredménykim'!$B177,'Eredeti fejléccel'!$BB:$BB)</f>
        <v>0</v>
      </c>
      <c r="AJ177" s="6">
        <f>SUMIF('Eredeti fejléccel'!$B:$B,'Felosztás eredménykim'!$B177,'Eredeti fejléccel'!$AF:$AF)</f>
        <v>0</v>
      </c>
      <c r="AK177" s="8">
        <f>SUM(AG177:AJ177)</f>
        <v>0</v>
      </c>
      <c r="AL177" s="36">
        <f t="shared" si="340"/>
        <v>0</v>
      </c>
      <c r="AM177" s="8">
        <f t="shared" si="215"/>
        <v>0</v>
      </c>
      <c r="AN177" s="6">
        <f>-AO177/2</f>
        <v>0</v>
      </c>
      <c r="AO177" s="6">
        <f>SUMIF('Eredeti fejléccel'!$B:$B,'Felosztás eredménykim'!$B177,'Eredeti fejléccel'!$AC:$AC)</f>
        <v>0</v>
      </c>
      <c r="AP177" s="6">
        <f>SUMIF('Eredeti fejléccel'!$B:$B,'Felosztás eredménykim'!$B177,'Eredeti fejléccel'!$AD:$AD)</f>
        <v>0</v>
      </c>
      <c r="AQ177" s="6">
        <f>SUMIF('Eredeti fejléccel'!$B:$B,'Felosztás eredménykim'!$B177,'Eredeti fejléccel'!$AE:$AE)</f>
        <v>0</v>
      </c>
      <c r="AR177" s="6">
        <f>SUMIF('Eredeti fejléccel'!$B:$B,'Felosztás eredménykim'!$B177,'Eredeti fejléccel'!$AG:$AG)</f>
        <v>0</v>
      </c>
      <c r="AS177" s="6">
        <f>SUM(AM177:AR177)</f>
        <v>0</v>
      </c>
      <c r="AT177" s="36">
        <f t="shared" si="341"/>
        <v>0</v>
      </c>
      <c r="AU177" s="8">
        <f t="shared" si="217"/>
        <v>0</v>
      </c>
      <c r="AV177" s="6">
        <f>SUMIF('Eredeti fejléccel'!$B:$B,'Felosztás eredménykim'!$B177,'Eredeti fejléccel'!$AI:$AI)</f>
        <v>0</v>
      </c>
      <c r="AW177" s="6">
        <f>SUMIF('Eredeti fejléccel'!$B:$B,'Felosztás eredménykim'!$B177,'Eredeti fejléccel'!$AJ:$AJ)</f>
        <v>0</v>
      </c>
      <c r="AX177" s="6">
        <f>SUMIF('Eredeti fejléccel'!$B:$B,'Felosztás eredménykim'!$B177,'Eredeti fejléccel'!$AK:$AK)</f>
        <v>0</v>
      </c>
      <c r="AY177" s="6">
        <f>SUMIF('Eredeti fejléccel'!$B:$B,'Felosztás eredménykim'!$B177,'Eredeti fejléccel'!$AL:$AL)</f>
        <v>0</v>
      </c>
      <c r="AZ177" s="6">
        <f>SUMIF('Eredeti fejléccel'!$B:$B,'Felosztás eredménykim'!$B177,'Eredeti fejléccel'!$AM:$AM)</f>
        <v>0</v>
      </c>
      <c r="BA177" s="6">
        <f>SUMIF('Eredeti fejléccel'!$B:$B,'Felosztás eredménykim'!$B177,'Eredeti fejléccel'!$AN:$AN)</f>
        <v>0</v>
      </c>
      <c r="BB177" s="6">
        <f>SUMIF('Eredeti fejléccel'!$B:$B,'Felosztás eredménykim'!$B177,'Eredeti fejléccel'!$AP:$AP)</f>
        <v>0</v>
      </c>
      <c r="BD177" s="6">
        <f>SUMIF('Eredeti fejléccel'!$B:$B,'Felosztás eredménykim'!$B177,'Eredeti fejléccel'!$AS:$AS)</f>
        <v>0</v>
      </c>
      <c r="BE177" s="8">
        <f>SUM(AU177:BD177)</f>
        <v>0</v>
      </c>
      <c r="BF177" s="36">
        <f t="shared" si="342"/>
        <v>0</v>
      </c>
      <c r="BG177" s="8">
        <f t="shared" si="219"/>
        <v>0</v>
      </c>
      <c r="BH177" s="6">
        <f>AO177/2</f>
        <v>0</v>
      </c>
      <c r="BI177" s="6">
        <f>SUMIF('Eredeti fejléccel'!$B:$B,'Felosztás eredménykim'!$B177,'Eredeti fejléccel'!$AH:$AH)</f>
        <v>0</v>
      </c>
      <c r="BJ177" s="6">
        <f>SUMIF('Eredeti fejléccel'!$B:$B,'Felosztás eredménykim'!$B177,'Eredeti fejléccel'!$AO:$AO)</f>
        <v>0</v>
      </c>
      <c r="BK177" s="6">
        <f>SUMIF('Eredeti fejléccel'!$B:$B,'Felosztás eredménykim'!$B177,'Eredeti fejléccel'!$BF:$BF)</f>
        <v>0</v>
      </c>
      <c r="BL177" s="8">
        <f>SUM(BG177:BK177)</f>
        <v>0</v>
      </c>
      <c r="BM177" s="36">
        <f t="shared" si="343"/>
        <v>0</v>
      </c>
      <c r="BN177" s="8">
        <f t="shared" si="221"/>
        <v>0</v>
      </c>
      <c r="BP177" s="8">
        <f>-FV177</f>
        <v>0</v>
      </c>
      <c r="BQ177" s="6">
        <f>SUMIF('Eredeti fejléccel'!$B:$B,'Felosztás eredménykim'!$B177,'Eredeti fejléccel'!$N:$N)</f>
        <v>0</v>
      </c>
      <c r="BR177" s="6">
        <f>SUMIF('Eredeti fejléccel'!$B:$B,'Felosztás eredménykim'!$B177,'Eredeti fejléccel'!$S:$S)</f>
        <v>0</v>
      </c>
      <c r="BT177" s="6">
        <f>SUMIF('Eredeti fejléccel'!$B:$B,'Felosztás eredménykim'!$B177,'Eredeti fejléccel'!$AR:$AR)</f>
        <v>0</v>
      </c>
      <c r="BU177" s="6">
        <f>SUMIF('Eredeti fejléccel'!$B:$B,'Felosztás eredménykim'!$B177,'Eredeti fejléccel'!$AU:$AU)</f>
        <v>0</v>
      </c>
      <c r="BV177" s="6">
        <f>SUMIF('Eredeti fejléccel'!$B:$B,'Felosztás eredménykim'!$B177,'Eredeti fejléccel'!$AV:$AV)</f>
        <v>0</v>
      </c>
      <c r="BW177" s="6">
        <f>SUMIF('Eredeti fejléccel'!$B:$B,'Felosztás eredménykim'!$B177,'Eredeti fejléccel'!$AW:$AW)</f>
        <v>0</v>
      </c>
      <c r="BX177" s="6">
        <f>SUMIF('Eredeti fejléccel'!$B:$B,'Felosztás eredménykim'!$B177,'Eredeti fejléccel'!$AX:$AX)</f>
        <v>0</v>
      </c>
      <c r="BY177" s="6">
        <f>SUMIF('Eredeti fejléccel'!$B:$B,'Felosztás eredménykim'!$B177,'Eredeti fejléccel'!$AY:$AY)</f>
        <v>0</v>
      </c>
      <c r="BZ177" s="6">
        <f>SUMIF('Eredeti fejléccel'!$B:$B,'Felosztás eredménykim'!$B177,'Eredeti fejléccel'!$AZ:$AZ)</f>
        <v>0</v>
      </c>
      <c r="CA177" s="6">
        <f>SUMIF('Eredeti fejléccel'!$B:$B,'Felosztás eredménykim'!$B177,'Eredeti fejléccel'!$BA:$BA)</f>
        <v>0</v>
      </c>
      <c r="CB177" s="6">
        <f t="shared" si="253"/>
        <v>0</v>
      </c>
      <c r="CC177" s="36">
        <f t="shared" si="344"/>
        <v>0</v>
      </c>
      <c r="CD177" s="8">
        <f t="shared" si="223"/>
        <v>0</v>
      </c>
      <c r="CE177" s="6">
        <f>SUMIF('Eredeti fejléccel'!$B:$B,'Felosztás eredménykim'!$B177,'Eredeti fejléccel'!$BC:$BC)</f>
        <v>0</v>
      </c>
      <c r="CF177" s="8">
        <f>-CE177/2</f>
        <v>0</v>
      </c>
      <c r="CG177" s="6">
        <f>SUMIF('Eredeti fejléccel'!$B:$B,'Felosztás eredménykim'!$B177,'Eredeti fejléccel'!$H:$H)</f>
        <v>0</v>
      </c>
      <c r="CH177" s="6">
        <f>SUMIF('Eredeti fejléccel'!$B:$B,'Felosztás eredménykim'!$B177,'Eredeti fejléccel'!$BE:$BE)</f>
        <v>0</v>
      </c>
      <c r="CI177" s="6">
        <f>SUM(CD177:CH177)</f>
        <v>0</v>
      </c>
      <c r="CJ177" s="36">
        <f t="shared" si="345"/>
        <v>0</v>
      </c>
      <c r="CK177" s="8">
        <f t="shared" si="225"/>
        <v>0</v>
      </c>
      <c r="CL177" s="8">
        <f>CE177/2</f>
        <v>0</v>
      </c>
      <c r="CM177" s="6">
        <f>SUMIF('Eredeti fejléccel'!$B:$B,'Felosztás eredménykim'!$B177,'Eredeti fejléccel'!$BD:$BD)</f>
        <v>0</v>
      </c>
      <c r="CN177" s="8">
        <f>SUM(CK177:CM177)</f>
        <v>0</v>
      </c>
      <c r="CO177" s="8">
        <f t="shared" si="254"/>
        <v>0</v>
      </c>
      <c r="CR177" s="36">
        <f t="shared" si="226"/>
        <v>0</v>
      </c>
      <c r="CS177" s="6">
        <f>SUMIF('Eredeti fejléccel'!$B:$B,'Felosztás eredménykim'!$B177,'Eredeti fejléccel'!$I:$I)</f>
        <v>0</v>
      </c>
      <c r="CT177" s="6">
        <f>SUMIF('Eredeti fejléccel'!$B:$B,'Felosztás eredménykim'!$B177,'Eredeti fejléccel'!$BG:$BG)</f>
        <v>0</v>
      </c>
      <c r="CU177" s="6">
        <f>SUMIF('Eredeti fejléccel'!$B:$B,'Felosztás eredménykim'!$B177,'Eredeti fejléccel'!$BH:$BH)</f>
        <v>0</v>
      </c>
      <c r="CV177" s="6">
        <f>SUMIF('Eredeti fejléccel'!$B:$B,'Felosztás eredménykim'!$B177,'Eredeti fejléccel'!$BI:$BI)</f>
        <v>0</v>
      </c>
      <c r="CW177" s="6">
        <f>SUMIF('Eredeti fejléccel'!$B:$B,'Felosztás eredménykim'!$B177,'Eredeti fejléccel'!$BL:$BL)</f>
        <v>0</v>
      </c>
      <c r="CX177" s="6">
        <f>SUM(CS177:CW177)</f>
        <v>0</v>
      </c>
      <c r="CY177" s="6">
        <f>SUMIF('Eredeti fejléccel'!$B:$B,'Felosztás eredménykim'!$B177,'Eredeti fejléccel'!$BJ:$BJ)</f>
        <v>0</v>
      </c>
      <c r="CZ177" s="6">
        <f>SUMIF('Eredeti fejléccel'!$B:$B,'Felosztás eredménykim'!$B177,'Eredeti fejléccel'!$BK:$BK)</f>
        <v>0</v>
      </c>
      <c r="DA177" s="99">
        <f t="shared" si="242"/>
        <v>0</v>
      </c>
      <c r="DC177" s="36">
        <f t="shared" si="227"/>
        <v>0</v>
      </c>
      <c r="DD177" s="6">
        <f>SUMIF('Eredeti fejléccel'!$B:$B,'Felosztás eredménykim'!$B177,'Eredeti fejléccel'!$J:$J)</f>
        <v>0</v>
      </c>
      <c r="DE177" s="6">
        <f>SUMIF('Eredeti fejléccel'!$B:$B,'Felosztás eredménykim'!$B177,'Eredeti fejléccel'!$BM:$BM)</f>
        <v>0</v>
      </c>
      <c r="DF177" s="6">
        <f>-DI177</f>
        <v>0</v>
      </c>
      <c r="DG177" s="8">
        <f t="shared" si="255"/>
        <v>0</v>
      </c>
      <c r="DH177" s="8">
        <f>SUM(DD177:DG177)</f>
        <v>0</v>
      </c>
      <c r="DJ177" s="6">
        <f>SUMIF('Eredeti fejléccel'!$B:$B,'Felosztás eredménykim'!$B177,'Eredeti fejléccel'!$BN:$BN)</f>
        <v>0</v>
      </c>
      <c r="DK177" s="6">
        <f>SUMIF('Eredeti fejléccel'!$B:$B,'Felosztás eredménykim'!$B177,'Eredeti fejléccel'!$BZ:$BZ)</f>
        <v>0</v>
      </c>
      <c r="DL177" s="8">
        <f>SUM(DI177:DK177)</f>
        <v>0</v>
      </c>
      <c r="DM177" s="6">
        <f>SUMIF('Eredeti fejléccel'!$B:$B,'Felosztás eredménykim'!$B177,'Eredeti fejléccel'!$BR:$BR)</f>
        <v>0</v>
      </c>
      <c r="DN177" s="6">
        <f>SUMIF('Eredeti fejléccel'!$B:$B,'Felosztás eredménykim'!$B177,'Eredeti fejléccel'!$BS:$BS)</f>
        <v>0</v>
      </c>
      <c r="DO177" s="6">
        <f>SUMIF('Eredeti fejléccel'!$B:$B,'Felosztás eredménykim'!$B177,'Eredeti fejléccel'!$BO:$BO)</f>
        <v>0</v>
      </c>
      <c r="DP177" s="6">
        <f>SUMIF('Eredeti fejléccel'!$B:$B,'Felosztás eredménykim'!$B177,'Eredeti fejléccel'!$BP:$BP)</f>
        <v>0</v>
      </c>
      <c r="DQ177" s="6">
        <f>SUMIF('Eredeti fejléccel'!$B:$B,'Felosztás eredménykim'!$B177,'Eredeti fejléccel'!$BQ:$BQ)</f>
        <v>0</v>
      </c>
      <c r="DS177" s="8"/>
      <c r="DU177" s="6">
        <f>SUMIF('Eredeti fejléccel'!$B:$B,'Felosztás eredménykim'!$B177,'Eredeti fejléccel'!$BT:$BT)</f>
        <v>0</v>
      </c>
      <c r="DV177" s="6">
        <f>SUMIF('Eredeti fejléccel'!$B:$B,'Felosztás eredménykim'!$B177,'Eredeti fejléccel'!$BU:$BU)</f>
        <v>0</v>
      </c>
      <c r="DW177" s="6">
        <f>SUMIF('Eredeti fejléccel'!$B:$B,'Felosztás eredménykim'!$B177,'Eredeti fejléccel'!$BV:$BV)</f>
        <v>0</v>
      </c>
      <c r="DX177" s="6">
        <f>SUMIF('Eredeti fejléccel'!$B:$B,'Felosztás eredménykim'!$B177,'Eredeti fejléccel'!$BW:$BW)</f>
        <v>0</v>
      </c>
      <c r="DY177" s="6">
        <f>SUMIF('Eredeti fejléccel'!$B:$B,'Felosztás eredménykim'!$B177,'Eredeti fejléccel'!$BX:$BX)</f>
        <v>0</v>
      </c>
      <c r="EA177" s="6"/>
      <c r="EC177" s="6"/>
      <c r="EE177" s="6">
        <f>SUMIF('Eredeti fejléccel'!$B:$B,'Felosztás eredménykim'!$B177,'Eredeti fejléccel'!$CA:$CA)</f>
        <v>0</v>
      </c>
      <c r="EF177" s="6">
        <f>SUMIF('Eredeti fejléccel'!$B:$B,'Felosztás eredménykim'!$B177,'Eredeti fejléccel'!$CB:$CB)</f>
        <v>0</v>
      </c>
      <c r="EG177" s="6">
        <f>SUMIF('Eredeti fejléccel'!$B:$B,'Felosztás eredménykim'!$B177,'Eredeti fejléccel'!$CC:$CC)</f>
        <v>0</v>
      </c>
      <c r="EH177" s="6">
        <f>SUMIF('Eredeti fejléccel'!$B:$B,'Felosztás eredménykim'!$B177,'Eredeti fejléccel'!$CD:$CD)</f>
        <v>0</v>
      </c>
      <c r="EK177" s="6">
        <f>SUMIF('Eredeti fejléccel'!$B:$B,'Felosztás eredménykim'!$B177,'Eredeti fejléccel'!$CE:$CE)</f>
        <v>0</v>
      </c>
      <c r="EN177" s="6">
        <f>SUMIF('Eredeti fejléccel'!$B:$B,'Felosztás eredménykim'!$B177,'Eredeti fejléccel'!$CF:$CF)</f>
        <v>0</v>
      </c>
      <c r="EP177" s="6">
        <f>SUMIF('Eredeti fejléccel'!$B:$B,'Felosztás eredménykim'!$B177,'Eredeti fejléccel'!$CG:$CG)</f>
        <v>0</v>
      </c>
      <c r="ES177" s="6">
        <f>SUMIF('Eredeti fejléccel'!$B:$B,'Felosztás eredménykim'!$B177,'Eredeti fejléccel'!$CH:$CH)</f>
        <v>0</v>
      </c>
      <c r="ET177" s="6">
        <f>SUMIF('Eredeti fejléccel'!$B:$B,'Felosztás eredménykim'!$B177,'Eredeti fejléccel'!$CI:$CI)</f>
        <v>0</v>
      </c>
      <c r="EW177" s="8">
        <f>SUM(DR177:ED177)</f>
        <v>0</v>
      </c>
      <c r="EX177" s="8">
        <f>SUM(EE177:EV177)</f>
        <v>0</v>
      </c>
      <c r="EY177" s="8">
        <f t="shared" si="244"/>
        <v>0</v>
      </c>
      <c r="EZ177" s="8">
        <f>EY177+DL177+DM177+DN177+DO177+DP177+DQ177</f>
        <v>0</v>
      </c>
      <c r="FA177" s="8">
        <f>EZ177-DL177-DM177</f>
        <v>0</v>
      </c>
      <c r="FC177" s="6">
        <f>SUMIF('Eredeti fejléccel'!$B:$B,'Felosztás eredménykim'!$B177,'Eredeti fejléccel'!$L:$L)</f>
        <v>0</v>
      </c>
      <c r="FD177" s="6">
        <f>SUMIF('Eredeti fejléccel'!$B:$B,'Felosztás eredménykim'!$B177,'Eredeti fejléccel'!$CJ:$CJ)</f>
        <v>0</v>
      </c>
      <c r="FE177" s="6">
        <f>SUMIF('Eredeti fejléccel'!$B:$B,'Felosztás eredménykim'!$B177,'Eredeti fejléccel'!$CL:$CL)</f>
        <v>0</v>
      </c>
      <c r="FG177" s="99">
        <f>SUM(FC177:FF177)</f>
        <v>0</v>
      </c>
      <c r="FH177" s="6">
        <f>SUMIF('Eredeti fejléccel'!$B:$B,'Felosztás eredménykim'!$B177,'Eredeti fejléccel'!$CK:$CK)</f>
        <v>0</v>
      </c>
      <c r="FI177" s="36">
        <f t="shared" si="346"/>
        <v>0</v>
      </c>
      <c r="FJ177" s="101">
        <f t="shared" si="229"/>
        <v>0</v>
      </c>
      <c r="FK177" s="6">
        <f>SUMIF('Eredeti fejléccel'!$B:$B,'Felosztás eredménykim'!$B177,'Eredeti fejléccel'!$CM:$CM)</f>
        <v>0</v>
      </c>
      <c r="FL177" s="6">
        <f>SUMIF('Eredeti fejléccel'!$B:$B,'Felosztás eredménykim'!$B177,'Eredeti fejléccel'!$CN:$CN)</f>
        <v>0</v>
      </c>
      <c r="FM177" s="8">
        <f>SUM(FJ177:FL177)</f>
        <v>0</v>
      </c>
      <c r="FN177" s="36">
        <f t="shared" si="347"/>
        <v>0</v>
      </c>
      <c r="FO177" s="101">
        <f t="shared" si="231"/>
        <v>0</v>
      </c>
      <c r="FP177" s="6">
        <f>SUMIF('Eredeti fejléccel'!$B:$B,'Felosztás eredménykim'!$B177,'Eredeti fejléccel'!$CO:$CO)</f>
        <v>0</v>
      </c>
      <c r="FQ177" s="6">
        <f>'Eredeti fejléccel'!CP177</f>
        <v>0</v>
      </c>
      <c r="FR177" s="6">
        <f>'Eredeti fejléccel'!CQ177</f>
        <v>0</v>
      </c>
      <c r="FS177" s="103">
        <f t="shared" si="247"/>
        <v>0</v>
      </c>
      <c r="FT177" s="36">
        <f t="shared" si="348"/>
        <v>0</v>
      </c>
      <c r="FU177" s="101">
        <f t="shared" si="233"/>
        <v>0</v>
      </c>
      <c r="FV177" s="101"/>
      <c r="FW177" s="6">
        <f>SUMIF('Eredeti fejléccel'!$B:$B,'Felosztás eredménykim'!$B177,'Eredeti fejléccel'!$CR:$CR)</f>
        <v>0</v>
      </c>
      <c r="FX177" s="6">
        <f>SUMIF('Eredeti fejléccel'!$B:$B,'Felosztás eredménykim'!$B177,'Eredeti fejléccel'!$CS:$CS)</f>
        <v>0</v>
      </c>
      <c r="FY177" s="6">
        <f>SUMIF('Eredeti fejléccel'!$B:$B,'Felosztás eredménykim'!$B177,'Eredeti fejléccel'!$CT:$CT)</f>
        <v>0</v>
      </c>
      <c r="FZ177" s="6">
        <f>SUMIF('Eredeti fejléccel'!$B:$B,'Felosztás eredménykim'!$B177,'Eredeti fejléccel'!$CU:$CU)</f>
        <v>0</v>
      </c>
      <c r="GA177" s="103">
        <f>SUM(FU177:FZ177)</f>
        <v>0</v>
      </c>
      <c r="GB177" s="36">
        <f t="shared" si="349"/>
        <v>0</v>
      </c>
      <c r="GC177" s="101">
        <f t="shared" si="235"/>
        <v>0</v>
      </c>
      <c r="GD177" s="6">
        <f>SUMIF('Eredeti fejléccel'!$B:$B,'Felosztás eredménykim'!$B177,'Eredeti fejléccel'!$CV:$CV)</f>
        <v>0</v>
      </c>
      <c r="GE177" s="6">
        <f>SUMIF('Eredeti fejléccel'!$B:$B,'Felosztás eredménykim'!$B177,'Eredeti fejléccel'!$CW:$CW)</f>
        <v>0</v>
      </c>
      <c r="GF177" s="103">
        <f>SUM(GC177:GE177)</f>
        <v>0</v>
      </c>
      <c r="GG177" s="36">
        <f t="shared" si="236"/>
        <v>0</v>
      </c>
      <c r="GM177" s="6">
        <f>SUMIF('Eredeti fejléccel'!$B:$B,'Felosztás eredménykim'!$B177,'Eredeti fejléccel'!$CX:$CX)</f>
        <v>0</v>
      </c>
      <c r="GN177" s="6">
        <f>SUMIF('Eredeti fejléccel'!$B:$B,'Felosztás eredménykim'!$B177,'Eredeti fejléccel'!$CY:$CY)</f>
        <v>0</v>
      </c>
      <c r="GO177" s="6">
        <f>SUMIF('Eredeti fejléccel'!$B:$B,'Felosztás eredménykim'!$B177,'Eredeti fejléccel'!$CZ:$CZ)</f>
        <v>0</v>
      </c>
      <c r="GP177" s="6">
        <f>SUMIF('Eredeti fejléccel'!$B:$B,'Felosztás eredménykim'!$B177,'Eredeti fejléccel'!$DA:$DA)</f>
        <v>0</v>
      </c>
      <c r="GQ177" s="6">
        <f>SUMIF('Eredeti fejléccel'!$B:$B,'Felosztás eredménykim'!$B177,'Eredeti fejléccel'!$DB:$DB)</f>
        <v>0</v>
      </c>
      <c r="GR177" s="103">
        <f>SUM(GH177:GQ177)</f>
        <v>0</v>
      </c>
      <c r="GW177" s="36">
        <f t="shared" si="237"/>
        <v>0</v>
      </c>
      <c r="GX177" s="6">
        <f>SUMIF('Eredeti fejléccel'!$B:$B,'Felosztás eredménykim'!$B177,'Eredeti fejléccel'!$M:$M)</f>
        <v>0</v>
      </c>
      <c r="GY177" s="6">
        <f>SUMIF('Eredeti fejléccel'!$B:$B,'Felosztás eredménykim'!$B177,'Eredeti fejléccel'!$DC:$DC)</f>
        <v>0</v>
      </c>
      <c r="GZ177" s="6">
        <f>SUMIF('Eredeti fejléccel'!$B:$B,'Felosztás eredménykim'!$B177,'Eredeti fejléccel'!$DD:$DD)</f>
        <v>0</v>
      </c>
      <c r="HA177" s="6">
        <f>SUMIF('Eredeti fejléccel'!$B:$B,'Felosztás eredménykim'!$B177,'Eredeti fejléccel'!$DE:$DE)</f>
        <v>0</v>
      </c>
      <c r="HB177" s="103">
        <f>SUM(GX177:HA177)</f>
        <v>0</v>
      </c>
      <c r="HD177" s="9">
        <f t="shared" si="350"/>
        <v>0</v>
      </c>
      <c r="HE177" s="9"/>
      <c r="HF177" s="476"/>
      <c r="HH177" s="34">
        <f>+HD177-HE177</f>
        <v>0</v>
      </c>
    </row>
    <row r="178" spans="1:216" x14ac:dyDescent="0.25">
      <c r="A178" s="4" t="s">
        <v>1591</v>
      </c>
      <c r="B178" s="4" t="s">
        <v>1591</v>
      </c>
      <c r="C178" s="1" t="s">
        <v>1592</v>
      </c>
      <c r="D178" s="6">
        <f>SUMIF('Eredeti fejléccel'!$B:$B,'Felosztás eredménykim'!$B178,'Eredeti fejléccel'!$D:$D)</f>
        <v>0</v>
      </c>
      <c r="E178" s="6">
        <f>SUMIF('Eredeti fejléccel'!$B:$B,'Felosztás eredménykim'!$B178,'Eredeti fejléccel'!$E:$E)</f>
        <v>0</v>
      </c>
      <c r="F178" s="6">
        <f>SUMIF('Eredeti fejléccel'!$B:$B,'Felosztás eredménykim'!$B178,'Eredeti fejléccel'!$F:$F)</f>
        <v>0</v>
      </c>
      <c r="G178" s="6">
        <f>SUMIF('Eredeti fejléccel'!$B:$B,'Felosztás eredménykim'!$B178,'Eredeti fejléccel'!$G:$G)</f>
        <v>0</v>
      </c>
      <c r="H178" s="6"/>
      <c r="I178" s="6">
        <f>SUMIF('Eredeti fejléccel'!$B:$B,'Felosztás eredménykim'!$B178,'Eredeti fejléccel'!$O:$O)</f>
        <v>0</v>
      </c>
      <c r="J178" s="6">
        <f>SUMIF('Eredeti fejléccel'!$B:$B,'Felosztás eredménykim'!$B178,'Eredeti fejléccel'!$P:$P)</f>
        <v>0</v>
      </c>
      <c r="K178" s="6">
        <f>SUMIF('Eredeti fejléccel'!$B:$B,'Felosztás eredménykim'!$B178,'Eredeti fejléccel'!$Q:$Q)</f>
        <v>0</v>
      </c>
      <c r="L178" s="6">
        <f>SUMIF('Eredeti fejléccel'!$B:$B,'Felosztás eredménykim'!$B178,'Eredeti fejléccel'!$R:$R)</f>
        <v>0</v>
      </c>
      <c r="M178" s="6">
        <f>SUMIF('Eredeti fejléccel'!$B:$B,'Felosztás eredménykim'!$B178,'Eredeti fejléccel'!$T:$T)</f>
        <v>0</v>
      </c>
      <c r="N178" s="6">
        <f>SUMIF('Eredeti fejléccel'!$B:$B,'Felosztás eredménykim'!$B178,'Eredeti fejléccel'!$U:$U)</f>
        <v>0</v>
      </c>
      <c r="O178" s="6">
        <f>SUMIF('Eredeti fejléccel'!$B:$B,'Felosztás eredménykim'!$B178,'Eredeti fejléccel'!$V:$V)</f>
        <v>0</v>
      </c>
      <c r="P178" s="6">
        <f>SUMIF('Eredeti fejléccel'!$B:$B,'Felosztás eredménykim'!$B178,'Eredeti fejléccel'!$W:$W)</f>
        <v>0</v>
      </c>
      <c r="Q178" s="6">
        <f>SUMIF('Eredeti fejléccel'!$B:$B,'Felosztás eredménykim'!$B178,'Eredeti fejléccel'!$X:$X)</f>
        <v>0</v>
      </c>
      <c r="R178" s="6">
        <f>SUMIF('Eredeti fejléccel'!$B:$B,'Felosztás eredménykim'!$B178,'Eredeti fejléccel'!$Y:$Y)</f>
        <v>0</v>
      </c>
      <c r="S178" s="6">
        <f>SUMIF('Eredeti fejléccel'!$B:$B,'Felosztás eredménykim'!$B178,'Eredeti fejléccel'!$Z:$Z)</f>
        <v>0</v>
      </c>
      <c r="T178" s="6">
        <f>SUMIF('Eredeti fejléccel'!$B:$B,'Felosztás eredménykim'!$B178,'Eredeti fejléccel'!$AA:$AA)</f>
        <v>0</v>
      </c>
      <c r="U178" s="6">
        <f>SUMIF('Eredeti fejléccel'!$B:$B,'Felosztás eredménykim'!$B178,'Eredeti fejléccel'!$D:$D)</f>
        <v>0</v>
      </c>
      <c r="V178" s="6">
        <f>SUMIF('Eredeti fejléccel'!$B:$B,'Felosztás eredménykim'!$B178,'Eredeti fejléccel'!$AT:$AT)</f>
        <v>0</v>
      </c>
      <c r="W178" s="36">
        <f t="shared" si="302"/>
        <v>0</v>
      </c>
      <c r="X178" s="36">
        <f t="shared" si="211"/>
        <v>0</v>
      </c>
      <c r="Z178" s="6">
        <f>SUMIF('Eredeti fejléccel'!$B:$B,'Felosztás eredménykim'!$B178,'Eredeti fejléccel'!$K:$K)</f>
        <v>0</v>
      </c>
      <c r="AB178" s="6">
        <f>SUMIF('Eredeti fejléccel'!$B:$B,'Felosztás eredménykim'!$B178,'Eredeti fejléccel'!$AB:$AB)</f>
        <v>0</v>
      </c>
      <c r="AC178" s="6">
        <f>SUMIF('Eredeti fejléccel'!$B:$B,'Felosztás eredménykim'!$B178,'Eredeti fejléccel'!$AQ:$AQ)</f>
        <v>0</v>
      </c>
      <c r="AE178" s="73">
        <f>SUM(Z178:AD178)</f>
        <v>0</v>
      </c>
      <c r="AF178" s="36">
        <f t="shared" si="339"/>
        <v>0</v>
      </c>
      <c r="AG178" s="8">
        <f t="shared" si="213"/>
        <v>0</v>
      </c>
      <c r="AI178" s="6">
        <f>SUMIF('Eredeti fejléccel'!$B:$B,'Felosztás eredménykim'!$B178,'Eredeti fejléccel'!$BB:$BB)</f>
        <v>0</v>
      </c>
      <c r="AJ178" s="6">
        <f>SUMIF('Eredeti fejléccel'!$B:$B,'Felosztás eredménykim'!$B178,'Eredeti fejléccel'!$AF:$AF)</f>
        <v>0</v>
      </c>
      <c r="AK178" s="8">
        <f>SUM(AG178:AJ178)</f>
        <v>0</v>
      </c>
      <c r="AL178" s="36">
        <f t="shared" si="340"/>
        <v>0</v>
      </c>
      <c r="AM178" s="8">
        <f t="shared" si="215"/>
        <v>0</v>
      </c>
      <c r="AN178" s="6">
        <f>-AO178/2</f>
        <v>0</v>
      </c>
      <c r="AO178" s="6">
        <f>SUMIF('Eredeti fejléccel'!$B:$B,'Felosztás eredménykim'!$B178,'Eredeti fejléccel'!$AC:$AC)</f>
        <v>0</v>
      </c>
      <c r="AP178" s="6">
        <f>SUMIF('Eredeti fejléccel'!$B:$B,'Felosztás eredménykim'!$B178,'Eredeti fejléccel'!$AD:$AD)</f>
        <v>0</v>
      </c>
      <c r="AQ178" s="6">
        <f>SUMIF('Eredeti fejléccel'!$B:$B,'Felosztás eredménykim'!$B178,'Eredeti fejléccel'!$AE:$AE)</f>
        <v>0</v>
      </c>
      <c r="AR178" s="6">
        <f>SUMIF('Eredeti fejléccel'!$B:$B,'Felosztás eredménykim'!$B178,'Eredeti fejléccel'!$AG:$AG)</f>
        <v>0</v>
      </c>
      <c r="AS178" s="6">
        <f>SUM(AM178:AR178)</f>
        <v>0</v>
      </c>
      <c r="AT178" s="36">
        <f t="shared" si="341"/>
        <v>0</v>
      </c>
      <c r="AU178" s="8">
        <f t="shared" si="217"/>
        <v>0</v>
      </c>
      <c r="AV178" s="6">
        <f>SUMIF('Eredeti fejléccel'!$B:$B,'Felosztás eredménykim'!$B178,'Eredeti fejléccel'!$AI:$AI)</f>
        <v>0</v>
      </c>
      <c r="AW178" s="6">
        <f>SUMIF('Eredeti fejléccel'!$B:$B,'Felosztás eredménykim'!$B178,'Eredeti fejléccel'!$AJ:$AJ)</f>
        <v>0</v>
      </c>
      <c r="AX178" s="6">
        <f>SUMIF('Eredeti fejléccel'!$B:$B,'Felosztás eredménykim'!$B178,'Eredeti fejléccel'!$AK:$AK)</f>
        <v>0</v>
      </c>
      <c r="AY178" s="6">
        <f>SUMIF('Eredeti fejléccel'!$B:$B,'Felosztás eredménykim'!$B178,'Eredeti fejléccel'!$AL:$AL)</f>
        <v>0</v>
      </c>
      <c r="AZ178" s="6">
        <f>SUMIF('Eredeti fejléccel'!$B:$B,'Felosztás eredménykim'!$B178,'Eredeti fejléccel'!$AM:$AM)</f>
        <v>0</v>
      </c>
      <c r="BA178" s="6">
        <f>SUMIF('Eredeti fejléccel'!$B:$B,'Felosztás eredménykim'!$B178,'Eredeti fejléccel'!$AN:$AN)</f>
        <v>0</v>
      </c>
      <c r="BB178" s="6">
        <f>SUMIF('Eredeti fejléccel'!$B:$B,'Felosztás eredménykim'!$B178,'Eredeti fejléccel'!$AP:$AP)</f>
        <v>0</v>
      </c>
      <c r="BD178" s="6">
        <f>SUMIF('Eredeti fejléccel'!$B:$B,'Felosztás eredménykim'!$B178,'Eredeti fejléccel'!$AS:$AS)</f>
        <v>0</v>
      </c>
      <c r="BE178" s="8">
        <f>SUM(AU178:BD178)</f>
        <v>0</v>
      </c>
      <c r="BF178" s="36">
        <f t="shared" si="342"/>
        <v>0</v>
      </c>
      <c r="BG178" s="8">
        <f t="shared" si="219"/>
        <v>0</v>
      </c>
      <c r="BH178" s="6">
        <f>AO178/2</f>
        <v>0</v>
      </c>
      <c r="BI178" s="6">
        <f>SUMIF('Eredeti fejléccel'!$B:$B,'Felosztás eredménykim'!$B178,'Eredeti fejléccel'!$AH:$AH)</f>
        <v>0</v>
      </c>
      <c r="BJ178" s="6">
        <f>SUMIF('Eredeti fejléccel'!$B:$B,'Felosztás eredménykim'!$B178,'Eredeti fejléccel'!$AO:$AO)</f>
        <v>0</v>
      </c>
      <c r="BK178" s="6">
        <f>SUMIF('Eredeti fejléccel'!$B:$B,'Felosztás eredménykim'!$B178,'Eredeti fejléccel'!$BF:$BF)</f>
        <v>0</v>
      </c>
      <c r="BL178" s="8">
        <f>SUM(BG178:BK178)</f>
        <v>0</v>
      </c>
      <c r="BM178" s="36">
        <f t="shared" si="343"/>
        <v>0</v>
      </c>
      <c r="BN178" s="8">
        <f t="shared" si="221"/>
        <v>0</v>
      </c>
      <c r="BP178" s="8">
        <f>-FV178</f>
        <v>0</v>
      </c>
      <c r="BQ178" s="6">
        <f>SUMIF('Eredeti fejléccel'!$B:$B,'Felosztás eredménykim'!$B178,'Eredeti fejléccel'!$N:$N)</f>
        <v>0</v>
      </c>
      <c r="BR178" s="6">
        <f>SUMIF('Eredeti fejléccel'!$B:$B,'Felosztás eredménykim'!$B178,'Eredeti fejléccel'!$S:$S)</f>
        <v>0</v>
      </c>
      <c r="BT178" s="6">
        <f>SUMIF('Eredeti fejléccel'!$B:$B,'Felosztás eredménykim'!$B178,'Eredeti fejléccel'!$AR:$AR)</f>
        <v>0</v>
      </c>
      <c r="BU178" s="6">
        <f>SUMIF('Eredeti fejléccel'!$B:$B,'Felosztás eredménykim'!$B178,'Eredeti fejléccel'!$AU:$AU)</f>
        <v>0</v>
      </c>
      <c r="BV178" s="6">
        <f>SUMIF('Eredeti fejléccel'!$B:$B,'Felosztás eredménykim'!$B178,'Eredeti fejléccel'!$AV:$AV)</f>
        <v>0</v>
      </c>
      <c r="BW178" s="6">
        <f>SUMIF('Eredeti fejléccel'!$B:$B,'Felosztás eredménykim'!$B178,'Eredeti fejléccel'!$AW:$AW)</f>
        <v>0</v>
      </c>
      <c r="BX178" s="6">
        <f>SUMIF('Eredeti fejléccel'!$B:$B,'Felosztás eredménykim'!$B178,'Eredeti fejléccel'!$AX:$AX)</f>
        <v>0</v>
      </c>
      <c r="BY178" s="6">
        <f>SUMIF('Eredeti fejléccel'!$B:$B,'Felosztás eredménykim'!$B178,'Eredeti fejléccel'!$AY:$AY)</f>
        <v>0</v>
      </c>
      <c r="BZ178" s="6">
        <f>SUMIF('Eredeti fejléccel'!$B:$B,'Felosztás eredménykim'!$B178,'Eredeti fejléccel'!$AZ:$AZ)</f>
        <v>0</v>
      </c>
      <c r="CA178" s="6">
        <f>SUMIF('Eredeti fejléccel'!$B:$B,'Felosztás eredménykim'!$B178,'Eredeti fejléccel'!$BA:$BA)</f>
        <v>0</v>
      </c>
      <c r="CB178" s="6">
        <f t="shared" si="253"/>
        <v>0</v>
      </c>
      <c r="CC178" s="36">
        <f t="shared" si="344"/>
        <v>0</v>
      </c>
      <c r="CD178" s="8">
        <f t="shared" si="223"/>
        <v>0</v>
      </c>
      <c r="CE178" s="6">
        <f>SUMIF('Eredeti fejléccel'!$B:$B,'Felosztás eredménykim'!$B178,'Eredeti fejléccel'!$BC:$BC)</f>
        <v>0</v>
      </c>
      <c r="CF178" s="8">
        <f>-CE178/2</f>
        <v>0</v>
      </c>
      <c r="CG178" s="6">
        <f>SUMIF('Eredeti fejléccel'!$B:$B,'Felosztás eredménykim'!$B178,'Eredeti fejléccel'!$H:$H)</f>
        <v>0</v>
      </c>
      <c r="CH178" s="6">
        <f>SUMIF('Eredeti fejléccel'!$B:$B,'Felosztás eredménykim'!$B178,'Eredeti fejléccel'!$BE:$BE)</f>
        <v>0</v>
      </c>
      <c r="CI178" s="6">
        <f>SUM(CD178:CH178)</f>
        <v>0</v>
      </c>
      <c r="CJ178" s="36">
        <f t="shared" si="345"/>
        <v>0</v>
      </c>
      <c r="CK178" s="8">
        <f t="shared" si="225"/>
        <v>0</v>
      </c>
      <c r="CL178" s="8">
        <f>CE178/2</f>
        <v>0</v>
      </c>
      <c r="CM178" s="6">
        <f>SUMIF('Eredeti fejléccel'!$B:$B,'Felosztás eredménykim'!$B178,'Eredeti fejléccel'!$BD:$BD)</f>
        <v>0</v>
      </c>
      <c r="CN178" s="8">
        <f>SUM(CK178:CM178)</f>
        <v>0</v>
      </c>
      <c r="CO178" s="8">
        <f t="shared" si="254"/>
        <v>0</v>
      </c>
      <c r="CR178" s="36">
        <f t="shared" si="226"/>
        <v>0</v>
      </c>
      <c r="CS178" s="6">
        <f>SUMIF('Eredeti fejléccel'!$B:$B,'Felosztás eredménykim'!$B178,'Eredeti fejléccel'!$I:$I)</f>
        <v>0</v>
      </c>
      <c r="CT178" s="6">
        <f>SUMIF('Eredeti fejléccel'!$B:$B,'Felosztás eredménykim'!$B178,'Eredeti fejléccel'!$BG:$BG)</f>
        <v>0</v>
      </c>
      <c r="CU178" s="6">
        <f>SUMIF('Eredeti fejléccel'!$B:$B,'Felosztás eredménykim'!$B178,'Eredeti fejléccel'!$BH:$BH)</f>
        <v>0</v>
      </c>
      <c r="CV178" s="6">
        <f>SUMIF('Eredeti fejléccel'!$B:$B,'Felosztás eredménykim'!$B178,'Eredeti fejléccel'!$BI:$BI)</f>
        <v>0</v>
      </c>
      <c r="CW178" s="6">
        <f>SUMIF('Eredeti fejléccel'!$B:$B,'Felosztás eredménykim'!$B178,'Eredeti fejléccel'!$BL:$BL)</f>
        <v>0</v>
      </c>
      <c r="CX178" s="6">
        <f>SUM(CS178:CW178)</f>
        <v>0</v>
      </c>
      <c r="CY178" s="6">
        <f>SUMIF('Eredeti fejléccel'!$B:$B,'Felosztás eredménykim'!$B178,'Eredeti fejléccel'!$BJ:$BJ)</f>
        <v>0</v>
      </c>
      <c r="CZ178" s="6">
        <f>SUMIF('Eredeti fejléccel'!$B:$B,'Felosztás eredménykim'!$B178,'Eredeti fejléccel'!$BK:$BK)</f>
        <v>0</v>
      </c>
      <c r="DA178" s="99">
        <f t="shared" si="242"/>
        <v>0</v>
      </c>
      <c r="DC178" s="36">
        <f t="shared" si="227"/>
        <v>0</v>
      </c>
      <c r="DD178" s="6">
        <f>SUMIF('Eredeti fejléccel'!$B:$B,'Felosztás eredménykim'!$B178,'Eredeti fejléccel'!$J:$J)</f>
        <v>0</v>
      </c>
      <c r="DE178" s="6">
        <f>SUMIF('Eredeti fejléccel'!$B:$B,'Felosztás eredménykim'!$B178,'Eredeti fejléccel'!$BM:$BM)</f>
        <v>0</v>
      </c>
      <c r="DF178" s="6">
        <f>-DI178</f>
        <v>0</v>
      </c>
      <c r="DG178" s="8">
        <f t="shared" si="255"/>
        <v>0</v>
      </c>
      <c r="DH178" s="8">
        <f>SUM(DD178:DG178)</f>
        <v>0</v>
      </c>
      <c r="DJ178" s="6">
        <f>SUMIF('Eredeti fejléccel'!$B:$B,'Felosztás eredménykim'!$B178,'Eredeti fejléccel'!$BN:$BN)</f>
        <v>0</v>
      </c>
      <c r="DK178" s="6">
        <f>SUMIF('Eredeti fejléccel'!$B:$B,'Felosztás eredménykim'!$B178,'Eredeti fejléccel'!$BZ:$BZ)</f>
        <v>0</v>
      </c>
      <c r="DL178" s="8">
        <f>SUM(DI178:DK178)</f>
        <v>0</v>
      </c>
      <c r="DM178" s="6">
        <f>SUMIF('Eredeti fejléccel'!$B:$B,'Felosztás eredménykim'!$B178,'Eredeti fejléccel'!$BR:$BR)</f>
        <v>0</v>
      </c>
      <c r="DN178" s="6">
        <f>SUMIF('Eredeti fejléccel'!$B:$B,'Felosztás eredménykim'!$B178,'Eredeti fejléccel'!$BS:$BS)</f>
        <v>0</v>
      </c>
      <c r="DO178" s="6">
        <f>SUMIF('Eredeti fejléccel'!$B:$B,'Felosztás eredménykim'!$B178,'Eredeti fejléccel'!$BO:$BO)</f>
        <v>0</v>
      </c>
      <c r="DP178" s="6">
        <f>SUMIF('Eredeti fejléccel'!$B:$B,'Felosztás eredménykim'!$B178,'Eredeti fejléccel'!$BP:$BP)</f>
        <v>0</v>
      </c>
      <c r="DQ178" s="6">
        <f>SUMIF('Eredeti fejléccel'!$B:$B,'Felosztás eredménykim'!$B178,'Eredeti fejléccel'!$BQ:$BQ)</f>
        <v>0</v>
      </c>
      <c r="DS178" s="8"/>
      <c r="DU178" s="6">
        <f>SUMIF('Eredeti fejléccel'!$B:$B,'Felosztás eredménykim'!$B178,'Eredeti fejléccel'!$BT:$BT)</f>
        <v>0</v>
      </c>
      <c r="DV178" s="6">
        <f>SUMIF('Eredeti fejléccel'!$B:$B,'Felosztás eredménykim'!$B178,'Eredeti fejléccel'!$BU:$BU)</f>
        <v>0</v>
      </c>
      <c r="DW178" s="6">
        <f>SUMIF('Eredeti fejléccel'!$B:$B,'Felosztás eredménykim'!$B178,'Eredeti fejléccel'!$BV:$BV)</f>
        <v>0</v>
      </c>
      <c r="DX178" s="6">
        <f>SUMIF('Eredeti fejléccel'!$B:$B,'Felosztás eredménykim'!$B178,'Eredeti fejléccel'!$BW:$BW)</f>
        <v>0</v>
      </c>
      <c r="DY178" s="6">
        <f>SUMIF('Eredeti fejléccel'!$B:$B,'Felosztás eredménykim'!$B178,'Eredeti fejléccel'!$BX:$BX)</f>
        <v>0</v>
      </c>
      <c r="EA178" s="6"/>
      <c r="EC178" s="6"/>
      <c r="EE178" s="6">
        <f>SUMIF('Eredeti fejléccel'!$B:$B,'Felosztás eredménykim'!$B178,'Eredeti fejléccel'!$CA:$CA)</f>
        <v>0</v>
      </c>
      <c r="EF178" s="6">
        <f>SUMIF('Eredeti fejléccel'!$B:$B,'Felosztás eredménykim'!$B178,'Eredeti fejléccel'!$CB:$CB)</f>
        <v>0</v>
      </c>
      <c r="EG178" s="6">
        <f>SUMIF('Eredeti fejléccel'!$B:$B,'Felosztás eredménykim'!$B178,'Eredeti fejléccel'!$CC:$CC)</f>
        <v>0</v>
      </c>
      <c r="EH178" s="6">
        <f>SUMIF('Eredeti fejléccel'!$B:$B,'Felosztás eredménykim'!$B178,'Eredeti fejléccel'!$CD:$CD)</f>
        <v>0</v>
      </c>
      <c r="EK178" s="6">
        <f>SUMIF('Eredeti fejléccel'!$B:$B,'Felosztás eredménykim'!$B178,'Eredeti fejléccel'!$CE:$CE)</f>
        <v>0</v>
      </c>
      <c r="EN178" s="6">
        <f>SUMIF('Eredeti fejléccel'!$B:$B,'Felosztás eredménykim'!$B178,'Eredeti fejléccel'!$CF:$CF)</f>
        <v>0</v>
      </c>
      <c r="EP178" s="6">
        <f>SUMIF('Eredeti fejléccel'!$B:$B,'Felosztás eredménykim'!$B178,'Eredeti fejléccel'!$CG:$CG)</f>
        <v>0</v>
      </c>
      <c r="ES178" s="6">
        <f>SUMIF('Eredeti fejléccel'!$B:$B,'Felosztás eredménykim'!$B178,'Eredeti fejléccel'!$CH:$CH)</f>
        <v>0</v>
      </c>
      <c r="ET178" s="6">
        <f>SUMIF('Eredeti fejléccel'!$B:$B,'Felosztás eredménykim'!$B178,'Eredeti fejléccel'!$CI:$CI)</f>
        <v>0</v>
      </c>
      <c r="EW178" s="8">
        <f>SUM(DR178:ED178)</f>
        <v>0</v>
      </c>
      <c r="EX178" s="8">
        <f>SUM(EE178:EV178)</f>
        <v>0</v>
      </c>
      <c r="EY178" s="8">
        <f t="shared" si="244"/>
        <v>0</v>
      </c>
      <c r="EZ178" s="8">
        <f>EY178+DL178+DM178+DN178+DO178+DP178+DQ178</f>
        <v>0</v>
      </c>
      <c r="FA178" s="8">
        <f>EZ178-DL178-DM178</f>
        <v>0</v>
      </c>
      <c r="FC178" s="6">
        <f>SUMIF('Eredeti fejléccel'!$B:$B,'Felosztás eredménykim'!$B178,'Eredeti fejléccel'!$L:$L)</f>
        <v>0</v>
      </c>
      <c r="FD178" s="6">
        <f>SUMIF('Eredeti fejléccel'!$B:$B,'Felosztás eredménykim'!$B178,'Eredeti fejléccel'!$CJ:$CJ)</f>
        <v>0</v>
      </c>
      <c r="FE178" s="6">
        <f>SUMIF('Eredeti fejléccel'!$B:$B,'Felosztás eredménykim'!$B178,'Eredeti fejléccel'!$CL:$CL)</f>
        <v>0</v>
      </c>
      <c r="FG178" s="99">
        <f>SUM(FC178:FF178)</f>
        <v>0</v>
      </c>
      <c r="FH178" s="6">
        <f>SUMIF('Eredeti fejléccel'!$B:$B,'Felosztás eredménykim'!$B178,'Eredeti fejléccel'!$CK:$CK)</f>
        <v>0</v>
      </c>
      <c r="FI178" s="36">
        <f t="shared" si="346"/>
        <v>0</v>
      </c>
      <c r="FJ178" s="101">
        <f t="shared" si="229"/>
        <v>0</v>
      </c>
      <c r="FK178" s="6">
        <f>SUMIF('Eredeti fejléccel'!$B:$B,'Felosztás eredménykim'!$B178,'Eredeti fejléccel'!$CM:$CM)</f>
        <v>0</v>
      </c>
      <c r="FL178" s="6">
        <f>SUMIF('Eredeti fejléccel'!$B:$B,'Felosztás eredménykim'!$B178,'Eredeti fejléccel'!$CN:$CN)</f>
        <v>0</v>
      </c>
      <c r="FM178" s="8">
        <f>SUM(FJ178:FL178)</f>
        <v>0</v>
      </c>
      <c r="FN178" s="36">
        <f t="shared" si="347"/>
        <v>0</v>
      </c>
      <c r="FO178" s="101">
        <f t="shared" si="231"/>
        <v>0</v>
      </c>
      <c r="FP178" s="6">
        <f>SUMIF('Eredeti fejléccel'!$B:$B,'Felosztás eredménykim'!$B178,'Eredeti fejléccel'!$CO:$CO)</f>
        <v>0</v>
      </c>
      <c r="FQ178" s="6">
        <f>'Eredeti fejléccel'!CP178</f>
        <v>0</v>
      </c>
      <c r="FR178" s="6">
        <f>'Eredeti fejléccel'!CQ178</f>
        <v>0</v>
      </c>
      <c r="FS178" s="103">
        <f t="shared" si="247"/>
        <v>0</v>
      </c>
      <c r="FT178" s="36">
        <f t="shared" si="348"/>
        <v>0</v>
      </c>
      <c r="FU178" s="101">
        <f t="shared" si="233"/>
        <v>0</v>
      </c>
      <c r="FV178" s="101"/>
      <c r="FW178" s="6">
        <f>SUMIF('Eredeti fejléccel'!$B:$B,'Felosztás eredménykim'!$B178,'Eredeti fejléccel'!$CR:$CR)</f>
        <v>0</v>
      </c>
      <c r="FX178" s="6">
        <f>SUMIF('Eredeti fejléccel'!$B:$B,'Felosztás eredménykim'!$B178,'Eredeti fejléccel'!$CS:$CS)</f>
        <v>0</v>
      </c>
      <c r="FY178" s="6">
        <f>SUMIF('Eredeti fejléccel'!$B:$B,'Felosztás eredménykim'!$B178,'Eredeti fejléccel'!$CT:$CT)</f>
        <v>0</v>
      </c>
      <c r="FZ178" s="6">
        <f>SUMIF('Eredeti fejléccel'!$B:$B,'Felosztás eredménykim'!$B178,'Eredeti fejléccel'!$CU:$CU)</f>
        <v>0</v>
      </c>
      <c r="GA178" s="103">
        <f>SUM(FU178:FZ178)</f>
        <v>0</v>
      </c>
      <c r="GB178" s="36">
        <f t="shared" si="349"/>
        <v>0</v>
      </c>
      <c r="GC178" s="101">
        <f t="shared" si="235"/>
        <v>0</v>
      </c>
      <c r="GD178" s="6">
        <f>SUMIF('Eredeti fejléccel'!$B:$B,'Felosztás eredménykim'!$B178,'Eredeti fejléccel'!$CV:$CV)</f>
        <v>0</v>
      </c>
      <c r="GE178" s="6">
        <f>SUMIF('Eredeti fejléccel'!$B:$B,'Felosztás eredménykim'!$B178,'Eredeti fejléccel'!$CW:$CW)</f>
        <v>0</v>
      </c>
      <c r="GF178" s="103">
        <f>SUM(GC178:GE178)</f>
        <v>0</v>
      </c>
      <c r="GG178" s="36">
        <f t="shared" si="236"/>
        <v>0</v>
      </c>
      <c r="GM178" s="6">
        <f>SUMIF('Eredeti fejléccel'!$B:$B,'Felosztás eredménykim'!$B178,'Eredeti fejléccel'!$CX:$CX)</f>
        <v>0</v>
      </c>
      <c r="GN178" s="6">
        <f>SUMIF('Eredeti fejléccel'!$B:$B,'Felosztás eredménykim'!$B178,'Eredeti fejléccel'!$CY:$CY)</f>
        <v>0</v>
      </c>
      <c r="GO178" s="6">
        <f>SUMIF('Eredeti fejléccel'!$B:$B,'Felosztás eredménykim'!$B178,'Eredeti fejléccel'!$CZ:$CZ)</f>
        <v>0</v>
      </c>
      <c r="GP178" s="6">
        <f>SUMIF('Eredeti fejléccel'!$B:$B,'Felosztás eredménykim'!$B178,'Eredeti fejléccel'!$DA:$DA)</f>
        <v>0</v>
      </c>
      <c r="GQ178" s="6">
        <f>SUMIF('Eredeti fejléccel'!$B:$B,'Felosztás eredménykim'!$B178,'Eredeti fejléccel'!$DB:$DB)</f>
        <v>0</v>
      </c>
      <c r="GR178" s="103">
        <f>SUM(GH178:GQ178)</f>
        <v>0</v>
      </c>
      <c r="GW178" s="36">
        <f t="shared" si="237"/>
        <v>0</v>
      </c>
      <c r="GX178" s="6">
        <f>SUMIF('Eredeti fejléccel'!$B:$B,'Felosztás eredménykim'!$B178,'Eredeti fejléccel'!$M:$M)</f>
        <v>0</v>
      </c>
      <c r="GY178" s="6">
        <f>SUMIF('Eredeti fejléccel'!$B:$B,'Felosztás eredménykim'!$B178,'Eredeti fejléccel'!$DC:$DC)</f>
        <v>0</v>
      </c>
      <c r="GZ178" s="6">
        <f>SUMIF('Eredeti fejléccel'!$B:$B,'Felosztás eredménykim'!$B178,'Eredeti fejléccel'!$DD:$DD)</f>
        <v>0</v>
      </c>
      <c r="HA178" s="6">
        <f>SUMIF('Eredeti fejléccel'!$B:$B,'Felosztás eredménykim'!$B178,'Eredeti fejléccel'!$DE:$DE)</f>
        <v>0</v>
      </c>
      <c r="HB178" s="103">
        <f>SUM(GX178:HA178)</f>
        <v>0</v>
      </c>
      <c r="HD178" s="9">
        <f t="shared" si="350"/>
        <v>0</v>
      </c>
      <c r="HE178" s="9"/>
      <c r="HF178" s="476"/>
      <c r="HH178" s="34">
        <f>+HD178-HE178</f>
        <v>0</v>
      </c>
    </row>
    <row r="179" spans="1:216" x14ac:dyDescent="0.25">
      <c r="A179" s="4" t="s">
        <v>997</v>
      </c>
      <c r="B179" s="4" t="s">
        <v>997</v>
      </c>
      <c r="C179" s="1" t="s">
        <v>998</v>
      </c>
      <c r="D179" s="6">
        <f>SUMIF('Eredeti fejléccel'!$B:$B,'Felosztás eredménykim'!$B179,'Eredeti fejléccel'!$D:$D)</f>
        <v>0</v>
      </c>
      <c r="E179" s="6">
        <f>SUMIF('Eredeti fejléccel'!$B:$B,'Felosztás eredménykim'!$B179,'Eredeti fejléccel'!$E:$E)</f>
        <v>0</v>
      </c>
      <c r="F179" s="6">
        <f>SUMIF('Eredeti fejléccel'!$B:$B,'Felosztás eredménykim'!$B179,'Eredeti fejléccel'!$F:$F)</f>
        <v>0</v>
      </c>
      <c r="G179" s="6">
        <f>SUMIF('Eredeti fejléccel'!$B:$B,'Felosztás eredménykim'!$B179,'Eredeti fejléccel'!$G:$G)</f>
        <v>0</v>
      </c>
      <c r="H179" s="6"/>
      <c r="I179" s="6">
        <f>SUMIF('Eredeti fejléccel'!$B:$B,'Felosztás eredménykim'!$B179,'Eredeti fejléccel'!$O:$O)</f>
        <v>0</v>
      </c>
      <c r="J179" s="6">
        <f>SUMIF('Eredeti fejléccel'!$B:$B,'Felosztás eredménykim'!$B179,'Eredeti fejléccel'!$P:$P)</f>
        <v>0</v>
      </c>
      <c r="K179" s="6">
        <f>SUMIF('Eredeti fejléccel'!$B:$B,'Felosztás eredménykim'!$B179,'Eredeti fejléccel'!$Q:$Q)</f>
        <v>0</v>
      </c>
      <c r="L179" s="6">
        <f>SUMIF('Eredeti fejléccel'!$B:$B,'Felosztás eredménykim'!$B179,'Eredeti fejléccel'!$R:$R)</f>
        <v>0</v>
      </c>
      <c r="M179" s="6">
        <f>SUMIF('Eredeti fejléccel'!$B:$B,'Felosztás eredménykim'!$B179,'Eredeti fejléccel'!$T:$T)</f>
        <v>0</v>
      </c>
      <c r="N179" s="6">
        <f>SUMIF('Eredeti fejléccel'!$B:$B,'Felosztás eredménykim'!$B179,'Eredeti fejléccel'!$U:$U)</f>
        <v>0</v>
      </c>
      <c r="O179" s="6">
        <f>SUMIF('Eredeti fejléccel'!$B:$B,'Felosztás eredménykim'!$B179,'Eredeti fejléccel'!$V:$V)</f>
        <v>0</v>
      </c>
      <c r="P179" s="6">
        <f>SUMIF('Eredeti fejléccel'!$B:$B,'Felosztás eredménykim'!$B179,'Eredeti fejléccel'!$W:$W)</f>
        <v>0</v>
      </c>
      <c r="Q179" s="6">
        <f>SUMIF('Eredeti fejléccel'!$B:$B,'Felosztás eredménykim'!$B179,'Eredeti fejléccel'!$X:$X)</f>
        <v>0</v>
      </c>
      <c r="R179" s="6">
        <f>SUMIF('Eredeti fejléccel'!$B:$B,'Felosztás eredménykim'!$B179,'Eredeti fejléccel'!$Y:$Y)</f>
        <v>0</v>
      </c>
      <c r="S179" s="6">
        <f>SUMIF('Eredeti fejléccel'!$B:$B,'Felosztás eredménykim'!$B179,'Eredeti fejléccel'!$Z:$Z)</f>
        <v>0</v>
      </c>
      <c r="T179" s="6">
        <f>SUMIF('Eredeti fejléccel'!$B:$B,'Felosztás eredménykim'!$B179,'Eredeti fejléccel'!$AA:$AA)</f>
        <v>0</v>
      </c>
      <c r="U179" s="6">
        <f>SUMIF('Eredeti fejléccel'!$B:$B,'Felosztás eredménykim'!$B179,'Eredeti fejléccel'!$D:$D)</f>
        <v>0</v>
      </c>
      <c r="V179" s="6">
        <f>SUMIF('Eredeti fejléccel'!$B:$B,'Felosztás eredménykim'!$B179,'Eredeti fejléccel'!$AT:$AT)</f>
        <v>69777359.62000002</v>
      </c>
      <c r="W179" s="36">
        <f t="shared" si="302"/>
        <v>-69777359.62000002</v>
      </c>
      <c r="X179" s="36">
        <f t="shared" si="211"/>
        <v>0</v>
      </c>
      <c r="Z179" s="6">
        <f>SUMIF('Eredeti fejléccel'!$B:$B,'Felosztás eredménykim'!$B179,'Eredeti fejléccel'!$K:$K)</f>
        <v>0</v>
      </c>
      <c r="AB179" s="6">
        <f>SUMIF('Eredeti fejléccel'!$B:$B,'Felosztás eredménykim'!$B179,'Eredeti fejléccel'!$AB:$AB)</f>
        <v>0</v>
      </c>
      <c r="AC179" s="6">
        <f>SUMIF('Eredeti fejléccel'!$B:$B,'Felosztás eredménykim'!$B179,'Eredeti fejléccel'!$AQ:$AQ)</f>
        <v>0</v>
      </c>
      <c r="AE179" s="73">
        <f>SUM(Z179:AD179)</f>
        <v>0</v>
      </c>
      <c r="AF179" s="36">
        <f t="shared" si="339"/>
        <v>0</v>
      </c>
      <c r="AG179" s="8">
        <f t="shared" si="213"/>
        <v>0</v>
      </c>
      <c r="AI179" s="6">
        <f>SUMIF('Eredeti fejléccel'!$B:$B,'Felosztás eredménykim'!$B179,'Eredeti fejléccel'!$BB:$BB)</f>
        <v>0</v>
      </c>
      <c r="AJ179" s="6">
        <f>SUMIF('Eredeti fejléccel'!$B:$B,'Felosztás eredménykim'!$B179,'Eredeti fejléccel'!$AF:$AF)</f>
        <v>0</v>
      </c>
      <c r="AK179" s="8">
        <f t="shared" si="177"/>
        <v>0</v>
      </c>
      <c r="AL179" s="36">
        <f t="shared" si="340"/>
        <v>0</v>
      </c>
      <c r="AM179" s="8">
        <f t="shared" si="215"/>
        <v>0</v>
      </c>
      <c r="AN179" s="6">
        <f>-AO179/2</f>
        <v>0</v>
      </c>
      <c r="AO179" s="6">
        <f>SUMIF('Eredeti fejléccel'!$B:$B,'Felosztás eredménykim'!$B179,'Eredeti fejléccel'!$AC:$AC)</f>
        <v>0</v>
      </c>
      <c r="AP179" s="6">
        <f>SUMIF('Eredeti fejléccel'!$B:$B,'Felosztás eredménykim'!$B179,'Eredeti fejléccel'!$AD:$AD)</f>
        <v>0</v>
      </c>
      <c r="AQ179" s="6">
        <f>SUMIF('Eredeti fejléccel'!$B:$B,'Felosztás eredménykim'!$B179,'Eredeti fejléccel'!$AE:$AE)</f>
        <v>0</v>
      </c>
      <c r="AR179" s="6">
        <f>SUMIF('Eredeti fejléccel'!$B:$B,'Felosztás eredménykim'!$B179,'Eredeti fejléccel'!$AG:$AG)</f>
        <v>0</v>
      </c>
      <c r="AS179" s="6">
        <f>SUM(AM179:AR179)</f>
        <v>0</v>
      </c>
      <c r="AT179" s="36">
        <f t="shared" si="341"/>
        <v>0</v>
      </c>
      <c r="AU179" s="8">
        <f t="shared" si="217"/>
        <v>0</v>
      </c>
      <c r="AV179" s="6">
        <f>SUMIF('Eredeti fejléccel'!$B:$B,'Felosztás eredménykim'!$B179,'Eredeti fejléccel'!$AI:$AI)</f>
        <v>0</v>
      </c>
      <c r="AW179" s="6">
        <f>SUMIF('Eredeti fejléccel'!$B:$B,'Felosztás eredménykim'!$B179,'Eredeti fejléccel'!$AJ:$AJ)</f>
        <v>0</v>
      </c>
      <c r="AX179" s="6">
        <f>SUMIF('Eredeti fejléccel'!$B:$B,'Felosztás eredménykim'!$B179,'Eredeti fejléccel'!$AK:$AK)</f>
        <v>0</v>
      </c>
      <c r="AY179" s="6">
        <f>SUMIF('Eredeti fejléccel'!$B:$B,'Felosztás eredménykim'!$B179,'Eredeti fejléccel'!$AL:$AL)</f>
        <v>0</v>
      </c>
      <c r="AZ179" s="6">
        <f>SUMIF('Eredeti fejléccel'!$B:$B,'Felosztás eredménykim'!$B179,'Eredeti fejléccel'!$AM:$AM)</f>
        <v>0</v>
      </c>
      <c r="BA179" s="6">
        <f>SUMIF('Eredeti fejléccel'!$B:$B,'Felosztás eredménykim'!$B179,'Eredeti fejléccel'!$AN:$AN)</f>
        <v>0</v>
      </c>
      <c r="BB179" s="6">
        <f>SUMIF('Eredeti fejléccel'!$B:$B,'Felosztás eredménykim'!$B179,'Eredeti fejléccel'!$AP:$AP)</f>
        <v>0</v>
      </c>
      <c r="BD179" s="6">
        <f>SUMIF('Eredeti fejléccel'!$B:$B,'Felosztás eredménykim'!$B179,'Eredeti fejléccel'!$AS:$AS)</f>
        <v>0</v>
      </c>
      <c r="BE179" s="8">
        <f t="shared" si="238"/>
        <v>0</v>
      </c>
      <c r="BF179" s="36">
        <f t="shared" si="342"/>
        <v>0</v>
      </c>
      <c r="BG179" s="8">
        <f t="shared" si="219"/>
        <v>0</v>
      </c>
      <c r="BH179" s="6">
        <f>AO179/2</f>
        <v>0</v>
      </c>
      <c r="BI179" s="6">
        <f>SUMIF('Eredeti fejléccel'!$B:$B,'Felosztás eredménykim'!$B179,'Eredeti fejléccel'!$AH:$AH)</f>
        <v>0</v>
      </c>
      <c r="BJ179" s="6">
        <f>SUMIF('Eredeti fejléccel'!$B:$B,'Felosztás eredménykim'!$B179,'Eredeti fejléccel'!$AO:$AO)</f>
        <v>0</v>
      </c>
      <c r="BK179" s="6">
        <f>SUMIF('Eredeti fejléccel'!$B:$B,'Felosztás eredménykim'!$B179,'Eredeti fejléccel'!$BF:$BF)</f>
        <v>0</v>
      </c>
      <c r="BL179" s="8">
        <f>SUM(BG179:BK179)</f>
        <v>0</v>
      </c>
      <c r="BM179" s="36">
        <f t="shared" si="343"/>
        <v>0</v>
      </c>
      <c r="BN179" s="8">
        <f t="shared" si="221"/>
        <v>0</v>
      </c>
      <c r="BP179" s="8">
        <f>-FV179</f>
        <v>0</v>
      </c>
      <c r="BQ179" s="6">
        <f>SUMIF('Eredeti fejléccel'!$B:$B,'Felosztás eredménykim'!$B179,'Eredeti fejléccel'!$N:$N)</f>
        <v>0</v>
      </c>
      <c r="BR179" s="6">
        <f>SUMIF('Eredeti fejléccel'!$B:$B,'Felosztás eredménykim'!$B179,'Eredeti fejléccel'!$S:$S)</f>
        <v>0</v>
      </c>
      <c r="BT179" s="6">
        <f>SUMIF('Eredeti fejléccel'!$B:$B,'Felosztás eredménykim'!$B179,'Eredeti fejléccel'!$AR:$AR)</f>
        <v>0</v>
      </c>
      <c r="BU179" s="6">
        <f>SUMIF('Eredeti fejléccel'!$B:$B,'Felosztás eredménykim'!$B179,'Eredeti fejléccel'!$AU:$AU)</f>
        <v>0</v>
      </c>
      <c r="BV179" s="6">
        <f>SUMIF('Eredeti fejléccel'!$B:$B,'Felosztás eredménykim'!$B179,'Eredeti fejléccel'!$AV:$AV)</f>
        <v>0</v>
      </c>
      <c r="BW179" s="6">
        <f>SUMIF('Eredeti fejléccel'!$B:$B,'Felosztás eredménykim'!$B179,'Eredeti fejléccel'!$AW:$AW)</f>
        <v>0</v>
      </c>
      <c r="BX179" s="6">
        <f>SUMIF('Eredeti fejléccel'!$B:$B,'Felosztás eredménykim'!$B179,'Eredeti fejléccel'!$AX:$AX)</f>
        <v>0</v>
      </c>
      <c r="BY179" s="6">
        <f>SUMIF('Eredeti fejléccel'!$B:$B,'Felosztás eredménykim'!$B179,'Eredeti fejléccel'!$AY:$AY)</f>
        <v>0</v>
      </c>
      <c r="BZ179" s="6">
        <f>SUMIF('Eredeti fejléccel'!$B:$B,'Felosztás eredménykim'!$B179,'Eredeti fejléccel'!$AZ:$AZ)</f>
        <v>0</v>
      </c>
      <c r="CA179" s="6">
        <f>SUMIF('Eredeti fejléccel'!$B:$B,'Felosztás eredménykim'!$B179,'Eredeti fejléccel'!$BA:$BA)</f>
        <v>0</v>
      </c>
      <c r="CB179" s="6">
        <f t="shared" si="253"/>
        <v>0</v>
      </c>
      <c r="CC179" s="36">
        <f t="shared" si="344"/>
        <v>0</v>
      </c>
      <c r="CD179" s="8">
        <f t="shared" si="223"/>
        <v>0</v>
      </c>
      <c r="CE179" s="6">
        <f>SUMIF('Eredeti fejléccel'!$B:$B,'Felosztás eredménykim'!$B179,'Eredeti fejléccel'!$BC:$BC)</f>
        <v>0</v>
      </c>
      <c r="CF179" s="8">
        <f>-CE179/2</f>
        <v>0</v>
      </c>
      <c r="CG179" s="6">
        <f>SUMIF('Eredeti fejléccel'!$B:$B,'Felosztás eredménykim'!$B179,'Eredeti fejléccel'!$H:$H)</f>
        <v>0</v>
      </c>
      <c r="CH179" s="6">
        <f>SUMIF('Eredeti fejléccel'!$B:$B,'Felosztás eredménykim'!$B179,'Eredeti fejléccel'!$BE:$BE)</f>
        <v>0</v>
      </c>
      <c r="CI179" s="6">
        <f t="shared" si="239"/>
        <v>0</v>
      </c>
      <c r="CJ179" s="36">
        <f t="shared" si="345"/>
        <v>0</v>
      </c>
      <c r="CK179" s="8">
        <f t="shared" si="225"/>
        <v>0</v>
      </c>
      <c r="CL179" s="8">
        <f>CE179/2</f>
        <v>0</v>
      </c>
      <c r="CM179" s="6">
        <f>SUMIF('Eredeti fejléccel'!$B:$B,'Felosztás eredménykim'!$B179,'Eredeti fejléccel'!$BD:$BD)</f>
        <v>0</v>
      </c>
      <c r="CN179" s="8">
        <f t="shared" si="240"/>
        <v>0</v>
      </c>
      <c r="CO179" s="8">
        <f t="shared" si="254"/>
        <v>0</v>
      </c>
      <c r="CR179" s="36">
        <f t="shared" si="226"/>
        <v>0</v>
      </c>
      <c r="CS179" s="6">
        <f>SUMIF('Eredeti fejléccel'!$B:$B,'Felosztás eredménykim'!$B179,'Eredeti fejléccel'!$I:$I)</f>
        <v>0</v>
      </c>
      <c r="CT179" s="6">
        <f>SUMIF('Eredeti fejléccel'!$B:$B,'Felosztás eredménykim'!$B179,'Eredeti fejléccel'!$BG:$BG)</f>
        <v>0</v>
      </c>
      <c r="CU179" s="6">
        <f>SUMIF('Eredeti fejléccel'!$B:$B,'Felosztás eredménykim'!$B179,'Eredeti fejléccel'!$BH:$BH)</f>
        <v>0</v>
      </c>
      <c r="CV179" s="6">
        <f>SUMIF('Eredeti fejléccel'!$B:$B,'Felosztás eredménykim'!$B179,'Eredeti fejléccel'!$BI:$BI)</f>
        <v>0</v>
      </c>
      <c r="CW179" s="6">
        <f>SUMIF('Eredeti fejléccel'!$B:$B,'Felosztás eredménykim'!$B179,'Eredeti fejléccel'!$BL:$BL)</f>
        <v>0</v>
      </c>
      <c r="CX179" s="6">
        <f t="shared" si="241"/>
        <v>0</v>
      </c>
      <c r="CY179" s="6">
        <f>SUMIF('Eredeti fejléccel'!$B:$B,'Felosztás eredménykim'!$B179,'Eredeti fejléccel'!$BJ:$BJ)</f>
        <v>0</v>
      </c>
      <c r="CZ179" s="6">
        <f>SUMIF('Eredeti fejléccel'!$B:$B,'Felosztás eredménykim'!$B179,'Eredeti fejléccel'!$BK:$BK)</f>
        <v>0</v>
      </c>
      <c r="DA179" s="99">
        <f t="shared" si="242"/>
        <v>0</v>
      </c>
      <c r="DC179" s="36">
        <f t="shared" si="227"/>
        <v>0</v>
      </c>
      <c r="DD179" s="6">
        <f>SUMIF('Eredeti fejléccel'!$B:$B,'Felosztás eredménykim'!$B179,'Eredeti fejléccel'!$J:$J)</f>
        <v>0</v>
      </c>
      <c r="DE179" s="6">
        <f>SUMIF('Eredeti fejléccel'!$B:$B,'Felosztás eredménykim'!$B179,'Eredeti fejléccel'!$BM:$BM)</f>
        <v>0</v>
      </c>
      <c r="DF179" s="6">
        <f>-DI179</f>
        <v>0</v>
      </c>
      <c r="DG179" s="8">
        <f t="shared" si="255"/>
        <v>0</v>
      </c>
      <c r="DH179" s="8">
        <f>SUM(DD179:DG179)</f>
        <v>0</v>
      </c>
      <c r="DJ179" s="6">
        <f>SUMIF('Eredeti fejléccel'!$B:$B,'Felosztás eredménykim'!$B179,'Eredeti fejléccel'!$BN:$BN)</f>
        <v>0</v>
      </c>
      <c r="DK179" s="6">
        <f>SUMIF('Eredeti fejléccel'!$B:$B,'Felosztás eredménykim'!$B179,'Eredeti fejléccel'!$BZ:$BZ)</f>
        <v>0</v>
      </c>
      <c r="DL179" s="8">
        <f>SUM(DI179:DK179)</f>
        <v>0</v>
      </c>
      <c r="DM179" s="6">
        <f>SUMIF('Eredeti fejléccel'!$B:$B,'Felosztás eredménykim'!$B179,'Eredeti fejléccel'!$BR:$BR)</f>
        <v>0</v>
      </c>
      <c r="DN179" s="6">
        <f>SUMIF('Eredeti fejléccel'!$B:$B,'Felosztás eredménykim'!$B179,'Eredeti fejléccel'!$BS:$BS)</f>
        <v>0</v>
      </c>
      <c r="DO179" s="6">
        <f>SUMIF('Eredeti fejléccel'!$B:$B,'Felosztás eredménykim'!$B179,'Eredeti fejléccel'!$BO:$BO)</f>
        <v>0</v>
      </c>
      <c r="DP179" s="6">
        <f>SUMIF('Eredeti fejléccel'!$B:$B,'Felosztás eredménykim'!$B179,'Eredeti fejléccel'!$BP:$BP)</f>
        <v>0</v>
      </c>
      <c r="DQ179" s="6">
        <f>SUMIF('Eredeti fejléccel'!$B:$B,'Felosztás eredménykim'!$B179,'Eredeti fejléccel'!$BQ:$BQ)</f>
        <v>0</v>
      </c>
      <c r="DS179" s="8"/>
      <c r="DU179" s="6">
        <f>SUMIF('Eredeti fejléccel'!$B:$B,'Felosztás eredménykim'!$B179,'Eredeti fejléccel'!$BT:$BT)</f>
        <v>0</v>
      </c>
      <c r="DV179" s="6">
        <f>SUMIF('Eredeti fejléccel'!$B:$B,'Felosztás eredménykim'!$B179,'Eredeti fejléccel'!$BU:$BU)</f>
        <v>0</v>
      </c>
      <c r="DW179" s="6">
        <f>SUMIF('Eredeti fejléccel'!$B:$B,'Felosztás eredménykim'!$B179,'Eredeti fejléccel'!$BV:$BV)</f>
        <v>0</v>
      </c>
      <c r="DX179" s="6">
        <f>SUMIF('Eredeti fejléccel'!$B:$B,'Felosztás eredménykim'!$B179,'Eredeti fejléccel'!$BW:$BW)</f>
        <v>0</v>
      </c>
      <c r="DY179" s="6">
        <f>SUMIF('Eredeti fejléccel'!$B:$B,'Felosztás eredménykim'!$B179,'Eredeti fejléccel'!$BX:$BX)</f>
        <v>0</v>
      </c>
      <c r="EA179" s="6"/>
      <c r="EC179" s="6"/>
      <c r="EE179" s="6">
        <f>SUMIF('Eredeti fejléccel'!$B:$B,'Felosztás eredménykim'!$B179,'Eredeti fejléccel'!$CA:$CA)</f>
        <v>0</v>
      </c>
      <c r="EF179" s="6">
        <f>SUMIF('Eredeti fejléccel'!$B:$B,'Felosztás eredménykim'!$B179,'Eredeti fejléccel'!$CB:$CB)</f>
        <v>0</v>
      </c>
      <c r="EG179" s="6">
        <f>SUMIF('Eredeti fejléccel'!$B:$B,'Felosztás eredménykim'!$B179,'Eredeti fejléccel'!$CC:$CC)</f>
        <v>0</v>
      </c>
      <c r="EH179" s="6">
        <f>SUMIF('Eredeti fejléccel'!$B:$B,'Felosztás eredménykim'!$B179,'Eredeti fejléccel'!$CD:$CD)</f>
        <v>0</v>
      </c>
      <c r="EK179" s="6">
        <f>SUMIF('Eredeti fejléccel'!$B:$B,'Felosztás eredménykim'!$B179,'Eredeti fejléccel'!$CE:$CE)</f>
        <v>0</v>
      </c>
      <c r="EN179" s="6">
        <f>SUMIF('Eredeti fejléccel'!$B:$B,'Felosztás eredménykim'!$B179,'Eredeti fejléccel'!$CF:$CF)</f>
        <v>0</v>
      </c>
      <c r="EP179" s="6">
        <f>SUMIF('Eredeti fejléccel'!$B:$B,'Felosztás eredménykim'!$B179,'Eredeti fejléccel'!$CG:$CG)</f>
        <v>0</v>
      </c>
      <c r="ES179" s="6">
        <f>SUMIF('Eredeti fejléccel'!$B:$B,'Felosztás eredménykim'!$B179,'Eredeti fejléccel'!$CH:$CH)</f>
        <v>0</v>
      </c>
      <c r="ET179" s="6">
        <f>SUMIF('Eredeti fejléccel'!$B:$B,'Felosztás eredménykim'!$B179,'Eredeti fejléccel'!$CI:$CI)</f>
        <v>0</v>
      </c>
      <c r="EW179" s="8">
        <f t="shared" si="288"/>
        <v>0</v>
      </c>
      <c r="EX179" s="8">
        <f t="shared" si="243"/>
        <v>0</v>
      </c>
      <c r="EY179" s="8">
        <f t="shared" si="244"/>
        <v>0</v>
      </c>
      <c r="EZ179" s="8">
        <f t="shared" si="289"/>
        <v>0</v>
      </c>
      <c r="FA179" s="8">
        <f t="shared" si="290"/>
        <v>0</v>
      </c>
      <c r="FC179" s="6">
        <f>SUMIF('Eredeti fejléccel'!$B:$B,'Felosztás eredménykim'!$B179,'Eredeti fejléccel'!$L:$L)</f>
        <v>0</v>
      </c>
      <c r="FD179" s="6">
        <f>SUMIF('Eredeti fejléccel'!$B:$B,'Felosztás eredménykim'!$B179,'Eredeti fejléccel'!$CJ:$CJ)</f>
        <v>0</v>
      </c>
      <c r="FE179" s="6">
        <f>SUMIF('Eredeti fejléccel'!$B:$B,'Felosztás eredménykim'!$B179,'Eredeti fejléccel'!$CL:$CL)</f>
        <v>0</v>
      </c>
      <c r="FG179" s="99">
        <f t="shared" si="245"/>
        <v>0</v>
      </c>
      <c r="FH179" s="6">
        <f>SUMIF('Eredeti fejléccel'!$B:$B,'Felosztás eredménykim'!$B179,'Eredeti fejléccel'!$CK:$CK)</f>
        <v>0</v>
      </c>
      <c r="FI179" s="36">
        <f t="shared" si="346"/>
        <v>0</v>
      </c>
      <c r="FJ179" s="101">
        <f t="shared" si="229"/>
        <v>0</v>
      </c>
      <c r="FK179" s="6">
        <f>SUMIF('Eredeti fejléccel'!$B:$B,'Felosztás eredménykim'!$B179,'Eredeti fejléccel'!$CM:$CM)</f>
        <v>0</v>
      </c>
      <c r="FL179" s="6">
        <f>SUMIF('Eredeti fejléccel'!$B:$B,'Felosztás eredménykim'!$B179,'Eredeti fejléccel'!$CN:$CN)</f>
        <v>0</v>
      </c>
      <c r="FM179" s="8">
        <f t="shared" si="246"/>
        <v>0</v>
      </c>
      <c r="FN179" s="36">
        <f t="shared" si="347"/>
        <v>0</v>
      </c>
      <c r="FO179" s="101">
        <f t="shared" si="231"/>
        <v>0</v>
      </c>
      <c r="FP179" s="6">
        <f>SUMIF('Eredeti fejléccel'!$B:$B,'Felosztás eredménykim'!$B179,'Eredeti fejléccel'!$CO:$CO)</f>
        <v>0</v>
      </c>
      <c r="FQ179" s="6">
        <f>'Eredeti fejléccel'!CP179</f>
        <v>0</v>
      </c>
      <c r="FR179" s="6">
        <f>'Eredeti fejléccel'!CQ179</f>
        <v>0</v>
      </c>
      <c r="FS179" s="103">
        <f t="shared" si="247"/>
        <v>0</v>
      </c>
      <c r="FT179" s="36">
        <f t="shared" si="348"/>
        <v>0</v>
      </c>
      <c r="FU179" s="101">
        <f t="shared" si="233"/>
        <v>0</v>
      </c>
      <c r="FV179" s="101"/>
      <c r="FW179" s="6">
        <f>SUMIF('Eredeti fejléccel'!$B:$B,'Felosztás eredménykim'!$B179,'Eredeti fejléccel'!$CR:$CR)</f>
        <v>0</v>
      </c>
      <c r="FX179" s="6">
        <f>SUMIF('Eredeti fejléccel'!$B:$B,'Felosztás eredménykim'!$B179,'Eredeti fejléccel'!$CS:$CS)</f>
        <v>0</v>
      </c>
      <c r="FY179" s="6">
        <f>SUMIF('Eredeti fejléccel'!$B:$B,'Felosztás eredménykim'!$B179,'Eredeti fejléccel'!$CT:$CT)</f>
        <v>0</v>
      </c>
      <c r="FZ179" s="6">
        <f>SUMIF('Eredeti fejléccel'!$B:$B,'Felosztás eredménykim'!$B179,'Eredeti fejléccel'!$CU:$CU)</f>
        <v>0</v>
      </c>
      <c r="GA179" s="103">
        <f t="shared" si="248"/>
        <v>0</v>
      </c>
      <c r="GB179" s="36">
        <f t="shared" si="349"/>
        <v>0</v>
      </c>
      <c r="GC179" s="101">
        <f t="shared" si="235"/>
        <v>0</v>
      </c>
      <c r="GD179" s="6">
        <f>SUMIF('Eredeti fejléccel'!$B:$B,'Felosztás eredménykim'!$B179,'Eredeti fejléccel'!$CV:$CV)</f>
        <v>0</v>
      </c>
      <c r="GE179" s="6">
        <f>SUMIF('Eredeti fejléccel'!$B:$B,'Felosztás eredménykim'!$B179,'Eredeti fejléccel'!$CW:$CW)</f>
        <v>0</v>
      </c>
      <c r="GF179" s="103">
        <f t="shared" si="249"/>
        <v>0</v>
      </c>
      <c r="GG179" s="36">
        <f t="shared" si="236"/>
        <v>0</v>
      </c>
      <c r="GM179" s="6">
        <f>SUMIF('Eredeti fejléccel'!$B:$B,'Felosztás eredménykim'!$B179,'Eredeti fejléccel'!$CX:$CX)</f>
        <v>0</v>
      </c>
      <c r="GN179" s="6">
        <f>SUMIF('Eredeti fejléccel'!$B:$B,'Felosztás eredménykim'!$B179,'Eredeti fejléccel'!$CY:$CY)</f>
        <v>0</v>
      </c>
      <c r="GO179" s="6">
        <f>SUMIF('Eredeti fejléccel'!$B:$B,'Felosztás eredménykim'!$B179,'Eredeti fejléccel'!$CZ:$CZ)</f>
        <v>0</v>
      </c>
      <c r="GP179" s="6">
        <f>SUMIF('Eredeti fejléccel'!$B:$B,'Felosztás eredménykim'!$B179,'Eredeti fejléccel'!$DA:$DA)</f>
        <v>0</v>
      </c>
      <c r="GQ179" s="6">
        <f>SUMIF('Eredeti fejléccel'!$B:$B,'Felosztás eredménykim'!$B179,'Eredeti fejléccel'!$DB:$DB)</f>
        <v>0</v>
      </c>
      <c r="GR179" s="103">
        <f t="shared" si="250"/>
        <v>0</v>
      </c>
      <c r="GW179" s="36">
        <f t="shared" si="237"/>
        <v>0</v>
      </c>
      <c r="GX179" s="6">
        <f>SUMIF('Eredeti fejléccel'!$B:$B,'Felosztás eredménykim'!$B179,'Eredeti fejléccel'!$M:$M)</f>
        <v>0</v>
      </c>
      <c r="GY179" s="6">
        <f>SUMIF('Eredeti fejléccel'!$B:$B,'Felosztás eredménykim'!$B179,'Eredeti fejléccel'!$DC:$DC)</f>
        <v>0</v>
      </c>
      <c r="GZ179" s="6">
        <f>SUMIF('Eredeti fejléccel'!$B:$B,'Felosztás eredménykim'!$B179,'Eredeti fejléccel'!$DD:$DD)</f>
        <v>0</v>
      </c>
      <c r="HA179" s="6">
        <f>SUMIF('Eredeti fejléccel'!$B:$B,'Felosztás eredménykim'!$B179,'Eredeti fejléccel'!$DE:$DE)</f>
        <v>0</v>
      </c>
      <c r="HB179" s="103">
        <f t="shared" si="251"/>
        <v>0</v>
      </c>
      <c r="HD179" s="9">
        <f t="shared" si="350"/>
        <v>69777359.62000002</v>
      </c>
      <c r="HE179" s="9">
        <v>69777359.62000002</v>
      </c>
      <c r="HF179" s="476"/>
      <c r="HH179" s="34">
        <f t="shared" si="252"/>
        <v>0</v>
      </c>
    </row>
    <row r="180" spans="1:216" x14ac:dyDescent="0.25">
      <c r="A180" s="4" t="s">
        <v>871</v>
      </c>
      <c r="B180" s="4" t="s">
        <v>871</v>
      </c>
      <c r="D180" s="6">
        <f>SUMIF('Eredeti fejléccel'!$B:$B,'Felosztás eredménykim'!$B180,'Eredeti fejléccel'!$D:$D)</f>
        <v>0</v>
      </c>
      <c r="E180" s="6">
        <f>SUMIF('Eredeti fejléccel'!$B:$B,'Felosztás eredménykim'!$B180,'Eredeti fejléccel'!$E:$E)</f>
        <v>0</v>
      </c>
      <c r="F180" s="6">
        <f>SUMIF('Eredeti fejléccel'!$B:$B,'Felosztás eredménykim'!$B180,'Eredeti fejléccel'!$F:$F)</f>
        <v>0</v>
      </c>
      <c r="G180" s="6">
        <f>SUMIF('Eredeti fejléccel'!$B:$B,'Felosztás eredménykim'!$B180,'Eredeti fejléccel'!$G:$G)</f>
        <v>0</v>
      </c>
      <c r="H180" s="6"/>
      <c r="I180" s="6">
        <f>SUMIF('Eredeti fejléccel'!$B:$B,'Felosztás eredménykim'!$B180,'Eredeti fejléccel'!$O:$O)</f>
        <v>0</v>
      </c>
      <c r="J180" s="6">
        <f>SUMIF('Eredeti fejléccel'!$B:$B,'Felosztás eredménykim'!$B180,'Eredeti fejléccel'!$P:$P)</f>
        <v>0</v>
      </c>
      <c r="K180" s="6">
        <f>SUMIF('Eredeti fejléccel'!$B:$B,'Felosztás eredménykim'!$B180,'Eredeti fejléccel'!$Q:$Q)</f>
        <v>0</v>
      </c>
      <c r="L180" s="6">
        <f>SUMIF('Eredeti fejléccel'!$B:$B,'Felosztás eredménykim'!$B180,'Eredeti fejléccel'!$R:$R)</f>
        <v>0</v>
      </c>
      <c r="M180" s="6">
        <f>SUMIF('Eredeti fejléccel'!$B:$B,'Felosztás eredménykim'!$B180,'Eredeti fejléccel'!$T:$T)</f>
        <v>0</v>
      </c>
      <c r="N180" s="6">
        <f>SUMIF('Eredeti fejléccel'!$B:$B,'Felosztás eredménykim'!$B180,'Eredeti fejléccel'!$U:$U)</f>
        <v>0</v>
      </c>
      <c r="O180" s="6">
        <f>SUMIF('Eredeti fejléccel'!$B:$B,'Felosztás eredménykim'!$B180,'Eredeti fejléccel'!$V:$V)</f>
        <v>0</v>
      </c>
      <c r="P180" s="6">
        <f>SUMIF('Eredeti fejléccel'!$B:$B,'Felosztás eredménykim'!$B180,'Eredeti fejléccel'!$W:$W)</f>
        <v>0</v>
      </c>
      <c r="Q180" s="6">
        <f>SUMIF('Eredeti fejléccel'!$B:$B,'Felosztás eredménykim'!$B180,'Eredeti fejléccel'!$X:$X)</f>
        <v>0</v>
      </c>
      <c r="R180" s="6">
        <f>SUMIF('Eredeti fejléccel'!$B:$B,'Felosztás eredménykim'!$B180,'Eredeti fejléccel'!$Y:$Y)</f>
        <v>0</v>
      </c>
      <c r="S180" s="6">
        <f>SUMIF('Eredeti fejléccel'!$B:$B,'Felosztás eredménykim'!$B180,'Eredeti fejléccel'!$Z:$Z)</f>
        <v>0</v>
      </c>
      <c r="T180" s="6">
        <f>SUMIF('Eredeti fejléccel'!$B:$B,'Felosztás eredménykim'!$B180,'Eredeti fejléccel'!$AA:$AA)</f>
        <v>0</v>
      </c>
      <c r="U180" s="6">
        <f>SUMIF('Eredeti fejléccel'!$B:$B,'Felosztás eredménykim'!$B180,'Eredeti fejléccel'!$D:$D)</f>
        <v>0</v>
      </c>
      <c r="V180" s="6">
        <f>SUMIF('Eredeti fejléccel'!$B:$B,'Felosztás eredménykim'!$B180,'Eredeti fejléccel'!$AT:$AT)</f>
        <v>23567655.060000002</v>
      </c>
      <c r="W180" s="36">
        <f t="shared" si="302"/>
        <v>-23567655.060000002</v>
      </c>
      <c r="X180" s="36">
        <f t="shared" si="211"/>
        <v>0</v>
      </c>
      <c r="Z180" s="6">
        <f>SUMIF('Eredeti fejléccel'!$B:$B,'Felosztás eredménykim'!$B180,'Eredeti fejléccel'!$K:$K)</f>
        <v>0</v>
      </c>
      <c r="AB180" s="6">
        <f>SUMIF('Eredeti fejléccel'!$B:$B,'Felosztás eredménykim'!$B180,'Eredeti fejléccel'!$AB:$AB)</f>
        <v>0</v>
      </c>
      <c r="AC180" s="6">
        <f>SUMIF('Eredeti fejléccel'!$B:$B,'Felosztás eredménykim'!$B180,'Eredeti fejléccel'!$AQ:$AQ)</f>
        <v>0</v>
      </c>
      <c r="AE180" s="73">
        <f t="shared" si="299"/>
        <v>0</v>
      </c>
      <c r="AF180" s="36">
        <f t="shared" si="339"/>
        <v>0</v>
      </c>
      <c r="AG180" s="8">
        <f t="shared" si="213"/>
        <v>0</v>
      </c>
      <c r="AI180" s="6">
        <f>SUMIF('Eredeti fejléccel'!$B:$B,'Felosztás eredménykim'!$B180,'Eredeti fejléccel'!$BB:$BB)</f>
        <v>0</v>
      </c>
      <c r="AJ180" s="6">
        <f>SUMIF('Eredeti fejléccel'!$B:$B,'Felosztás eredménykim'!$B180,'Eredeti fejléccel'!$AF:$AF)</f>
        <v>0</v>
      </c>
      <c r="AK180" s="8">
        <f t="shared" si="177"/>
        <v>0</v>
      </c>
      <c r="AL180" s="36">
        <f t="shared" si="340"/>
        <v>0</v>
      </c>
      <c r="AM180" s="8">
        <f t="shared" si="215"/>
        <v>0</v>
      </c>
      <c r="AN180" s="6">
        <f t="shared" si="291"/>
        <v>0</v>
      </c>
      <c r="AO180" s="6">
        <f>SUMIF('Eredeti fejléccel'!$B:$B,'Felosztás eredménykim'!$B180,'Eredeti fejléccel'!$AC:$AC)</f>
        <v>0</v>
      </c>
      <c r="AP180" s="6">
        <f>SUMIF('Eredeti fejléccel'!$B:$B,'Felosztás eredménykim'!$B180,'Eredeti fejléccel'!$AD:$AD)</f>
        <v>0</v>
      </c>
      <c r="AQ180" s="6">
        <f>SUMIF('Eredeti fejléccel'!$B:$B,'Felosztás eredménykim'!$B180,'Eredeti fejléccel'!$AE:$AE)</f>
        <v>0</v>
      </c>
      <c r="AR180" s="6">
        <f>SUMIF('Eredeti fejléccel'!$B:$B,'Felosztás eredménykim'!$B180,'Eredeti fejléccel'!$AG:$AG)</f>
        <v>0</v>
      </c>
      <c r="AS180" s="6">
        <f t="shared" si="292"/>
        <v>0</v>
      </c>
      <c r="AT180" s="36">
        <f t="shared" si="341"/>
        <v>0</v>
      </c>
      <c r="AU180" s="8">
        <f t="shared" si="217"/>
        <v>0</v>
      </c>
      <c r="AV180" s="6">
        <f>SUMIF('Eredeti fejléccel'!$B:$B,'Felosztás eredménykim'!$B180,'Eredeti fejléccel'!$AI:$AI)</f>
        <v>0</v>
      </c>
      <c r="AW180" s="6">
        <f>SUMIF('Eredeti fejléccel'!$B:$B,'Felosztás eredménykim'!$B180,'Eredeti fejléccel'!$AJ:$AJ)</f>
        <v>0</v>
      </c>
      <c r="AX180" s="6">
        <f>SUMIF('Eredeti fejléccel'!$B:$B,'Felosztás eredménykim'!$B180,'Eredeti fejléccel'!$AK:$AK)</f>
        <v>0</v>
      </c>
      <c r="AY180" s="6">
        <f>SUMIF('Eredeti fejléccel'!$B:$B,'Felosztás eredménykim'!$B180,'Eredeti fejléccel'!$AL:$AL)</f>
        <v>0</v>
      </c>
      <c r="AZ180" s="6">
        <f>SUMIF('Eredeti fejléccel'!$B:$B,'Felosztás eredménykim'!$B180,'Eredeti fejléccel'!$AM:$AM)</f>
        <v>0</v>
      </c>
      <c r="BA180" s="6">
        <f>SUMIF('Eredeti fejléccel'!$B:$B,'Felosztás eredménykim'!$B180,'Eredeti fejléccel'!$AN:$AN)</f>
        <v>0</v>
      </c>
      <c r="BB180" s="6">
        <f>SUMIF('Eredeti fejléccel'!$B:$B,'Felosztás eredménykim'!$B180,'Eredeti fejléccel'!$AP:$AP)</f>
        <v>0</v>
      </c>
      <c r="BD180" s="6">
        <f>SUMIF('Eredeti fejléccel'!$B:$B,'Felosztás eredménykim'!$B180,'Eredeti fejléccel'!$AS:$AS)</f>
        <v>0</v>
      </c>
      <c r="BE180" s="8">
        <f t="shared" si="238"/>
        <v>0</v>
      </c>
      <c r="BF180" s="36">
        <f t="shared" si="342"/>
        <v>0</v>
      </c>
      <c r="BG180" s="8">
        <f t="shared" si="219"/>
        <v>0</v>
      </c>
      <c r="BH180" s="6">
        <f t="shared" si="293"/>
        <v>0</v>
      </c>
      <c r="BI180" s="6">
        <f>SUMIF('Eredeti fejléccel'!$B:$B,'Felosztás eredménykim'!$B180,'Eredeti fejléccel'!$AH:$AH)</f>
        <v>0</v>
      </c>
      <c r="BJ180" s="6">
        <f>SUMIF('Eredeti fejléccel'!$B:$B,'Felosztás eredménykim'!$B180,'Eredeti fejléccel'!$AO:$AO)</f>
        <v>0</v>
      </c>
      <c r="BK180" s="6">
        <f>SUMIF('Eredeti fejléccel'!$B:$B,'Felosztás eredménykim'!$B180,'Eredeti fejléccel'!$BF:$BF)</f>
        <v>0</v>
      </c>
      <c r="BL180" s="8">
        <f t="shared" si="294"/>
        <v>0</v>
      </c>
      <c r="BM180" s="36">
        <f t="shared" si="343"/>
        <v>0</v>
      </c>
      <c r="BN180" s="8">
        <f t="shared" si="221"/>
        <v>0</v>
      </c>
      <c r="BP180" s="8">
        <f t="shared" si="295"/>
        <v>0</v>
      </c>
      <c r="BQ180" s="6">
        <f>SUMIF('Eredeti fejléccel'!$B:$B,'Felosztás eredménykim'!$B180,'Eredeti fejléccel'!$N:$N)</f>
        <v>0</v>
      </c>
      <c r="BR180" s="6">
        <f>SUMIF('Eredeti fejléccel'!$B:$B,'Felosztás eredménykim'!$B180,'Eredeti fejléccel'!$S:$S)</f>
        <v>0</v>
      </c>
      <c r="BT180" s="6">
        <f>SUMIF('Eredeti fejléccel'!$B:$B,'Felosztás eredménykim'!$B180,'Eredeti fejléccel'!$AR:$AR)</f>
        <v>0</v>
      </c>
      <c r="BU180" s="6">
        <f>SUMIF('Eredeti fejléccel'!$B:$B,'Felosztás eredménykim'!$B180,'Eredeti fejléccel'!$AU:$AU)</f>
        <v>0</v>
      </c>
      <c r="BV180" s="6">
        <f>SUMIF('Eredeti fejléccel'!$B:$B,'Felosztás eredménykim'!$B180,'Eredeti fejléccel'!$AV:$AV)</f>
        <v>0</v>
      </c>
      <c r="BW180" s="6">
        <f>SUMIF('Eredeti fejléccel'!$B:$B,'Felosztás eredménykim'!$B180,'Eredeti fejléccel'!$AW:$AW)</f>
        <v>0</v>
      </c>
      <c r="BX180" s="6">
        <f>SUMIF('Eredeti fejléccel'!$B:$B,'Felosztás eredménykim'!$B180,'Eredeti fejléccel'!$AX:$AX)</f>
        <v>0</v>
      </c>
      <c r="BY180" s="6">
        <f>SUMIF('Eredeti fejléccel'!$B:$B,'Felosztás eredménykim'!$B180,'Eredeti fejléccel'!$AY:$AY)</f>
        <v>0</v>
      </c>
      <c r="BZ180" s="6">
        <f>SUMIF('Eredeti fejléccel'!$B:$B,'Felosztás eredménykim'!$B180,'Eredeti fejléccel'!$AZ:$AZ)</f>
        <v>0</v>
      </c>
      <c r="CA180" s="6">
        <f>SUMIF('Eredeti fejléccel'!$B:$B,'Felosztás eredménykim'!$B180,'Eredeti fejléccel'!$BA:$BA)</f>
        <v>0</v>
      </c>
      <c r="CB180" s="6">
        <f t="shared" si="253"/>
        <v>0</v>
      </c>
      <c r="CC180" s="36">
        <f t="shared" si="344"/>
        <v>0</v>
      </c>
      <c r="CD180" s="8">
        <f t="shared" si="223"/>
        <v>0</v>
      </c>
      <c r="CE180" s="6">
        <f>SUMIF('Eredeti fejléccel'!$B:$B,'Felosztás eredménykim'!$B180,'Eredeti fejléccel'!$BC:$BC)</f>
        <v>0</v>
      </c>
      <c r="CF180" s="8">
        <f t="shared" si="300"/>
        <v>0</v>
      </c>
      <c r="CG180" s="6">
        <f>SUMIF('Eredeti fejléccel'!$B:$B,'Felosztás eredménykim'!$B180,'Eredeti fejléccel'!$H:$H)</f>
        <v>0</v>
      </c>
      <c r="CH180" s="6">
        <f>SUMIF('Eredeti fejléccel'!$B:$B,'Felosztás eredménykim'!$B180,'Eredeti fejléccel'!$BE:$BE)</f>
        <v>0</v>
      </c>
      <c r="CI180" s="6">
        <f t="shared" si="239"/>
        <v>0</v>
      </c>
      <c r="CJ180" s="36">
        <f t="shared" si="345"/>
        <v>0</v>
      </c>
      <c r="CK180" s="8">
        <f t="shared" si="225"/>
        <v>0</v>
      </c>
      <c r="CL180" s="8">
        <f t="shared" si="301"/>
        <v>0</v>
      </c>
      <c r="CM180" s="6">
        <f>SUMIF('Eredeti fejléccel'!$B:$B,'Felosztás eredménykim'!$B180,'Eredeti fejléccel'!$BD:$BD)</f>
        <v>0</v>
      </c>
      <c r="CN180" s="8">
        <f t="shared" si="240"/>
        <v>0</v>
      </c>
      <c r="CO180" s="8">
        <f t="shared" si="254"/>
        <v>0</v>
      </c>
      <c r="CR180" s="36">
        <f t="shared" si="226"/>
        <v>0</v>
      </c>
      <c r="CS180" s="6">
        <f>SUMIF('Eredeti fejléccel'!$B:$B,'Felosztás eredménykim'!$B180,'Eredeti fejléccel'!$I:$I)</f>
        <v>0</v>
      </c>
      <c r="CT180" s="6">
        <f>SUMIF('Eredeti fejléccel'!$B:$B,'Felosztás eredménykim'!$B180,'Eredeti fejléccel'!$BG:$BG)</f>
        <v>0</v>
      </c>
      <c r="CU180" s="6">
        <f>SUMIF('Eredeti fejléccel'!$B:$B,'Felosztás eredménykim'!$B180,'Eredeti fejléccel'!$BH:$BH)</f>
        <v>0</v>
      </c>
      <c r="CV180" s="6">
        <f>SUMIF('Eredeti fejléccel'!$B:$B,'Felosztás eredménykim'!$B180,'Eredeti fejléccel'!$BI:$BI)</f>
        <v>0</v>
      </c>
      <c r="CW180" s="6">
        <f>SUMIF('Eredeti fejléccel'!$B:$B,'Felosztás eredménykim'!$B180,'Eredeti fejléccel'!$BL:$BL)</f>
        <v>0</v>
      </c>
      <c r="CX180" s="6">
        <f t="shared" si="241"/>
        <v>0</v>
      </c>
      <c r="CY180" s="6">
        <f>SUMIF('Eredeti fejléccel'!$B:$B,'Felosztás eredménykim'!$B180,'Eredeti fejléccel'!$BJ:$BJ)</f>
        <v>0</v>
      </c>
      <c r="CZ180" s="6">
        <f>SUMIF('Eredeti fejléccel'!$B:$B,'Felosztás eredménykim'!$B180,'Eredeti fejléccel'!$BK:$BK)</f>
        <v>0</v>
      </c>
      <c r="DA180" s="99">
        <f t="shared" si="242"/>
        <v>0</v>
      </c>
      <c r="DC180" s="36">
        <f t="shared" si="227"/>
        <v>0</v>
      </c>
      <c r="DD180" s="6">
        <f>SUMIF('Eredeti fejléccel'!$B:$B,'Felosztás eredménykim'!$B180,'Eredeti fejléccel'!$J:$J)</f>
        <v>0</v>
      </c>
      <c r="DE180" s="6">
        <f>SUMIF('Eredeti fejléccel'!$B:$B,'Felosztás eredménykim'!$B180,'Eredeti fejléccel'!$BM:$BM)</f>
        <v>0</v>
      </c>
      <c r="DF180" s="6">
        <f t="shared" si="296"/>
        <v>0</v>
      </c>
      <c r="DG180" s="8">
        <f t="shared" si="255"/>
        <v>0</v>
      </c>
      <c r="DH180" s="8">
        <f t="shared" si="297"/>
        <v>0</v>
      </c>
      <c r="DJ180" s="6">
        <f>SUMIF('Eredeti fejléccel'!$B:$B,'Felosztás eredménykim'!$B180,'Eredeti fejléccel'!$BN:$BN)</f>
        <v>0</v>
      </c>
      <c r="DK180" s="6">
        <f>SUMIF('Eredeti fejléccel'!$B:$B,'Felosztás eredménykim'!$B180,'Eredeti fejléccel'!$BZ:$BZ)</f>
        <v>0</v>
      </c>
      <c r="DL180" s="8">
        <f t="shared" si="298"/>
        <v>0</v>
      </c>
      <c r="DM180" s="6">
        <f>SUMIF('Eredeti fejléccel'!$B:$B,'Felosztás eredménykim'!$B180,'Eredeti fejléccel'!$BR:$BR)</f>
        <v>0</v>
      </c>
      <c r="DN180" s="6">
        <f>SUMIF('Eredeti fejléccel'!$B:$B,'Felosztás eredménykim'!$B180,'Eredeti fejléccel'!$BS:$BS)</f>
        <v>0</v>
      </c>
      <c r="DO180" s="6">
        <f>SUMIF('Eredeti fejléccel'!$B:$B,'Felosztás eredménykim'!$B180,'Eredeti fejléccel'!$BO:$BO)</f>
        <v>0</v>
      </c>
      <c r="DP180" s="6">
        <f>SUMIF('Eredeti fejléccel'!$B:$B,'Felosztás eredménykim'!$B180,'Eredeti fejléccel'!$BP:$BP)</f>
        <v>0</v>
      </c>
      <c r="DQ180" s="6">
        <f>SUMIF('Eredeti fejléccel'!$B:$B,'Felosztás eredménykim'!$B180,'Eredeti fejléccel'!$BQ:$BQ)</f>
        <v>0</v>
      </c>
      <c r="DS180" s="8"/>
      <c r="DU180" s="6">
        <f>SUMIF('Eredeti fejléccel'!$B:$B,'Felosztás eredménykim'!$B180,'Eredeti fejléccel'!$BT:$BT)</f>
        <v>0</v>
      </c>
      <c r="DV180" s="6">
        <f>SUMIF('Eredeti fejléccel'!$B:$B,'Felosztás eredménykim'!$B180,'Eredeti fejléccel'!$BU:$BU)</f>
        <v>0</v>
      </c>
      <c r="DW180" s="6">
        <f>SUMIF('Eredeti fejléccel'!$B:$B,'Felosztás eredménykim'!$B180,'Eredeti fejléccel'!$BV:$BV)</f>
        <v>0</v>
      </c>
      <c r="DX180" s="6">
        <f>SUMIF('Eredeti fejléccel'!$B:$B,'Felosztás eredménykim'!$B180,'Eredeti fejléccel'!$BW:$BW)</f>
        <v>0</v>
      </c>
      <c r="DY180" s="6">
        <f>SUMIF('Eredeti fejléccel'!$B:$B,'Felosztás eredménykim'!$B180,'Eredeti fejléccel'!$BX:$BX)</f>
        <v>0</v>
      </c>
      <c r="EA180" s="6"/>
      <c r="EC180" s="6"/>
      <c r="EE180" s="6">
        <f>SUMIF('Eredeti fejléccel'!$B:$B,'Felosztás eredménykim'!$B180,'Eredeti fejléccel'!$CA:$CA)</f>
        <v>0</v>
      </c>
      <c r="EF180" s="6">
        <f>SUMIF('Eredeti fejléccel'!$B:$B,'Felosztás eredménykim'!$B180,'Eredeti fejléccel'!$CB:$CB)</f>
        <v>0</v>
      </c>
      <c r="EG180" s="6">
        <f>SUMIF('Eredeti fejléccel'!$B:$B,'Felosztás eredménykim'!$B180,'Eredeti fejléccel'!$CC:$CC)</f>
        <v>0</v>
      </c>
      <c r="EH180" s="6">
        <f>SUMIF('Eredeti fejléccel'!$B:$B,'Felosztás eredménykim'!$B180,'Eredeti fejléccel'!$CD:$CD)</f>
        <v>0</v>
      </c>
      <c r="EK180" s="6">
        <f>SUMIF('Eredeti fejléccel'!$B:$B,'Felosztás eredménykim'!$B180,'Eredeti fejléccel'!$CE:$CE)</f>
        <v>0</v>
      </c>
      <c r="EN180" s="6">
        <f>SUMIF('Eredeti fejléccel'!$B:$B,'Felosztás eredménykim'!$B180,'Eredeti fejléccel'!$CF:$CF)</f>
        <v>0</v>
      </c>
      <c r="EP180" s="6">
        <f>SUMIF('Eredeti fejléccel'!$B:$B,'Felosztás eredménykim'!$B180,'Eredeti fejléccel'!$CG:$CG)</f>
        <v>0</v>
      </c>
      <c r="ES180" s="6">
        <f>SUMIF('Eredeti fejléccel'!$B:$B,'Felosztás eredménykim'!$B180,'Eredeti fejléccel'!$CH:$CH)</f>
        <v>0</v>
      </c>
      <c r="ET180" s="6">
        <f>SUMIF('Eredeti fejléccel'!$B:$B,'Felosztás eredménykim'!$B180,'Eredeti fejléccel'!$CI:$CI)</f>
        <v>0</v>
      </c>
      <c r="EW180" s="8">
        <f t="shared" si="288"/>
        <v>0</v>
      </c>
      <c r="EX180" s="8">
        <f t="shared" si="243"/>
        <v>0</v>
      </c>
      <c r="EY180" s="8">
        <f t="shared" si="244"/>
        <v>0</v>
      </c>
      <c r="EZ180" s="8">
        <f t="shared" si="289"/>
        <v>0</v>
      </c>
      <c r="FA180" s="8">
        <f t="shared" si="290"/>
        <v>0</v>
      </c>
      <c r="FC180" s="6">
        <f>SUMIF('Eredeti fejléccel'!$B:$B,'Felosztás eredménykim'!$B180,'Eredeti fejléccel'!$L:$L)</f>
        <v>0</v>
      </c>
      <c r="FD180" s="6">
        <f>SUMIF('Eredeti fejléccel'!$B:$B,'Felosztás eredménykim'!$B180,'Eredeti fejléccel'!$CJ:$CJ)</f>
        <v>0</v>
      </c>
      <c r="FE180" s="6">
        <f>SUMIF('Eredeti fejléccel'!$B:$B,'Felosztás eredménykim'!$B180,'Eredeti fejléccel'!$CL:$CL)</f>
        <v>0</v>
      </c>
      <c r="FG180" s="99">
        <f t="shared" si="245"/>
        <v>0</v>
      </c>
      <c r="FH180" s="6">
        <f>SUMIF('Eredeti fejléccel'!$B:$B,'Felosztás eredménykim'!$B180,'Eredeti fejléccel'!$CK:$CK)</f>
        <v>0</v>
      </c>
      <c r="FI180" s="36">
        <f t="shared" si="346"/>
        <v>0</v>
      </c>
      <c r="FJ180" s="101">
        <f t="shared" si="229"/>
        <v>0</v>
      </c>
      <c r="FK180" s="6">
        <f>SUMIF('Eredeti fejléccel'!$B:$B,'Felosztás eredménykim'!$B180,'Eredeti fejléccel'!$CM:$CM)</f>
        <v>0</v>
      </c>
      <c r="FL180" s="6">
        <f>SUMIF('Eredeti fejléccel'!$B:$B,'Felosztás eredménykim'!$B180,'Eredeti fejléccel'!$CN:$CN)</f>
        <v>0</v>
      </c>
      <c r="FM180" s="8">
        <f t="shared" si="246"/>
        <v>0</v>
      </c>
      <c r="FN180" s="36">
        <f t="shared" si="347"/>
        <v>0</v>
      </c>
      <c r="FO180" s="101">
        <f t="shared" si="231"/>
        <v>0</v>
      </c>
      <c r="FP180" s="6">
        <f>SUMIF('Eredeti fejléccel'!$B:$B,'Felosztás eredménykim'!$B180,'Eredeti fejléccel'!$CO:$CO)</f>
        <v>0</v>
      </c>
      <c r="FQ180" s="6">
        <f>'Eredeti fejléccel'!CP180</f>
        <v>0</v>
      </c>
      <c r="FR180" s="6">
        <f>'Eredeti fejléccel'!CQ180</f>
        <v>0</v>
      </c>
      <c r="FS180" s="103">
        <f t="shared" si="247"/>
        <v>0</v>
      </c>
      <c r="FT180" s="36">
        <f t="shared" si="348"/>
        <v>0</v>
      </c>
      <c r="FU180" s="101">
        <f t="shared" si="233"/>
        <v>0</v>
      </c>
      <c r="FV180" s="101"/>
      <c r="FW180" s="6">
        <f>SUMIF('Eredeti fejléccel'!$B:$B,'Felosztás eredménykim'!$B180,'Eredeti fejléccel'!$CR:$CR)</f>
        <v>0</v>
      </c>
      <c r="FX180" s="6">
        <f>SUMIF('Eredeti fejléccel'!$B:$B,'Felosztás eredménykim'!$B180,'Eredeti fejléccel'!$CS:$CS)</f>
        <v>0</v>
      </c>
      <c r="FY180" s="6">
        <f>SUMIF('Eredeti fejléccel'!$B:$B,'Felosztás eredménykim'!$B180,'Eredeti fejléccel'!$CT:$CT)</f>
        <v>0</v>
      </c>
      <c r="FZ180" s="6">
        <f>SUMIF('Eredeti fejléccel'!$B:$B,'Felosztás eredménykim'!$B180,'Eredeti fejléccel'!$CU:$CU)</f>
        <v>0</v>
      </c>
      <c r="GA180" s="103">
        <f t="shared" si="248"/>
        <v>0</v>
      </c>
      <c r="GB180" s="36">
        <f t="shared" si="349"/>
        <v>0</v>
      </c>
      <c r="GC180" s="101">
        <f t="shared" si="235"/>
        <v>0</v>
      </c>
      <c r="GD180" s="6">
        <f>SUMIF('Eredeti fejléccel'!$B:$B,'Felosztás eredménykim'!$B180,'Eredeti fejléccel'!$CV:$CV)</f>
        <v>0</v>
      </c>
      <c r="GE180" s="6">
        <f>SUMIF('Eredeti fejléccel'!$B:$B,'Felosztás eredménykim'!$B180,'Eredeti fejléccel'!$CW:$CW)</f>
        <v>0</v>
      </c>
      <c r="GF180" s="103">
        <f t="shared" si="249"/>
        <v>0</v>
      </c>
      <c r="GG180" s="36">
        <f t="shared" si="236"/>
        <v>0</v>
      </c>
      <c r="GM180" s="6">
        <f>SUMIF('Eredeti fejléccel'!$B:$B,'Felosztás eredménykim'!$B180,'Eredeti fejléccel'!$CX:$CX)</f>
        <v>0</v>
      </c>
      <c r="GN180" s="6">
        <f>SUMIF('Eredeti fejléccel'!$B:$B,'Felosztás eredménykim'!$B180,'Eredeti fejléccel'!$CY:$CY)</f>
        <v>0</v>
      </c>
      <c r="GO180" s="6">
        <f>SUMIF('Eredeti fejléccel'!$B:$B,'Felosztás eredménykim'!$B180,'Eredeti fejléccel'!$CZ:$CZ)</f>
        <v>0</v>
      </c>
      <c r="GP180" s="6">
        <f>SUMIF('Eredeti fejléccel'!$B:$B,'Felosztás eredménykim'!$B180,'Eredeti fejléccel'!$DA:$DA)</f>
        <v>0</v>
      </c>
      <c r="GQ180" s="6">
        <f>SUMIF('Eredeti fejléccel'!$B:$B,'Felosztás eredménykim'!$B180,'Eredeti fejléccel'!$DB:$DB)</f>
        <v>0</v>
      </c>
      <c r="GR180" s="103">
        <f t="shared" si="250"/>
        <v>0</v>
      </c>
      <c r="GW180" s="36">
        <f t="shared" si="237"/>
        <v>0</v>
      </c>
      <c r="GX180" s="6">
        <f>SUMIF('Eredeti fejléccel'!$B:$B,'Felosztás eredménykim'!$B180,'Eredeti fejléccel'!$M:$M)</f>
        <v>0</v>
      </c>
      <c r="GY180" s="6">
        <f>SUMIF('Eredeti fejléccel'!$B:$B,'Felosztás eredménykim'!$B180,'Eredeti fejléccel'!$DC:$DC)</f>
        <v>0</v>
      </c>
      <c r="GZ180" s="6">
        <f>SUMIF('Eredeti fejléccel'!$B:$B,'Felosztás eredménykim'!$B180,'Eredeti fejléccel'!$DD:$DD)</f>
        <v>0</v>
      </c>
      <c r="HA180" s="6">
        <f>SUMIF('Eredeti fejléccel'!$B:$B,'Felosztás eredménykim'!$B180,'Eredeti fejléccel'!$DE:$DE)</f>
        <v>0</v>
      </c>
      <c r="HB180" s="103">
        <f t="shared" si="251"/>
        <v>0</v>
      </c>
      <c r="HD180" s="9">
        <f t="shared" si="350"/>
        <v>23567655.060000002</v>
      </c>
      <c r="HE180" s="9">
        <v>23567655.060000002</v>
      </c>
      <c r="HF180" s="476"/>
      <c r="HH180" s="34">
        <f t="shared" si="252"/>
        <v>0</v>
      </c>
    </row>
    <row r="181" spans="1:216" x14ac:dyDescent="0.25">
      <c r="A181" s="4" t="s">
        <v>1677</v>
      </c>
      <c r="B181" s="4" t="s">
        <v>1677</v>
      </c>
      <c r="C181" s="1" t="s">
        <v>1678</v>
      </c>
      <c r="D181" s="6">
        <f>SUMIF('Eredeti fejléccel'!$B:$B,'Felosztás eredménykim'!$B181,'Eredeti fejléccel'!$D:$D)</f>
        <v>0</v>
      </c>
      <c r="E181" s="6">
        <f>SUMIF('Eredeti fejléccel'!$B:$B,'Felosztás eredménykim'!$B181,'Eredeti fejléccel'!$E:$E)</f>
        <v>0</v>
      </c>
      <c r="F181" s="6">
        <f>SUMIF('Eredeti fejléccel'!$B:$B,'Felosztás eredménykim'!$B181,'Eredeti fejléccel'!$F:$F)</f>
        <v>0</v>
      </c>
      <c r="G181" s="6">
        <f>SUMIF('Eredeti fejléccel'!$B:$B,'Felosztás eredménykim'!$B181,'Eredeti fejléccel'!$G:$G)</f>
        <v>0</v>
      </c>
      <c r="H181" s="6"/>
      <c r="I181" s="6">
        <f>SUMIF('Eredeti fejléccel'!$B:$B,'Felosztás eredménykim'!$B181,'Eredeti fejléccel'!$O:$O)</f>
        <v>0</v>
      </c>
      <c r="J181" s="6">
        <f>SUMIF('Eredeti fejléccel'!$B:$B,'Felosztás eredménykim'!$B181,'Eredeti fejléccel'!$P:$P)</f>
        <v>0</v>
      </c>
      <c r="K181" s="6">
        <f>SUMIF('Eredeti fejléccel'!$B:$B,'Felosztás eredménykim'!$B181,'Eredeti fejléccel'!$Q:$Q)</f>
        <v>0</v>
      </c>
      <c r="L181" s="6">
        <f>SUMIF('Eredeti fejléccel'!$B:$B,'Felosztás eredménykim'!$B181,'Eredeti fejléccel'!$R:$R)</f>
        <v>0</v>
      </c>
      <c r="M181" s="6">
        <f>SUMIF('Eredeti fejléccel'!$B:$B,'Felosztás eredménykim'!$B181,'Eredeti fejléccel'!$T:$T)</f>
        <v>0</v>
      </c>
      <c r="N181" s="6">
        <f>SUMIF('Eredeti fejléccel'!$B:$B,'Felosztás eredménykim'!$B181,'Eredeti fejléccel'!$U:$U)</f>
        <v>0</v>
      </c>
      <c r="O181" s="6">
        <f>SUMIF('Eredeti fejléccel'!$B:$B,'Felosztás eredménykim'!$B181,'Eredeti fejléccel'!$V:$V)</f>
        <v>0</v>
      </c>
      <c r="P181" s="6">
        <f>SUMIF('Eredeti fejléccel'!$B:$B,'Felosztás eredménykim'!$B181,'Eredeti fejléccel'!$W:$W)</f>
        <v>0</v>
      </c>
      <c r="Q181" s="6">
        <f>SUMIF('Eredeti fejléccel'!$B:$B,'Felosztás eredménykim'!$B181,'Eredeti fejléccel'!$X:$X)</f>
        <v>0</v>
      </c>
      <c r="R181" s="6">
        <f>SUMIF('Eredeti fejléccel'!$B:$B,'Felosztás eredménykim'!$B181,'Eredeti fejléccel'!$Y:$Y)</f>
        <v>0</v>
      </c>
      <c r="S181" s="6">
        <f>SUMIF('Eredeti fejléccel'!$B:$B,'Felosztás eredménykim'!$B181,'Eredeti fejléccel'!$Z:$Z)</f>
        <v>0</v>
      </c>
      <c r="T181" s="6">
        <f>SUMIF('Eredeti fejléccel'!$B:$B,'Felosztás eredménykim'!$B181,'Eredeti fejléccel'!$AA:$AA)</f>
        <v>0</v>
      </c>
      <c r="U181" s="6">
        <f>SUMIF('Eredeti fejléccel'!$B:$B,'Felosztás eredménykim'!$B181,'Eredeti fejléccel'!$D:$D)</f>
        <v>0</v>
      </c>
      <c r="V181" s="6">
        <f>SUMIF('Eredeti fejléccel'!$B:$B,'Felosztás eredménykim'!$B181,'Eredeti fejléccel'!$AT:$AT)</f>
        <v>2415097</v>
      </c>
      <c r="W181" s="36">
        <f t="shared" si="302"/>
        <v>-2415097</v>
      </c>
      <c r="X181" s="36">
        <f t="shared" si="211"/>
        <v>0</v>
      </c>
      <c r="Z181" s="6">
        <f>SUMIF('Eredeti fejléccel'!$B:$B,'Felosztás eredménykim'!$B181,'Eredeti fejléccel'!$K:$K)</f>
        <v>0</v>
      </c>
      <c r="AB181" s="6">
        <f>SUMIF('Eredeti fejléccel'!$B:$B,'Felosztás eredménykim'!$B181,'Eredeti fejléccel'!$AB:$AB)</f>
        <v>0</v>
      </c>
      <c r="AC181" s="6">
        <f>SUMIF('Eredeti fejléccel'!$B:$B,'Felosztás eredménykim'!$B181,'Eredeti fejléccel'!$AQ:$AQ)</f>
        <v>0</v>
      </c>
      <c r="AE181" s="73">
        <f>SUM(Z181:AD181)</f>
        <v>0</v>
      </c>
      <c r="AF181" s="36">
        <f t="shared" si="339"/>
        <v>0</v>
      </c>
      <c r="AG181" s="8">
        <f t="shared" si="213"/>
        <v>0</v>
      </c>
      <c r="AI181" s="6">
        <f>SUMIF('Eredeti fejléccel'!$B:$B,'Felosztás eredménykim'!$B181,'Eredeti fejléccel'!$BB:$BB)</f>
        <v>0</v>
      </c>
      <c r="AJ181" s="6">
        <f>SUMIF('Eredeti fejléccel'!$B:$B,'Felosztás eredménykim'!$B181,'Eredeti fejléccel'!$AF:$AF)</f>
        <v>0</v>
      </c>
      <c r="AK181" s="8">
        <f>SUM(AG181:AJ181)</f>
        <v>0</v>
      </c>
      <c r="AL181" s="36">
        <f t="shared" si="340"/>
        <v>0</v>
      </c>
      <c r="AM181" s="8">
        <f t="shared" si="215"/>
        <v>0</v>
      </c>
      <c r="AN181" s="6">
        <f>-AO181/2</f>
        <v>0</v>
      </c>
      <c r="AO181" s="6">
        <f>SUMIF('Eredeti fejléccel'!$B:$B,'Felosztás eredménykim'!$B181,'Eredeti fejléccel'!$AC:$AC)</f>
        <v>0</v>
      </c>
      <c r="AP181" s="6">
        <f>SUMIF('Eredeti fejléccel'!$B:$B,'Felosztás eredménykim'!$B181,'Eredeti fejléccel'!$AD:$AD)</f>
        <v>0</v>
      </c>
      <c r="AQ181" s="6">
        <f>SUMIF('Eredeti fejléccel'!$B:$B,'Felosztás eredménykim'!$B181,'Eredeti fejléccel'!$AE:$AE)</f>
        <v>0</v>
      </c>
      <c r="AR181" s="6">
        <f>SUMIF('Eredeti fejléccel'!$B:$B,'Felosztás eredménykim'!$B181,'Eredeti fejléccel'!$AG:$AG)</f>
        <v>0</v>
      </c>
      <c r="AS181" s="6">
        <f>SUM(AM181:AR181)</f>
        <v>0</v>
      </c>
      <c r="AT181" s="36">
        <f t="shared" si="341"/>
        <v>0</v>
      </c>
      <c r="AU181" s="8">
        <f t="shared" si="217"/>
        <v>0</v>
      </c>
      <c r="AV181" s="6">
        <f>SUMIF('Eredeti fejléccel'!$B:$B,'Felosztás eredménykim'!$B181,'Eredeti fejléccel'!$AI:$AI)</f>
        <v>0</v>
      </c>
      <c r="AW181" s="6">
        <f>SUMIF('Eredeti fejléccel'!$B:$B,'Felosztás eredménykim'!$B181,'Eredeti fejléccel'!$AJ:$AJ)</f>
        <v>0</v>
      </c>
      <c r="AX181" s="6">
        <f>SUMIF('Eredeti fejléccel'!$B:$B,'Felosztás eredménykim'!$B181,'Eredeti fejléccel'!$AK:$AK)</f>
        <v>0</v>
      </c>
      <c r="AY181" s="6">
        <f>SUMIF('Eredeti fejléccel'!$B:$B,'Felosztás eredménykim'!$B181,'Eredeti fejléccel'!$AL:$AL)</f>
        <v>0</v>
      </c>
      <c r="AZ181" s="6">
        <f>SUMIF('Eredeti fejléccel'!$B:$B,'Felosztás eredménykim'!$B181,'Eredeti fejléccel'!$AM:$AM)</f>
        <v>0</v>
      </c>
      <c r="BA181" s="6">
        <f>SUMIF('Eredeti fejléccel'!$B:$B,'Felosztás eredménykim'!$B181,'Eredeti fejléccel'!$AN:$AN)</f>
        <v>0</v>
      </c>
      <c r="BB181" s="6">
        <f>SUMIF('Eredeti fejléccel'!$B:$B,'Felosztás eredménykim'!$B181,'Eredeti fejléccel'!$AP:$AP)</f>
        <v>0</v>
      </c>
      <c r="BD181" s="6">
        <f>SUMIF('Eredeti fejléccel'!$B:$B,'Felosztás eredménykim'!$B181,'Eredeti fejléccel'!$AS:$AS)</f>
        <v>0</v>
      </c>
      <c r="BE181" s="8">
        <f>SUM(AU181:BD181)</f>
        <v>0</v>
      </c>
      <c r="BF181" s="36">
        <f t="shared" si="342"/>
        <v>0</v>
      </c>
      <c r="BG181" s="8">
        <f t="shared" si="219"/>
        <v>0</v>
      </c>
      <c r="BH181" s="6">
        <f>AO181/2</f>
        <v>0</v>
      </c>
      <c r="BI181" s="6">
        <f>SUMIF('Eredeti fejléccel'!$B:$B,'Felosztás eredménykim'!$B181,'Eredeti fejléccel'!$AH:$AH)</f>
        <v>0</v>
      </c>
      <c r="BJ181" s="6">
        <f>SUMIF('Eredeti fejléccel'!$B:$B,'Felosztás eredménykim'!$B181,'Eredeti fejléccel'!$AO:$AO)</f>
        <v>0</v>
      </c>
      <c r="BK181" s="6">
        <f>SUMIF('Eredeti fejléccel'!$B:$B,'Felosztás eredménykim'!$B181,'Eredeti fejléccel'!$BF:$BF)</f>
        <v>0</v>
      </c>
      <c r="BL181" s="8">
        <f>SUM(BG181:BK181)</f>
        <v>0</v>
      </c>
      <c r="BM181" s="36">
        <f t="shared" si="343"/>
        <v>0</v>
      </c>
      <c r="BN181" s="8">
        <f t="shared" si="221"/>
        <v>0</v>
      </c>
      <c r="BP181" s="8">
        <f>-FV181</f>
        <v>0</v>
      </c>
      <c r="BQ181" s="6">
        <f>SUMIF('Eredeti fejléccel'!$B:$B,'Felosztás eredménykim'!$B181,'Eredeti fejléccel'!$N:$N)</f>
        <v>0</v>
      </c>
      <c r="BR181" s="6">
        <f>SUMIF('Eredeti fejléccel'!$B:$B,'Felosztás eredménykim'!$B181,'Eredeti fejléccel'!$S:$S)</f>
        <v>0</v>
      </c>
      <c r="BT181" s="6">
        <f>SUMIF('Eredeti fejléccel'!$B:$B,'Felosztás eredménykim'!$B181,'Eredeti fejléccel'!$AR:$AR)</f>
        <v>0</v>
      </c>
      <c r="BU181" s="6">
        <f>SUMIF('Eredeti fejléccel'!$B:$B,'Felosztás eredménykim'!$B181,'Eredeti fejléccel'!$AU:$AU)</f>
        <v>0</v>
      </c>
      <c r="BV181" s="6">
        <f>SUMIF('Eredeti fejléccel'!$B:$B,'Felosztás eredménykim'!$B181,'Eredeti fejléccel'!$AV:$AV)</f>
        <v>0</v>
      </c>
      <c r="BW181" s="6">
        <f>SUMIF('Eredeti fejléccel'!$B:$B,'Felosztás eredménykim'!$B181,'Eredeti fejléccel'!$AW:$AW)</f>
        <v>0</v>
      </c>
      <c r="BX181" s="6">
        <f>SUMIF('Eredeti fejléccel'!$B:$B,'Felosztás eredménykim'!$B181,'Eredeti fejléccel'!$AX:$AX)</f>
        <v>0</v>
      </c>
      <c r="BY181" s="6">
        <f>SUMIF('Eredeti fejléccel'!$B:$B,'Felosztás eredménykim'!$B181,'Eredeti fejléccel'!$AY:$AY)</f>
        <v>0</v>
      </c>
      <c r="BZ181" s="6">
        <f>SUMIF('Eredeti fejléccel'!$B:$B,'Felosztás eredménykim'!$B181,'Eredeti fejléccel'!$AZ:$AZ)</f>
        <v>0</v>
      </c>
      <c r="CA181" s="6">
        <f>SUMIF('Eredeti fejléccel'!$B:$B,'Felosztás eredménykim'!$B181,'Eredeti fejléccel'!$BA:$BA)</f>
        <v>0</v>
      </c>
      <c r="CB181" s="6">
        <f t="shared" si="253"/>
        <v>0</v>
      </c>
      <c r="CC181" s="36">
        <f t="shared" si="344"/>
        <v>0</v>
      </c>
      <c r="CD181" s="8">
        <f t="shared" si="223"/>
        <v>0</v>
      </c>
      <c r="CE181" s="6">
        <f>SUMIF('Eredeti fejléccel'!$B:$B,'Felosztás eredménykim'!$B181,'Eredeti fejléccel'!$BC:$BC)</f>
        <v>0</v>
      </c>
      <c r="CF181" s="8">
        <f>-CE181/2</f>
        <v>0</v>
      </c>
      <c r="CG181" s="6">
        <f>SUMIF('Eredeti fejléccel'!$B:$B,'Felosztás eredménykim'!$B181,'Eredeti fejléccel'!$H:$H)</f>
        <v>0</v>
      </c>
      <c r="CH181" s="6">
        <f>SUMIF('Eredeti fejléccel'!$B:$B,'Felosztás eredménykim'!$B181,'Eredeti fejléccel'!$BE:$BE)</f>
        <v>0</v>
      </c>
      <c r="CI181" s="6">
        <f>SUM(CD181:CH181)</f>
        <v>0</v>
      </c>
      <c r="CJ181" s="36">
        <f t="shared" si="345"/>
        <v>0</v>
      </c>
      <c r="CK181" s="8">
        <f t="shared" si="225"/>
        <v>0</v>
      </c>
      <c r="CL181" s="8">
        <f>CE181/2</f>
        <v>0</v>
      </c>
      <c r="CM181" s="6">
        <f>SUMIF('Eredeti fejléccel'!$B:$B,'Felosztás eredménykim'!$B181,'Eredeti fejléccel'!$BD:$BD)</f>
        <v>0</v>
      </c>
      <c r="CN181" s="8">
        <f>SUM(CK181:CM181)</f>
        <v>0</v>
      </c>
      <c r="CO181" s="8">
        <f t="shared" si="254"/>
        <v>0</v>
      </c>
      <c r="CR181" s="36">
        <f t="shared" si="226"/>
        <v>0</v>
      </c>
      <c r="CS181" s="6">
        <f>SUMIF('Eredeti fejléccel'!$B:$B,'Felosztás eredménykim'!$B181,'Eredeti fejléccel'!$I:$I)</f>
        <v>0</v>
      </c>
      <c r="CT181" s="6">
        <f>SUMIF('Eredeti fejléccel'!$B:$B,'Felosztás eredménykim'!$B181,'Eredeti fejléccel'!$BG:$BG)</f>
        <v>0</v>
      </c>
      <c r="CU181" s="6">
        <f>SUMIF('Eredeti fejléccel'!$B:$B,'Felosztás eredménykim'!$B181,'Eredeti fejléccel'!$BH:$BH)</f>
        <v>0</v>
      </c>
      <c r="CV181" s="6">
        <f>SUMIF('Eredeti fejléccel'!$B:$B,'Felosztás eredménykim'!$B181,'Eredeti fejléccel'!$BI:$BI)</f>
        <v>0</v>
      </c>
      <c r="CW181" s="6">
        <f>SUMIF('Eredeti fejléccel'!$B:$B,'Felosztás eredménykim'!$B181,'Eredeti fejléccel'!$BL:$BL)</f>
        <v>0</v>
      </c>
      <c r="CX181" s="6">
        <f>SUM(CS181:CW181)</f>
        <v>0</v>
      </c>
      <c r="CY181" s="6">
        <f>SUMIF('Eredeti fejléccel'!$B:$B,'Felosztás eredménykim'!$B181,'Eredeti fejléccel'!$BJ:$BJ)</f>
        <v>0</v>
      </c>
      <c r="CZ181" s="6">
        <f>SUMIF('Eredeti fejléccel'!$B:$B,'Felosztás eredménykim'!$B181,'Eredeti fejléccel'!$BK:$BK)</f>
        <v>0</v>
      </c>
      <c r="DA181" s="99">
        <f t="shared" si="242"/>
        <v>0</v>
      </c>
      <c r="DC181" s="36">
        <f t="shared" si="227"/>
        <v>0</v>
      </c>
      <c r="DD181" s="6">
        <f>SUMIF('Eredeti fejléccel'!$B:$B,'Felosztás eredménykim'!$B181,'Eredeti fejléccel'!$J:$J)</f>
        <v>0</v>
      </c>
      <c r="DE181" s="6">
        <f>SUMIF('Eredeti fejléccel'!$B:$B,'Felosztás eredménykim'!$B181,'Eredeti fejléccel'!$BM:$BM)</f>
        <v>0</v>
      </c>
      <c r="DF181" s="6">
        <f>-DI181</f>
        <v>0</v>
      </c>
      <c r="DG181" s="8">
        <f t="shared" si="255"/>
        <v>0</v>
      </c>
      <c r="DH181" s="8">
        <f>SUM(DD181:DG181)</f>
        <v>0</v>
      </c>
      <c r="DJ181" s="6">
        <f>SUMIF('Eredeti fejléccel'!$B:$B,'Felosztás eredménykim'!$B181,'Eredeti fejléccel'!$BN:$BN)</f>
        <v>0</v>
      </c>
      <c r="DK181" s="6">
        <f>SUMIF('Eredeti fejléccel'!$B:$B,'Felosztás eredménykim'!$B181,'Eredeti fejléccel'!$BZ:$BZ)</f>
        <v>0</v>
      </c>
      <c r="DL181" s="8">
        <f>SUM(DI181:DK181)</f>
        <v>0</v>
      </c>
      <c r="DM181" s="6">
        <f>SUMIF('Eredeti fejléccel'!$B:$B,'Felosztás eredménykim'!$B181,'Eredeti fejléccel'!$BR:$BR)</f>
        <v>0</v>
      </c>
      <c r="DN181" s="6">
        <f>SUMIF('Eredeti fejléccel'!$B:$B,'Felosztás eredménykim'!$B181,'Eredeti fejléccel'!$BS:$BS)</f>
        <v>0</v>
      </c>
      <c r="DO181" s="6">
        <f>SUMIF('Eredeti fejléccel'!$B:$B,'Felosztás eredménykim'!$B181,'Eredeti fejléccel'!$BO:$BO)</f>
        <v>0</v>
      </c>
      <c r="DP181" s="6">
        <f>SUMIF('Eredeti fejléccel'!$B:$B,'Felosztás eredménykim'!$B181,'Eredeti fejléccel'!$BP:$BP)</f>
        <v>0</v>
      </c>
      <c r="DQ181" s="6">
        <f>SUMIF('Eredeti fejléccel'!$B:$B,'Felosztás eredménykim'!$B181,'Eredeti fejléccel'!$BQ:$BQ)</f>
        <v>0</v>
      </c>
      <c r="DS181" s="8"/>
      <c r="DU181" s="6">
        <f>SUMIF('Eredeti fejléccel'!$B:$B,'Felosztás eredménykim'!$B181,'Eredeti fejléccel'!$BT:$BT)</f>
        <v>0</v>
      </c>
      <c r="DV181" s="6">
        <f>SUMIF('Eredeti fejléccel'!$B:$B,'Felosztás eredménykim'!$B181,'Eredeti fejléccel'!$BU:$BU)</f>
        <v>0</v>
      </c>
      <c r="DW181" s="6">
        <f>SUMIF('Eredeti fejléccel'!$B:$B,'Felosztás eredménykim'!$B181,'Eredeti fejléccel'!$BV:$BV)</f>
        <v>0</v>
      </c>
      <c r="DX181" s="6">
        <f>SUMIF('Eredeti fejléccel'!$B:$B,'Felosztás eredménykim'!$B181,'Eredeti fejléccel'!$BW:$BW)</f>
        <v>0</v>
      </c>
      <c r="DY181" s="6">
        <f>SUMIF('Eredeti fejléccel'!$B:$B,'Felosztás eredménykim'!$B181,'Eredeti fejléccel'!$BX:$BX)</f>
        <v>0</v>
      </c>
      <c r="EA181" s="6"/>
      <c r="EC181" s="6"/>
      <c r="EE181" s="6">
        <f>SUMIF('Eredeti fejléccel'!$B:$B,'Felosztás eredménykim'!$B181,'Eredeti fejléccel'!$CA:$CA)</f>
        <v>0</v>
      </c>
      <c r="EF181" s="6">
        <f>SUMIF('Eredeti fejléccel'!$B:$B,'Felosztás eredménykim'!$B181,'Eredeti fejléccel'!$CB:$CB)</f>
        <v>0</v>
      </c>
      <c r="EG181" s="6">
        <f>SUMIF('Eredeti fejléccel'!$B:$B,'Felosztás eredménykim'!$B181,'Eredeti fejléccel'!$CC:$CC)</f>
        <v>0</v>
      </c>
      <c r="EH181" s="6">
        <f>SUMIF('Eredeti fejléccel'!$B:$B,'Felosztás eredménykim'!$B181,'Eredeti fejléccel'!$CD:$CD)</f>
        <v>0</v>
      </c>
      <c r="EK181" s="6">
        <f>SUMIF('Eredeti fejléccel'!$B:$B,'Felosztás eredménykim'!$B181,'Eredeti fejléccel'!$CE:$CE)</f>
        <v>0</v>
      </c>
      <c r="EN181" s="6">
        <f>SUMIF('Eredeti fejléccel'!$B:$B,'Felosztás eredménykim'!$B181,'Eredeti fejléccel'!$CF:$CF)</f>
        <v>0</v>
      </c>
      <c r="EP181" s="6">
        <f>SUMIF('Eredeti fejléccel'!$B:$B,'Felosztás eredménykim'!$B181,'Eredeti fejléccel'!$CG:$CG)</f>
        <v>0</v>
      </c>
      <c r="ES181" s="6">
        <f>SUMIF('Eredeti fejléccel'!$B:$B,'Felosztás eredménykim'!$B181,'Eredeti fejléccel'!$CH:$CH)</f>
        <v>0</v>
      </c>
      <c r="ET181" s="6">
        <f>SUMIF('Eredeti fejléccel'!$B:$B,'Felosztás eredménykim'!$B181,'Eredeti fejléccel'!$CI:$CI)</f>
        <v>0</v>
      </c>
      <c r="EW181" s="8">
        <f>SUM(DR181:ED181)</f>
        <v>0</v>
      </c>
      <c r="EX181" s="8">
        <f>SUM(EE181:EV181)</f>
        <v>0</v>
      </c>
      <c r="EY181" s="8">
        <f t="shared" si="244"/>
        <v>0</v>
      </c>
      <c r="EZ181" s="8">
        <f>EY181+DL181+DM181+DN181+DO181+DP181+DQ181</f>
        <v>0</v>
      </c>
      <c r="FA181" s="8">
        <f>EZ181-DL181-DM181</f>
        <v>0</v>
      </c>
      <c r="FC181" s="6">
        <f>SUMIF('Eredeti fejléccel'!$B:$B,'Felosztás eredménykim'!$B181,'Eredeti fejléccel'!$L:$L)</f>
        <v>0</v>
      </c>
      <c r="FD181" s="6">
        <f>SUMIF('Eredeti fejléccel'!$B:$B,'Felosztás eredménykim'!$B181,'Eredeti fejléccel'!$CJ:$CJ)</f>
        <v>0</v>
      </c>
      <c r="FE181" s="6">
        <f>SUMIF('Eredeti fejléccel'!$B:$B,'Felosztás eredménykim'!$B181,'Eredeti fejléccel'!$CL:$CL)</f>
        <v>0</v>
      </c>
      <c r="FG181" s="99">
        <f>SUM(FC181:FF181)</f>
        <v>0</v>
      </c>
      <c r="FH181" s="6">
        <f>SUMIF('Eredeti fejléccel'!$B:$B,'Felosztás eredménykim'!$B181,'Eredeti fejléccel'!$CK:$CK)</f>
        <v>0</v>
      </c>
      <c r="FI181" s="36">
        <f t="shared" si="346"/>
        <v>0</v>
      </c>
      <c r="FJ181" s="101">
        <f t="shared" si="229"/>
        <v>0</v>
      </c>
      <c r="FK181" s="6">
        <f>SUMIF('Eredeti fejléccel'!$B:$B,'Felosztás eredménykim'!$B181,'Eredeti fejléccel'!$CM:$CM)</f>
        <v>0</v>
      </c>
      <c r="FL181" s="6">
        <f>SUMIF('Eredeti fejléccel'!$B:$B,'Felosztás eredménykim'!$B181,'Eredeti fejléccel'!$CN:$CN)</f>
        <v>0</v>
      </c>
      <c r="FM181" s="8">
        <f>SUM(FJ181:FL181)</f>
        <v>0</v>
      </c>
      <c r="FN181" s="36">
        <f t="shared" si="347"/>
        <v>0</v>
      </c>
      <c r="FO181" s="101">
        <f t="shared" si="231"/>
        <v>0</v>
      </c>
      <c r="FP181" s="6">
        <f>SUMIF('Eredeti fejléccel'!$B:$B,'Felosztás eredménykim'!$B181,'Eredeti fejléccel'!$CO:$CO)</f>
        <v>0</v>
      </c>
      <c r="FQ181" s="6">
        <f>'Eredeti fejléccel'!CP181</f>
        <v>0</v>
      </c>
      <c r="FR181" s="6">
        <f>'Eredeti fejléccel'!CQ181</f>
        <v>0</v>
      </c>
      <c r="FS181" s="103">
        <f t="shared" si="247"/>
        <v>0</v>
      </c>
      <c r="FT181" s="36">
        <f t="shared" si="348"/>
        <v>0</v>
      </c>
      <c r="FU181" s="101">
        <f t="shared" si="233"/>
        <v>0</v>
      </c>
      <c r="FV181" s="101"/>
      <c r="FW181" s="6">
        <f>SUMIF('Eredeti fejléccel'!$B:$B,'Felosztás eredménykim'!$B181,'Eredeti fejléccel'!$CR:$CR)</f>
        <v>0</v>
      </c>
      <c r="FX181" s="6">
        <f>SUMIF('Eredeti fejléccel'!$B:$B,'Felosztás eredménykim'!$B181,'Eredeti fejléccel'!$CS:$CS)</f>
        <v>0</v>
      </c>
      <c r="FY181" s="6">
        <f>SUMIF('Eredeti fejléccel'!$B:$B,'Felosztás eredménykim'!$B181,'Eredeti fejléccel'!$CT:$CT)</f>
        <v>0</v>
      </c>
      <c r="FZ181" s="6">
        <f>SUMIF('Eredeti fejléccel'!$B:$B,'Felosztás eredménykim'!$B181,'Eredeti fejléccel'!$CU:$CU)</f>
        <v>0</v>
      </c>
      <c r="GA181" s="103">
        <f>SUM(FU181:FZ181)</f>
        <v>0</v>
      </c>
      <c r="GB181" s="36">
        <f t="shared" si="349"/>
        <v>0</v>
      </c>
      <c r="GC181" s="101">
        <f t="shared" si="235"/>
        <v>0</v>
      </c>
      <c r="GD181" s="6">
        <f>SUMIF('Eredeti fejléccel'!$B:$B,'Felosztás eredménykim'!$B181,'Eredeti fejléccel'!$CV:$CV)</f>
        <v>0</v>
      </c>
      <c r="GE181" s="6">
        <f>SUMIF('Eredeti fejléccel'!$B:$B,'Felosztás eredménykim'!$B181,'Eredeti fejléccel'!$CW:$CW)</f>
        <v>0</v>
      </c>
      <c r="GF181" s="103">
        <f>SUM(GC181:GE181)</f>
        <v>0</v>
      </c>
      <c r="GG181" s="36">
        <f t="shared" si="236"/>
        <v>0</v>
      </c>
      <c r="GM181" s="6">
        <f>SUMIF('Eredeti fejléccel'!$B:$B,'Felosztás eredménykim'!$B181,'Eredeti fejléccel'!$CX:$CX)</f>
        <v>0</v>
      </c>
      <c r="GN181" s="6">
        <f>SUMIF('Eredeti fejléccel'!$B:$B,'Felosztás eredménykim'!$B181,'Eredeti fejléccel'!$CY:$CY)</f>
        <v>0</v>
      </c>
      <c r="GO181" s="6">
        <f>SUMIF('Eredeti fejléccel'!$B:$B,'Felosztás eredménykim'!$B181,'Eredeti fejléccel'!$CZ:$CZ)</f>
        <v>0</v>
      </c>
      <c r="GP181" s="6">
        <f>SUMIF('Eredeti fejléccel'!$B:$B,'Felosztás eredménykim'!$B181,'Eredeti fejléccel'!$DA:$DA)</f>
        <v>0</v>
      </c>
      <c r="GQ181" s="6">
        <f>SUMIF('Eredeti fejléccel'!$B:$B,'Felosztás eredménykim'!$B181,'Eredeti fejléccel'!$DB:$DB)</f>
        <v>0</v>
      </c>
      <c r="GR181" s="103">
        <f>SUM(GH181:GQ181)</f>
        <v>0</v>
      </c>
      <c r="GW181" s="36">
        <f t="shared" si="237"/>
        <v>0</v>
      </c>
      <c r="GX181" s="6">
        <f>SUMIF('Eredeti fejléccel'!$B:$B,'Felosztás eredménykim'!$B181,'Eredeti fejléccel'!$M:$M)</f>
        <v>0</v>
      </c>
      <c r="GY181" s="6">
        <f>SUMIF('Eredeti fejléccel'!$B:$B,'Felosztás eredménykim'!$B181,'Eredeti fejléccel'!$DC:$DC)</f>
        <v>0</v>
      </c>
      <c r="GZ181" s="6">
        <f>SUMIF('Eredeti fejléccel'!$B:$B,'Felosztás eredménykim'!$B181,'Eredeti fejléccel'!$DD:$DD)</f>
        <v>0</v>
      </c>
      <c r="HA181" s="6">
        <f>SUMIF('Eredeti fejléccel'!$B:$B,'Felosztás eredménykim'!$B181,'Eredeti fejléccel'!$DE:$DE)</f>
        <v>0</v>
      </c>
      <c r="HB181" s="103">
        <f>SUM(GX181:HA181)</f>
        <v>0</v>
      </c>
      <c r="HD181" s="9">
        <f t="shared" si="350"/>
        <v>2415097</v>
      </c>
      <c r="HE181" s="9">
        <v>2415097</v>
      </c>
      <c r="HF181" s="476"/>
      <c r="HH181" s="34">
        <f>+HD181-HE181</f>
        <v>0</v>
      </c>
    </row>
    <row r="182" spans="1:216" x14ac:dyDescent="0.25">
      <c r="A182" s="4" t="s">
        <v>872</v>
      </c>
      <c r="B182" s="4" t="s">
        <v>872</v>
      </c>
      <c r="D182" s="6">
        <f>SUMIF('Eredeti fejléccel'!$B:$B,'Felosztás eredménykim'!$B182,'Eredeti fejléccel'!$D:$D)</f>
        <v>0</v>
      </c>
      <c r="E182" s="6">
        <f>SUMIF('Eredeti fejléccel'!$B:$B,'Felosztás eredménykim'!$B182,'Eredeti fejléccel'!$E:$E)</f>
        <v>0</v>
      </c>
      <c r="F182" s="6">
        <f>SUMIF('Eredeti fejléccel'!$B:$B,'Felosztás eredménykim'!$B182,'Eredeti fejléccel'!$F:$F)</f>
        <v>0</v>
      </c>
      <c r="G182" s="6">
        <f>SUMIF('Eredeti fejléccel'!$B:$B,'Felosztás eredménykim'!$B182,'Eredeti fejléccel'!$G:$G)</f>
        <v>0</v>
      </c>
      <c r="H182" s="6"/>
      <c r="I182" s="6">
        <f>SUMIF('Eredeti fejléccel'!$B:$B,'Felosztás eredménykim'!$B182,'Eredeti fejléccel'!$O:$O)</f>
        <v>0</v>
      </c>
      <c r="J182" s="6">
        <f>SUMIF('Eredeti fejléccel'!$B:$B,'Felosztás eredménykim'!$B182,'Eredeti fejléccel'!$P:$P)</f>
        <v>0</v>
      </c>
      <c r="K182" s="6">
        <f>SUMIF('Eredeti fejléccel'!$B:$B,'Felosztás eredménykim'!$B182,'Eredeti fejléccel'!$Q:$Q)</f>
        <v>0</v>
      </c>
      <c r="L182" s="6">
        <f>SUMIF('Eredeti fejléccel'!$B:$B,'Felosztás eredménykim'!$B182,'Eredeti fejléccel'!$R:$R)</f>
        <v>0</v>
      </c>
      <c r="M182" s="6">
        <f>SUMIF('Eredeti fejléccel'!$B:$B,'Felosztás eredménykim'!$B182,'Eredeti fejléccel'!$T:$T)</f>
        <v>0</v>
      </c>
      <c r="N182" s="6">
        <f>SUMIF('Eredeti fejléccel'!$B:$B,'Felosztás eredménykim'!$B182,'Eredeti fejléccel'!$U:$U)</f>
        <v>0</v>
      </c>
      <c r="O182" s="6">
        <f>SUMIF('Eredeti fejléccel'!$B:$B,'Felosztás eredménykim'!$B182,'Eredeti fejléccel'!$V:$V)</f>
        <v>0</v>
      </c>
      <c r="P182" s="6">
        <f>SUMIF('Eredeti fejléccel'!$B:$B,'Felosztás eredménykim'!$B182,'Eredeti fejléccel'!$W:$W)</f>
        <v>0</v>
      </c>
      <c r="Q182" s="6">
        <f>SUMIF('Eredeti fejléccel'!$B:$B,'Felosztás eredménykim'!$B182,'Eredeti fejléccel'!$X:$X)</f>
        <v>0</v>
      </c>
      <c r="R182" s="6">
        <f>SUMIF('Eredeti fejléccel'!$B:$B,'Felosztás eredménykim'!$B182,'Eredeti fejléccel'!$Y:$Y)</f>
        <v>0</v>
      </c>
      <c r="S182" s="6">
        <f>SUMIF('Eredeti fejléccel'!$B:$B,'Felosztás eredménykim'!$B182,'Eredeti fejléccel'!$Z:$Z)</f>
        <v>0</v>
      </c>
      <c r="T182" s="6">
        <f>SUMIF('Eredeti fejléccel'!$B:$B,'Felosztás eredménykim'!$B182,'Eredeti fejléccel'!$AA:$AA)</f>
        <v>0</v>
      </c>
      <c r="U182" s="6">
        <f>SUMIF('Eredeti fejléccel'!$B:$B,'Felosztás eredménykim'!$B182,'Eredeti fejléccel'!$D:$D)</f>
        <v>0</v>
      </c>
      <c r="V182" s="6">
        <f>SUMIF('Eredeti fejléccel'!$B:$B,'Felosztás eredménykim'!$B182,'Eredeti fejléccel'!$AT:$AT)</f>
        <v>155875352.26999998</v>
      </c>
      <c r="W182" s="36">
        <f t="shared" si="302"/>
        <v>-155875352.26999998</v>
      </c>
      <c r="X182" s="36">
        <f t="shared" si="211"/>
        <v>0</v>
      </c>
      <c r="Z182" s="6">
        <f>SUMIF('Eredeti fejléccel'!$B:$B,'Felosztás eredménykim'!$B182,'Eredeti fejléccel'!$K:$K)</f>
        <v>0</v>
      </c>
      <c r="AB182" s="6">
        <f>SUMIF('Eredeti fejléccel'!$B:$B,'Felosztás eredménykim'!$B182,'Eredeti fejléccel'!$AB:$AB)</f>
        <v>0</v>
      </c>
      <c r="AC182" s="6">
        <f>SUMIF('Eredeti fejléccel'!$B:$B,'Felosztás eredménykim'!$B182,'Eredeti fejléccel'!$AQ:$AQ)</f>
        <v>0</v>
      </c>
      <c r="AE182" s="73">
        <f t="shared" si="299"/>
        <v>0</v>
      </c>
      <c r="AF182" s="36">
        <f t="shared" si="339"/>
        <v>0</v>
      </c>
      <c r="AG182" s="8">
        <f t="shared" si="213"/>
        <v>0</v>
      </c>
      <c r="AI182" s="6">
        <f>SUMIF('Eredeti fejléccel'!$B:$B,'Felosztás eredménykim'!$B182,'Eredeti fejléccel'!$BB:$BB)</f>
        <v>0</v>
      </c>
      <c r="AJ182" s="6">
        <f>SUMIF('Eredeti fejléccel'!$B:$B,'Felosztás eredménykim'!$B182,'Eredeti fejléccel'!$AF:$AF)</f>
        <v>0</v>
      </c>
      <c r="AK182" s="8">
        <f t="shared" si="177"/>
        <v>0</v>
      </c>
      <c r="AL182" s="36">
        <f t="shared" si="340"/>
        <v>0</v>
      </c>
      <c r="AM182" s="8">
        <f t="shared" si="215"/>
        <v>0</v>
      </c>
      <c r="AN182" s="6">
        <f t="shared" si="291"/>
        <v>0</v>
      </c>
      <c r="AO182" s="6">
        <f>SUMIF('Eredeti fejléccel'!$B:$B,'Felosztás eredménykim'!$B182,'Eredeti fejléccel'!$AC:$AC)</f>
        <v>0</v>
      </c>
      <c r="AP182" s="6">
        <f>SUMIF('Eredeti fejléccel'!$B:$B,'Felosztás eredménykim'!$B182,'Eredeti fejléccel'!$AD:$AD)</f>
        <v>0</v>
      </c>
      <c r="AQ182" s="6">
        <f>SUMIF('Eredeti fejléccel'!$B:$B,'Felosztás eredménykim'!$B182,'Eredeti fejléccel'!$AE:$AE)</f>
        <v>0</v>
      </c>
      <c r="AR182" s="6">
        <f>SUMIF('Eredeti fejléccel'!$B:$B,'Felosztás eredménykim'!$B182,'Eredeti fejléccel'!$AG:$AG)</f>
        <v>0</v>
      </c>
      <c r="AS182" s="6">
        <f t="shared" si="292"/>
        <v>0</v>
      </c>
      <c r="AT182" s="36">
        <f t="shared" si="341"/>
        <v>0</v>
      </c>
      <c r="AU182" s="8">
        <f t="shared" si="217"/>
        <v>0</v>
      </c>
      <c r="AV182" s="6">
        <f>SUMIF('Eredeti fejléccel'!$B:$B,'Felosztás eredménykim'!$B182,'Eredeti fejléccel'!$AI:$AI)</f>
        <v>0</v>
      </c>
      <c r="AW182" s="6">
        <f>SUMIF('Eredeti fejléccel'!$B:$B,'Felosztás eredménykim'!$B182,'Eredeti fejléccel'!$AJ:$AJ)</f>
        <v>0</v>
      </c>
      <c r="AX182" s="6">
        <f>SUMIF('Eredeti fejléccel'!$B:$B,'Felosztás eredménykim'!$B182,'Eredeti fejléccel'!$AK:$AK)</f>
        <v>0</v>
      </c>
      <c r="AY182" s="6">
        <f>SUMIF('Eredeti fejléccel'!$B:$B,'Felosztás eredménykim'!$B182,'Eredeti fejléccel'!$AL:$AL)</f>
        <v>0</v>
      </c>
      <c r="AZ182" s="6">
        <f>SUMIF('Eredeti fejléccel'!$B:$B,'Felosztás eredménykim'!$B182,'Eredeti fejléccel'!$AM:$AM)</f>
        <v>0</v>
      </c>
      <c r="BA182" s="6">
        <f>SUMIF('Eredeti fejléccel'!$B:$B,'Felosztás eredménykim'!$B182,'Eredeti fejléccel'!$AN:$AN)</f>
        <v>0</v>
      </c>
      <c r="BB182" s="6">
        <f>SUMIF('Eredeti fejléccel'!$B:$B,'Felosztás eredménykim'!$B182,'Eredeti fejléccel'!$AP:$AP)</f>
        <v>0</v>
      </c>
      <c r="BD182" s="6">
        <f>SUMIF('Eredeti fejléccel'!$B:$B,'Felosztás eredménykim'!$B182,'Eredeti fejléccel'!$AS:$AS)</f>
        <v>0</v>
      </c>
      <c r="BE182" s="8">
        <f t="shared" si="238"/>
        <v>0</v>
      </c>
      <c r="BF182" s="36">
        <f t="shared" si="342"/>
        <v>0</v>
      </c>
      <c r="BG182" s="8">
        <f t="shared" si="219"/>
        <v>0</v>
      </c>
      <c r="BH182" s="6">
        <f t="shared" si="293"/>
        <v>0</v>
      </c>
      <c r="BI182" s="6">
        <f>SUMIF('Eredeti fejléccel'!$B:$B,'Felosztás eredménykim'!$B182,'Eredeti fejléccel'!$AH:$AH)</f>
        <v>0</v>
      </c>
      <c r="BJ182" s="6">
        <f>SUMIF('Eredeti fejléccel'!$B:$B,'Felosztás eredménykim'!$B182,'Eredeti fejléccel'!$AO:$AO)</f>
        <v>0</v>
      </c>
      <c r="BK182" s="6">
        <f>SUMIF('Eredeti fejléccel'!$B:$B,'Felosztás eredménykim'!$B182,'Eredeti fejléccel'!$BF:$BF)</f>
        <v>0</v>
      </c>
      <c r="BL182" s="8">
        <f t="shared" si="294"/>
        <v>0</v>
      </c>
      <c r="BM182" s="36">
        <f t="shared" si="343"/>
        <v>0</v>
      </c>
      <c r="BN182" s="8">
        <f t="shared" si="221"/>
        <v>0</v>
      </c>
      <c r="BP182" s="8">
        <f t="shared" si="295"/>
        <v>0</v>
      </c>
      <c r="BQ182" s="6">
        <f>SUMIF('Eredeti fejléccel'!$B:$B,'Felosztás eredménykim'!$B182,'Eredeti fejléccel'!$N:$N)</f>
        <v>0</v>
      </c>
      <c r="BR182" s="6">
        <f>SUMIF('Eredeti fejléccel'!$B:$B,'Felosztás eredménykim'!$B182,'Eredeti fejléccel'!$S:$S)</f>
        <v>0</v>
      </c>
      <c r="BT182" s="6">
        <f>SUMIF('Eredeti fejléccel'!$B:$B,'Felosztás eredménykim'!$B182,'Eredeti fejléccel'!$AR:$AR)</f>
        <v>0</v>
      </c>
      <c r="BU182" s="6">
        <f>SUMIF('Eredeti fejléccel'!$B:$B,'Felosztás eredménykim'!$B182,'Eredeti fejléccel'!$AU:$AU)</f>
        <v>0</v>
      </c>
      <c r="BV182" s="6">
        <f>SUMIF('Eredeti fejléccel'!$B:$B,'Felosztás eredménykim'!$B182,'Eredeti fejléccel'!$AV:$AV)</f>
        <v>0</v>
      </c>
      <c r="BW182" s="6">
        <f>SUMIF('Eredeti fejléccel'!$B:$B,'Felosztás eredménykim'!$B182,'Eredeti fejléccel'!$AW:$AW)</f>
        <v>0</v>
      </c>
      <c r="BX182" s="6">
        <f>SUMIF('Eredeti fejléccel'!$B:$B,'Felosztás eredménykim'!$B182,'Eredeti fejléccel'!$AX:$AX)</f>
        <v>0</v>
      </c>
      <c r="BY182" s="6">
        <f>SUMIF('Eredeti fejléccel'!$B:$B,'Felosztás eredménykim'!$B182,'Eredeti fejléccel'!$AY:$AY)</f>
        <v>0</v>
      </c>
      <c r="BZ182" s="6">
        <f>SUMIF('Eredeti fejléccel'!$B:$B,'Felosztás eredménykim'!$B182,'Eredeti fejléccel'!$AZ:$AZ)</f>
        <v>0</v>
      </c>
      <c r="CA182" s="6">
        <f>SUMIF('Eredeti fejléccel'!$B:$B,'Felosztás eredménykim'!$B182,'Eredeti fejléccel'!$BA:$BA)</f>
        <v>0</v>
      </c>
      <c r="CB182" s="6">
        <f t="shared" si="253"/>
        <v>0</v>
      </c>
      <c r="CC182" s="36">
        <f t="shared" si="344"/>
        <v>0</v>
      </c>
      <c r="CD182" s="8">
        <f t="shared" si="223"/>
        <v>0</v>
      </c>
      <c r="CE182" s="6">
        <f>SUMIF('Eredeti fejléccel'!$B:$B,'Felosztás eredménykim'!$B182,'Eredeti fejléccel'!$BC:$BC)</f>
        <v>0</v>
      </c>
      <c r="CF182" s="8">
        <f t="shared" si="300"/>
        <v>0</v>
      </c>
      <c r="CG182" s="6">
        <f>SUMIF('Eredeti fejléccel'!$B:$B,'Felosztás eredménykim'!$B182,'Eredeti fejléccel'!$H:$H)</f>
        <v>0</v>
      </c>
      <c r="CH182" s="6">
        <f>SUMIF('Eredeti fejléccel'!$B:$B,'Felosztás eredménykim'!$B182,'Eredeti fejléccel'!$BE:$BE)</f>
        <v>0</v>
      </c>
      <c r="CI182" s="6">
        <f t="shared" si="239"/>
        <v>0</v>
      </c>
      <c r="CJ182" s="36">
        <f t="shared" si="345"/>
        <v>0</v>
      </c>
      <c r="CK182" s="8">
        <f t="shared" si="225"/>
        <v>0</v>
      </c>
      <c r="CL182" s="8">
        <f t="shared" si="301"/>
        <v>0</v>
      </c>
      <c r="CM182" s="6">
        <f>SUMIF('Eredeti fejléccel'!$B:$B,'Felosztás eredménykim'!$B182,'Eredeti fejléccel'!$BD:$BD)</f>
        <v>0</v>
      </c>
      <c r="CN182" s="8">
        <f t="shared" si="240"/>
        <v>0</v>
      </c>
      <c r="CO182" s="8">
        <f t="shared" si="254"/>
        <v>0</v>
      </c>
      <c r="CR182" s="36">
        <f t="shared" si="226"/>
        <v>0</v>
      </c>
      <c r="CS182" s="6">
        <f>SUMIF('Eredeti fejléccel'!$B:$B,'Felosztás eredménykim'!$B182,'Eredeti fejléccel'!$I:$I)</f>
        <v>0</v>
      </c>
      <c r="CT182" s="6">
        <f>SUMIF('Eredeti fejléccel'!$B:$B,'Felosztás eredménykim'!$B182,'Eredeti fejléccel'!$BG:$BG)</f>
        <v>0</v>
      </c>
      <c r="CU182" s="6">
        <f>SUMIF('Eredeti fejléccel'!$B:$B,'Felosztás eredménykim'!$B182,'Eredeti fejléccel'!$BH:$BH)</f>
        <v>0</v>
      </c>
      <c r="CV182" s="6">
        <f>SUMIF('Eredeti fejléccel'!$B:$B,'Felosztás eredménykim'!$B182,'Eredeti fejléccel'!$BI:$BI)</f>
        <v>0</v>
      </c>
      <c r="CW182" s="6">
        <f>SUMIF('Eredeti fejléccel'!$B:$B,'Felosztás eredménykim'!$B182,'Eredeti fejléccel'!$BL:$BL)</f>
        <v>0</v>
      </c>
      <c r="CX182" s="6">
        <f t="shared" si="241"/>
        <v>0</v>
      </c>
      <c r="CY182" s="6">
        <f>SUMIF('Eredeti fejléccel'!$B:$B,'Felosztás eredménykim'!$B182,'Eredeti fejléccel'!$BJ:$BJ)</f>
        <v>0</v>
      </c>
      <c r="CZ182" s="6">
        <f>SUMIF('Eredeti fejléccel'!$B:$B,'Felosztás eredménykim'!$B182,'Eredeti fejléccel'!$BK:$BK)</f>
        <v>0</v>
      </c>
      <c r="DA182" s="99">
        <f t="shared" si="242"/>
        <v>0</v>
      </c>
      <c r="DC182" s="36">
        <f t="shared" si="227"/>
        <v>0</v>
      </c>
      <c r="DD182" s="6">
        <f>SUMIF('Eredeti fejléccel'!$B:$B,'Felosztás eredménykim'!$B182,'Eredeti fejléccel'!$J:$J)</f>
        <v>0</v>
      </c>
      <c r="DE182" s="6">
        <f>SUMIF('Eredeti fejléccel'!$B:$B,'Felosztás eredménykim'!$B182,'Eredeti fejléccel'!$BM:$BM)</f>
        <v>0</v>
      </c>
      <c r="DF182" s="6">
        <f t="shared" si="296"/>
        <v>0</v>
      </c>
      <c r="DG182" s="8">
        <f t="shared" si="255"/>
        <v>0</v>
      </c>
      <c r="DH182" s="8">
        <f t="shared" si="297"/>
        <v>0</v>
      </c>
      <c r="DJ182" s="6">
        <f>SUMIF('Eredeti fejléccel'!$B:$B,'Felosztás eredménykim'!$B182,'Eredeti fejléccel'!$BN:$BN)</f>
        <v>0</v>
      </c>
      <c r="DK182" s="6">
        <f>SUMIF('Eredeti fejléccel'!$B:$B,'Felosztás eredménykim'!$B182,'Eredeti fejléccel'!$BZ:$BZ)</f>
        <v>0</v>
      </c>
      <c r="DL182" s="8">
        <f t="shared" si="298"/>
        <v>0</v>
      </c>
      <c r="DM182" s="6">
        <f>SUMIF('Eredeti fejléccel'!$B:$B,'Felosztás eredménykim'!$B182,'Eredeti fejléccel'!$BR:$BR)</f>
        <v>0</v>
      </c>
      <c r="DN182" s="6">
        <f>SUMIF('Eredeti fejléccel'!$B:$B,'Felosztás eredménykim'!$B182,'Eredeti fejléccel'!$BS:$BS)</f>
        <v>0</v>
      </c>
      <c r="DO182" s="6">
        <f>SUMIF('Eredeti fejléccel'!$B:$B,'Felosztás eredménykim'!$B182,'Eredeti fejléccel'!$BO:$BO)</f>
        <v>0</v>
      </c>
      <c r="DP182" s="6">
        <f>SUMIF('Eredeti fejléccel'!$B:$B,'Felosztás eredménykim'!$B182,'Eredeti fejléccel'!$BP:$BP)</f>
        <v>0</v>
      </c>
      <c r="DQ182" s="6">
        <f>SUMIF('Eredeti fejléccel'!$B:$B,'Felosztás eredménykim'!$B182,'Eredeti fejléccel'!$BQ:$BQ)</f>
        <v>0</v>
      </c>
      <c r="DS182" s="8"/>
      <c r="DU182" s="6">
        <f>SUMIF('Eredeti fejléccel'!$B:$B,'Felosztás eredménykim'!$B182,'Eredeti fejléccel'!$BT:$BT)</f>
        <v>0</v>
      </c>
      <c r="DV182" s="6">
        <f>SUMIF('Eredeti fejléccel'!$B:$B,'Felosztás eredménykim'!$B182,'Eredeti fejléccel'!$BU:$BU)</f>
        <v>0</v>
      </c>
      <c r="DW182" s="6">
        <f>SUMIF('Eredeti fejléccel'!$B:$B,'Felosztás eredménykim'!$B182,'Eredeti fejléccel'!$BV:$BV)</f>
        <v>0</v>
      </c>
      <c r="DX182" s="6">
        <f>SUMIF('Eredeti fejléccel'!$B:$B,'Felosztás eredménykim'!$B182,'Eredeti fejléccel'!$BW:$BW)</f>
        <v>0</v>
      </c>
      <c r="DY182" s="6">
        <f>SUMIF('Eredeti fejléccel'!$B:$B,'Felosztás eredménykim'!$B182,'Eredeti fejléccel'!$BX:$BX)</f>
        <v>0</v>
      </c>
      <c r="EA182" s="6"/>
      <c r="EC182" s="6"/>
      <c r="EE182" s="6">
        <f>SUMIF('Eredeti fejléccel'!$B:$B,'Felosztás eredménykim'!$B182,'Eredeti fejléccel'!$CA:$CA)</f>
        <v>0</v>
      </c>
      <c r="EF182" s="6">
        <f>SUMIF('Eredeti fejléccel'!$B:$B,'Felosztás eredménykim'!$B182,'Eredeti fejléccel'!$CB:$CB)</f>
        <v>0</v>
      </c>
      <c r="EG182" s="6">
        <f>SUMIF('Eredeti fejléccel'!$B:$B,'Felosztás eredménykim'!$B182,'Eredeti fejléccel'!$CC:$CC)</f>
        <v>0</v>
      </c>
      <c r="EH182" s="6">
        <f>SUMIF('Eredeti fejléccel'!$B:$B,'Felosztás eredménykim'!$B182,'Eredeti fejléccel'!$CD:$CD)</f>
        <v>0</v>
      </c>
      <c r="EK182" s="6">
        <f>SUMIF('Eredeti fejléccel'!$B:$B,'Felosztás eredménykim'!$B182,'Eredeti fejléccel'!$CE:$CE)</f>
        <v>0</v>
      </c>
      <c r="EN182" s="6">
        <f>SUMIF('Eredeti fejléccel'!$B:$B,'Felosztás eredménykim'!$B182,'Eredeti fejléccel'!$CF:$CF)</f>
        <v>0</v>
      </c>
      <c r="EP182" s="6">
        <f>SUMIF('Eredeti fejléccel'!$B:$B,'Felosztás eredménykim'!$B182,'Eredeti fejléccel'!$CG:$CG)</f>
        <v>0</v>
      </c>
      <c r="ES182" s="6">
        <f>SUMIF('Eredeti fejléccel'!$B:$B,'Felosztás eredménykim'!$B182,'Eredeti fejléccel'!$CH:$CH)</f>
        <v>0</v>
      </c>
      <c r="ET182" s="6">
        <f>SUMIF('Eredeti fejléccel'!$B:$B,'Felosztás eredménykim'!$B182,'Eredeti fejléccel'!$CI:$CI)</f>
        <v>0</v>
      </c>
      <c r="EW182" s="8">
        <f t="shared" si="288"/>
        <v>0</v>
      </c>
      <c r="EX182" s="8">
        <f t="shared" si="243"/>
        <v>0</v>
      </c>
      <c r="EY182" s="8">
        <f t="shared" si="244"/>
        <v>0</v>
      </c>
      <c r="EZ182" s="8">
        <f t="shared" si="289"/>
        <v>0</v>
      </c>
      <c r="FA182" s="8">
        <f t="shared" si="290"/>
        <v>0</v>
      </c>
      <c r="FC182" s="6">
        <f>SUMIF('Eredeti fejléccel'!$B:$B,'Felosztás eredménykim'!$B182,'Eredeti fejléccel'!$L:$L)</f>
        <v>0</v>
      </c>
      <c r="FD182" s="6">
        <f>SUMIF('Eredeti fejléccel'!$B:$B,'Felosztás eredménykim'!$B182,'Eredeti fejléccel'!$CJ:$CJ)</f>
        <v>0</v>
      </c>
      <c r="FE182" s="6">
        <f>SUMIF('Eredeti fejléccel'!$B:$B,'Felosztás eredménykim'!$B182,'Eredeti fejléccel'!$CL:$CL)</f>
        <v>0</v>
      </c>
      <c r="FG182" s="99">
        <f t="shared" si="245"/>
        <v>0</v>
      </c>
      <c r="FH182" s="6">
        <f>SUMIF('Eredeti fejléccel'!$B:$B,'Felosztás eredménykim'!$B182,'Eredeti fejléccel'!$CK:$CK)</f>
        <v>0</v>
      </c>
      <c r="FI182" s="36">
        <f t="shared" si="346"/>
        <v>0</v>
      </c>
      <c r="FJ182" s="101">
        <f t="shared" si="229"/>
        <v>0</v>
      </c>
      <c r="FK182" s="6">
        <f>SUMIF('Eredeti fejléccel'!$B:$B,'Felosztás eredménykim'!$B182,'Eredeti fejléccel'!$CM:$CM)</f>
        <v>0</v>
      </c>
      <c r="FL182" s="6">
        <f>SUMIF('Eredeti fejléccel'!$B:$B,'Felosztás eredménykim'!$B182,'Eredeti fejléccel'!$CN:$CN)</f>
        <v>0</v>
      </c>
      <c r="FM182" s="8">
        <f t="shared" si="246"/>
        <v>0</v>
      </c>
      <c r="FN182" s="36">
        <f t="shared" si="347"/>
        <v>0</v>
      </c>
      <c r="FO182" s="101">
        <f t="shared" si="231"/>
        <v>0</v>
      </c>
      <c r="FP182" s="6">
        <f>SUMIF('Eredeti fejléccel'!$B:$B,'Felosztás eredménykim'!$B182,'Eredeti fejléccel'!$CO:$CO)</f>
        <v>0</v>
      </c>
      <c r="FQ182" s="6">
        <f>'Eredeti fejléccel'!CP182</f>
        <v>0</v>
      </c>
      <c r="FR182" s="6">
        <f>'Eredeti fejléccel'!CQ182</f>
        <v>0</v>
      </c>
      <c r="FS182" s="103">
        <f t="shared" si="247"/>
        <v>0</v>
      </c>
      <c r="FT182" s="36">
        <f t="shared" si="348"/>
        <v>0</v>
      </c>
      <c r="FU182" s="101">
        <f t="shared" si="233"/>
        <v>0</v>
      </c>
      <c r="FV182" s="101"/>
      <c r="FW182" s="6">
        <f>SUMIF('Eredeti fejléccel'!$B:$B,'Felosztás eredménykim'!$B182,'Eredeti fejléccel'!$CR:$CR)</f>
        <v>0</v>
      </c>
      <c r="FX182" s="6">
        <f>SUMIF('Eredeti fejléccel'!$B:$B,'Felosztás eredménykim'!$B182,'Eredeti fejléccel'!$CS:$CS)</f>
        <v>0</v>
      </c>
      <c r="FY182" s="6">
        <f>SUMIF('Eredeti fejléccel'!$B:$B,'Felosztás eredménykim'!$B182,'Eredeti fejléccel'!$CT:$CT)</f>
        <v>0</v>
      </c>
      <c r="FZ182" s="6">
        <f>SUMIF('Eredeti fejléccel'!$B:$B,'Felosztás eredménykim'!$B182,'Eredeti fejléccel'!$CU:$CU)</f>
        <v>0</v>
      </c>
      <c r="GA182" s="103">
        <f t="shared" si="248"/>
        <v>0</v>
      </c>
      <c r="GB182" s="36">
        <f t="shared" si="349"/>
        <v>0</v>
      </c>
      <c r="GC182" s="101">
        <f t="shared" si="235"/>
        <v>0</v>
      </c>
      <c r="GD182" s="6">
        <f>SUMIF('Eredeti fejléccel'!$B:$B,'Felosztás eredménykim'!$B182,'Eredeti fejléccel'!$CV:$CV)</f>
        <v>0</v>
      </c>
      <c r="GE182" s="6">
        <f>SUMIF('Eredeti fejléccel'!$B:$B,'Felosztás eredménykim'!$B182,'Eredeti fejléccel'!$CW:$CW)</f>
        <v>0</v>
      </c>
      <c r="GF182" s="103">
        <f t="shared" si="249"/>
        <v>0</v>
      </c>
      <c r="GG182" s="36">
        <f t="shared" si="236"/>
        <v>0</v>
      </c>
      <c r="GM182" s="6">
        <f>SUMIF('Eredeti fejléccel'!$B:$B,'Felosztás eredménykim'!$B182,'Eredeti fejléccel'!$CX:$CX)</f>
        <v>0</v>
      </c>
      <c r="GN182" s="6">
        <f>SUMIF('Eredeti fejléccel'!$B:$B,'Felosztás eredménykim'!$B182,'Eredeti fejléccel'!$CY:$CY)</f>
        <v>0</v>
      </c>
      <c r="GO182" s="6">
        <f>SUMIF('Eredeti fejléccel'!$B:$B,'Felosztás eredménykim'!$B182,'Eredeti fejléccel'!$CZ:$CZ)</f>
        <v>0</v>
      </c>
      <c r="GP182" s="6">
        <f>SUMIF('Eredeti fejléccel'!$B:$B,'Felosztás eredménykim'!$B182,'Eredeti fejléccel'!$DA:$DA)</f>
        <v>0</v>
      </c>
      <c r="GQ182" s="6">
        <f>SUMIF('Eredeti fejléccel'!$B:$B,'Felosztás eredménykim'!$B182,'Eredeti fejléccel'!$DB:$DB)</f>
        <v>0</v>
      </c>
      <c r="GR182" s="103">
        <f t="shared" si="250"/>
        <v>0</v>
      </c>
      <c r="GW182" s="36">
        <f t="shared" si="237"/>
        <v>0</v>
      </c>
      <c r="GX182" s="6">
        <f>SUMIF('Eredeti fejléccel'!$B:$B,'Felosztás eredménykim'!$B182,'Eredeti fejléccel'!$M:$M)</f>
        <v>0</v>
      </c>
      <c r="GY182" s="6">
        <f>SUMIF('Eredeti fejléccel'!$B:$B,'Felosztás eredménykim'!$B182,'Eredeti fejléccel'!$DC:$DC)</f>
        <v>0</v>
      </c>
      <c r="GZ182" s="6">
        <f>SUMIF('Eredeti fejléccel'!$B:$B,'Felosztás eredménykim'!$B182,'Eredeti fejléccel'!$DD:$DD)</f>
        <v>0</v>
      </c>
      <c r="HA182" s="6">
        <f>SUMIF('Eredeti fejléccel'!$B:$B,'Felosztás eredménykim'!$B182,'Eredeti fejléccel'!$DE:$DE)</f>
        <v>0</v>
      </c>
      <c r="HB182" s="103">
        <f t="shared" si="251"/>
        <v>0</v>
      </c>
      <c r="HD182" s="9">
        <f t="shared" si="350"/>
        <v>155875352.26999998</v>
      </c>
      <c r="HE182" s="9">
        <v>155875352.26999998</v>
      </c>
      <c r="HF182" s="476"/>
      <c r="HH182" s="34">
        <f t="shared" si="252"/>
        <v>0</v>
      </c>
    </row>
    <row r="183" spans="1:216" x14ac:dyDescent="0.25">
      <c r="A183" s="4" t="s">
        <v>873</v>
      </c>
      <c r="B183" s="4" t="s">
        <v>873</v>
      </c>
      <c r="D183" s="6">
        <f>SUMIF('Eredeti fejléccel'!$B:$B,'Felosztás eredménykim'!$B183,'Eredeti fejléccel'!$D:$D)</f>
        <v>0</v>
      </c>
      <c r="E183" s="6">
        <f>SUMIF('Eredeti fejléccel'!$B:$B,'Felosztás eredménykim'!$B183,'Eredeti fejléccel'!$E:$E)</f>
        <v>0</v>
      </c>
      <c r="F183" s="6">
        <f>SUMIF('Eredeti fejléccel'!$B:$B,'Felosztás eredménykim'!$B183,'Eredeti fejléccel'!$F:$F)</f>
        <v>0</v>
      </c>
      <c r="G183" s="6">
        <f>SUMIF('Eredeti fejléccel'!$B:$B,'Felosztás eredménykim'!$B183,'Eredeti fejléccel'!$G:$G)</f>
        <v>0</v>
      </c>
      <c r="H183" s="6"/>
      <c r="I183" s="6">
        <f>SUMIF('Eredeti fejléccel'!$B:$B,'Felosztás eredménykim'!$B183,'Eredeti fejléccel'!$O:$O)</f>
        <v>0</v>
      </c>
      <c r="J183" s="6">
        <f>SUMIF('Eredeti fejléccel'!$B:$B,'Felosztás eredménykim'!$B183,'Eredeti fejléccel'!$P:$P)</f>
        <v>0</v>
      </c>
      <c r="K183" s="6">
        <f>SUMIF('Eredeti fejléccel'!$B:$B,'Felosztás eredménykim'!$B183,'Eredeti fejléccel'!$Q:$Q)</f>
        <v>0</v>
      </c>
      <c r="L183" s="6">
        <f>SUMIF('Eredeti fejléccel'!$B:$B,'Felosztás eredménykim'!$B183,'Eredeti fejléccel'!$R:$R)</f>
        <v>0</v>
      </c>
      <c r="M183" s="6">
        <f>SUMIF('Eredeti fejléccel'!$B:$B,'Felosztás eredménykim'!$B183,'Eredeti fejléccel'!$T:$T)</f>
        <v>0</v>
      </c>
      <c r="N183" s="6">
        <f>SUMIF('Eredeti fejléccel'!$B:$B,'Felosztás eredménykim'!$B183,'Eredeti fejléccel'!$U:$U)</f>
        <v>0</v>
      </c>
      <c r="O183" s="6">
        <f>SUMIF('Eredeti fejléccel'!$B:$B,'Felosztás eredménykim'!$B183,'Eredeti fejléccel'!$V:$V)</f>
        <v>0</v>
      </c>
      <c r="P183" s="6">
        <f>SUMIF('Eredeti fejléccel'!$B:$B,'Felosztás eredménykim'!$B183,'Eredeti fejléccel'!$W:$W)</f>
        <v>0</v>
      </c>
      <c r="Q183" s="6">
        <f>SUMIF('Eredeti fejléccel'!$B:$B,'Felosztás eredménykim'!$B183,'Eredeti fejléccel'!$X:$X)</f>
        <v>0</v>
      </c>
      <c r="R183" s="6">
        <f>SUMIF('Eredeti fejléccel'!$B:$B,'Felosztás eredménykim'!$B183,'Eredeti fejléccel'!$Y:$Y)</f>
        <v>0</v>
      </c>
      <c r="S183" s="6">
        <f>SUMIF('Eredeti fejléccel'!$B:$B,'Felosztás eredménykim'!$B183,'Eredeti fejléccel'!$Z:$Z)</f>
        <v>0</v>
      </c>
      <c r="T183" s="6">
        <f>SUMIF('Eredeti fejléccel'!$B:$B,'Felosztás eredménykim'!$B183,'Eredeti fejléccel'!$AA:$AA)</f>
        <v>0</v>
      </c>
      <c r="U183" s="6">
        <f>SUMIF('Eredeti fejléccel'!$B:$B,'Felosztás eredménykim'!$B183,'Eredeti fejléccel'!$D:$D)</f>
        <v>0</v>
      </c>
      <c r="V183" s="6">
        <f>SUMIF('Eredeti fejléccel'!$B:$B,'Felosztás eredménykim'!$B183,'Eredeti fejléccel'!$AT:$AT)</f>
        <v>71432342.669999987</v>
      </c>
      <c r="W183" s="36">
        <f t="shared" si="302"/>
        <v>-71432342.669999987</v>
      </c>
      <c r="X183" s="36">
        <f t="shared" si="211"/>
        <v>0</v>
      </c>
      <c r="Z183" s="6">
        <f>SUMIF('Eredeti fejléccel'!$B:$B,'Felosztás eredménykim'!$B183,'Eredeti fejléccel'!$K:$K)</f>
        <v>0</v>
      </c>
      <c r="AB183" s="6">
        <f>SUMIF('Eredeti fejléccel'!$B:$B,'Felosztás eredménykim'!$B183,'Eredeti fejléccel'!$AB:$AB)</f>
        <v>0</v>
      </c>
      <c r="AC183" s="6">
        <f>SUMIF('Eredeti fejléccel'!$B:$B,'Felosztás eredménykim'!$B183,'Eredeti fejléccel'!$AQ:$AQ)</f>
        <v>0</v>
      </c>
      <c r="AE183" s="73">
        <f t="shared" si="299"/>
        <v>0</v>
      </c>
      <c r="AF183" s="36">
        <f t="shared" si="339"/>
        <v>0</v>
      </c>
      <c r="AG183" s="8">
        <f t="shared" si="213"/>
        <v>0</v>
      </c>
      <c r="AI183" s="6">
        <f>SUMIF('Eredeti fejléccel'!$B:$B,'Felosztás eredménykim'!$B183,'Eredeti fejléccel'!$BB:$BB)</f>
        <v>0</v>
      </c>
      <c r="AJ183" s="6">
        <f>SUMIF('Eredeti fejléccel'!$B:$B,'Felosztás eredménykim'!$B183,'Eredeti fejléccel'!$AF:$AF)</f>
        <v>0</v>
      </c>
      <c r="AK183" s="8">
        <f t="shared" si="177"/>
        <v>0</v>
      </c>
      <c r="AL183" s="36">
        <f t="shared" si="340"/>
        <v>0</v>
      </c>
      <c r="AM183" s="8">
        <f t="shared" si="215"/>
        <v>0</v>
      </c>
      <c r="AN183" s="6">
        <f t="shared" si="291"/>
        <v>0</v>
      </c>
      <c r="AO183" s="6">
        <f>SUMIF('Eredeti fejléccel'!$B:$B,'Felosztás eredménykim'!$B183,'Eredeti fejléccel'!$AC:$AC)</f>
        <v>0</v>
      </c>
      <c r="AP183" s="6">
        <f>SUMIF('Eredeti fejléccel'!$B:$B,'Felosztás eredménykim'!$B183,'Eredeti fejléccel'!$AD:$AD)</f>
        <v>0</v>
      </c>
      <c r="AQ183" s="6">
        <f>SUMIF('Eredeti fejléccel'!$B:$B,'Felosztás eredménykim'!$B183,'Eredeti fejléccel'!$AE:$AE)</f>
        <v>0</v>
      </c>
      <c r="AR183" s="6">
        <f>SUMIF('Eredeti fejléccel'!$B:$B,'Felosztás eredménykim'!$B183,'Eredeti fejléccel'!$AG:$AG)</f>
        <v>0</v>
      </c>
      <c r="AS183" s="6">
        <f t="shared" si="292"/>
        <v>0</v>
      </c>
      <c r="AT183" s="36">
        <f t="shared" si="341"/>
        <v>0</v>
      </c>
      <c r="AU183" s="8">
        <f t="shared" si="217"/>
        <v>0</v>
      </c>
      <c r="AV183" s="6">
        <f>SUMIF('Eredeti fejléccel'!$B:$B,'Felosztás eredménykim'!$B183,'Eredeti fejléccel'!$AI:$AI)</f>
        <v>0</v>
      </c>
      <c r="AW183" s="6">
        <f>SUMIF('Eredeti fejléccel'!$B:$B,'Felosztás eredménykim'!$B183,'Eredeti fejléccel'!$AJ:$AJ)</f>
        <v>0</v>
      </c>
      <c r="AX183" s="6">
        <f>SUMIF('Eredeti fejléccel'!$B:$B,'Felosztás eredménykim'!$B183,'Eredeti fejléccel'!$AK:$AK)</f>
        <v>0</v>
      </c>
      <c r="AY183" s="6">
        <f>SUMIF('Eredeti fejléccel'!$B:$B,'Felosztás eredménykim'!$B183,'Eredeti fejléccel'!$AL:$AL)</f>
        <v>0</v>
      </c>
      <c r="AZ183" s="6">
        <f>SUMIF('Eredeti fejléccel'!$B:$B,'Felosztás eredménykim'!$B183,'Eredeti fejléccel'!$AM:$AM)</f>
        <v>0</v>
      </c>
      <c r="BA183" s="6">
        <f>SUMIF('Eredeti fejléccel'!$B:$B,'Felosztás eredménykim'!$B183,'Eredeti fejléccel'!$AN:$AN)</f>
        <v>0</v>
      </c>
      <c r="BB183" s="6">
        <f>SUMIF('Eredeti fejléccel'!$B:$B,'Felosztás eredménykim'!$B183,'Eredeti fejléccel'!$AP:$AP)</f>
        <v>0</v>
      </c>
      <c r="BD183" s="6">
        <f>SUMIF('Eredeti fejléccel'!$B:$B,'Felosztás eredménykim'!$B183,'Eredeti fejléccel'!$AS:$AS)</f>
        <v>0</v>
      </c>
      <c r="BE183" s="8">
        <f t="shared" si="238"/>
        <v>0</v>
      </c>
      <c r="BF183" s="36">
        <f t="shared" si="342"/>
        <v>0</v>
      </c>
      <c r="BG183" s="8">
        <f t="shared" si="219"/>
        <v>0</v>
      </c>
      <c r="BH183" s="6">
        <f t="shared" si="293"/>
        <v>0</v>
      </c>
      <c r="BI183" s="6">
        <f>SUMIF('Eredeti fejléccel'!$B:$B,'Felosztás eredménykim'!$B183,'Eredeti fejléccel'!$AH:$AH)</f>
        <v>0</v>
      </c>
      <c r="BJ183" s="6">
        <f>SUMIF('Eredeti fejléccel'!$B:$B,'Felosztás eredménykim'!$B183,'Eredeti fejléccel'!$AO:$AO)</f>
        <v>0</v>
      </c>
      <c r="BK183" s="6">
        <f>SUMIF('Eredeti fejléccel'!$B:$B,'Felosztás eredménykim'!$B183,'Eredeti fejléccel'!$BF:$BF)</f>
        <v>0</v>
      </c>
      <c r="BL183" s="8">
        <f t="shared" si="294"/>
        <v>0</v>
      </c>
      <c r="BM183" s="36">
        <f t="shared" si="343"/>
        <v>0</v>
      </c>
      <c r="BN183" s="8">
        <f t="shared" si="221"/>
        <v>0</v>
      </c>
      <c r="BP183" s="8">
        <f t="shared" si="295"/>
        <v>0</v>
      </c>
      <c r="BQ183" s="6">
        <f>SUMIF('Eredeti fejléccel'!$B:$B,'Felosztás eredménykim'!$B183,'Eredeti fejléccel'!$N:$N)</f>
        <v>0</v>
      </c>
      <c r="BR183" s="6">
        <f>SUMIF('Eredeti fejléccel'!$B:$B,'Felosztás eredménykim'!$B183,'Eredeti fejléccel'!$S:$S)</f>
        <v>0</v>
      </c>
      <c r="BT183" s="6">
        <f>SUMIF('Eredeti fejléccel'!$B:$B,'Felosztás eredménykim'!$B183,'Eredeti fejléccel'!$AR:$AR)</f>
        <v>0</v>
      </c>
      <c r="BU183" s="6">
        <f>SUMIF('Eredeti fejléccel'!$B:$B,'Felosztás eredménykim'!$B183,'Eredeti fejléccel'!$AU:$AU)</f>
        <v>0</v>
      </c>
      <c r="BV183" s="6">
        <f>SUMIF('Eredeti fejléccel'!$B:$B,'Felosztás eredménykim'!$B183,'Eredeti fejléccel'!$AV:$AV)</f>
        <v>0</v>
      </c>
      <c r="BW183" s="6">
        <f>SUMIF('Eredeti fejléccel'!$B:$B,'Felosztás eredménykim'!$B183,'Eredeti fejléccel'!$AW:$AW)</f>
        <v>0</v>
      </c>
      <c r="BX183" s="6">
        <f>SUMIF('Eredeti fejléccel'!$B:$B,'Felosztás eredménykim'!$B183,'Eredeti fejléccel'!$AX:$AX)</f>
        <v>0</v>
      </c>
      <c r="BY183" s="6">
        <f>SUMIF('Eredeti fejléccel'!$B:$B,'Felosztás eredménykim'!$B183,'Eredeti fejléccel'!$AY:$AY)</f>
        <v>0</v>
      </c>
      <c r="BZ183" s="6">
        <f>SUMIF('Eredeti fejléccel'!$B:$B,'Felosztás eredménykim'!$B183,'Eredeti fejléccel'!$AZ:$AZ)</f>
        <v>0</v>
      </c>
      <c r="CA183" s="6">
        <f>SUMIF('Eredeti fejléccel'!$B:$B,'Felosztás eredménykim'!$B183,'Eredeti fejléccel'!$BA:$BA)</f>
        <v>0</v>
      </c>
      <c r="CB183" s="6">
        <f t="shared" si="253"/>
        <v>0</v>
      </c>
      <c r="CC183" s="36">
        <f t="shared" si="344"/>
        <v>0</v>
      </c>
      <c r="CD183" s="8">
        <f t="shared" si="223"/>
        <v>0</v>
      </c>
      <c r="CE183" s="6">
        <f>SUMIF('Eredeti fejléccel'!$B:$B,'Felosztás eredménykim'!$B183,'Eredeti fejléccel'!$BC:$BC)</f>
        <v>0</v>
      </c>
      <c r="CF183" s="8">
        <f t="shared" si="300"/>
        <v>0</v>
      </c>
      <c r="CG183" s="6">
        <f>SUMIF('Eredeti fejléccel'!$B:$B,'Felosztás eredménykim'!$B183,'Eredeti fejléccel'!$H:$H)</f>
        <v>0</v>
      </c>
      <c r="CH183" s="6">
        <f>SUMIF('Eredeti fejléccel'!$B:$B,'Felosztás eredménykim'!$B183,'Eredeti fejléccel'!$BE:$BE)</f>
        <v>0</v>
      </c>
      <c r="CI183" s="6">
        <f t="shared" si="239"/>
        <v>0</v>
      </c>
      <c r="CJ183" s="36">
        <f t="shared" si="345"/>
        <v>0</v>
      </c>
      <c r="CK183" s="8">
        <f t="shared" si="225"/>
        <v>0</v>
      </c>
      <c r="CL183" s="8">
        <f t="shared" si="301"/>
        <v>0</v>
      </c>
      <c r="CM183" s="6">
        <f>SUMIF('Eredeti fejléccel'!$B:$B,'Felosztás eredménykim'!$B183,'Eredeti fejléccel'!$BD:$BD)</f>
        <v>0</v>
      </c>
      <c r="CN183" s="8">
        <f t="shared" si="240"/>
        <v>0</v>
      </c>
      <c r="CO183" s="8">
        <f t="shared" si="254"/>
        <v>0</v>
      </c>
      <c r="CR183" s="36">
        <f t="shared" si="226"/>
        <v>0</v>
      </c>
      <c r="CS183" s="6">
        <f>SUMIF('Eredeti fejléccel'!$B:$B,'Felosztás eredménykim'!$B183,'Eredeti fejléccel'!$I:$I)</f>
        <v>0</v>
      </c>
      <c r="CT183" s="6">
        <f>SUMIF('Eredeti fejléccel'!$B:$B,'Felosztás eredménykim'!$B183,'Eredeti fejléccel'!$BG:$BG)</f>
        <v>0</v>
      </c>
      <c r="CU183" s="6">
        <f>SUMIF('Eredeti fejléccel'!$B:$B,'Felosztás eredménykim'!$B183,'Eredeti fejléccel'!$BH:$BH)</f>
        <v>0</v>
      </c>
      <c r="CV183" s="6">
        <f>SUMIF('Eredeti fejléccel'!$B:$B,'Felosztás eredménykim'!$B183,'Eredeti fejléccel'!$BI:$BI)</f>
        <v>0</v>
      </c>
      <c r="CW183" s="6">
        <f>SUMIF('Eredeti fejléccel'!$B:$B,'Felosztás eredménykim'!$B183,'Eredeti fejléccel'!$BL:$BL)</f>
        <v>0</v>
      </c>
      <c r="CX183" s="6">
        <f t="shared" si="241"/>
        <v>0</v>
      </c>
      <c r="CY183" s="6">
        <f>SUMIF('Eredeti fejléccel'!$B:$B,'Felosztás eredménykim'!$B183,'Eredeti fejléccel'!$BJ:$BJ)</f>
        <v>0</v>
      </c>
      <c r="CZ183" s="6">
        <f>SUMIF('Eredeti fejléccel'!$B:$B,'Felosztás eredménykim'!$B183,'Eredeti fejléccel'!$BK:$BK)</f>
        <v>0</v>
      </c>
      <c r="DA183" s="99">
        <f t="shared" si="242"/>
        <v>0</v>
      </c>
      <c r="DC183" s="36">
        <f t="shared" si="227"/>
        <v>0</v>
      </c>
      <c r="DD183" s="6">
        <f>SUMIF('Eredeti fejléccel'!$B:$B,'Felosztás eredménykim'!$B183,'Eredeti fejléccel'!$J:$J)</f>
        <v>0</v>
      </c>
      <c r="DE183" s="6">
        <f>SUMIF('Eredeti fejléccel'!$B:$B,'Felosztás eredménykim'!$B183,'Eredeti fejléccel'!$BM:$BM)</f>
        <v>0</v>
      </c>
      <c r="DF183" s="6">
        <f t="shared" si="296"/>
        <v>0</v>
      </c>
      <c r="DG183" s="8">
        <f t="shared" si="255"/>
        <v>0</v>
      </c>
      <c r="DH183" s="8">
        <f t="shared" si="297"/>
        <v>0</v>
      </c>
      <c r="DJ183" s="6">
        <f>SUMIF('Eredeti fejléccel'!$B:$B,'Felosztás eredménykim'!$B183,'Eredeti fejléccel'!$BN:$BN)</f>
        <v>0</v>
      </c>
      <c r="DK183" s="6">
        <f>SUMIF('Eredeti fejléccel'!$B:$B,'Felosztás eredménykim'!$B183,'Eredeti fejléccel'!$BZ:$BZ)</f>
        <v>0</v>
      </c>
      <c r="DL183" s="8">
        <f t="shared" si="298"/>
        <v>0</v>
      </c>
      <c r="DM183" s="6">
        <f>SUMIF('Eredeti fejléccel'!$B:$B,'Felosztás eredménykim'!$B183,'Eredeti fejléccel'!$BR:$BR)</f>
        <v>0</v>
      </c>
      <c r="DN183" s="6">
        <f>SUMIF('Eredeti fejléccel'!$B:$B,'Felosztás eredménykim'!$B183,'Eredeti fejléccel'!$BS:$BS)</f>
        <v>0</v>
      </c>
      <c r="DO183" s="6">
        <f>SUMIF('Eredeti fejléccel'!$B:$B,'Felosztás eredménykim'!$B183,'Eredeti fejléccel'!$BO:$BO)</f>
        <v>0</v>
      </c>
      <c r="DP183" s="6">
        <f>SUMIF('Eredeti fejléccel'!$B:$B,'Felosztás eredménykim'!$B183,'Eredeti fejléccel'!$BP:$BP)</f>
        <v>0</v>
      </c>
      <c r="DQ183" s="6">
        <f>SUMIF('Eredeti fejléccel'!$B:$B,'Felosztás eredménykim'!$B183,'Eredeti fejléccel'!$BQ:$BQ)</f>
        <v>0</v>
      </c>
      <c r="DS183" s="8"/>
      <c r="DU183" s="6">
        <f>SUMIF('Eredeti fejléccel'!$B:$B,'Felosztás eredménykim'!$B183,'Eredeti fejléccel'!$BT:$BT)</f>
        <v>0</v>
      </c>
      <c r="DV183" s="6">
        <f>SUMIF('Eredeti fejléccel'!$B:$B,'Felosztás eredménykim'!$B183,'Eredeti fejléccel'!$BU:$BU)</f>
        <v>0</v>
      </c>
      <c r="DW183" s="6">
        <f>SUMIF('Eredeti fejléccel'!$B:$B,'Felosztás eredménykim'!$B183,'Eredeti fejléccel'!$BV:$BV)</f>
        <v>0</v>
      </c>
      <c r="DX183" s="6">
        <f>SUMIF('Eredeti fejléccel'!$B:$B,'Felosztás eredménykim'!$B183,'Eredeti fejléccel'!$BW:$BW)</f>
        <v>0</v>
      </c>
      <c r="DY183" s="6">
        <f>SUMIF('Eredeti fejléccel'!$B:$B,'Felosztás eredménykim'!$B183,'Eredeti fejléccel'!$BX:$BX)</f>
        <v>0</v>
      </c>
      <c r="EA183" s="6"/>
      <c r="EC183" s="6"/>
      <c r="EE183" s="6">
        <f>SUMIF('Eredeti fejléccel'!$B:$B,'Felosztás eredménykim'!$B183,'Eredeti fejléccel'!$CA:$CA)</f>
        <v>0</v>
      </c>
      <c r="EF183" s="6">
        <f>SUMIF('Eredeti fejléccel'!$B:$B,'Felosztás eredménykim'!$B183,'Eredeti fejléccel'!$CB:$CB)</f>
        <v>0</v>
      </c>
      <c r="EG183" s="6">
        <f>SUMIF('Eredeti fejléccel'!$B:$B,'Felosztás eredménykim'!$B183,'Eredeti fejléccel'!$CC:$CC)</f>
        <v>0</v>
      </c>
      <c r="EH183" s="6">
        <f>SUMIF('Eredeti fejléccel'!$B:$B,'Felosztás eredménykim'!$B183,'Eredeti fejléccel'!$CD:$CD)</f>
        <v>0</v>
      </c>
      <c r="EK183" s="6">
        <f>SUMIF('Eredeti fejléccel'!$B:$B,'Felosztás eredménykim'!$B183,'Eredeti fejléccel'!$CE:$CE)</f>
        <v>0</v>
      </c>
      <c r="EN183" s="6">
        <f>SUMIF('Eredeti fejléccel'!$B:$B,'Felosztás eredménykim'!$B183,'Eredeti fejléccel'!$CF:$CF)</f>
        <v>0</v>
      </c>
      <c r="EP183" s="6">
        <f>SUMIF('Eredeti fejléccel'!$B:$B,'Felosztás eredménykim'!$B183,'Eredeti fejléccel'!$CG:$CG)</f>
        <v>0</v>
      </c>
      <c r="ES183" s="6">
        <f>SUMIF('Eredeti fejléccel'!$B:$B,'Felosztás eredménykim'!$B183,'Eredeti fejléccel'!$CH:$CH)</f>
        <v>0</v>
      </c>
      <c r="ET183" s="6">
        <f>SUMIF('Eredeti fejléccel'!$B:$B,'Felosztás eredménykim'!$B183,'Eredeti fejléccel'!$CI:$CI)</f>
        <v>0</v>
      </c>
      <c r="EW183" s="8">
        <f t="shared" si="288"/>
        <v>0</v>
      </c>
      <c r="EX183" s="8">
        <f t="shared" si="243"/>
        <v>0</v>
      </c>
      <c r="EY183" s="8">
        <f t="shared" si="244"/>
        <v>0</v>
      </c>
      <c r="EZ183" s="8">
        <f t="shared" si="289"/>
        <v>0</v>
      </c>
      <c r="FA183" s="8">
        <f t="shared" si="290"/>
        <v>0</v>
      </c>
      <c r="FC183" s="6">
        <f>SUMIF('Eredeti fejléccel'!$B:$B,'Felosztás eredménykim'!$B183,'Eredeti fejléccel'!$L:$L)</f>
        <v>0</v>
      </c>
      <c r="FD183" s="6">
        <f>SUMIF('Eredeti fejléccel'!$B:$B,'Felosztás eredménykim'!$B183,'Eredeti fejléccel'!$CJ:$CJ)</f>
        <v>0</v>
      </c>
      <c r="FE183" s="6">
        <f>SUMIF('Eredeti fejléccel'!$B:$B,'Felosztás eredménykim'!$B183,'Eredeti fejléccel'!$CL:$CL)</f>
        <v>0</v>
      </c>
      <c r="FG183" s="99">
        <f t="shared" si="245"/>
        <v>0</v>
      </c>
      <c r="FH183" s="6">
        <f>SUMIF('Eredeti fejléccel'!$B:$B,'Felosztás eredménykim'!$B183,'Eredeti fejléccel'!$CK:$CK)</f>
        <v>0</v>
      </c>
      <c r="FI183" s="36">
        <f t="shared" si="346"/>
        <v>0</v>
      </c>
      <c r="FJ183" s="101">
        <f t="shared" si="229"/>
        <v>0</v>
      </c>
      <c r="FK183" s="6">
        <f>SUMIF('Eredeti fejléccel'!$B:$B,'Felosztás eredménykim'!$B183,'Eredeti fejléccel'!$CM:$CM)</f>
        <v>0</v>
      </c>
      <c r="FL183" s="6">
        <f>SUMIF('Eredeti fejléccel'!$B:$B,'Felosztás eredménykim'!$B183,'Eredeti fejléccel'!$CN:$CN)</f>
        <v>0</v>
      </c>
      <c r="FM183" s="8">
        <f t="shared" si="246"/>
        <v>0</v>
      </c>
      <c r="FN183" s="36">
        <f t="shared" si="347"/>
        <v>0</v>
      </c>
      <c r="FO183" s="101">
        <f t="shared" si="231"/>
        <v>0</v>
      </c>
      <c r="FP183" s="6">
        <f>SUMIF('Eredeti fejléccel'!$B:$B,'Felosztás eredménykim'!$B183,'Eredeti fejléccel'!$CO:$CO)</f>
        <v>0</v>
      </c>
      <c r="FQ183" s="6">
        <f>'Eredeti fejléccel'!CP183</f>
        <v>0</v>
      </c>
      <c r="FR183" s="6">
        <f>'Eredeti fejléccel'!CQ183</f>
        <v>0</v>
      </c>
      <c r="FS183" s="103">
        <f t="shared" si="247"/>
        <v>0</v>
      </c>
      <c r="FT183" s="36">
        <f t="shared" si="348"/>
        <v>0</v>
      </c>
      <c r="FU183" s="101">
        <f t="shared" si="233"/>
        <v>0</v>
      </c>
      <c r="FV183" s="101"/>
      <c r="FW183" s="6">
        <f>SUMIF('Eredeti fejléccel'!$B:$B,'Felosztás eredménykim'!$B183,'Eredeti fejléccel'!$CR:$CR)</f>
        <v>0</v>
      </c>
      <c r="FX183" s="6">
        <f>SUMIF('Eredeti fejléccel'!$B:$B,'Felosztás eredménykim'!$B183,'Eredeti fejléccel'!$CS:$CS)</f>
        <v>0</v>
      </c>
      <c r="FY183" s="6">
        <f>SUMIF('Eredeti fejléccel'!$B:$B,'Felosztás eredménykim'!$B183,'Eredeti fejléccel'!$CT:$CT)</f>
        <v>0</v>
      </c>
      <c r="FZ183" s="6">
        <f>SUMIF('Eredeti fejléccel'!$B:$B,'Felosztás eredménykim'!$B183,'Eredeti fejléccel'!$CU:$CU)</f>
        <v>0</v>
      </c>
      <c r="GA183" s="103">
        <f t="shared" si="248"/>
        <v>0</v>
      </c>
      <c r="GB183" s="36">
        <f t="shared" si="349"/>
        <v>0</v>
      </c>
      <c r="GC183" s="101">
        <f t="shared" si="235"/>
        <v>0</v>
      </c>
      <c r="GD183" s="6">
        <f>SUMIF('Eredeti fejléccel'!$B:$B,'Felosztás eredménykim'!$B183,'Eredeti fejléccel'!$CV:$CV)</f>
        <v>0</v>
      </c>
      <c r="GE183" s="6">
        <f>SUMIF('Eredeti fejléccel'!$B:$B,'Felosztás eredménykim'!$B183,'Eredeti fejléccel'!$CW:$CW)</f>
        <v>0</v>
      </c>
      <c r="GF183" s="103">
        <f t="shared" si="249"/>
        <v>0</v>
      </c>
      <c r="GG183" s="36">
        <f t="shared" si="236"/>
        <v>0</v>
      </c>
      <c r="GM183" s="6">
        <f>SUMIF('Eredeti fejléccel'!$B:$B,'Felosztás eredménykim'!$B183,'Eredeti fejléccel'!$CX:$CX)</f>
        <v>0</v>
      </c>
      <c r="GN183" s="6">
        <f>SUMIF('Eredeti fejléccel'!$B:$B,'Felosztás eredménykim'!$B183,'Eredeti fejléccel'!$CY:$CY)</f>
        <v>0</v>
      </c>
      <c r="GO183" s="6">
        <f>SUMIF('Eredeti fejléccel'!$B:$B,'Felosztás eredménykim'!$B183,'Eredeti fejléccel'!$CZ:$CZ)</f>
        <v>0</v>
      </c>
      <c r="GP183" s="6">
        <f>SUMIF('Eredeti fejléccel'!$B:$B,'Felosztás eredménykim'!$B183,'Eredeti fejléccel'!$DA:$DA)</f>
        <v>0</v>
      </c>
      <c r="GQ183" s="6">
        <f>SUMIF('Eredeti fejléccel'!$B:$B,'Felosztás eredménykim'!$B183,'Eredeti fejléccel'!$DB:$DB)</f>
        <v>0</v>
      </c>
      <c r="GR183" s="103">
        <f t="shared" si="250"/>
        <v>0</v>
      </c>
      <c r="GW183" s="36">
        <f t="shared" si="237"/>
        <v>0</v>
      </c>
      <c r="GX183" s="6">
        <f>SUMIF('Eredeti fejléccel'!$B:$B,'Felosztás eredménykim'!$B183,'Eredeti fejléccel'!$M:$M)</f>
        <v>0</v>
      </c>
      <c r="GY183" s="6">
        <f>SUMIF('Eredeti fejléccel'!$B:$B,'Felosztás eredménykim'!$B183,'Eredeti fejléccel'!$DC:$DC)</f>
        <v>0</v>
      </c>
      <c r="GZ183" s="6">
        <f>SUMIF('Eredeti fejléccel'!$B:$B,'Felosztás eredménykim'!$B183,'Eredeti fejléccel'!$DD:$DD)</f>
        <v>0</v>
      </c>
      <c r="HA183" s="6">
        <f>SUMIF('Eredeti fejléccel'!$B:$B,'Felosztás eredménykim'!$B183,'Eredeti fejléccel'!$DE:$DE)</f>
        <v>0</v>
      </c>
      <c r="HB183" s="103">
        <f t="shared" si="251"/>
        <v>0</v>
      </c>
      <c r="HD183" s="9">
        <f t="shared" si="350"/>
        <v>71432342.669999987</v>
      </c>
      <c r="HE183" s="9">
        <v>71432342.669999987</v>
      </c>
      <c r="HF183" s="476"/>
      <c r="HH183" s="34">
        <f t="shared" si="252"/>
        <v>0</v>
      </c>
    </row>
    <row r="184" spans="1:216" x14ac:dyDescent="0.25">
      <c r="A184" s="4" t="s">
        <v>874</v>
      </c>
      <c r="B184" s="4" t="s">
        <v>874</v>
      </c>
      <c r="D184" s="6">
        <f>SUMIF('Eredeti fejléccel'!$B:$B,'Felosztás eredménykim'!$B184,'Eredeti fejléccel'!$D:$D)</f>
        <v>0</v>
      </c>
      <c r="E184" s="6">
        <f>SUMIF('Eredeti fejléccel'!$B:$B,'Felosztás eredménykim'!$B184,'Eredeti fejléccel'!$E:$E)</f>
        <v>0</v>
      </c>
      <c r="F184" s="6">
        <f>SUMIF('Eredeti fejléccel'!$B:$B,'Felosztás eredménykim'!$B184,'Eredeti fejléccel'!$F:$F)</f>
        <v>0</v>
      </c>
      <c r="G184" s="6">
        <f>SUMIF('Eredeti fejléccel'!$B:$B,'Felosztás eredménykim'!$B184,'Eredeti fejléccel'!$G:$G)</f>
        <v>0</v>
      </c>
      <c r="H184" s="6"/>
      <c r="I184" s="6">
        <f>SUMIF('Eredeti fejléccel'!$B:$B,'Felosztás eredménykim'!$B184,'Eredeti fejléccel'!$O:$O)</f>
        <v>0</v>
      </c>
      <c r="J184" s="6">
        <f>SUMIF('Eredeti fejléccel'!$B:$B,'Felosztás eredménykim'!$B184,'Eredeti fejléccel'!$P:$P)</f>
        <v>0</v>
      </c>
      <c r="K184" s="6">
        <f>SUMIF('Eredeti fejléccel'!$B:$B,'Felosztás eredménykim'!$B184,'Eredeti fejléccel'!$Q:$Q)</f>
        <v>0</v>
      </c>
      <c r="L184" s="6">
        <f>SUMIF('Eredeti fejléccel'!$B:$B,'Felosztás eredménykim'!$B184,'Eredeti fejléccel'!$R:$R)</f>
        <v>0</v>
      </c>
      <c r="M184" s="6">
        <f>SUMIF('Eredeti fejléccel'!$B:$B,'Felosztás eredménykim'!$B184,'Eredeti fejléccel'!$T:$T)</f>
        <v>0</v>
      </c>
      <c r="N184" s="6">
        <f>SUMIF('Eredeti fejléccel'!$B:$B,'Felosztás eredménykim'!$B184,'Eredeti fejléccel'!$U:$U)</f>
        <v>0</v>
      </c>
      <c r="O184" s="6">
        <f>SUMIF('Eredeti fejléccel'!$B:$B,'Felosztás eredménykim'!$B184,'Eredeti fejléccel'!$V:$V)</f>
        <v>0</v>
      </c>
      <c r="P184" s="6">
        <f>SUMIF('Eredeti fejléccel'!$B:$B,'Felosztás eredménykim'!$B184,'Eredeti fejléccel'!$W:$W)</f>
        <v>0</v>
      </c>
      <c r="Q184" s="6">
        <f>SUMIF('Eredeti fejléccel'!$B:$B,'Felosztás eredménykim'!$B184,'Eredeti fejléccel'!$X:$X)</f>
        <v>0</v>
      </c>
      <c r="R184" s="6">
        <f>SUMIF('Eredeti fejléccel'!$B:$B,'Felosztás eredménykim'!$B184,'Eredeti fejléccel'!$Y:$Y)</f>
        <v>0</v>
      </c>
      <c r="S184" s="6">
        <f>SUMIF('Eredeti fejléccel'!$B:$B,'Felosztás eredménykim'!$B184,'Eredeti fejléccel'!$Z:$Z)</f>
        <v>0</v>
      </c>
      <c r="T184" s="6">
        <f>SUMIF('Eredeti fejléccel'!$B:$B,'Felosztás eredménykim'!$B184,'Eredeti fejléccel'!$AA:$AA)</f>
        <v>0</v>
      </c>
      <c r="U184" s="6">
        <f>SUMIF('Eredeti fejléccel'!$B:$B,'Felosztás eredménykim'!$B184,'Eredeti fejléccel'!$D:$D)</f>
        <v>0</v>
      </c>
      <c r="V184" s="6">
        <f>SUMIF('Eredeti fejléccel'!$B:$B,'Felosztás eredménykim'!$B184,'Eredeti fejléccel'!$AT:$AT)</f>
        <v>6613118</v>
      </c>
      <c r="W184" s="36">
        <f t="shared" si="302"/>
        <v>-6613118</v>
      </c>
      <c r="X184" s="36">
        <f t="shared" si="211"/>
        <v>0</v>
      </c>
      <c r="Z184" s="6">
        <f>SUMIF('Eredeti fejléccel'!$B:$B,'Felosztás eredménykim'!$B184,'Eredeti fejléccel'!$K:$K)</f>
        <v>0</v>
      </c>
      <c r="AB184" s="6">
        <f>SUMIF('Eredeti fejléccel'!$B:$B,'Felosztás eredménykim'!$B184,'Eredeti fejléccel'!$AB:$AB)</f>
        <v>0</v>
      </c>
      <c r="AC184" s="6">
        <f>SUMIF('Eredeti fejléccel'!$B:$B,'Felosztás eredménykim'!$B184,'Eredeti fejléccel'!$AQ:$AQ)</f>
        <v>0</v>
      </c>
      <c r="AE184" s="73">
        <f t="shared" si="299"/>
        <v>0</v>
      </c>
      <c r="AF184" s="36">
        <f t="shared" si="339"/>
        <v>0</v>
      </c>
      <c r="AG184" s="8">
        <f t="shared" si="213"/>
        <v>0</v>
      </c>
      <c r="AI184" s="6">
        <f>SUMIF('Eredeti fejléccel'!$B:$B,'Felosztás eredménykim'!$B184,'Eredeti fejléccel'!$BB:$BB)</f>
        <v>0</v>
      </c>
      <c r="AJ184" s="6">
        <f>SUMIF('Eredeti fejléccel'!$B:$B,'Felosztás eredménykim'!$B184,'Eredeti fejléccel'!$AF:$AF)</f>
        <v>0</v>
      </c>
      <c r="AK184" s="8">
        <f t="shared" si="177"/>
        <v>0</v>
      </c>
      <c r="AL184" s="36">
        <f t="shared" si="340"/>
        <v>0</v>
      </c>
      <c r="AM184" s="8">
        <f t="shared" si="215"/>
        <v>0</v>
      </c>
      <c r="AN184" s="6">
        <f t="shared" si="291"/>
        <v>0</v>
      </c>
      <c r="AO184" s="6">
        <f>SUMIF('Eredeti fejléccel'!$B:$B,'Felosztás eredménykim'!$B184,'Eredeti fejléccel'!$AC:$AC)</f>
        <v>0</v>
      </c>
      <c r="AP184" s="6">
        <f>SUMIF('Eredeti fejléccel'!$B:$B,'Felosztás eredménykim'!$B184,'Eredeti fejléccel'!$AD:$AD)</f>
        <v>0</v>
      </c>
      <c r="AQ184" s="6">
        <f>SUMIF('Eredeti fejléccel'!$B:$B,'Felosztás eredménykim'!$B184,'Eredeti fejléccel'!$AE:$AE)</f>
        <v>0</v>
      </c>
      <c r="AR184" s="6">
        <f>SUMIF('Eredeti fejléccel'!$B:$B,'Felosztás eredménykim'!$B184,'Eredeti fejléccel'!$AG:$AG)</f>
        <v>0</v>
      </c>
      <c r="AS184" s="6">
        <f t="shared" si="292"/>
        <v>0</v>
      </c>
      <c r="AT184" s="36">
        <f t="shared" si="341"/>
        <v>0</v>
      </c>
      <c r="AU184" s="8">
        <f t="shared" si="217"/>
        <v>0</v>
      </c>
      <c r="AV184" s="6">
        <f>SUMIF('Eredeti fejléccel'!$B:$B,'Felosztás eredménykim'!$B184,'Eredeti fejléccel'!$AI:$AI)</f>
        <v>0</v>
      </c>
      <c r="AW184" s="6">
        <f>SUMIF('Eredeti fejléccel'!$B:$B,'Felosztás eredménykim'!$B184,'Eredeti fejléccel'!$AJ:$AJ)</f>
        <v>0</v>
      </c>
      <c r="AX184" s="6">
        <f>SUMIF('Eredeti fejléccel'!$B:$B,'Felosztás eredménykim'!$B184,'Eredeti fejléccel'!$AK:$AK)</f>
        <v>0</v>
      </c>
      <c r="AY184" s="6">
        <f>SUMIF('Eredeti fejléccel'!$B:$B,'Felosztás eredménykim'!$B184,'Eredeti fejléccel'!$AL:$AL)</f>
        <v>0</v>
      </c>
      <c r="AZ184" s="6">
        <f>SUMIF('Eredeti fejléccel'!$B:$B,'Felosztás eredménykim'!$B184,'Eredeti fejléccel'!$AM:$AM)</f>
        <v>0</v>
      </c>
      <c r="BA184" s="6">
        <f>SUMIF('Eredeti fejléccel'!$B:$B,'Felosztás eredménykim'!$B184,'Eredeti fejléccel'!$AN:$AN)</f>
        <v>0</v>
      </c>
      <c r="BB184" s="6">
        <f>SUMIF('Eredeti fejléccel'!$B:$B,'Felosztás eredménykim'!$B184,'Eredeti fejléccel'!$AP:$AP)</f>
        <v>0</v>
      </c>
      <c r="BD184" s="6">
        <f>SUMIF('Eredeti fejléccel'!$B:$B,'Felosztás eredménykim'!$B184,'Eredeti fejléccel'!$AS:$AS)</f>
        <v>0</v>
      </c>
      <c r="BE184" s="8">
        <f t="shared" si="238"/>
        <v>0</v>
      </c>
      <c r="BF184" s="36">
        <f t="shared" si="342"/>
        <v>0</v>
      </c>
      <c r="BG184" s="8">
        <f t="shared" si="219"/>
        <v>0</v>
      </c>
      <c r="BH184" s="6">
        <f t="shared" si="293"/>
        <v>0</v>
      </c>
      <c r="BI184" s="6">
        <f>SUMIF('Eredeti fejléccel'!$B:$B,'Felosztás eredménykim'!$B184,'Eredeti fejléccel'!$AH:$AH)</f>
        <v>0</v>
      </c>
      <c r="BJ184" s="6">
        <f>SUMIF('Eredeti fejléccel'!$B:$B,'Felosztás eredménykim'!$B184,'Eredeti fejléccel'!$AO:$AO)</f>
        <v>0</v>
      </c>
      <c r="BK184" s="6">
        <f>SUMIF('Eredeti fejléccel'!$B:$B,'Felosztás eredménykim'!$B184,'Eredeti fejléccel'!$BF:$BF)</f>
        <v>0</v>
      </c>
      <c r="BL184" s="8">
        <f t="shared" si="294"/>
        <v>0</v>
      </c>
      <c r="BM184" s="36">
        <f t="shared" si="343"/>
        <v>0</v>
      </c>
      <c r="BN184" s="8">
        <f t="shared" si="221"/>
        <v>0</v>
      </c>
      <c r="BP184" s="8">
        <f t="shared" si="295"/>
        <v>0</v>
      </c>
      <c r="BQ184" s="6">
        <f>SUMIF('Eredeti fejléccel'!$B:$B,'Felosztás eredménykim'!$B184,'Eredeti fejléccel'!$N:$N)</f>
        <v>0</v>
      </c>
      <c r="BR184" s="6">
        <f>SUMIF('Eredeti fejléccel'!$B:$B,'Felosztás eredménykim'!$B184,'Eredeti fejléccel'!$S:$S)</f>
        <v>0</v>
      </c>
      <c r="BT184" s="6">
        <f>SUMIF('Eredeti fejléccel'!$B:$B,'Felosztás eredménykim'!$B184,'Eredeti fejléccel'!$AR:$AR)</f>
        <v>0</v>
      </c>
      <c r="BU184" s="6">
        <f>SUMIF('Eredeti fejléccel'!$B:$B,'Felosztás eredménykim'!$B184,'Eredeti fejléccel'!$AU:$AU)</f>
        <v>0</v>
      </c>
      <c r="BV184" s="6">
        <f>SUMIF('Eredeti fejléccel'!$B:$B,'Felosztás eredménykim'!$B184,'Eredeti fejléccel'!$AV:$AV)</f>
        <v>0</v>
      </c>
      <c r="BW184" s="6">
        <f>SUMIF('Eredeti fejléccel'!$B:$B,'Felosztás eredménykim'!$B184,'Eredeti fejléccel'!$AW:$AW)</f>
        <v>0</v>
      </c>
      <c r="BX184" s="6">
        <f>SUMIF('Eredeti fejléccel'!$B:$B,'Felosztás eredménykim'!$B184,'Eredeti fejléccel'!$AX:$AX)</f>
        <v>0</v>
      </c>
      <c r="BY184" s="6">
        <f>SUMIF('Eredeti fejléccel'!$B:$B,'Felosztás eredménykim'!$B184,'Eredeti fejléccel'!$AY:$AY)</f>
        <v>0</v>
      </c>
      <c r="BZ184" s="6">
        <f>SUMIF('Eredeti fejléccel'!$B:$B,'Felosztás eredménykim'!$B184,'Eredeti fejléccel'!$AZ:$AZ)</f>
        <v>0</v>
      </c>
      <c r="CA184" s="6">
        <f>SUMIF('Eredeti fejléccel'!$B:$B,'Felosztás eredménykim'!$B184,'Eredeti fejléccel'!$BA:$BA)</f>
        <v>0</v>
      </c>
      <c r="CB184" s="6">
        <f t="shared" si="253"/>
        <v>0</v>
      </c>
      <c r="CC184" s="36">
        <f t="shared" si="344"/>
        <v>0</v>
      </c>
      <c r="CD184" s="8">
        <f t="shared" si="223"/>
        <v>0</v>
      </c>
      <c r="CE184" s="6">
        <f>SUMIF('Eredeti fejléccel'!$B:$B,'Felosztás eredménykim'!$B184,'Eredeti fejléccel'!$BC:$BC)</f>
        <v>0</v>
      </c>
      <c r="CF184" s="8">
        <f t="shared" si="300"/>
        <v>0</v>
      </c>
      <c r="CG184" s="6">
        <f>SUMIF('Eredeti fejléccel'!$B:$B,'Felosztás eredménykim'!$B184,'Eredeti fejléccel'!$H:$H)</f>
        <v>0</v>
      </c>
      <c r="CH184" s="6">
        <f>SUMIF('Eredeti fejléccel'!$B:$B,'Felosztás eredménykim'!$B184,'Eredeti fejléccel'!$BE:$BE)</f>
        <v>0</v>
      </c>
      <c r="CI184" s="6">
        <f t="shared" si="239"/>
        <v>0</v>
      </c>
      <c r="CJ184" s="36">
        <f t="shared" si="345"/>
        <v>0</v>
      </c>
      <c r="CK184" s="8">
        <f t="shared" si="225"/>
        <v>0</v>
      </c>
      <c r="CL184" s="8">
        <f t="shared" si="301"/>
        <v>0</v>
      </c>
      <c r="CM184" s="6">
        <f>SUMIF('Eredeti fejléccel'!$B:$B,'Felosztás eredménykim'!$B184,'Eredeti fejléccel'!$BD:$BD)</f>
        <v>0</v>
      </c>
      <c r="CN184" s="8">
        <f t="shared" si="240"/>
        <v>0</v>
      </c>
      <c r="CO184" s="8">
        <f t="shared" si="254"/>
        <v>0</v>
      </c>
      <c r="CR184" s="36">
        <f t="shared" si="226"/>
        <v>0</v>
      </c>
      <c r="CS184" s="6">
        <f>SUMIF('Eredeti fejléccel'!$B:$B,'Felosztás eredménykim'!$B184,'Eredeti fejléccel'!$I:$I)</f>
        <v>0</v>
      </c>
      <c r="CT184" s="6">
        <f>SUMIF('Eredeti fejléccel'!$B:$B,'Felosztás eredménykim'!$B184,'Eredeti fejléccel'!$BG:$BG)</f>
        <v>0</v>
      </c>
      <c r="CU184" s="6">
        <f>SUMIF('Eredeti fejléccel'!$B:$B,'Felosztás eredménykim'!$B184,'Eredeti fejléccel'!$BH:$BH)</f>
        <v>0</v>
      </c>
      <c r="CV184" s="6">
        <f>SUMIF('Eredeti fejléccel'!$B:$B,'Felosztás eredménykim'!$B184,'Eredeti fejléccel'!$BI:$BI)</f>
        <v>0</v>
      </c>
      <c r="CW184" s="6">
        <f>SUMIF('Eredeti fejléccel'!$B:$B,'Felosztás eredménykim'!$B184,'Eredeti fejléccel'!$BL:$BL)</f>
        <v>0</v>
      </c>
      <c r="CX184" s="6">
        <f t="shared" si="241"/>
        <v>0</v>
      </c>
      <c r="CY184" s="6">
        <f>SUMIF('Eredeti fejléccel'!$B:$B,'Felosztás eredménykim'!$B184,'Eredeti fejléccel'!$BJ:$BJ)</f>
        <v>0</v>
      </c>
      <c r="CZ184" s="6">
        <f>SUMIF('Eredeti fejléccel'!$B:$B,'Felosztás eredménykim'!$B184,'Eredeti fejléccel'!$BK:$BK)</f>
        <v>0</v>
      </c>
      <c r="DA184" s="99">
        <f t="shared" si="242"/>
        <v>0</v>
      </c>
      <c r="DC184" s="36">
        <f t="shared" si="227"/>
        <v>0</v>
      </c>
      <c r="DD184" s="6">
        <f>SUMIF('Eredeti fejléccel'!$B:$B,'Felosztás eredménykim'!$B184,'Eredeti fejléccel'!$J:$J)</f>
        <v>0</v>
      </c>
      <c r="DE184" s="6">
        <f>SUMIF('Eredeti fejléccel'!$B:$B,'Felosztás eredménykim'!$B184,'Eredeti fejléccel'!$BM:$BM)</f>
        <v>0</v>
      </c>
      <c r="DF184" s="6">
        <f t="shared" si="296"/>
        <v>0</v>
      </c>
      <c r="DG184" s="8">
        <f t="shared" si="255"/>
        <v>0</v>
      </c>
      <c r="DH184" s="8">
        <f t="shared" si="297"/>
        <v>0</v>
      </c>
      <c r="DJ184" s="6">
        <f>SUMIF('Eredeti fejléccel'!$B:$B,'Felosztás eredménykim'!$B184,'Eredeti fejléccel'!$BN:$BN)</f>
        <v>0</v>
      </c>
      <c r="DK184" s="6">
        <f>SUMIF('Eredeti fejléccel'!$B:$B,'Felosztás eredménykim'!$B184,'Eredeti fejléccel'!$BZ:$BZ)</f>
        <v>0</v>
      </c>
      <c r="DL184" s="8">
        <f t="shared" si="298"/>
        <v>0</v>
      </c>
      <c r="DM184" s="6">
        <f>SUMIF('Eredeti fejléccel'!$B:$B,'Felosztás eredménykim'!$B184,'Eredeti fejléccel'!$BR:$BR)</f>
        <v>0</v>
      </c>
      <c r="DN184" s="6">
        <f>SUMIF('Eredeti fejléccel'!$B:$B,'Felosztás eredménykim'!$B184,'Eredeti fejléccel'!$BS:$BS)</f>
        <v>0</v>
      </c>
      <c r="DO184" s="6">
        <f>SUMIF('Eredeti fejléccel'!$B:$B,'Felosztás eredménykim'!$B184,'Eredeti fejléccel'!$BO:$BO)</f>
        <v>0</v>
      </c>
      <c r="DP184" s="6">
        <f>SUMIF('Eredeti fejléccel'!$B:$B,'Felosztás eredménykim'!$B184,'Eredeti fejléccel'!$BP:$BP)</f>
        <v>0</v>
      </c>
      <c r="DQ184" s="6">
        <f>SUMIF('Eredeti fejléccel'!$B:$B,'Felosztás eredménykim'!$B184,'Eredeti fejléccel'!$BQ:$BQ)</f>
        <v>0</v>
      </c>
      <c r="DS184" s="8"/>
      <c r="DU184" s="6">
        <f>SUMIF('Eredeti fejléccel'!$B:$B,'Felosztás eredménykim'!$B184,'Eredeti fejléccel'!$BT:$BT)</f>
        <v>0</v>
      </c>
      <c r="DV184" s="6">
        <f>SUMIF('Eredeti fejléccel'!$B:$B,'Felosztás eredménykim'!$B184,'Eredeti fejléccel'!$BU:$BU)</f>
        <v>0</v>
      </c>
      <c r="DW184" s="6">
        <f>SUMIF('Eredeti fejléccel'!$B:$B,'Felosztás eredménykim'!$B184,'Eredeti fejléccel'!$BV:$BV)</f>
        <v>0</v>
      </c>
      <c r="DX184" s="6">
        <f>SUMIF('Eredeti fejléccel'!$B:$B,'Felosztás eredménykim'!$B184,'Eredeti fejléccel'!$BW:$BW)</f>
        <v>0</v>
      </c>
      <c r="DY184" s="6">
        <f>SUMIF('Eredeti fejléccel'!$B:$B,'Felosztás eredménykim'!$B184,'Eredeti fejléccel'!$BX:$BX)</f>
        <v>0</v>
      </c>
      <c r="EA184" s="6"/>
      <c r="EC184" s="6"/>
      <c r="EE184" s="6">
        <f>SUMIF('Eredeti fejléccel'!$B:$B,'Felosztás eredménykim'!$B184,'Eredeti fejléccel'!$CA:$CA)</f>
        <v>0</v>
      </c>
      <c r="EF184" s="6">
        <f>SUMIF('Eredeti fejléccel'!$B:$B,'Felosztás eredménykim'!$B184,'Eredeti fejléccel'!$CB:$CB)</f>
        <v>0</v>
      </c>
      <c r="EG184" s="6">
        <f>SUMIF('Eredeti fejléccel'!$B:$B,'Felosztás eredménykim'!$B184,'Eredeti fejléccel'!$CC:$CC)</f>
        <v>0</v>
      </c>
      <c r="EH184" s="6">
        <f>SUMIF('Eredeti fejléccel'!$B:$B,'Felosztás eredménykim'!$B184,'Eredeti fejléccel'!$CD:$CD)</f>
        <v>0</v>
      </c>
      <c r="EK184" s="6">
        <f>SUMIF('Eredeti fejléccel'!$B:$B,'Felosztás eredménykim'!$B184,'Eredeti fejléccel'!$CE:$CE)</f>
        <v>0</v>
      </c>
      <c r="EN184" s="6">
        <f>SUMIF('Eredeti fejléccel'!$B:$B,'Felosztás eredménykim'!$B184,'Eredeti fejléccel'!$CF:$CF)</f>
        <v>0</v>
      </c>
      <c r="EP184" s="6">
        <f>SUMIF('Eredeti fejléccel'!$B:$B,'Felosztás eredménykim'!$B184,'Eredeti fejléccel'!$CG:$CG)</f>
        <v>0</v>
      </c>
      <c r="ES184" s="6">
        <f>SUMIF('Eredeti fejléccel'!$B:$B,'Felosztás eredménykim'!$B184,'Eredeti fejléccel'!$CH:$CH)</f>
        <v>0</v>
      </c>
      <c r="ET184" s="6">
        <f>SUMIF('Eredeti fejléccel'!$B:$B,'Felosztás eredménykim'!$B184,'Eredeti fejléccel'!$CI:$CI)</f>
        <v>0</v>
      </c>
      <c r="EW184" s="8">
        <f t="shared" si="288"/>
        <v>0</v>
      </c>
      <c r="EX184" s="8">
        <f t="shared" si="243"/>
        <v>0</v>
      </c>
      <c r="EY184" s="8">
        <f t="shared" si="244"/>
        <v>0</v>
      </c>
      <c r="EZ184" s="8">
        <f t="shared" si="289"/>
        <v>0</v>
      </c>
      <c r="FA184" s="8">
        <f t="shared" si="290"/>
        <v>0</v>
      </c>
      <c r="FC184" s="6">
        <f>SUMIF('Eredeti fejléccel'!$B:$B,'Felosztás eredménykim'!$B184,'Eredeti fejléccel'!$L:$L)</f>
        <v>0</v>
      </c>
      <c r="FD184" s="6">
        <f>SUMIF('Eredeti fejléccel'!$B:$B,'Felosztás eredménykim'!$B184,'Eredeti fejléccel'!$CJ:$CJ)</f>
        <v>0</v>
      </c>
      <c r="FE184" s="6">
        <f>SUMIF('Eredeti fejléccel'!$B:$B,'Felosztás eredménykim'!$B184,'Eredeti fejléccel'!$CL:$CL)</f>
        <v>0</v>
      </c>
      <c r="FG184" s="99">
        <f t="shared" si="245"/>
        <v>0</v>
      </c>
      <c r="FH184" s="6">
        <f>SUMIF('Eredeti fejléccel'!$B:$B,'Felosztás eredménykim'!$B184,'Eredeti fejléccel'!$CK:$CK)</f>
        <v>0</v>
      </c>
      <c r="FI184" s="36">
        <f t="shared" si="346"/>
        <v>0</v>
      </c>
      <c r="FJ184" s="101">
        <f t="shared" si="229"/>
        <v>0</v>
      </c>
      <c r="FK184" s="6">
        <f>SUMIF('Eredeti fejléccel'!$B:$B,'Felosztás eredménykim'!$B184,'Eredeti fejléccel'!$CM:$CM)</f>
        <v>0</v>
      </c>
      <c r="FL184" s="6">
        <f>SUMIF('Eredeti fejléccel'!$B:$B,'Felosztás eredménykim'!$B184,'Eredeti fejléccel'!$CN:$CN)</f>
        <v>0</v>
      </c>
      <c r="FM184" s="8">
        <f t="shared" si="246"/>
        <v>0</v>
      </c>
      <c r="FN184" s="36">
        <f t="shared" si="347"/>
        <v>0</v>
      </c>
      <c r="FO184" s="101">
        <f t="shared" si="231"/>
        <v>0</v>
      </c>
      <c r="FP184" s="6">
        <f>SUMIF('Eredeti fejléccel'!$B:$B,'Felosztás eredménykim'!$B184,'Eredeti fejléccel'!$CO:$CO)</f>
        <v>0</v>
      </c>
      <c r="FQ184" s="6">
        <f>'Eredeti fejléccel'!CP184</f>
        <v>0</v>
      </c>
      <c r="FR184" s="6">
        <f>'Eredeti fejléccel'!CQ184</f>
        <v>0</v>
      </c>
      <c r="FS184" s="103">
        <f t="shared" si="247"/>
        <v>0</v>
      </c>
      <c r="FT184" s="36">
        <f t="shared" si="348"/>
        <v>0</v>
      </c>
      <c r="FU184" s="101">
        <f t="shared" si="233"/>
        <v>0</v>
      </c>
      <c r="FV184" s="101"/>
      <c r="FW184" s="6">
        <f>SUMIF('Eredeti fejléccel'!$B:$B,'Felosztás eredménykim'!$B184,'Eredeti fejléccel'!$CR:$CR)</f>
        <v>0</v>
      </c>
      <c r="FX184" s="6">
        <f>SUMIF('Eredeti fejléccel'!$B:$B,'Felosztás eredménykim'!$B184,'Eredeti fejléccel'!$CS:$CS)</f>
        <v>0</v>
      </c>
      <c r="FY184" s="6">
        <f>SUMIF('Eredeti fejléccel'!$B:$B,'Felosztás eredménykim'!$B184,'Eredeti fejléccel'!$CT:$CT)</f>
        <v>0</v>
      </c>
      <c r="FZ184" s="6">
        <f>SUMIF('Eredeti fejléccel'!$B:$B,'Felosztás eredménykim'!$B184,'Eredeti fejléccel'!$CU:$CU)</f>
        <v>0</v>
      </c>
      <c r="GA184" s="103">
        <f t="shared" si="248"/>
        <v>0</v>
      </c>
      <c r="GB184" s="36">
        <f t="shared" si="349"/>
        <v>0</v>
      </c>
      <c r="GC184" s="101">
        <f t="shared" si="235"/>
        <v>0</v>
      </c>
      <c r="GD184" s="6">
        <f>SUMIF('Eredeti fejléccel'!$B:$B,'Felosztás eredménykim'!$B184,'Eredeti fejléccel'!$CV:$CV)</f>
        <v>0</v>
      </c>
      <c r="GE184" s="6">
        <f>SUMIF('Eredeti fejléccel'!$B:$B,'Felosztás eredménykim'!$B184,'Eredeti fejléccel'!$CW:$CW)</f>
        <v>0</v>
      </c>
      <c r="GF184" s="103">
        <f t="shared" si="249"/>
        <v>0</v>
      </c>
      <c r="GG184" s="36">
        <f t="shared" si="236"/>
        <v>0</v>
      </c>
      <c r="GM184" s="6">
        <f>SUMIF('Eredeti fejléccel'!$B:$B,'Felosztás eredménykim'!$B184,'Eredeti fejléccel'!$CX:$CX)</f>
        <v>0</v>
      </c>
      <c r="GN184" s="6">
        <f>SUMIF('Eredeti fejléccel'!$B:$B,'Felosztás eredménykim'!$B184,'Eredeti fejléccel'!$CY:$CY)</f>
        <v>0</v>
      </c>
      <c r="GO184" s="6">
        <f>SUMIF('Eredeti fejléccel'!$B:$B,'Felosztás eredménykim'!$B184,'Eredeti fejléccel'!$CZ:$CZ)</f>
        <v>0</v>
      </c>
      <c r="GP184" s="6">
        <f>SUMIF('Eredeti fejléccel'!$B:$B,'Felosztás eredménykim'!$B184,'Eredeti fejléccel'!$DA:$DA)</f>
        <v>0</v>
      </c>
      <c r="GQ184" s="6">
        <f>SUMIF('Eredeti fejléccel'!$B:$B,'Felosztás eredménykim'!$B184,'Eredeti fejléccel'!$DB:$DB)</f>
        <v>0</v>
      </c>
      <c r="GR184" s="103">
        <f t="shared" si="250"/>
        <v>0</v>
      </c>
      <c r="GW184" s="36">
        <f t="shared" si="237"/>
        <v>0</v>
      </c>
      <c r="GX184" s="6">
        <f>SUMIF('Eredeti fejléccel'!$B:$B,'Felosztás eredménykim'!$B184,'Eredeti fejléccel'!$M:$M)</f>
        <v>0</v>
      </c>
      <c r="GY184" s="6">
        <f>SUMIF('Eredeti fejléccel'!$B:$B,'Felosztás eredménykim'!$B184,'Eredeti fejléccel'!$DC:$DC)</f>
        <v>0</v>
      </c>
      <c r="GZ184" s="6">
        <f>SUMIF('Eredeti fejléccel'!$B:$B,'Felosztás eredménykim'!$B184,'Eredeti fejléccel'!$DD:$DD)</f>
        <v>0</v>
      </c>
      <c r="HA184" s="6">
        <f>SUMIF('Eredeti fejléccel'!$B:$B,'Felosztás eredménykim'!$B184,'Eredeti fejléccel'!$DE:$DE)</f>
        <v>0</v>
      </c>
      <c r="HB184" s="103">
        <f t="shared" si="251"/>
        <v>0</v>
      </c>
      <c r="HD184" s="9">
        <f t="shared" si="350"/>
        <v>6613118</v>
      </c>
      <c r="HE184" s="9">
        <v>6613118</v>
      </c>
      <c r="HF184" s="476"/>
      <c r="HH184" s="34">
        <f t="shared" si="252"/>
        <v>0</v>
      </c>
    </row>
    <row r="185" spans="1:216" x14ac:dyDescent="0.25">
      <c r="A185" s="4" t="s">
        <v>875</v>
      </c>
      <c r="B185" s="4" t="s">
        <v>875</v>
      </c>
      <c r="D185" s="6">
        <f>SUMIF('Eredeti fejléccel'!$B:$B,'Felosztás eredménykim'!$B185,'Eredeti fejléccel'!$D:$D)</f>
        <v>0</v>
      </c>
      <c r="E185" s="6">
        <f>SUMIF('Eredeti fejléccel'!$B:$B,'Felosztás eredménykim'!$B185,'Eredeti fejléccel'!$E:$E)</f>
        <v>0</v>
      </c>
      <c r="F185" s="6">
        <f>SUMIF('Eredeti fejléccel'!$B:$B,'Felosztás eredménykim'!$B185,'Eredeti fejléccel'!$F:$F)</f>
        <v>0</v>
      </c>
      <c r="G185" s="6">
        <f>SUMIF('Eredeti fejléccel'!$B:$B,'Felosztás eredménykim'!$B185,'Eredeti fejléccel'!$G:$G)</f>
        <v>0</v>
      </c>
      <c r="H185" s="6"/>
      <c r="I185" s="6">
        <f>SUMIF('Eredeti fejléccel'!$B:$B,'Felosztás eredménykim'!$B185,'Eredeti fejléccel'!$O:$O)</f>
        <v>0</v>
      </c>
      <c r="J185" s="6">
        <f>SUMIF('Eredeti fejléccel'!$B:$B,'Felosztás eredménykim'!$B185,'Eredeti fejléccel'!$P:$P)</f>
        <v>0</v>
      </c>
      <c r="K185" s="6">
        <f>SUMIF('Eredeti fejléccel'!$B:$B,'Felosztás eredménykim'!$B185,'Eredeti fejléccel'!$Q:$Q)</f>
        <v>0</v>
      </c>
      <c r="L185" s="6">
        <f>SUMIF('Eredeti fejléccel'!$B:$B,'Felosztás eredménykim'!$B185,'Eredeti fejléccel'!$R:$R)</f>
        <v>0</v>
      </c>
      <c r="M185" s="6">
        <f>SUMIF('Eredeti fejléccel'!$B:$B,'Felosztás eredménykim'!$B185,'Eredeti fejléccel'!$T:$T)</f>
        <v>0</v>
      </c>
      <c r="N185" s="6">
        <f>SUMIF('Eredeti fejléccel'!$B:$B,'Felosztás eredménykim'!$B185,'Eredeti fejléccel'!$U:$U)</f>
        <v>0</v>
      </c>
      <c r="O185" s="6">
        <f>SUMIF('Eredeti fejléccel'!$B:$B,'Felosztás eredménykim'!$B185,'Eredeti fejléccel'!$V:$V)</f>
        <v>0</v>
      </c>
      <c r="P185" s="6">
        <f>SUMIF('Eredeti fejléccel'!$B:$B,'Felosztás eredménykim'!$B185,'Eredeti fejléccel'!$W:$W)</f>
        <v>0</v>
      </c>
      <c r="Q185" s="6">
        <f>SUMIF('Eredeti fejléccel'!$B:$B,'Felosztás eredménykim'!$B185,'Eredeti fejléccel'!$X:$X)</f>
        <v>0</v>
      </c>
      <c r="R185" s="6">
        <f>SUMIF('Eredeti fejléccel'!$B:$B,'Felosztás eredménykim'!$B185,'Eredeti fejléccel'!$Y:$Y)</f>
        <v>0</v>
      </c>
      <c r="S185" s="6">
        <f>SUMIF('Eredeti fejléccel'!$B:$B,'Felosztás eredménykim'!$B185,'Eredeti fejléccel'!$Z:$Z)</f>
        <v>0</v>
      </c>
      <c r="T185" s="6">
        <f>SUMIF('Eredeti fejléccel'!$B:$B,'Felosztás eredménykim'!$B185,'Eredeti fejléccel'!$AA:$AA)</f>
        <v>0</v>
      </c>
      <c r="U185" s="6">
        <f>SUMIF('Eredeti fejléccel'!$B:$B,'Felosztás eredménykim'!$B185,'Eredeti fejléccel'!$D:$D)</f>
        <v>0</v>
      </c>
      <c r="V185" s="6">
        <f>SUMIF('Eredeti fejléccel'!$B:$B,'Felosztás eredménykim'!$B185,'Eredeti fejléccel'!$AT:$AT)</f>
        <v>68031926</v>
      </c>
      <c r="W185" s="36">
        <f t="shared" si="302"/>
        <v>-68031926</v>
      </c>
      <c r="X185" s="36">
        <f t="shared" si="211"/>
        <v>0</v>
      </c>
      <c r="Z185" s="6">
        <f>SUMIF('Eredeti fejléccel'!$B:$B,'Felosztás eredménykim'!$B185,'Eredeti fejléccel'!$K:$K)</f>
        <v>0</v>
      </c>
      <c r="AB185" s="6">
        <f>SUMIF('Eredeti fejléccel'!$B:$B,'Felosztás eredménykim'!$B185,'Eredeti fejléccel'!$AB:$AB)</f>
        <v>0</v>
      </c>
      <c r="AC185" s="6">
        <f>SUMIF('Eredeti fejléccel'!$B:$B,'Felosztás eredménykim'!$B185,'Eredeti fejléccel'!$AQ:$AQ)</f>
        <v>0</v>
      </c>
      <c r="AE185" s="73">
        <f t="shared" si="299"/>
        <v>0</v>
      </c>
      <c r="AF185" s="36">
        <f t="shared" si="339"/>
        <v>0</v>
      </c>
      <c r="AG185" s="8">
        <f t="shared" si="213"/>
        <v>0</v>
      </c>
      <c r="AI185" s="6">
        <f>SUMIF('Eredeti fejléccel'!$B:$B,'Felosztás eredménykim'!$B185,'Eredeti fejléccel'!$BB:$BB)</f>
        <v>0</v>
      </c>
      <c r="AJ185" s="6">
        <f>SUMIF('Eredeti fejléccel'!$B:$B,'Felosztás eredménykim'!$B185,'Eredeti fejléccel'!$AF:$AF)</f>
        <v>0</v>
      </c>
      <c r="AK185" s="8">
        <f t="shared" si="177"/>
        <v>0</v>
      </c>
      <c r="AL185" s="36">
        <f t="shared" si="340"/>
        <v>0</v>
      </c>
      <c r="AM185" s="8">
        <f t="shared" si="215"/>
        <v>0</v>
      </c>
      <c r="AN185" s="6">
        <f t="shared" si="291"/>
        <v>0</v>
      </c>
      <c r="AO185" s="6">
        <f>SUMIF('Eredeti fejléccel'!$B:$B,'Felosztás eredménykim'!$B185,'Eredeti fejléccel'!$AC:$AC)</f>
        <v>0</v>
      </c>
      <c r="AP185" s="6">
        <f>SUMIF('Eredeti fejléccel'!$B:$B,'Felosztás eredménykim'!$B185,'Eredeti fejléccel'!$AD:$AD)</f>
        <v>0</v>
      </c>
      <c r="AQ185" s="6">
        <f>SUMIF('Eredeti fejléccel'!$B:$B,'Felosztás eredménykim'!$B185,'Eredeti fejléccel'!$AE:$AE)</f>
        <v>0</v>
      </c>
      <c r="AR185" s="6">
        <f>SUMIF('Eredeti fejléccel'!$B:$B,'Felosztás eredménykim'!$B185,'Eredeti fejléccel'!$AG:$AG)</f>
        <v>0</v>
      </c>
      <c r="AS185" s="6">
        <f t="shared" si="292"/>
        <v>0</v>
      </c>
      <c r="AT185" s="36">
        <f t="shared" si="341"/>
        <v>0</v>
      </c>
      <c r="AU185" s="8">
        <f t="shared" si="217"/>
        <v>0</v>
      </c>
      <c r="AV185" s="6">
        <f>SUMIF('Eredeti fejléccel'!$B:$B,'Felosztás eredménykim'!$B185,'Eredeti fejléccel'!$AI:$AI)</f>
        <v>0</v>
      </c>
      <c r="AW185" s="6">
        <f>SUMIF('Eredeti fejléccel'!$B:$B,'Felosztás eredménykim'!$B185,'Eredeti fejléccel'!$AJ:$AJ)</f>
        <v>0</v>
      </c>
      <c r="AX185" s="6">
        <f>SUMIF('Eredeti fejléccel'!$B:$B,'Felosztás eredménykim'!$B185,'Eredeti fejléccel'!$AK:$AK)</f>
        <v>0</v>
      </c>
      <c r="AY185" s="6">
        <f>SUMIF('Eredeti fejléccel'!$B:$B,'Felosztás eredménykim'!$B185,'Eredeti fejléccel'!$AL:$AL)</f>
        <v>0</v>
      </c>
      <c r="AZ185" s="6">
        <f>SUMIF('Eredeti fejléccel'!$B:$B,'Felosztás eredménykim'!$B185,'Eredeti fejléccel'!$AM:$AM)</f>
        <v>0</v>
      </c>
      <c r="BA185" s="6">
        <f>SUMIF('Eredeti fejléccel'!$B:$B,'Felosztás eredménykim'!$B185,'Eredeti fejléccel'!$AN:$AN)</f>
        <v>0</v>
      </c>
      <c r="BB185" s="6">
        <f>SUMIF('Eredeti fejléccel'!$B:$B,'Felosztás eredménykim'!$B185,'Eredeti fejléccel'!$AP:$AP)</f>
        <v>0</v>
      </c>
      <c r="BD185" s="6">
        <f>SUMIF('Eredeti fejléccel'!$B:$B,'Felosztás eredménykim'!$B185,'Eredeti fejléccel'!$AS:$AS)</f>
        <v>0</v>
      </c>
      <c r="BE185" s="8">
        <f t="shared" si="238"/>
        <v>0</v>
      </c>
      <c r="BF185" s="36">
        <f t="shared" si="342"/>
        <v>0</v>
      </c>
      <c r="BG185" s="8">
        <f t="shared" si="219"/>
        <v>0</v>
      </c>
      <c r="BH185" s="6">
        <f t="shared" si="293"/>
        <v>0</v>
      </c>
      <c r="BI185" s="6">
        <f>SUMIF('Eredeti fejléccel'!$B:$B,'Felosztás eredménykim'!$B185,'Eredeti fejléccel'!$AH:$AH)</f>
        <v>0</v>
      </c>
      <c r="BJ185" s="6">
        <f>SUMIF('Eredeti fejléccel'!$B:$B,'Felosztás eredménykim'!$B185,'Eredeti fejléccel'!$AO:$AO)</f>
        <v>0</v>
      </c>
      <c r="BK185" s="6">
        <f>SUMIF('Eredeti fejléccel'!$B:$B,'Felosztás eredménykim'!$B185,'Eredeti fejléccel'!$BF:$BF)</f>
        <v>0</v>
      </c>
      <c r="BL185" s="8">
        <f t="shared" si="294"/>
        <v>0</v>
      </c>
      <c r="BM185" s="36">
        <f t="shared" si="343"/>
        <v>0</v>
      </c>
      <c r="BN185" s="8">
        <f t="shared" si="221"/>
        <v>0</v>
      </c>
      <c r="BP185" s="8">
        <f t="shared" si="295"/>
        <v>0</v>
      </c>
      <c r="BQ185" s="6">
        <f>SUMIF('Eredeti fejléccel'!$B:$B,'Felosztás eredménykim'!$B185,'Eredeti fejléccel'!$N:$N)</f>
        <v>0</v>
      </c>
      <c r="BR185" s="6">
        <f>SUMIF('Eredeti fejléccel'!$B:$B,'Felosztás eredménykim'!$B185,'Eredeti fejléccel'!$S:$S)</f>
        <v>0</v>
      </c>
      <c r="BT185" s="6">
        <f>SUMIF('Eredeti fejléccel'!$B:$B,'Felosztás eredménykim'!$B185,'Eredeti fejléccel'!$AR:$AR)</f>
        <v>0</v>
      </c>
      <c r="BU185" s="6">
        <f>SUMIF('Eredeti fejléccel'!$B:$B,'Felosztás eredménykim'!$B185,'Eredeti fejléccel'!$AU:$AU)</f>
        <v>0</v>
      </c>
      <c r="BV185" s="6">
        <f>SUMIF('Eredeti fejléccel'!$B:$B,'Felosztás eredménykim'!$B185,'Eredeti fejléccel'!$AV:$AV)</f>
        <v>0</v>
      </c>
      <c r="BW185" s="6">
        <f>SUMIF('Eredeti fejléccel'!$B:$B,'Felosztás eredménykim'!$B185,'Eredeti fejléccel'!$AW:$AW)</f>
        <v>0</v>
      </c>
      <c r="BX185" s="6">
        <f>SUMIF('Eredeti fejléccel'!$B:$B,'Felosztás eredménykim'!$B185,'Eredeti fejléccel'!$AX:$AX)</f>
        <v>0</v>
      </c>
      <c r="BY185" s="6">
        <f>SUMIF('Eredeti fejléccel'!$B:$B,'Felosztás eredménykim'!$B185,'Eredeti fejléccel'!$AY:$AY)</f>
        <v>0</v>
      </c>
      <c r="BZ185" s="6">
        <f>SUMIF('Eredeti fejléccel'!$B:$B,'Felosztás eredménykim'!$B185,'Eredeti fejléccel'!$AZ:$AZ)</f>
        <v>0</v>
      </c>
      <c r="CA185" s="6">
        <f>SUMIF('Eredeti fejléccel'!$B:$B,'Felosztás eredménykim'!$B185,'Eredeti fejléccel'!$BA:$BA)</f>
        <v>0</v>
      </c>
      <c r="CB185" s="6">
        <f t="shared" si="253"/>
        <v>0</v>
      </c>
      <c r="CC185" s="36">
        <f t="shared" si="344"/>
        <v>0</v>
      </c>
      <c r="CD185" s="8">
        <f t="shared" si="223"/>
        <v>0</v>
      </c>
      <c r="CE185" s="6">
        <f>SUMIF('Eredeti fejléccel'!$B:$B,'Felosztás eredménykim'!$B185,'Eredeti fejléccel'!$BC:$BC)</f>
        <v>0</v>
      </c>
      <c r="CF185" s="8">
        <f t="shared" si="300"/>
        <v>0</v>
      </c>
      <c r="CG185" s="6">
        <f>SUMIF('Eredeti fejléccel'!$B:$B,'Felosztás eredménykim'!$B185,'Eredeti fejléccel'!$H:$H)</f>
        <v>0</v>
      </c>
      <c r="CH185" s="6">
        <f>SUMIF('Eredeti fejléccel'!$B:$B,'Felosztás eredménykim'!$B185,'Eredeti fejléccel'!$BE:$BE)</f>
        <v>0</v>
      </c>
      <c r="CI185" s="6">
        <f t="shared" si="239"/>
        <v>0</v>
      </c>
      <c r="CJ185" s="36">
        <f t="shared" si="345"/>
        <v>0</v>
      </c>
      <c r="CK185" s="8">
        <f t="shared" si="225"/>
        <v>0</v>
      </c>
      <c r="CL185" s="8">
        <f t="shared" si="301"/>
        <v>0</v>
      </c>
      <c r="CM185" s="6">
        <f>SUMIF('Eredeti fejléccel'!$B:$B,'Felosztás eredménykim'!$B185,'Eredeti fejléccel'!$BD:$BD)</f>
        <v>0</v>
      </c>
      <c r="CN185" s="8">
        <f t="shared" si="240"/>
        <v>0</v>
      </c>
      <c r="CO185" s="8">
        <f t="shared" si="254"/>
        <v>0</v>
      </c>
      <c r="CR185" s="36">
        <f t="shared" si="226"/>
        <v>0</v>
      </c>
      <c r="CS185" s="6">
        <f>SUMIF('Eredeti fejléccel'!$B:$B,'Felosztás eredménykim'!$B185,'Eredeti fejléccel'!$I:$I)</f>
        <v>0</v>
      </c>
      <c r="CT185" s="6">
        <f>SUMIF('Eredeti fejléccel'!$B:$B,'Felosztás eredménykim'!$B185,'Eredeti fejléccel'!$BG:$BG)</f>
        <v>0</v>
      </c>
      <c r="CU185" s="6">
        <f>SUMIF('Eredeti fejléccel'!$B:$B,'Felosztás eredménykim'!$B185,'Eredeti fejléccel'!$BH:$BH)</f>
        <v>0</v>
      </c>
      <c r="CV185" s="6">
        <f>SUMIF('Eredeti fejléccel'!$B:$B,'Felosztás eredménykim'!$B185,'Eredeti fejléccel'!$BI:$BI)</f>
        <v>0</v>
      </c>
      <c r="CW185" s="6">
        <f>SUMIF('Eredeti fejléccel'!$B:$B,'Felosztás eredménykim'!$B185,'Eredeti fejléccel'!$BL:$BL)</f>
        <v>0</v>
      </c>
      <c r="CX185" s="6">
        <f t="shared" si="241"/>
        <v>0</v>
      </c>
      <c r="CY185" s="6">
        <f>SUMIF('Eredeti fejléccel'!$B:$B,'Felosztás eredménykim'!$B185,'Eredeti fejléccel'!$BJ:$BJ)</f>
        <v>0</v>
      </c>
      <c r="CZ185" s="6">
        <f>SUMIF('Eredeti fejléccel'!$B:$B,'Felosztás eredménykim'!$B185,'Eredeti fejléccel'!$BK:$BK)</f>
        <v>0</v>
      </c>
      <c r="DA185" s="99">
        <f t="shared" si="242"/>
        <v>0</v>
      </c>
      <c r="DC185" s="36">
        <f t="shared" si="227"/>
        <v>0</v>
      </c>
      <c r="DD185" s="6">
        <f>SUMIF('Eredeti fejléccel'!$B:$B,'Felosztás eredménykim'!$B185,'Eredeti fejléccel'!$J:$J)</f>
        <v>0</v>
      </c>
      <c r="DE185" s="6">
        <f>SUMIF('Eredeti fejléccel'!$B:$B,'Felosztás eredménykim'!$B185,'Eredeti fejléccel'!$BM:$BM)</f>
        <v>0</v>
      </c>
      <c r="DF185" s="6">
        <f t="shared" si="296"/>
        <v>0</v>
      </c>
      <c r="DG185" s="8">
        <f t="shared" si="255"/>
        <v>0</v>
      </c>
      <c r="DH185" s="8">
        <f t="shared" si="297"/>
        <v>0</v>
      </c>
      <c r="DJ185" s="6">
        <f>SUMIF('Eredeti fejléccel'!$B:$B,'Felosztás eredménykim'!$B185,'Eredeti fejléccel'!$BN:$BN)</f>
        <v>0</v>
      </c>
      <c r="DK185" s="6">
        <f>SUMIF('Eredeti fejléccel'!$B:$B,'Felosztás eredménykim'!$B185,'Eredeti fejléccel'!$BZ:$BZ)</f>
        <v>0</v>
      </c>
      <c r="DL185" s="8">
        <f t="shared" si="298"/>
        <v>0</v>
      </c>
      <c r="DM185" s="6">
        <f>SUMIF('Eredeti fejléccel'!$B:$B,'Felosztás eredménykim'!$B185,'Eredeti fejléccel'!$BR:$BR)</f>
        <v>0</v>
      </c>
      <c r="DN185" s="6">
        <f>SUMIF('Eredeti fejléccel'!$B:$B,'Felosztás eredménykim'!$B185,'Eredeti fejléccel'!$BS:$BS)</f>
        <v>0</v>
      </c>
      <c r="DO185" s="6">
        <f>SUMIF('Eredeti fejléccel'!$B:$B,'Felosztás eredménykim'!$B185,'Eredeti fejléccel'!$BO:$BO)</f>
        <v>0</v>
      </c>
      <c r="DP185" s="6">
        <f>SUMIF('Eredeti fejléccel'!$B:$B,'Felosztás eredménykim'!$B185,'Eredeti fejléccel'!$BP:$BP)</f>
        <v>0</v>
      </c>
      <c r="DQ185" s="6">
        <f>SUMIF('Eredeti fejléccel'!$B:$B,'Felosztás eredménykim'!$B185,'Eredeti fejléccel'!$BQ:$BQ)</f>
        <v>0</v>
      </c>
      <c r="DS185" s="8"/>
      <c r="DU185" s="6">
        <f>SUMIF('Eredeti fejléccel'!$B:$B,'Felosztás eredménykim'!$B185,'Eredeti fejléccel'!$BT:$BT)</f>
        <v>0</v>
      </c>
      <c r="DV185" s="6">
        <f>SUMIF('Eredeti fejléccel'!$B:$B,'Felosztás eredménykim'!$B185,'Eredeti fejléccel'!$BU:$BU)</f>
        <v>0</v>
      </c>
      <c r="DW185" s="6">
        <f>SUMIF('Eredeti fejléccel'!$B:$B,'Felosztás eredménykim'!$B185,'Eredeti fejléccel'!$BV:$BV)</f>
        <v>0</v>
      </c>
      <c r="DX185" s="6">
        <f>SUMIF('Eredeti fejléccel'!$B:$B,'Felosztás eredménykim'!$B185,'Eredeti fejléccel'!$BW:$BW)</f>
        <v>0</v>
      </c>
      <c r="DY185" s="6">
        <f>SUMIF('Eredeti fejléccel'!$B:$B,'Felosztás eredménykim'!$B185,'Eredeti fejléccel'!$BX:$BX)</f>
        <v>0</v>
      </c>
      <c r="EA185" s="6"/>
      <c r="EC185" s="6"/>
      <c r="EE185" s="6">
        <f>SUMIF('Eredeti fejléccel'!$B:$B,'Felosztás eredménykim'!$B185,'Eredeti fejléccel'!$CA:$CA)</f>
        <v>0</v>
      </c>
      <c r="EF185" s="6">
        <f>SUMIF('Eredeti fejléccel'!$B:$B,'Felosztás eredménykim'!$B185,'Eredeti fejléccel'!$CB:$CB)</f>
        <v>0</v>
      </c>
      <c r="EG185" s="6">
        <f>SUMIF('Eredeti fejléccel'!$B:$B,'Felosztás eredménykim'!$B185,'Eredeti fejléccel'!$CC:$CC)</f>
        <v>0</v>
      </c>
      <c r="EH185" s="6">
        <f>SUMIF('Eredeti fejléccel'!$B:$B,'Felosztás eredménykim'!$B185,'Eredeti fejléccel'!$CD:$CD)</f>
        <v>0</v>
      </c>
      <c r="EK185" s="6">
        <f>SUMIF('Eredeti fejléccel'!$B:$B,'Felosztás eredménykim'!$B185,'Eredeti fejléccel'!$CE:$CE)</f>
        <v>0</v>
      </c>
      <c r="EN185" s="6">
        <f>SUMIF('Eredeti fejléccel'!$B:$B,'Felosztás eredménykim'!$B185,'Eredeti fejléccel'!$CF:$CF)</f>
        <v>0</v>
      </c>
      <c r="EP185" s="6">
        <f>SUMIF('Eredeti fejléccel'!$B:$B,'Felosztás eredménykim'!$B185,'Eredeti fejléccel'!$CG:$CG)</f>
        <v>0</v>
      </c>
      <c r="ES185" s="6">
        <f>SUMIF('Eredeti fejléccel'!$B:$B,'Felosztás eredménykim'!$B185,'Eredeti fejléccel'!$CH:$CH)</f>
        <v>0</v>
      </c>
      <c r="ET185" s="6">
        <f>SUMIF('Eredeti fejléccel'!$B:$B,'Felosztás eredménykim'!$B185,'Eredeti fejléccel'!$CI:$CI)</f>
        <v>0</v>
      </c>
      <c r="EW185" s="8">
        <f t="shared" si="288"/>
        <v>0</v>
      </c>
      <c r="EX185" s="8">
        <f t="shared" si="243"/>
        <v>0</v>
      </c>
      <c r="EY185" s="8">
        <f t="shared" si="244"/>
        <v>0</v>
      </c>
      <c r="EZ185" s="8">
        <f t="shared" si="289"/>
        <v>0</v>
      </c>
      <c r="FA185" s="8">
        <f t="shared" si="290"/>
        <v>0</v>
      </c>
      <c r="FC185" s="6">
        <f>SUMIF('Eredeti fejléccel'!$B:$B,'Felosztás eredménykim'!$B185,'Eredeti fejléccel'!$L:$L)</f>
        <v>0</v>
      </c>
      <c r="FD185" s="6">
        <f>SUMIF('Eredeti fejléccel'!$B:$B,'Felosztás eredménykim'!$B185,'Eredeti fejléccel'!$CJ:$CJ)</f>
        <v>0</v>
      </c>
      <c r="FE185" s="6">
        <f>SUMIF('Eredeti fejléccel'!$B:$B,'Felosztás eredménykim'!$B185,'Eredeti fejléccel'!$CL:$CL)</f>
        <v>0</v>
      </c>
      <c r="FG185" s="99">
        <f t="shared" si="245"/>
        <v>0</v>
      </c>
      <c r="FH185" s="6">
        <f>SUMIF('Eredeti fejléccel'!$B:$B,'Felosztás eredménykim'!$B185,'Eredeti fejléccel'!$CK:$CK)</f>
        <v>0</v>
      </c>
      <c r="FI185" s="36">
        <f t="shared" si="346"/>
        <v>0</v>
      </c>
      <c r="FJ185" s="101">
        <f t="shared" si="229"/>
        <v>0</v>
      </c>
      <c r="FK185" s="6">
        <f>SUMIF('Eredeti fejléccel'!$B:$B,'Felosztás eredménykim'!$B185,'Eredeti fejléccel'!$CM:$CM)</f>
        <v>0</v>
      </c>
      <c r="FL185" s="6">
        <f>SUMIF('Eredeti fejléccel'!$B:$B,'Felosztás eredménykim'!$B185,'Eredeti fejléccel'!$CN:$CN)</f>
        <v>0</v>
      </c>
      <c r="FM185" s="8">
        <f t="shared" si="246"/>
        <v>0</v>
      </c>
      <c r="FN185" s="36">
        <f t="shared" si="347"/>
        <v>0</v>
      </c>
      <c r="FO185" s="101">
        <f t="shared" si="231"/>
        <v>0</v>
      </c>
      <c r="FP185" s="6">
        <f>SUMIF('Eredeti fejléccel'!$B:$B,'Felosztás eredménykim'!$B185,'Eredeti fejléccel'!$CO:$CO)</f>
        <v>0</v>
      </c>
      <c r="FQ185" s="6">
        <f>'Eredeti fejléccel'!CP185</f>
        <v>0</v>
      </c>
      <c r="FR185" s="6">
        <f>'Eredeti fejléccel'!CQ185</f>
        <v>0</v>
      </c>
      <c r="FS185" s="103">
        <f t="shared" si="247"/>
        <v>0</v>
      </c>
      <c r="FT185" s="36">
        <f t="shared" si="348"/>
        <v>0</v>
      </c>
      <c r="FU185" s="101">
        <f t="shared" si="233"/>
        <v>0</v>
      </c>
      <c r="FV185" s="101"/>
      <c r="FW185" s="6">
        <f>SUMIF('Eredeti fejléccel'!$B:$B,'Felosztás eredménykim'!$B185,'Eredeti fejléccel'!$CR:$CR)</f>
        <v>0</v>
      </c>
      <c r="FX185" s="6">
        <f>SUMIF('Eredeti fejléccel'!$B:$B,'Felosztás eredménykim'!$B185,'Eredeti fejléccel'!$CS:$CS)</f>
        <v>0</v>
      </c>
      <c r="FY185" s="6">
        <f>SUMIF('Eredeti fejléccel'!$B:$B,'Felosztás eredménykim'!$B185,'Eredeti fejléccel'!$CT:$CT)</f>
        <v>0</v>
      </c>
      <c r="FZ185" s="6">
        <f>SUMIF('Eredeti fejléccel'!$B:$B,'Felosztás eredménykim'!$B185,'Eredeti fejléccel'!$CU:$CU)</f>
        <v>0</v>
      </c>
      <c r="GA185" s="103">
        <f t="shared" si="248"/>
        <v>0</v>
      </c>
      <c r="GB185" s="36">
        <f t="shared" si="349"/>
        <v>0</v>
      </c>
      <c r="GC185" s="101">
        <f t="shared" si="235"/>
        <v>0</v>
      </c>
      <c r="GD185" s="6">
        <f>SUMIF('Eredeti fejléccel'!$B:$B,'Felosztás eredménykim'!$B185,'Eredeti fejléccel'!$CV:$CV)</f>
        <v>0</v>
      </c>
      <c r="GE185" s="6">
        <f>SUMIF('Eredeti fejléccel'!$B:$B,'Felosztás eredménykim'!$B185,'Eredeti fejléccel'!$CW:$CW)</f>
        <v>0</v>
      </c>
      <c r="GF185" s="103">
        <f t="shared" si="249"/>
        <v>0</v>
      </c>
      <c r="GG185" s="36">
        <f t="shared" si="236"/>
        <v>0</v>
      </c>
      <c r="GM185" s="6">
        <f>SUMIF('Eredeti fejléccel'!$B:$B,'Felosztás eredménykim'!$B185,'Eredeti fejléccel'!$CX:$CX)</f>
        <v>0</v>
      </c>
      <c r="GN185" s="6">
        <f>SUMIF('Eredeti fejléccel'!$B:$B,'Felosztás eredménykim'!$B185,'Eredeti fejléccel'!$CY:$CY)</f>
        <v>0</v>
      </c>
      <c r="GO185" s="6">
        <f>SUMIF('Eredeti fejléccel'!$B:$B,'Felosztás eredménykim'!$B185,'Eredeti fejléccel'!$CZ:$CZ)</f>
        <v>0</v>
      </c>
      <c r="GP185" s="6">
        <f>SUMIF('Eredeti fejléccel'!$B:$B,'Felosztás eredménykim'!$B185,'Eredeti fejléccel'!$DA:$DA)</f>
        <v>0</v>
      </c>
      <c r="GQ185" s="6">
        <f>SUMIF('Eredeti fejléccel'!$B:$B,'Felosztás eredménykim'!$B185,'Eredeti fejléccel'!$DB:$DB)</f>
        <v>0</v>
      </c>
      <c r="GR185" s="103">
        <f t="shared" si="250"/>
        <v>0</v>
      </c>
      <c r="GW185" s="36">
        <f t="shared" si="237"/>
        <v>0</v>
      </c>
      <c r="GX185" s="6">
        <f>SUMIF('Eredeti fejléccel'!$B:$B,'Felosztás eredménykim'!$B185,'Eredeti fejléccel'!$M:$M)</f>
        <v>0</v>
      </c>
      <c r="GY185" s="6">
        <f>SUMIF('Eredeti fejléccel'!$B:$B,'Felosztás eredménykim'!$B185,'Eredeti fejléccel'!$DC:$DC)</f>
        <v>0</v>
      </c>
      <c r="GZ185" s="6">
        <f>SUMIF('Eredeti fejléccel'!$B:$B,'Felosztás eredménykim'!$B185,'Eredeti fejléccel'!$DD:$DD)</f>
        <v>0</v>
      </c>
      <c r="HA185" s="6">
        <f>SUMIF('Eredeti fejléccel'!$B:$B,'Felosztás eredménykim'!$B185,'Eredeti fejléccel'!$DE:$DE)</f>
        <v>0</v>
      </c>
      <c r="HB185" s="103">
        <f t="shared" si="251"/>
        <v>0</v>
      </c>
      <c r="HD185" s="9">
        <f t="shared" si="350"/>
        <v>68031926</v>
      </c>
      <c r="HE185" s="9">
        <v>68031926</v>
      </c>
      <c r="HF185" s="476"/>
      <c r="HH185" s="34">
        <f t="shared" si="252"/>
        <v>0</v>
      </c>
    </row>
    <row r="186" spans="1:216" x14ac:dyDescent="0.25">
      <c r="A186" s="4" t="s">
        <v>876</v>
      </c>
      <c r="B186" s="4" t="s">
        <v>876</v>
      </c>
      <c r="D186" s="6">
        <f>SUMIF('Eredeti fejléccel'!$B:$B,'Felosztás eredménykim'!$B186,'Eredeti fejléccel'!$D:$D)</f>
        <v>0</v>
      </c>
      <c r="E186" s="6">
        <f>SUMIF('Eredeti fejléccel'!$B:$B,'Felosztás eredménykim'!$B186,'Eredeti fejléccel'!$E:$E)</f>
        <v>0</v>
      </c>
      <c r="F186" s="6">
        <f>SUMIF('Eredeti fejléccel'!$B:$B,'Felosztás eredménykim'!$B186,'Eredeti fejléccel'!$F:$F)</f>
        <v>0</v>
      </c>
      <c r="G186" s="6">
        <f>SUMIF('Eredeti fejléccel'!$B:$B,'Felosztás eredménykim'!$B186,'Eredeti fejléccel'!$G:$G)</f>
        <v>0</v>
      </c>
      <c r="H186" s="6"/>
      <c r="I186" s="6">
        <f>SUMIF('Eredeti fejléccel'!$B:$B,'Felosztás eredménykim'!$B186,'Eredeti fejléccel'!$O:$O)</f>
        <v>0</v>
      </c>
      <c r="J186" s="6">
        <f>SUMIF('Eredeti fejléccel'!$B:$B,'Felosztás eredménykim'!$B186,'Eredeti fejléccel'!$P:$P)</f>
        <v>0</v>
      </c>
      <c r="K186" s="6">
        <f>SUMIF('Eredeti fejléccel'!$B:$B,'Felosztás eredménykim'!$B186,'Eredeti fejléccel'!$Q:$Q)</f>
        <v>0</v>
      </c>
      <c r="L186" s="6">
        <f>SUMIF('Eredeti fejléccel'!$B:$B,'Felosztás eredménykim'!$B186,'Eredeti fejléccel'!$R:$R)</f>
        <v>0</v>
      </c>
      <c r="M186" s="6">
        <f>SUMIF('Eredeti fejléccel'!$B:$B,'Felosztás eredménykim'!$B186,'Eredeti fejléccel'!$T:$T)</f>
        <v>0</v>
      </c>
      <c r="N186" s="6">
        <f>SUMIF('Eredeti fejléccel'!$B:$B,'Felosztás eredménykim'!$B186,'Eredeti fejléccel'!$U:$U)</f>
        <v>0</v>
      </c>
      <c r="O186" s="6">
        <f>SUMIF('Eredeti fejléccel'!$B:$B,'Felosztás eredménykim'!$B186,'Eredeti fejléccel'!$V:$V)</f>
        <v>0</v>
      </c>
      <c r="P186" s="6">
        <f>SUMIF('Eredeti fejléccel'!$B:$B,'Felosztás eredménykim'!$B186,'Eredeti fejléccel'!$W:$W)</f>
        <v>0</v>
      </c>
      <c r="Q186" s="6">
        <f>SUMIF('Eredeti fejléccel'!$B:$B,'Felosztás eredménykim'!$B186,'Eredeti fejléccel'!$X:$X)</f>
        <v>0</v>
      </c>
      <c r="R186" s="6">
        <f>SUMIF('Eredeti fejléccel'!$B:$B,'Felosztás eredménykim'!$B186,'Eredeti fejléccel'!$Y:$Y)</f>
        <v>0</v>
      </c>
      <c r="S186" s="6">
        <f>SUMIF('Eredeti fejléccel'!$B:$B,'Felosztás eredménykim'!$B186,'Eredeti fejléccel'!$Z:$Z)</f>
        <v>0</v>
      </c>
      <c r="T186" s="6">
        <f>SUMIF('Eredeti fejléccel'!$B:$B,'Felosztás eredménykim'!$B186,'Eredeti fejléccel'!$AA:$AA)</f>
        <v>0</v>
      </c>
      <c r="U186" s="6">
        <f>SUMIF('Eredeti fejléccel'!$B:$B,'Felosztás eredménykim'!$B186,'Eredeti fejléccel'!$D:$D)</f>
        <v>0</v>
      </c>
      <c r="V186" s="6">
        <f>SUMIF('Eredeti fejléccel'!$B:$B,'Felosztás eredménykim'!$B186,'Eredeti fejléccel'!$AT:$AT)</f>
        <v>80445553</v>
      </c>
      <c r="W186" s="36">
        <f t="shared" si="302"/>
        <v>-80445553</v>
      </c>
      <c r="X186" s="36">
        <f t="shared" si="211"/>
        <v>0</v>
      </c>
      <c r="Z186" s="6">
        <f>SUMIF('Eredeti fejléccel'!$B:$B,'Felosztás eredménykim'!$B186,'Eredeti fejléccel'!$K:$K)</f>
        <v>0</v>
      </c>
      <c r="AB186" s="6">
        <f>SUMIF('Eredeti fejléccel'!$B:$B,'Felosztás eredménykim'!$B186,'Eredeti fejléccel'!$AB:$AB)</f>
        <v>0</v>
      </c>
      <c r="AC186" s="6">
        <f>SUMIF('Eredeti fejléccel'!$B:$B,'Felosztás eredménykim'!$B186,'Eredeti fejléccel'!$AQ:$AQ)</f>
        <v>0</v>
      </c>
      <c r="AE186" s="73">
        <f t="shared" si="299"/>
        <v>0</v>
      </c>
      <c r="AF186" s="36">
        <f t="shared" si="339"/>
        <v>0</v>
      </c>
      <c r="AG186" s="8">
        <f t="shared" si="213"/>
        <v>0</v>
      </c>
      <c r="AI186" s="6">
        <f>SUMIF('Eredeti fejléccel'!$B:$B,'Felosztás eredménykim'!$B186,'Eredeti fejléccel'!$BB:$BB)</f>
        <v>0</v>
      </c>
      <c r="AJ186" s="6">
        <f>SUMIF('Eredeti fejléccel'!$B:$B,'Felosztás eredménykim'!$B186,'Eredeti fejléccel'!$AF:$AF)</f>
        <v>0</v>
      </c>
      <c r="AK186" s="8">
        <f t="shared" si="177"/>
        <v>0</v>
      </c>
      <c r="AL186" s="36">
        <f t="shared" si="340"/>
        <v>0</v>
      </c>
      <c r="AM186" s="8">
        <f t="shared" si="215"/>
        <v>0</v>
      </c>
      <c r="AN186" s="6">
        <f t="shared" si="291"/>
        <v>0</v>
      </c>
      <c r="AO186" s="6">
        <f>SUMIF('Eredeti fejléccel'!$B:$B,'Felosztás eredménykim'!$B186,'Eredeti fejléccel'!$AC:$AC)</f>
        <v>0</v>
      </c>
      <c r="AP186" s="6">
        <f>SUMIF('Eredeti fejléccel'!$B:$B,'Felosztás eredménykim'!$B186,'Eredeti fejléccel'!$AD:$AD)</f>
        <v>0</v>
      </c>
      <c r="AQ186" s="6">
        <f>SUMIF('Eredeti fejléccel'!$B:$B,'Felosztás eredménykim'!$B186,'Eredeti fejléccel'!$AE:$AE)</f>
        <v>0</v>
      </c>
      <c r="AR186" s="6">
        <f>SUMIF('Eredeti fejléccel'!$B:$B,'Felosztás eredménykim'!$B186,'Eredeti fejléccel'!$AG:$AG)</f>
        <v>0</v>
      </c>
      <c r="AS186" s="6">
        <f t="shared" si="292"/>
        <v>0</v>
      </c>
      <c r="AT186" s="36">
        <f t="shared" si="341"/>
        <v>0</v>
      </c>
      <c r="AU186" s="8">
        <f t="shared" si="217"/>
        <v>0</v>
      </c>
      <c r="AV186" s="6">
        <f>SUMIF('Eredeti fejléccel'!$B:$B,'Felosztás eredménykim'!$B186,'Eredeti fejléccel'!$AI:$AI)</f>
        <v>0</v>
      </c>
      <c r="AW186" s="6">
        <f>SUMIF('Eredeti fejléccel'!$B:$B,'Felosztás eredménykim'!$B186,'Eredeti fejléccel'!$AJ:$AJ)</f>
        <v>0</v>
      </c>
      <c r="AX186" s="6">
        <f>SUMIF('Eredeti fejléccel'!$B:$B,'Felosztás eredménykim'!$B186,'Eredeti fejléccel'!$AK:$AK)</f>
        <v>0</v>
      </c>
      <c r="AY186" s="6">
        <f>SUMIF('Eredeti fejléccel'!$B:$B,'Felosztás eredménykim'!$B186,'Eredeti fejléccel'!$AL:$AL)</f>
        <v>0</v>
      </c>
      <c r="AZ186" s="6">
        <f>SUMIF('Eredeti fejléccel'!$B:$B,'Felosztás eredménykim'!$B186,'Eredeti fejléccel'!$AM:$AM)</f>
        <v>0</v>
      </c>
      <c r="BA186" s="6">
        <f>SUMIF('Eredeti fejléccel'!$B:$B,'Felosztás eredménykim'!$B186,'Eredeti fejléccel'!$AN:$AN)</f>
        <v>0</v>
      </c>
      <c r="BB186" s="6">
        <f>SUMIF('Eredeti fejléccel'!$B:$B,'Felosztás eredménykim'!$B186,'Eredeti fejléccel'!$AP:$AP)</f>
        <v>0</v>
      </c>
      <c r="BD186" s="6">
        <f>SUMIF('Eredeti fejléccel'!$B:$B,'Felosztás eredménykim'!$B186,'Eredeti fejléccel'!$AS:$AS)</f>
        <v>0</v>
      </c>
      <c r="BE186" s="8">
        <f t="shared" si="238"/>
        <v>0</v>
      </c>
      <c r="BF186" s="36">
        <f t="shared" si="342"/>
        <v>0</v>
      </c>
      <c r="BG186" s="8">
        <f t="shared" si="219"/>
        <v>0</v>
      </c>
      <c r="BH186" s="6">
        <f t="shared" si="293"/>
        <v>0</v>
      </c>
      <c r="BI186" s="6">
        <f>SUMIF('Eredeti fejléccel'!$B:$B,'Felosztás eredménykim'!$B186,'Eredeti fejléccel'!$AH:$AH)</f>
        <v>0</v>
      </c>
      <c r="BJ186" s="6">
        <f>SUMIF('Eredeti fejléccel'!$B:$B,'Felosztás eredménykim'!$B186,'Eredeti fejléccel'!$AO:$AO)</f>
        <v>0</v>
      </c>
      <c r="BK186" s="6">
        <f>SUMIF('Eredeti fejléccel'!$B:$B,'Felosztás eredménykim'!$B186,'Eredeti fejléccel'!$BF:$BF)</f>
        <v>0</v>
      </c>
      <c r="BL186" s="8">
        <f t="shared" si="294"/>
        <v>0</v>
      </c>
      <c r="BM186" s="36">
        <f t="shared" si="343"/>
        <v>0</v>
      </c>
      <c r="BN186" s="8">
        <f t="shared" si="221"/>
        <v>0</v>
      </c>
      <c r="BP186" s="8">
        <f t="shared" si="295"/>
        <v>0</v>
      </c>
      <c r="BQ186" s="6">
        <f>SUMIF('Eredeti fejléccel'!$B:$B,'Felosztás eredménykim'!$B186,'Eredeti fejléccel'!$N:$N)</f>
        <v>0</v>
      </c>
      <c r="BR186" s="6">
        <f>SUMIF('Eredeti fejléccel'!$B:$B,'Felosztás eredménykim'!$B186,'Eredeti fejléccel'!$S:$S)</f>
        <v>0</v>
      </c>
      <c r="BT186" s="6">
        <f>SUMIF('Eredeti fejléccel'!$B:$B,'Felosztás eredménykim'!$B186,'Eredeti fejléccel'!$AR:$AR)</f>
        <v>0</v>
      </c>
      <c r="BU186" s="6">
        <f>SUMIF('Eredeti fejléccel'!$B:$B,'Felosztás eredménykim'!$B186,'Eredeti fejléccel'!$AU:$AU)</f>
        <v>0</v>
      </c>
      <c r="BV186" s="6">
        <f>SUMIF('Eredeti fejléccel'!$B:$B,'Felosztás eredménykim'!$B186,'Eredeti fejléccel'!$AV:$AV)</f>
        <v>0</v>
      </c>
      <c r="BW186" s="6">
        <f>SUMIF('Eredeti fejléccel'!$B:$B,'Felosztás eredménykim'!$B186,'Eredeti fejléccel'!$AW:$AW)</f>
        <v>0</v>
      </c>
      <c r="BX186" s="6">
        <f>SUMIF('Eredeti fejléccel'!$B:$B,'Felosztás eredménykim'!$B186,'Eredeti fejléccel'!$AX:$AX)</f>
        <v>0</v>
      </c>
      <c r="BY186" s="6">
        <f>SUMIF('Eredeti fejléccel'!$B:$B,'Felosztás eredménykim'!$B186,'Eredeti fejléccel'!$AY:$AY)</f>
        <v>0</v>
      </c>
      <c r="BZ186" s="6">
        <f>SUMIF('Eredeti fejléccel'!$B:$B,'Felosztás eredménykim'!$B186,'Eredeti fejléccel'!$AZ:$AZ)</f>
        <v>0</v>
      </c>
      <c r="CA186" s="6">
        <f>SUMIF('Eredeti fejléccel'!$B:$B,'Felosztás eredménykim'!$B186,'Eredeti fejléccel'!$BA:$BA)</f>
        <v>0</v>
      </c>
      <c r="CB186" s="6">
        <f t="shared" si="253"/>
        <v>0</v>
      </c>
      <c r="CC186" s="36">
        <f t="shared" si="344"/>
        <v>0</v>
      </c>
      <c r="CD186" s="8">
        <f t="shared" si="223"/>
        <v>0</v>
      </c>
      <c r="CE186" s="6">
        <f>SUMIF('Eredeti fejléccel'!$B:$B,'Felosztás eredménykim'!$B186,'Eredeti fejléccel'!$BC:$BC)</f>
        <v>0</v>
      </c>
      <c r="CF186" s="8">
        <f t="shared" si="300"/>
        <v>0</v>
      </c>
      <c r="CG186" s="6">
        <f>SUMIF('Eredeti fejléccel'!$B:$B,'Felosztás eredménykim'!$B186,'Eredeti fejléccel'!$H:$H)</f>
        <v>0</v>
      </c>
      <c r="CH186" s="6">
        <f>SUMIF('Eredeti fejléccel'!$B:$B,'Felosztás eredménykim'!$B186,'Eredeti fejléccel'!$BE:$BE)</f>
        <v>0</v>
      </c>
      <c r="CI186" s="6">
        <f t="shared" si="239"/>
        <v>0</v>
      </c>
      <c r="CJ186" s="36">
        <f t="shared" si="345"/>
        <v>0</v>
      </c>
      <c r="CK186" s="8">
        <f t="shared" si="225"/>
        <v>0</v>
      </c>
      <c r="CL186" s="8">
        <f t="shared" si="301"/>
        <v>0</v>
      </c>
      <c r="CM186" s="6">
        <f>SUMIF('Eredeti fejléccel'!$B:$B,'Felosztás eredménykim'!$B186,'Eredeti fejléccel'!$BD:$BD)</f>
        <v>0</v>
      </c>
      <c r="CN186" s="8">
        <f t="shared" si="240"/>
        <v>0</v>
      </c>
      <c r="CO186" s="8">
        <f t="shared" si="254"/>
        <v>0</v>
      </c>
      <c r="CR186" s="36">
        <f t="shared" si="226"/>
        <v>0</v>
      </c>
      <c r="CS186" s="6">
        <f>SUMIF('Eredeti fejléccel'!$B:$B,'Felosztás eredménykim'!$B186,'Eredeti fejléccel'!$I:$I)</f>
        <v>0</v>
      </c>
      <c r="CT186" s="6">
        <f>SUMIF('Eredeti fejléccel'!$B:$B,'Felosztás eredménykim'!$B186,'Eredeti fejléccel'!$BG:$BG)</f>
        <v>0</v>
      </c>
      <c r="CU186" s="6">
        <f>SUMIF('Eredeti fejléccel'!$B:$B,'Felosztás eredménykim'!$B186,'Eredeti fejléccel'!$BH:$BH)</f>
        <v>0</v>
      </c>
      <c r="CV186" s="6">
        <f>SUMIF('Eredeti fejléccel'!$B:$B,'Felosztás eredménykim'!$B186,'Eredeti fejléccel'!$BI:$BI)</f>
        <v>0</v>
      </c>
      <c r="CW186" s="6">
        <f>SUMIF('Eredeti fejléccel'!$B:$B,'Felosztás eredménykim'!$B186,'Eredeti fejléccel'!$BL:$BL)</f>
        <v>0</v>
      </c>
      <c r="CX186" s="6">
        <f t="shared" si="241"/>
        <v>0</v>
      </c>
      <c r="CY186" s="6">
        <f>SUMIF('Eredeti fejléccel'!$B:$B,'Felosztás eredménykim'!$B186,'Eredeti fejléccel'!$BJ:$BJ)</f>
        <v>0</v>
      </c>
      <c r="CZ186" s="6">
        <f>SUMIF('Eredeti fejléccel'!$B:$B,'Felosztás eredménykim'!$B186,'Eredeti fejléccel'!$BK:$BK)</f>
        <v>0</v>
      </c>
      <c r="DA186" s="99">
        <f t="shared" si="242"/>
        <v>0</v>
      </c>
      <c r="DC186" s="36">
        <f t="shared" si="227"/>
        <v>0</v>
      </c>
      <c r="DD186" s="6">
        <f>SUMIF('Eredeti fejléccel'!$B:$B,'Felosztás eredménykim'!$B186,'Eredeti fejléccel'!$J:$J)</f>
        <v>0</v>
      </c>
      <c r="DE186" s="6">
        <f>SUMIF('Eredeti fejléccel'!$B:$B,'Felosztás eredménykim'!$B186,'Eredeti fejléccel'!$BM:$BM)</f>
        <v>0</v>
      </c>
      <c r="DF186" s="6">
        <f t="shared" si="296"/>
        <v>0</v>
      </c>
      <c r="DG186" s="8">
        <f t="shared" si="255"/>
        <v>0</v>
      </c>
      <c r="DH186" s="8">
        <f t="shared" si="297"/>
        <v>0</v>
      </c>
      <c r="DJ186" s="6">
        <f>SUMIF('Eredeti fejléccel'!$B:$B,'Felosztás eredménykim'!$B186,'Eredeti fejléccel'!$BN:$BN)</f>
        <v>0</v>
      </c>
      <c r="DK186" s="6">
        <f>SUMIF('Eredeti fejléccel'!$B:$B,'Felosztás eredménykim'!$B186,'Eredeti fejléccel'!$BZ:$BZ)</f>
        <v>0</v>
      </c>
      <c r="DL186" s="8">
        <f t="shared" si="298"/>
        <v>0</v>
      </c>
      <c r="DM186" s="6">
        <f>SUMIF('Eredeti fejléccel'!$B:$B,'Felosztás eredménykim'!$B186,'Eredeti fejléccel'!$BR:$BR)</f>
        <v>0</v>
      </c>
      <c r="DN186" s="6">
        <f>SUMIF('Eredeti fejléccel'!$B:$B,'Felosztás eredménykim'!$B186,'Eredeti fejléccel'!$BS:$BS)</f>
        <v>0</v>
      </c>
      <c r="DO186" s="6">
        <f>SUMIF('Eredeti fejléccel'!$B:$B,'Felosztás eredménykim'!$B186,'Eredeti fejléccel'!$BO:$BO)</f>
        <v>0</v>
      </c>
      <c r="DP186" s="6">
        <f>SUMIF('Eredeti fejléccel'!$B:$B,'Felosztás eredménykim'!$B186,'Eredeti fejléccel'!$BP:$BP)</f>
        <v>0</v>
      </c>
      <c r="DQ186" s="6">
        <f>SUMIF('Eredeti fejléccel'!$B:$B,'Felosztás eredménykim'!$B186,'Eredeti fejléccel'!$BQ:$BQ)</f>
        <v>0</v>
      </c>
      <c r="DS186" s="8"/>
      <c r="DU186" s="6">
        <f>SUMIF('Eredeti fejléccel'!$B:$B,'Felosztás eredménykim'!$B186,'Eredeti fejléccel'!$BT:$BT)</f>
        <v>0</v>
      </c>
      <c r="DV186" s="6">
        <f>SUMIF('Eredeti fejléccel'!$B:$B,'Felosztás eredménykim'!$B186,'Eredeti fejléccel'!$BU:$BU)</f>
        <v>0</v>
      </c>
      <c r="DW186" s="6">
        <f>SUMIF('Eredeti fejléccel'!$B:$B,'Felosztás eredménykim'!$B186,'Eredeti fejléccel'!$BV:$BV)</f>
        <v>0</v>
      </c>
      <c r="DX186" s="6">
        <f>SUMIF('Eredeti fejléccel'!$B:$B,'Felosztás eredménykim'!$B186,'Eredeti fejléccel'!$BW:$BW)</f>
        <v>0</v>
      </c>
      <c r="DY186" s="6">
        <f>SUMIF('Eredeti fejléccel'!$B:$B,'Felosztás eredménykim'!$B186,'Eredeti fejléccel'!$BX:$BX)</f>
        <v>0</v>
      </c>
      <c r="EA186" s="6"/>
      <c r="EC186" s="6"/>
      <c r="EE186" s="6">
        <f>SUMIF('Eredeti fejléccel'!$B:$B,'Felosztás eredménykim'!$B186,'Eredeti fejléccel'!$CA:$CA)</f>
        <v>0</v>
      </c>
      <c r="EF186" s="6">
        <f>SUMIF('Eredeti fejléccel'!$B:$B,'Felosztás eredménykim'!$B186,'Eredeti fejléccel'!$CB:$CB)</f>
        <v>0</v>
      </c>
      <c r="EG186" s="6">
        <f>SUMIF('Eredeti fejléccel'!$B:$B,'Felosztás eredménykim'!$B186,'Eredeti fejléccel'!$CC:$CC)</f>
        <v>0</v>
      </c>
      <c r="EH186" s="6">
        <f>SUMIF('Eredeti fejléccel'!$B:$B,'Felosztás eredménykim'!$B186,'Eredeti fejléccel'!$CD:$CD)</f>
        <v>0</v>
      </c>
      <c r="EK186" s="6">
        <f>SUMIF('Eredeti fejléccel'!$B:$B,'Felosztás eredménykim'!$B186,'Eredeti fejléccel'!$CE:$CE)</f>
        <v>0</v>
      </c>
      <c r="EN186" s="6">
        <f>SUMIF('Eredeti fejléccel'!$B:$B,'Felosztás eredménykim'!$B186,'Eredeti fejléccel'!$CF:$CF)</f>
        <v>0</v>
      </c>
      <c r="EP186" s="6">
        <f>SUMIF('Eredeti fejléccel'!$B:$B,'Felosztás eredménykim'!$B186,'Eredeti fejléccel'!$CG:$CG)</f>
        <v>0</v>
      </c>
      <c r="ES186" s="6">
        <f>SUMIF('Eredeti fejléccel'!$B:$B,'Felosztás eredménykim'!$B186,'Eredeti fejléccel'!$CH:$CH)</f>
        <v>0</v>
      </c>
      <c r="ET186" s="6">
        <f>SUMIF('Eredeti fejléccel'!$B:$B,'Felosztás eredménykim'!$B186,'Eredeti fejléccel'!$CI:$CI)</f>
        <v>0</v>
      </c>
      <c r="EW186" s="8">
        <f t="shared" si="288"/>
        <v>0</v>
      </c>
      <c r="EX186" s="8">
        <f t="shared" si="243"/>
        <v>0</v>
      </c>
      <c r="EY186" s="8">
        <f t="shared" si="244"/>
        <v>0</v>
      </c>
      <c r="EZ186" s="8">
        <f t="shared" si="289"/>
        <v>0</v>
      </c>
      <c r="FA186" s="8">
        <f t="shared" si="290"/>
        <v>0</v>
      </c>
      <c r="FC186" s="6">
        <f>SUMIF('Eredeti fejléccel'!$B:$B,'Felosztás eredménykim'!$B186,'Eredeti fejléccel'!$L:$L)</f>
        <v>0</v>
      </c>
      <c r="FD186" s="6">
        <f>SUMIF('Eredeti fejléccel'!$B:$B,'Felosztás eredménykim'!$B186,'Eredeti fejléccel'!$CJ:$CJ)</f>
        <v>0</v>
      </c>
      <c r="FE186" s="6">
        <f>SUMIF('Eredeti fejléccel'!$B:$B,'Felosztás eredménykim'!$B186,'Eredeti fejléccel'!$CL:$CL)</f>
        <v>0</v>
      </c>
      <c r="FG186" s="99">
        <f t="shared" si="245"/>
        <v>0</v>
      </c>
      <c r="FH186" s="6">
        <f>SUMIF('Eredeti fejléccel'!$B:$B,'Felosztás eredménykim'!$B186,'Eredeti fejléccel'!$CK:$CK)</f>
        <v>0</v>
      </c>
      <c r="FI186" s="36">
        <f t="shared" si="346"/>
        <v>0</v>
      </c>
      <c r="FJ186" s="101">
        <f t="shared" si="229"/>
        <v>0</v>
      </c>
      <c r="FK186" s="6">
        <f>SUMIF('Eredeti fejléccel'!$B:$B,'Felosztás eredménykim'!$B186,'Eredeti fejléccel'!$CM:$CM)</f>
        <v>0</v>
      </c>
      <c r="FL186" s="6">
        <f>SUMIF('Eredeti fejléccel'!$B:$B,'Felosztás eredménykim'!$B186,'Eredeti fejléccel'!$CN:$CN)</f>
        <v>0</v>
      </c>
      <c r="FM186" s="8">
        <f t="shared" si="246"/>
        <v>0</v>
      </c>
      <c r="FN186" s="36">
        <f t="shared" si="347"/>
        <v>0</v>
      </c>
      <c r="FO186" s="101">
        <f t="shared" si="231"/>
        <v>0</v>
      </c>
      <c r="FP186" s="6">
        <f>SUMIF('Eredeti fejléccel'!$B:$B,'Felosztás eredménykim'!$B186,'Eredeti fejléccel'!$CO:$CO)</f>
        <v>0</v>
      </c>
      <c r="FQ186" s="6">
        <f>'Eredeti fejléccel'!CP186</f>
        <v>0</v>
      </c>
      <c r="FR186" s="6">
        <f>'Eredeti fejléccel'!CQ186</f>
        <v>0</v>
      </c>
      <c r="FS186" s="103">
        <f t="shared" si="247"/>
        <v>0</v>
      </c>
      <c r="FT186" s="36">
        <f t="shared" si="348"/>
        <v>0</v>
      </c>
      <c r="FU186" s="101">
        <f t="shared" si="233"/>
        <v>0</v>
      </c>
      <c r="FV186" s="101"/>
      <c r="FW186" s="6">
        <f>SUMIF('Eredeti fejléccel'!$B:$B,'Felosztás eredménykim'!$B186,'Eredeti fejléccel'!$CR:$CR)</f>
        <v>0</v>
      </c>
      <c r="FX186" s="6">
        <f>SUMIF('Eredeti fejléccel'!$B:$B,'Felosztás eredménykim'!$B186,'Eredeti fejléccel'!$CS:$CS)</f>
        <v>0</v>
      </c>
      <c r="FY186" s="6">
        <f>SUMIF('Eredeti fejléccel'!$B:$B,'Felosztás eredménykim'!$B186,'Eredeti fejléccel'!$CT:$CT)</f>
        <v>0</v>
      </c>
      <c r="FZ186" s="6">
        <f>SUMIF('Eredeti fejléccel'!$B:$B,'Felosztás eredménykim'!$B186,'Eredeti fejléccel'!$CU:$CU)</f>
        <v>0</v>
      </c>
      <c r="GA186" s="103">
        <f t="shared" si="248"/>
        <v>0</v>
      </c>
      <c r="GB186" s="36">
        <f t="shared" si="349"/>
        <v>0</v>
      </c>
      <c r="GC186" s="101">
        <f t="shared" si="235"/>
        <v>0</v>
      </c>
      <c r="GD186" s="6">
        <f>SUMIF('Eredeti fejléccel'!$B:$B,'Felosztás eredménykim'!$B186,'Eredeti fejléccel'!$CV:$CV)</f>
        <v>0</v>
      </c>
      <c r="GE186" s="6">
        <f>SUMIF('Eredeti fejléccel'!$B:$B,'Felosztás eredménykim'!$B186,'Eredeti fejléccel'!$CW:$CW)</f>
        <v>0</v>
      </c>
      <c r="GF186" s="103">
        <f t="shared" si="249"/>
        <v>0</v>
      </c>
      <c r="GG186" s="36">
        <f t="shared" si="236"/>
        <v>0</v>
      </c>
      <c r="GM186" s="6">
        <f>SUMIF('Eredeti fejléccel'!$B:$B,'Felosztás eredménykim'!$B186,'Eredeti fejléccel'!$CX:$CX)</f>
        <v>0</v>
      </c>
      <c r="GN186" s="6">
        <f>SUMIF('Eredeti fejléccel'!$B:$B,'Felosztás eredménykim'!$B186,'Eredeti fejléccel'!$CY:$CY)</f>
        <v>0</v>
      </c>
      <c r="GO186" s="6">
        <f>SUMIF('Eredeti fejléccel'!$B:$B,'Felosztás eredménykim'!$B186,'Eredeti fejléccel'!$CZ:$CZ)</f>
        <v>0</v>
      </c>
      <c r="GP186" s="6">
        <f>SUMIF('Eredeti fejléccel'!$B:$B,'Felosztás eredménykim'!$B186,'Eredeti fejléccel'!$DA:$DA)</f>
        <v>0</v>
      </c>
      <c r="GQ186" s="6">
        <f>SUMIF('Eredeti fejléccel'!$B:$B,'Felosztás eredménykim'!$B186,'Eredeti fejléccel'!$DB:$DB)</f>
        <v>0</v>
      </c>
      <c r="GR186" s="103">
        <f t="shared" si="250"/>
        <v>0</v>
      </c>
      <c r="GW186" s="36">
        <f t="shared" si="237"/>
        <v>0</v>
      </c>
      <c r="GX186" s="6">
        <f>SUMIF('Eredeti fejléccel'!$B:$B,'Felosztás eredménykim'!$B186,'Eredeti fejléccel'!$M:$M)</f>
        <v>0</v>
      </c>
      <c r="GY186" s="6">
        <f>SUMIF('Eredeti fejléccel'!$B:$B,'Felosztás eredménykim'!$B186,'Eredeti fejléccel'!$DC:$DC)</f>
        <v>0</v>
      </c>
      <c r="GZ186" s="6">
        <f>SUMIF('Eredeti fejléccel'!$B:$B,'Felosztás eredménykim'!$B186,'Eredeti fejléccel'!$DD:$DD)</f>
        <v>0</v>
      </c>
      <c r="HA186" s="6">
        <f>SUMIF('Eredeti fejléccel'!$B:$B,'Felosztás eredménykim'!$B186,'Eredeti fejléccel'!$DE:$DE)</f>
        <v>0</v>
      </c>
      <c r="HB186" s="103">
        <f t="shared" si="251"/>
        <v>0</v>
      </c>
      <c r="HD186" s="9">
        <f t="shared" si="350"/>
        <v>80445553</v>
      </c>
      <c r="HE186" s="9">
        <v>80445553</v>
      </c>
      <c r="HF186" s="476"/>
      <c r="HH186" s="34">
        <f t="shared" si="252"/>
        <v>0</v>
      </c>
    </row>
    <row r="187" spans="1:216" x14ac:dyDescent="0.25">
      <c r="A187" s="4" t="s">
        <v>1776</v>
      </c>
      <c r="B187" s="4" t="s">
        <v>1776</v>
      </c>
      <c r="C187" s="1" t="s">
        <v>1777</v>
      </c>
      <c r="D187" s="6">
        <f>SUMIF('Eredeti fejléccel'!$B:$B,'Felosztás eredménykim'!$B187,'Eredeti fejléccel'!$D:$D)</f>
        <v>0</v>
      </c>
      <c r="E187" s="6">
        <f>SUMIF('Eredeti fejléccel'!$B:$B,'Felosztás eredménykim'!$B187,'Eredeti fejléccel'!$E:$E)</f>
        <v>0</v>
      </c>
      <c r="F187" s="6">
        <f>SUMIF('Eredeti fejléccel'!$B:$B,'Felosztás eredménykim'!$B187,'Eredeti fejléccel'!$F:$F)</f>
        <v>0</v>
      </c>
      <c r="G187" s="6">
        <f>SUMIF('Eredeti fejléccel'!$B:$B,'Felosztás eredménykim'!$B187,'Eredeti fejléccel'!$G:$G)</f>
        <v>0</v>
      </c>
      <c r="H187" s="6"/>
      <c r="I187" s="6">
        <f>SUMIF('Eredeti fejléccel'!$B:$B,'Felosztás eredménykim'!$B187,'Eredeti fejléccel'!$O:$O)</f>
        <v>0</v>
      </c>
      <c r="J187" s="6">
        <f>SUMIF('Eredeti fejléccel'!$B:$B,'Felosztás eredménykim'!$B187,'Eredeti fejléccel'!$P:$P)</f>
        <v>0</v>
      </c>
      <c r="K187" s="6">
        <f>SUMIF('Eredeti fejléccel'!$B:$B,'Felosztás eredménykim'!$B187,'Eredeti fejléccel'!$Q:$Q)</f>
        <v>0</v>
      </c>
      <c r="L187" s="6">
        <f>SUMIF('Eredeti fejléccel'!$B:$B,'Felosztás eredménykim'!$B187,'Eredeti fejléccel'!$R:$R)</f>
        <v>0</v>
      </c>
      <c r="M187" s="6">
        <f>SUMIF('Eredeti fejléccel'!$B:$B,'Felosztás eredménykim'!$B187,'Eredeti fejléccel'!$T:$T)</f>
        <v>0</v>
      </c>
      <c r="N187" s="6">
        <f>SUMIF('Eredeti fejléccel'!$B:$B,'Felosztás eredménykim'!$B187,'Eredeti fejléccel'!$U:$U)</f>
        <v>0</v>
      </c>
      <c r="O187" s="6">
        <f>SUMIF('Eredeti fejléccel'!$B:$B,'Felosztás eredménykim'!$B187,'Eredeti fejléccel'!$V:$V)</f>
        <v>0</v>
      </c>
      <c r="P187" s="6">
        <f>SUMIF('Eredeti fejléccel'!$B:$B,'Felosztás eredménykim'!$B187,'Eredeti fejléccel'!$W:$W)</f>
        <v>0</v>
      </c>
      <c r="Q187" s="6">
        <f>SUMIF('Eredeti fejléccel'!$B:$B,'Felosztás eredménykim'!$B187,'Eredeti fejléccel'!$X:$X)</f>
        <v>0</v>
      </c>
      <c r="R187" s="6">
        <f>SUMIF('Eredeti fejléccel'!$B:$B,'Felosztás eredménykim'!$B187,'Eredeti fejléccel'!$Y:$Y)</f>
        <v>0</v>
      </c>
      <c r="S187" s="6">
        <f>SUMIF('Eredeti fejléccel'!$B:$B,'Felosztás eredménykim'!$B187,'Eredeti fejléccel'!$Z:$Z)</f>
        <v>0</v>
      </c>
      <c r="T187" s="6">
        <f>SUMIF('Eredeti fejléccel'!$B:$B,'Felosztás eredménykim'!$B187,'Eredeti fejléccel'!$AA:$AA)</f>
        <v>0</v>
      </c>
      <c r="U187" s="6">
        <f>SUMIF('Eredeti fejléccel'!$B:$B,'Felosztás eredménykim'!$B187,'Eredeti fejléccel'!$D:$D)</f>
        <v>0</v>
      </c>
      <c r="V187" s="6">
        <f>SUMIF('Eredeti fejléccel'!$B:$B,'Felosztás eredménykim'!$B187,'Eredeti fejléccel'!$AT:$AT)</f>
        <v>0</v>
      </c>
      <c r="W187" s="36">
        <f t="shared" si="302"/>
        <v>0</v>
      </c>
      <c r="X187" s="36">
        <f t="shared" si="211"/>
        <v>0</v>
      </c>
      <c r="Z187" s="6">
        <f>SUMIF('Eredeti fejléccel'!$B:$B,'Felosztás eredménykim'!$B187,'Eredeti fejléccel'!$K:$K)</f>
        <v>0</v>
      </c>
      <c r="AB187" s="6">
        <f>SUMIF('Eredeti fejléccel'!$B:$B,'Felosztás eredménykim'!$B187,'Eredeti fejléccel'!$AB:$AB)</f>
        <v>0</v>
      </c>
      <c r="AC187" s="6">
        <f>SUMIF('Eredeti fejléccel'!$B:$B,'Felosztás eredménykim'!$B187,'Eredeti fejléccel'!$AQ:$AQ)</f>
        <v>0</v>
      </c>
      <c r="AE187" s="73">
        <f>SUM(Z187:AD187)</f>
        <v>0</v>
      </c>
      <c r="AF187" s="36">
        <f t="shared" si="339"/>
        <v>0</v>
      </c>
      <c r="AG187" s="8">
        <f t="shared" si="213"/>
        <v>0</v>
      </c>
      <c r="AI187" s="6">
        <f>SUMIF('Eredeti fejléccel'!$B:$B,'Felosztás eredménykim'!$B187,'Eredeti fejléccel'!$BB:$BB)</f>
        <v>0</v>
      </c>
      <c r="AJ187" s="6">
        <f>SUMIF('Eredeti fejléccel'!$B:$B,'Felosztás eredménykim'!$B187,'Eredeti fejléccel'!$AF:$AF)</f>
        <v>0</v>
      </c>
      <c r="AK187" s="8">
        <f>SUM(AG187:AJ187)</f>
        <v>0</v>
      </c>
      <c r="AL187" s="36">
        <f t="shared" si="340"/>
        <v>0</v>
      </c>
      <c r="AM187" s="8">
        <f t="shared" si="215"/>
        <v>0</v>
      </c>
      <c r="AN187" s="6">
        <f t="shared" ref="AN187" si="351">-AO187/2</f>
        <v>0</v>
      </c>
      <c r="AO187" s="6">
        <f>SUMIF('Eredeti fejléccel'!$B:$B,'Felosztás eredménykim'!$B187,'Eredeti fejléccel'!$AC:$AC)</f>
        <v>0</v>
      </c>
      <c r="AP187" s="6">
        <f>SUMIF('Eredeti fejléccel'!$B:$B,'Felosztás eredménykim'!$B187,'Eredeti fejléccel'!$AD:$AD)</f>
        <v>0</v>
      </c>
      <c r="AQ187" s="6">
        <f>SUMIF('Eredeti fejléccel'!$B:$B,'Felosztás eredménykim'!$B187,'Eredeti fejléccel'!$AE:$AE)</f>
        <v>0</v>
      </c>
      <c r="AR187" s="6">
        <f>SUMIF('Eredeti fejléccel'!$B:$B,'Felosztás eredménykim'!$B187,'Eredeti fejléccel'!$AG:$AG)</f>
        <v>0</v>
      </c>
      <c r="AS187" s="6">
        <f t="shared" ref="AS187" si="352">SUM(AM187:AR187)</f>
        <v>0</v>
      </c>
      <c r="AT187" s="36">
        <f t="shared" si="341"/>
        <v>0</v>
      </c>
      <c r="AU187" s="8">
        <f t="shared" si="217"/>
        <v>0</v>
      </c>
      <c r="AV187" s="6">
        <f>SUMIF('Eredeti fejléccel'!$B:$B,'Felosztás eredménykim'!$B187,'Eredeti fejléccel'!$AI:$AI)</f>
        <v>0</v>
      </c>
      <c r="AW187" s="6">
        <f>SUMIF('Eredeti fejléccel'!$B:$B,'Felosztás eredménykim'!$B187,'Eredeti fejléccel'!$AJ:$AJ)</f>
        <v>0</v>
      </c>
      <c r="AX187" s="6">
        <f>SUMIF('Eredeti fejléccel'!$B:$B,'Felosztás eredménykim'!$B187,'Eredeti fejléccel'!$AK:$AK)</f>
        <v>0</v>
      </c>
      <c r="AY187" s="6">
        <f>SUMIF('Eredeti fejléccel'!$B:$B,'Felosztás eredménykim'!$B187,'Eredeti fejléccel'!$AL:$AL)</f>
        <v>0</v>
      </c>
      <c r="AZ187" s="6">
        <f>SUMIF('Eredeti fejléccel'!$B:$B,'Felosztás eredménykim'!$B187,'Eredeti fejléccel'!$AM:$AM)</f>
        <v>0</v>
      </c>
      <c r="BA187" s="6">
        <f>SUMIF('Eredeti fejléccel'!$B:$B,'Felosztás eredménykim'!$B187,'Eredeti fejléccel'!$AN:$AN)</f>
        <v>0</v>
      </c>
      <c r="BB187" s="6">
        <f>SUMIF('Eredeti fejléccel'!$B:$B,'Felosztás eredménykim'!$B187,'Eredeti fejléccel'!$AP:$AP)</f>
        <v>0</v>
      </c>
      <c r="BD187" s="6">
        <f>SUMIF('Eredeti fejléccel'!$B:$B,'Felosztás eredménykim'!$B187,'Eredeti fejléccel'!$AS:$AS)</f>
        <v>0</v>
      </c>
      <c r="BE187" s="8">
        <f>SUM(AU187:BD187)</f>
        <v>0</v>
      </c>
      <c r="BF187" s="36">
        <f t="shared" si="342"/>
        <v>0</v>
      </c>
      <c r="BG187" s="8">
        <f t="shared" si="219"/>
        <v>0</v>
      </c>
      <c r="BH187" s="6">
        <f t="shared" ref="BH187" si="353">AO187/2</f>
        <v>0</v>
      </c>
      <c r="BI187" s="6">
        <f>SUMIF('Eredeti fejléccel'!$B:$B,'Felosztás eredménykim'!$B187,'Eredeti fejléccel'!$AH:$AH)</f>
        <v>0</v>
      </c>
      <c r="BJ187" s="6">
        <f>SUMIF('Eredeti fejléccel'!$B:$B,'Felosztás eredménykim'!$B187,'Eredeti fejléccel'!$AO:$AO)</f>
        <v>0</v>
      </c>
      <c r="BK187" s="6">
        <f>SUMIF('Eredeti fejléccel'!$B:$B,'Felosztás eredménykim'!$B187,'Eredeti fejléccel'!$BF:$BF)</f>
        <v>0</v>
      </c>
      <c r="BL187" s="8">
        <f t="shared" ref="BL187" si="354">SUM(BG187:BK187)</f>
        <v>0</v>
      </c>
      <c r="BM187" s="36">
        <f t="shared" si="343"/>
        <v>0</v>
      </c>
      <c r="BN187" s="8">
        <f t="shared" si="221"/>
        <v>0</v>
      </c>
      <c r="BP187" s="8">
        <f t="shared" ref="BP187" si="355">-FV187</f>
        <v>0</v>
      </c>
      <c r="BQ187" s="6">
        <f>SUMIF('Eredeti fejléccel'!$B:$B,'Felosztás eredménykim'!$B187,'Eredeti fejléccel'!$N:$N)</f>
        <v>0</v>
      </c>
      <c r="BR187" s="6">
        <f>SUMIF('Eredeti fejléccel'!$B:$B,'Felosztás eredménykim'!$B187,'Eredeti fejléccel'!$S:$S)</f>
        <v>0</v>
      </c>
      <c r="BT187" s="6">
        <f>SUMIF('Eredeti fejléccel'!$B:$B,'Felosztás eredménykim'!$B187,'Eredeti fejléccel'!$AR:$AR)</f>
        <v>0</v>
      </c>
      <c r="BU187" s="6">
        <f>SUMIF('Eredeti fejléccel'!$B:$B,'Felosztás eredménykim'!$B187,'Eredeti fejléccel'!$AU:$AU)</f>
        <v>0</v>
      </c>
      <c r="BV187" s="6">
        <f>SUMIF('Eredeti fejléccel'!$B:$B,'Felosztás eredménykim'!$B187,'Eredeti fejléccel'!$AV:$AV)</f>
        <v>0</v>
      </c>
      <c r="BW187" s="6">
        <f>SUMIF('Eredeti fejléccel'!$B:$B,'Felosztás eredménykim'!$B187,'Eredeti fejléccel'!$AW:$AW)</f>
        <v>0</v>
      </c>
      <c r="BX187" s="6">
        <f>SUMIF('Eredeti fejléccel'!$B:$B,'Felosztás eredménykim'!$B187,'Eredeti fejléccel'!$AX:$AX)</f>
        <v>0</v>
      </c>
      <c r="BY187" s="6">
        <f>SUMIF('Eredeti fejléccel'!$B:$B,'Felosztás eredménykim'!$B187,'Eredeti fejléccel'!$AY:$AY)</f>
        <v>0</v>
      </c>
      <c r="BZ187" s="6">
        <f>SUMIF('Eredeti fejléccel'!$B:$B,'Felosztás eredménykim'!$B187,'Eredeti fejléccel'!$AZ:$AZ)</f>
        <v>0</v>
      </c>
      <c r="CA187" s="6">
        <f>SUMIF('Eredeti fejléccel'!$B:$B,'Felosztás eredménykim'!$B187,'Eredeti fejléccel'!$BA:$BA)</f>
        <v>0</v>
      </c>
      <c r="CB187" s="6">
        <f t="shared" ref="CB187" si="356">SUM(BN187:CA187)</f>
        <v>0</v>
      </c>
      <c r="CC187" s="36">
        <f t="shared" si="344"/>
        <v>0</v>
      </c>
      <c r="CD187" s="8">
        <f t="shared" si="223"/>
        <v>0</v>
      </c>
      <c r="CE187" s="6">
        <f>SUMIF('Eredeti fejléccel'!$B:$B,'Felosztás eredménykim'!$B187,'Eredeti fejléccel'!$BC:$BC)</f>
        <v>0</v>
      </c>
      <c r="CF187" s="8">
        <f t="shared" ref="CF187" si="357">-CE187/2</f>
        <v>0</v>
      </c>
      <c r="CG187" s="6">
        <f>SUMIF('Eredeti fejléccel'!$B:$B,'Felosztás eredménykim'!$B187,'Eredeti fejléccel'!$H:$H)</f>
        <v>0</v>
      </c>
      <c r="CH187" s="6">
        <f>SUMIF('Eredeti fejléccel'!$B:$B,'Felosztás eredménykim'!$B187,'Eredeti fejléccel'!$BE:$BE)</f>
        <v>0</v>
      </c>
      <c r="CI187" s="6">
        <f>SUM(CD187:CH187)</f>
        <v>0</v>
      </c>
      <c r="CJ187" s="36">
        <f t="shared" si="345"/>
        <v>0</v>
      </c>
      <c r="CK187" s="8">
        <f t="shared" si="225"/>
        <v>0</v>
      </c>
      <c r="CL187" s="8">
        <f t="shared" ref="CL187" si="358">CE187/2</f>
        <v>0</v>
      </c>
      <c r="CM187" s="6">
        <f>SUMIF('Eredeti fejléccel'!$B:$B,'Felosztás eredménykim'!$B187,'Eredeti fejléccel'!$BD:$BD)</f>
        <v>0</v>
      </c>
      <c r="CN187" s="8">
        <f>SUM(CK187:CM187)</f>
        <v>0</v>
      </c>
      <c r="CO187" s="8">
        <f t="shared" ref="CO187" si="359">+AF187+AK187+AL187+AS187+AT187+BE187+BF187+BL187+BM187+CB187+CC187+CI187+CJ187+CN187</f>
        <v>0</v>
      </c>
      <c r="CR187" s="36">
        <f t="shared" si="226"/>
        <v>0</v>
      </c>
      <c r="CS187" s="6">
        <f>SUMIF('Eredeti fejléccel'!$B:$B,'Felosztás eredménykim'!$B187,'Eredeti fejléccel'!$I:$I)</f>
        <v>0</v>
      </c>
      <c r="CT187" s="6">
        <f>SUMIF('Eredeti fejléccel'!$B:$B,'Felosztás eredménykim'!$B187,'Eredeti fejléccel'!$BG:$BG)</f>
        <v>0</v>
      </c>
      <c r="CU187" s="6">
        <f>SUMIF('Eredeti fejléccel'!$B:$B,'Felosztás eredménykim'!$B187,'Eredeti fejléccel'!$BH:$BH)</f>
        <v>0</v>
      </c>
      <c r="CV187" s="6">
        <f>SUMIF('Eredeti fejléccel'!$B:$B,'Felosztás eredménykim'!$B187,'Eredeti fejléccel'!$BI:$BI)</f>
        <v>0</v>
      </c>
      <c r="CW187" s="6">
        <f>SUMIF('Eredeti fejléccel'!$B:$B,'Felosztás eredménykim'!$B187,'Eredeti fejléccel'!$BL:$BL)</f>
        <v>0</v>
      </c>
      <c r="CX187" s="6">
        <f>SUM(CS187:CW187)</f>
        <v>0</v>
      </c>
      <c r="CY187" s="6">
        <f>SUMIF('Eredeti fejléccel'!$B:$B,'Felosztás eredménykim'!$B187,'Eredeti fejléccel'!$BJ:$BJ)</f>
        <v>0</v>
      </c>
      <c r="CZ187" s="6">
        <f>SUMIF('Eredeti fejléccel'!$B:$B,'Felosztás eredménykim'!$B187,'Eredeti fejléccel'!$BK:$BK)</f>
        <v>0</v>
      </c>
      <c r="DA187" s="99">
        <f t="shared" si="242"/>
        <v>0</v>
      </c>
      <c r="DC187" s="36">
        <f t="shared" si="227"/>
        <v>0</v>
      </c>
      <c r="DD187" s="6">
        <f>SUMIF('Eredeti fejléccel'!$B:$B,'Felosztás eredménykim'!$B187,'Eredeti fejléccel'!$J:$J)</f>
        <v>0</v>
      </c>
      <c r="DE187" s="6">
        <f>SUMIF('Eredeti fejléccel'!$B:$B,'Felosztás eredménykim'!$B187,'Eredeti fejléccel'!$BM:$BM)</f>
        <v>0</v>
      </c>
      <c r="DF187" s="6">
        <f t="shared" ref="DF187" si="360">-DI187</f>
        <v>0</v>
      </c>
      <c r="DG187" s="8">
        <f t="shared" ref="DG187" si="361">-BO187</f>
        <v>0</v>
      </c>
      <c r="DH187" s="8">
        <f t="shared" ref="DH187" si="362">SUM(DD187:DG187)</f>
        <v>0</v>
      </c>
      <c r="DJ187" s="6">
        <f>SUMIF('Eredeti fejléccel'!$B:$B,'Felosztás eredménykim'!$B187,'Eredeti fejléccel'!$BN:$BN)</f>
        <v>0</v>
      </c>
      <c r="DK187" s="6">
        <f>SUMIF('Eredeti fejléccel'!$B:$B,'Felosztás eredménykim'!$B187,'Eredeti fejléccel'!$BZ:$BZ)</f>
        <v>0</v>
      </c>
      <c r="DL187" s="8">
        <f t="shared" ref="DL187" si="363">SUM(DI187:DK187)</f>
        <v>0</v>
      </c>
      <c r="DM187" s="6">
        <f>SUMIF('Eredeti fejléccel'!$B:$B,'Felosztás eredménykim'!$B187,'Eredeti fejléccel'!$BR:$BR)</f>
        <v>0</v>
      </c>
      <c r="DN187" s="6">
        <f>SUMIF('Eredeti fejléccel'!$B:$B,'Felosztás eredménykim'!$B187,'Eredeti fejléccel'!$BS:$BS)</f>
        <v>0</v>
      </c>
      <c r="DO187" s="6">
        <f>SUMIF('Eredeti fejléccel'!$B:$B,'Felosztás eredménykim'!$B187,'Eredeti fejléccel'!$BO:$BO)</f>
        <v>0</v>
      </c>
      <c r="DP187" s="6">
        <f>SUMIF('Eredeti fejléccel'!$B:$B,'Felosztás eredménykim'!$B187,'Eredeti fejléccel'!$BP:$BP)</f>
        <v>0</v>
      </c>
      <c r="DQ187" s="6">
        <f>SUMIF('Eredeti fejléccel'!$B:$B,'Felosztás eredménykim'!$B187,'Eredeti fejléccel'!$BQ:$BQ)</f>
        <v>0</v>
      </c>
      <c r="DS187" s="8"/>
      <c r="DU187" s="6">
        <f>SUMIF('Eredeti fejléccel'!$B:$B,'Felosztás eredménykim'!$B187,'Eredeti fejléccel'!$BT:$BT)</f>
        <v>0</v>
      </c>
      <c r="DV187" s="6">
        <f>SUMIF('Eredeti fejléccel'!$B:$B,'Felosztás eredménykim'!$B187,'Eredeti fejléccel'!$BU:$BU)</f>
        <v>0</v>
      </c>
      <c r="DW187" s="6">
        <f>SUMIF('Eredeti fejléccel'!$B:$B,'Felosztás eredménykim'!$B187,'Eredeti fejléccel'!$BV:$BV)</f>
        <v>0</v>
      </c>
      <c r="DX187" s="6">
        <f>SUMIF('Eredeti fejléccel'!$B:$B,'Felosztás eredménykim'!$B187,'Eredeti fejléccel'!$BW:$BW)</f>
        <v>0</v>
      </c>
      <c r="DY187" s="6">
        <f>SUMIF('Eredeti fejléccel'!$B:$B,'Felosztás eredménykim'!$B187,'Eredeti fejléccel'!$BX:$BX)</f>
        <v>0</v>
      </c>
      <c r="EA187" s="6"/>
      <c r="EC187" s="6"/>
      <c r="EE187" s="6">
        <f>SUMIF('Eredeti fejléccel'!$B:$B,'Felosztás eredménykim'!$B187,'Eredeti fejléccel'!$CA:$CA)</f>
        <v>0</v>
      </c>
      <c r="EF187" s="6">
        <f>SUMIF('Eredeti fejléccel'!$B:$B,'Felosztás eredménykim'!$B187,'Eredeti fejléccel'!$CB:$CB)</f>
        <v>0</v>
      </c>
      <c r="EG187" s="6">
        <f>SUMIF('Eredeti fejléccel'!$B:$B,'Felosztás eredménykim'!$B187,'Eredeti fejléccel'!$CC:$CC)</f>
        <v>0</v>
      </c>
      <c r="EH187" s="6">
        <f>SUMIF('Eredeti fejléccel'!$B:$B,'Felosztás eredménykim'!$B187,'Eredeti fejléccel'!$CD:$CD)</f>
        <v>0</v>
      </c>
      <c r="EK187" s="6">
        <f>SUMIF('Eredeti fejléccel'!$B:$B,'Felosztás eredménykim'!$B187,'Eredeti fejléccel'!$CE:$CE)</f>
        <v>0</v>
      </c>
      <c r="EN187" s="6">
        <f>SUMIF('Eredeti fejléccel'!$B:$B,'Felosztás eredménykim'!$B187,'Eredeti fejléccel'!$CF:$CF)</f>
        <v>0</v>
      </c>
      <c r="EP187" s="6">
        <f>SUMIF('Eredeti fejléccel'!$B:$B,'Felosztás eredménykim'!$B187,'Eredeti fejléccel'!$CG:$CG)</f>
        <v>0</v>
      </c>
      <c r="ES187" s="6">
        <f>SUMIF('Eredeti fejléccel'!$B:$B,'Felosztás eredménykim'!$B187,'Eredeti fejléccel'!$CH:$CH)</f>
        <v>0</v>
      </c>
      <c r="ET187" s="6">
        <f>SUMIF('Eredeti fejléccel'!$B:$B,'Felosztás eredménykim'!$B187,'Eredeti fejléccel'!$CI:$CI)</f>
        <v>0</v>
      </c>
      <c r="EW187" s="8">
        <f t="shared" ref="EW187" si="364">SUM(DR187:ED187)</f>
        <v>0</v>
      </c>
      <c r="EX187" s="8">
        <f>SUM(EE187:EV187)</f>
        <v>0</v>
      </c>
      <c r="EY187" s="8">
        <f t="shared" si="244"/>
        <v>0</v>
      </c>
      <c r="EZ187" s="8">
        <f t="shared" ref="EZ187" si="365">EY187+DL187+DM187+DN187+DO187+DP187+DQ187</f>
        <v>0</v>
      </c>
      <c r="FA187" s="8">
        <f t="shared" ref="FA187" si="366">EZ187-DL187-DM187</f>
        <v>0</v>
      </c>
      <c r="FC187" s="6">
        <f>SUMIF('Eredeti fejléccel'!$B:$B,'Felosztás eredménykim'!$B187,'Eredeti fejléccel'!$L:$L)</f>
        <v>0</v>
      </c>
      <c r="FD187" s="6">
        <f>SUMIF('Eredeti fejléccel'!$B:$B,'Felosztás eredménykim'!$B187,'Eredeti fejléccel'!$CJ:$CJ)</f>
        <v>0</v>
      </c>
      <c r="FE187" s="6">
        <f>SUMIF('Eredeti fejléccel'!$B:$B,'Felosztás eredménykim'!$B187,'Eredeti fejléccel'!$CL:$CL)</f>
        <v>0</v>
      </c>
      <c r="FG187" s="99">
        <f>SUM(FC187:FF187)</f>
        <v>0</v>
      </c>
      <c r="FH187" s="6">
        <f>SUMIF('Eredeti fejléccel'!$B:$B,'Felosztás eredménykim'!$B187,'Eredeti fejléccel'!$CK:$CK)</f>
        <v>0</v>
      </c>
      <c r="FI187" s="36">
        <f t="shared" si="346"/>
        <v>0</v>
      </c>
      <c r="FJ187" s="101">
        <f t="shared" si="229"/>
        <v>0</v>
      </c>
      <c r="FK187" s="6">
        <f>SUMIF('Eredeti fejléccel'!$B:$B,'Felosztás eredménykim'!$B187,'Eredeti fejléccel'!$CM:$CM)</f>
        <v>0</v>
      </c>
      <c r="FL187" s="6">
        <f>SUMIF('Eredeti fejléccel'!$B:$B,'Felosztás eredménykim'!$B187,'Eredeti fejléccel'!$CN:$CN)</f>
        <v>0</v>
      </c>
      <c r="FM187" s="8">
        <f>SUM(FJ187:FL187)</f>
        <v>0</v>
      </c>
      <c r="FN187" s="36">
        <f t="shared" si="347"/>
        <v>0</v>
      </c>
      <c r="FO187" s="101">
        <f t="shared" si="231"/>
        <v>0</v>
      </c>
      <c r="FP187" s="6">
        <f>SUMIF('Eredeti fejléccel'!$B:$B,'Felosztás eredménykim'!$B187,'Eredeti fejléccel'!$CO:$CO)</f>
        <v>0</v>
      </c>
      <c r="FQ187" s="6">
        <f>'Eredeti fejléccel'!CP187</f>
        <v>0</v>
      </c>
      <c r="FR187" s="6">
        <f>'Eredeti fejléccel'!CQ187</f>
        <v>0</v>
      </c>
      <c r="FS187" s="103">
        <f t="shared" ref="FS187" si="367">SUM(FO187:FR187)</f>
        <v>0</v>
      </c>
      <c r="FT187" s="36">
        <f t="shared" si="348"/>
        <v>0</v>
      </c>
      <c r="FU187" s="101">
        <f t="shared" si="233"/>
        <v>0</v>
      </c>
      <c r="FV187" s="101"/>
      <c r="FW187" s="6">
        <f>SUMIF('Eredeti fejléccel'!$B:$B,'Felosztás eredménykim'!$B187,'Eredeti fejléccel'!$CR:$CR)</f>
        <v>0</v>
      </c>
      <c r="FX187" s="6">
        <f>SUMIF('Eredeti fejléccel'!$B:$B,'Felosztás eredménykim'!$B187,'Eredeti fejléccel'!$CS:$CS)</f>
        <v>0</v>
      </c>
      <c r="FY187" s="6">
        <f>SUMIF('Eredeti fejléccel'!$B:$B,'Felosztás eredménykim'!$B187,'Eredeti fejléccel'!$CT:$CT)</f>
        <v>0</v>
      </c>
      <c r="FZ187" s="6">
        <f>SUMIF('Eredeti fejléccel'!$B:$B,'Felosztás eredménykim'!$B187,'Eredeti fejléccel'!$CU:$CU)</f>
        <v>0</v>
      </c>
      <c r="GA187" s="103">
        <f>SUM(FU187:FZ187)</f>
        <v>0</v>
      </c>
      <c r="GB187" s="36">
        <f t="shared" si="349"/>
        <v>0</v>
      </c>
      <c r="GC187" s="101">
        <f t="shared" si="235"/>
        <v>0</v>
      </c>
      <c r="GD187" s="6">
        <f>SUMIF('Eredeti fejléccel'!$B:$B,'Felosztás eredménykim'!$B187,'Eredeti fejléccel'!$CV:$CV)</f>
        <v>0</v>
      </c>
      <c r="GE187" s="6">
        <f>SUMIF('Eredeti fejléccel'!$B:$B,'Felosztás eredménykim'!$B187,'Eredeti fejléccel'!$CW:$CW)</f>
        <v>0</v>
      </c>
      <c r="GF187" s="103">
        <f>SUM(GC187:GE187)</f>
        <v>0</v>
      </c>
      <c r="GG187" s="36">
        <f t="shared" si="236"/>
        <v>0</v>
      </c>
      <c r="GM187" s="6">
        <f>SUMIF('Eredeti fejléccel'!$B:$B,'Felosztás eredménykim'!$B187,'Eredeti fejléccel'!$CX:$CX)</f>
        <v>0</v>
      </c>
      <c r="GN187" s="6">
        <f>SUMIF('Eredeti fejléccel'!$B:$B,'Felosztás eredménykim'!$B187,'Eredeti fejléccel'!$CY:$CY)</f>
        <v>0</v>
      </c>
      <c r="GO187" s="6">
        <f>SUMIF('Eredeti fejléccel'!$B:$B,'Felosztás eredménykim'!$B187,'Eredeti fejléccel'!$CZ:$CZ)</f>
        <v>0</v>
      </c>
      <c r="GP187" s="6">
        <f>SUMIF('Eredeti fejléccel'!$B:$B,'Felosztás eredménykim'!$B187,'Eredeti fejléccel'!$DA:$DA)</f>
        <v>0</v>
      </c>
      <c r="GQ187" s="6">
        <f>SUMIF('Eredeti fejléccel'!$B:$B,'Felosztás eredménykim'!$B187,'Eredeti fejléccel'!$DB:$DB)</f>
        <v>0</v>
      </c>
      <c r="GR187" s="103">
        <f>SUM(GH187:GQ187)</f>
        <v>0</v>
      </c>
      <c r="GW187" s="36">
        <f t="shared" si="237"/>
        <v>0</v>
      </c>
      <c r="GX187" s="6">
        <f>SUMIF('Eredeti fejléccel'!$B:$B,'Felosztás eredménykim'!$B187,'Eredeti fejléccel'!$M:$M)</f>
        <v>0</v>
      </c>
      <c r="GY187" s="6">
        <f>SUMIF('Eredeti fejléccel'!$B:$B,'Felosztás eredménykim'!$B187,'Eredeti fejléccel'!$DC:$DC)</f>
        <v>0</v>
      </c>
      <c r="GZ187" s="6">
        <f>SUMIF('Eredeti fejléccel'!$B:$B,'Felosztás eredménykim'!$B187,'Eredeti fejléccel'!$DD:$DD)</f>
        <v>0</v>
      </c>
      <c r="HA187" s="6">
        <f>SUMIF('Eredeti fejléccel'!$B:$B,'Felosztás eredménykim'!$B187,'Eredeti fejléccel'!$DE:$DE)</f>
        <v>0</v>
      </c>
      <c r="HB187" s="103">
        <f>SUM(GX187:HA187)</f>
        <v>0</v>
      </c>
      <c r="HD187" s="9">
        <f t="shared" si="350"/>
        <v>0</v>
      </c>
      <c r="HE187" s="9">
        <v>0</v>
      </c>
      <c r="HF187" s="476"/>
      <c r="HH187" s="34">
        <f>+HD187-HE187</f>
        <v>0</v>
      </c>
    </row>
    <row r="188" spans="1:216" x14ac:dyDescent="0.25">
      <c r="A188" s="4" t="s">
        <v>877</v>
      </c>
      <c r="B188" s="4" t="s">
        <v>877</v>
      </c>
      <c r="D188" s="6">
        <f>SUMIF('Eredeti fejléccel'!$B:$B,'Felosztás eredménykim'!$B188,'Eredeti fejléccel'!$D:$D)</f>
        <v>0</v>
      </c>
      <c r="E188" s="6">
        <f>SUMIF('Eredeti fejléccel'!$B:$B,'Felosztás eredménykim'!$B188,'Eredeti fejléccel'!$E:$E)</f>
        <v>0</v>
      </c>
      <c r="F188" s="6">
        <f>SUMIF('Eredeti fejléccel'!$B:$B,'Felosztás eredménykim'!$B188,'Eredeti fejléccel'!$F:$F)</f>
        <v>0</v>
      </c>
      <c r="G188" s="6">
        <f>SUMIF('Eredeti fejléccel'!$B:$B,'Felosztás eredménykim'!$B188,'Eredeti fejléccel'!$G:$G)</f>
        <v>0</v>
      </c>
      <c r="H188" s="6"/>
      <c r="I188" s="6">
        <f>SUMIF('Eredeti fejléccel'!$B:$B,'Felosztás eredménykim'!$B188,'Eredeti fejléccel'!$O:$O)</f>
        <v>0</v>
      </c>
      <c r="J188" s="6">
        <f>SUMIF('Eredeti fejléccel'!$B:$B,'Felosztás eredménykim'!$B188,'Eredeti fejléccel'!$P:$P)</f>
        <v>0</v>
      </c>
      <c r="K188" s="6">
        <f>SUMIF('Eredeti fejléccel'!$B:$B,'Felosztás eredménykim'!$B188,'Eredeti fejléccel'!$Q:$Q)</f>
        <v>0</v>
      </c>
      <c r="L188" s="6">
        <f>SUMIF('Eredeti fejléccel'!$B:$B,'Felosztás eredménykim'!$B188,'Eredeti fejléccel'!$R:$R)</f>
        <v>0</v>
      </c>
      <c r="M188" s="6">
        <f>SUMIF('Eredeti fejléccel'!$B:$B,'Felosztás eredménykim'!$B188,'Eredeti fejléccel'!$T:$T)</f>
        <v>0</v>
      </c>
      <c r="N188" s="6">
        <f>SUMIF('Eredeti fejléccel'!$B:$B,'Felosztás eredménykim'!$B188,'Eredeti fejléccel'!$U:$U)</f>
        <v>0</v>
      </c>
      <c r="O188" s="6">
        <f>SUMIF('Eredeti fejléccel'!$B:$B,'Felosztás eredménykim'!$B188,'Eredeti fejléccel'!$V:$V)</f>
        <v>0</v>
      </c>
      <c r="P188" s="6">
        <f>SUMIF('Eredeti fejléccel'!$B:$B,'Felosztás eredménykim'!$B188,'Eredeti fejléccel'!$W:$W)</f>
        <v>0</v>
      </c>
      <c r="Q188" s="6">
        <f>SUMIF('Eredeti fejléccel'!$B:$B,'Felosztás eredménykim'!$B188,'Eredeti fejléccel'!$X:$X)</f>
        <v>0</v>
      </c>
      <c r="R188" s="6">
        <f>SUMIF('Eredeti fejléccel'!$B:$B,'Felosztás eredménykim'!$B188,'Eredeti fejléccel'!$Y:$Y)</f>
        <v>0</v>
      </c>
      <c r="S188" s="6">
        <f>SUMIF('Eredeti fejléccel'!$B:$B,'Felosztás eredménykim'!$B188,'Eredeti fejléccel'!$Z:$Z)</f>
        <v>0</v>
      </c>
      <c r="T188" s="6">
        <f>SUMIF('Eredeti fejléccel'!$B:$B,'Felosztás eredménykim'!$B188,'Eredeti fejléccel'!$AA:$AA)</f>
        <v>0</v>
      </c>
      <c r="U188" s="6">
        <f>SUMIF('Eredeti fejléccel'!$B:$B,'Felosztás eredménykim'!$B188,'Eredeti fejléccel'!$D:$D)</f>
        <v>0</v>
      </c>
      <c r="V188" s="6">
        <f>SUMIF('Eredeti fejléccel'!$B:$B,'Felosztás eredménykim'!$B188,'Eredeti fejléccel'!$AT:$AT)</f>
        <v>0</v>
      </c>
      <c r="W188" s="36">
        <f t="shared" ref="W188:W206" si="368">-V188</f>
        <v>0</v>
      </c>
      <c r="X188" s="36">
        <f t="shared" si="211"/>
        <v>0</v>
      </c>
      <c r="Z188" s="6">
        <f>SUMIF('Eredeti fejléccel'!$B:$B,'Felosztás eredménykim'!$B188,'Eredeti fejléccel'!$K:$K)</f>
        <v>0</v>
      </c>
      <c r="AB188" s="6">
        <f>SUMIF('Eredeti fejléccel'!$B:$B,'Felosztás eredménykim'!$B188,'Eredeti fejléccel'!$AB:$AB)</f>
        <v>0</v>
      </c>
      <c r="AC188" s="6">
        <f>SUMIF('Eredeti fejléccel'!$B:$B,'Felosztás eredménykim'!$B188,'Eredeti fejléccel'!$AQ:$AQ)</f>
        <v>0</v>
      </c>
      <c r="AE188" s="73">
        <f t="shared" si="299"/>
        <v>0</v>
      </c>
      <c r="AF188" s="36">
        <f t="shared" si="339"/>
        <v>0</v>
      </c>
      <c r="AG188" s="8">
        <f t="shared" si="213"/>
        <v>0</v>
      </c>
      <c r="AI188" s="6">
        <f>SUMIF('Eredeti fejléccel'!$B:$B,'Felosztás eredménykim'!$B188,'Eredeti fejléccel'!$BB:$BB)</f>
        <v>0</v>
      </c>
      <c r="AJ188" s="6">
        <f>SUMIF('Eredeti fejléccel'!$B:$B,'Felosztás eredménykim'!$B188,'Eredeti fejléccel'!$AF:$AF)</f>
        <v>0</v>
      </c>
      <c r="AK188" s="8">
        <f t="shared" si="177"/>
        <v>0</v>
      </c>
      <c r="AL188" s="36">
        <f t="shared" si="340"/>
        <v>0</v>
      </c>
      <c r="AM188" s="8">
        <f t="shared" si="215"/>
        <v>0</v>
      </c>
      <c r="AN188" s="6">
        <f t="shared" si="291"/>
        <v>0</v>
      </c>
      <c r="AO188" s="6">
        <f>SUMIF('Eredeti fejléccel'!$B:$B,'Felosztás eredménykim'!$B188,'Eredeti fejléccel'!$AC:$AC)</f>
        <v>0</v>
      </c>
      <c r="AP188" s="6">
        <f>SUMIF('Eredeti fejléccel'!$B:$B,'Felosztás eredménykim'!$B188,'Eredeti fejléccel'!$AD:$AD)</f>
        <v>0</v>
      </c>
      <c r="AQ188" s="6">
        <f>SUMIF('Eredeti fejléccel'!$B:$B,'Felosztás eredménykim'!$B188,'Eredeti fejléccel'!$AE:$AE)</f>
        <v>0</v>
      </c>
      <c r="AR188" s="6">
        <f>SUMIF('Eredeti fejléccel'!$B:$B,'Felosztás eredménykim'!$B188,'Eredeti fejléccel'!$AG:$AG)</f>
        <v>0</v>
      </c>
      <c r="AS188" s="6">
        <f t="shared" si="292"/>
        <v>0</v>
      </c>
      <c r="AT188" s="36">
        <f t="shared" si="341"/>
        <v>0</v>
      </c>
      <c r="AU188" s="8">
        <f t="shared" si="217"/>
        <v>0</v>
      </c>
      <c r="AV188" s="6">
        <f>SUMIF('Eredeti fejléccel'!$B:$B,'Felosztás eredménykim'!$B188,'Eredeti fejléccel'!$AI:$AI)</f>
        <v>0</v>
      </c>
      <c r="AW188" s="6">
        <f>SUMIF('Eredeti fejléccel'!$B:$B,'Felosztás eredménykim'!$B188,'Eredeti fejléccel'!$AJ:$AJ)</f>
        <v>0</v>
      </c>
      <c r="AX188" s="6">
        <f>SUMIF('Eredeti fejléccel'!$B:$B,'Felosztás eredménykim'!$B188,'Eredeti fejléccel'!$AK:$AK)</f>
        <v>0</v>
      </c>
      <c r="AY188" s="6">
        <f>SUMIF('Eredeti fejléccel'!$B:$B,'Felosztás eredménykim'!$B188,'Eredeti fejléccel'!$AL:$AL)</f>
        <v>0</v>
      </c>
      <c r="AZ188" s="6">
        <f>SUMIF('Eredeti fejléccel'!$B:$B,'Felosztás eredménykim'!$B188,'Eredeti fejléccel'!$AM:$AM)</f>
        <v>0</v>
      </c>
      <c r="BA188" s="6">
        <f>SUMIF('Eredeti fejléccel'!$B:$B,'Felosztás eredménykim'!$B188,'Eredeti fejléccel'!$AN:$AN)</f>
        <v>0</v>
      </c>
      <c r="BB188" s="6">
        <f>SUMIF('Eredeti fejléccel'!$B:$B,'Felosztás eredménykim'!$B188,'Eredeti fejléccel'!$AP:$AP)</f>
        <v>0</v>
      </c>
      <c r="BD188" s="6">
        <f>SUMIF('Eredeti fejléccel'!$B:$B,'Felosztás eredménykim'!$B188,'Eredeti fejléccel'!$AS:$AS)</f>
        <v>0</v>
      </c>
      <c r="BE188" s="8">
        <f t="shared" si="238"/>
        <v>0</v>
      </c>
      <c r="BF188" s="36">
        <f t="shared" si="342"/>
        <v>0</v>
      </c>
      <c r="BG188" s="8">
        <f t="shared" si="219"/>
        <v>0</v>
      </c>
      <c r="BH188" s="6">
        <f t="shared" si="293"/>
        <v>0</v>
      </c>
      <c r="BI188" s="6">
        <f>SUMIF('Eredeti fejléccel'!$B:$B,'Felosztás eredménykim'!$B188,'Eredeti fejléccel'!$AH:$AH)</f>
        <v>0</v>
      </c>
      <c r="BJ188" s="6">
        <f>SUMIF('Eredeti fejléccel'!$B:$B,'Felosztás eredménykim'!$B188,'Eredeti fejléccel'!$AO:$AO)</f>
        <v>0</v>
      </c>
      <c r="BK188" s="6">
        <f>SUMIF('Eredeti fejléccel'!$B:$B,'Felosztás eredménykim'!$B188,'Eredeti fejléccel'!$BF:$BF)</f>
        <v>0</v>
      </c>
      <c r="BL188" s="8">
        <f t="shared" si="294"/>
        <v>0</v>
      </c>
      <c r="BM188" s="36">
        <f t="shared" si="343"/>
        <v>0</v>
      </c>
      <c r="BN188" s="8">
        <f t="shared" si="221"/>
        <v>0</v>
      </c>
      <c r="BP188" s="8">
        <f t="shared" si="295"/>
        <v>0</v>
      </c>
      <c r="BQ188" s="6">
        <f>SUMIF('Eredeti fejléccel'!$B:$B,'Felosztás eredménykim'!$B188,'Eredeti fejléccel'!$N:$N)</f>
        <v>0</v>
      </c>
      <c r="BR188" s="6">
        <f>SUMIF('Eredeti fejléccel'!$B:$B,'Felosztás eredménykim'!$B188,'Eredeti fejléccel'!$S:$S)</f>
        <v>0</v>
      </c>
      <c r="BT188" s="6">
        <f>SUMIF('Eredeti fejléccel'!$B:$B,'Felosztás eredménykim'!$B188,'Eredeti fejléccel'!$AR:$AR)</f>
        <v>0</v>
      </c>
      <c r="BU188" s="6">
        <f>SUMIF('Eredeti fejléccel'!$B:$B,'Felosztás eredménykim'!$B188,'Eredeti fejléccel'!$AU:$AU)</f>
        <v>0</v>
      </c>
      <c r="BV188" s="6">
        <f>SUMIF('Eredeti fejléccel'!$B:$B,'Felosztás eredménykim'!$B188,'Eredeti fejléccel'!$AV:$AV)</f>
        <v>0</v>
      </c>
      <c r="BW188" s="6">
        <f>SUMIF('Eredeti fejléccel'!$B:$B,'Felosztás eredménykim'!$B188,'Eredeti fejléccel'!$AW:$AW)</f>
        <v>0</v>
      </c>
      <c r="BX188" s="6">
        <f>SUMIF('Eredeti fejléccel'!$B:$B,'Felosztás eredménykim'!$B188,'Eredeti fejléccel'!$AX:$AX)</f>
        <v>0</v>
      </c>
      <c r="BY188" s="6">
        <f>SUMIF('Eredeti fejléccel'!$B:$B,'Felosztás eredménykim'!$B188,'Eredeti fejléccel'!$AY:$AY)</f>
        <v>0</v>
      </c>
      <c r="BZ188" s="6">
        <f>SUMIF('Eredeti fejléccel'!$B:$B,'Felosztás eredménykim'!$B188,'Eredeti fejléccel'!$AZ:$AZ)</f>
        <v>0</v>
      </c>
      <c r="CA188" s="6">
        <f>SUMIF('Eredeti fejléccel'!$B:$B,'Felosztás eredménykim'!$B188,'Eredeti fejléccel'!$BA:$BA)</f>
        <v>0</v>
      </c>
      <c r="CB188" s="6">
        <f t="shared" si="253"/>
        <v>0</v>
      </c>
      <c r="CC188" s="36">
        <f t="shared" si="344"/>
        <v>0</v>
      </c>
      <c r="CD188" s="8">
        <f t="shared" si="223"/>
        <v>0</v>
      </c>
      <c r="CE188" s="6">
        <f>SUMIF('Eredeti fejléccel'!$B:$B,'Felosztás eredménykim'!$B188,'Eredeti fejléccel'!$BC:$BC)</f>
        <v>0</v>
      </c>
      <c r="CF188" s="8">
        <f t="shared" si="300"/>
        <v>0</v>
      </c>
      <c r="CG188" s="6">
        <f>SUMIF('Eredeti fejléccel'!$B:$B,'Felosztás eredménykim'!$B188,'Eredeti fejléccel'!$H:$H)</f>
        <v>0</v>
      </c>
      <c r="CH188" s="6">
        <f>SUMIF('Eredeti fejléccel'!$B:$B,'Felosztás eredménykim'!$B188,'Eredeti fejléccel'!$BE:$BE)</f>
        <v>0</v>
      </c>
      <c r="CI188" s="6">
        <f t="shared" si="239"/>
        <v>0</v>
      </c>
      <c r="CJ188" s="36">
        <f t="shared" si="345"/>
        <v>0</v>
      </c>
      <c r="CK188" s="8">
        <f t="shared" si="225"/>
        <v>0</v>
      </c>
      <c r="CL188" s="8">
        <f t="shared" si="301"/>
        <v>0</v>
      </c>
      <c r="CM188" s="6">
        <f>SUMIF('Eredeti fejléccel'!$B:$B,'Felosztás eredménykim'!$B188,'Eredeti fejléccel'!$BD:$BD)</f>
        <v>0</v>
      </c>
      <c r="CN188" s="8">
        <f t="shared" si="240"/>
        <v>0</v>
      </c>
      <c r="CO188" s="8">
        <f t="shared" si="254"/>
        <v>0</v>
      </c>
      <c r="CR188" s="36">
        <f t="shared" si="226"/>
        <v>0</v>
      </c>
      <c r="CS188" s="6">
        <f>SUMIF('Eredeti fejléccel'!$B:$B,'Felosztás eredménykim'!$B188,'Eredeti fejléccel'!$I:$I)</f>
        <v>0</v>
      </c>
      <c r="CT188" s="6">
        <f>SUMIF('Eredeti fejléccel'!$B:$B,'Felosztás eredménykim'!$B188,'Eredeti fejléccel'!$BG:$BG)</f>
        <v>0</v>
      </c>
      <c r="CU188" s="6">
        <f>SUMIF('Eredeti fejléccel'!$B:$B,'Felosztás eredménykim'!$B188,'Eredeti fejléccel'!$BH:$BH)</f>
        <v>0</v>
      </c>
      <c r="CV188" s="6">
        <f>SUMIF('Eredeti fejléccel'!$B:$B,'Felosztás eredménykim'!$B188,'Eredeti fejléccel'!$BI:$BI)</f>
        <v>0</v>
      </c>
      <c r="CW188" s="6">
        <f>SUMIF('Eredeti fejléccel'!$B:$B,'Felosztás eredménykim'!$B188,'Eredeti fejléccel'!$BL:$BL)</f>
        <v>0</v>
      </c>
      <c r="CX188" s="6">
        <f t="shared" si="241"/>
        <v>0</v>
      </c>
      <c r="CY188" s="6">
        <f>SUMIF('Eredeti fejléccel'!$B:$B,'Felosztás eredménykim'!$B188,'Eredeti fejléccel'!$BJ:$BJ)</f>
        <v>0</v>
      </c>
      <c r="CZ188" s="6">
        <f>SUMIF('Eredeti fejléccel'!$B:$B,'Felosztás eredménykim'!$B188,'Eredeti fejléccel'!$BK:$BK)</f>
        <v>0</v>
      </c>
      <c r="DA188" s="99">
        <f t="shared" si="242"/>
        <v>0</v>
      </c>
      <c r="DC188" s="36">
        <f t="shared" si="227"/>
        <v>0</v>
      </c>
      <c r="DD188" s="6">
        <f>SUMIF('Eredeti fejléccel'!$B:$B,'Felosztás eredménykim'!$B188,'Eredeti fejléccel'!$J:$J)</f>
        <v>0</v>
      </c>
      <c r="DE188" s="6">
        <f>SUMIF('Eredeti fejléccel'!$B:$B,'Felosztás eredménykim'!$B188,'Eredeti fejléccel'!$BM:$BM)</f>
        <v>0</v>
      </c>
      <c r="DF188" s="6">
        <f t="shared" si="296"/>
        <v>0</v>
      </c>
      <c r="DG188" s="8">
        <f t="shared" si="255"/>
        <v>0</v>
      </c>
      <c r="DH188" s="8">
        <f t="shared" si="297"/>
        <v>0</v>
      </c>
      <c r="DJ188" s="6">
        <f>SUMIF('Eredeti fejléccel'!$B:$B,'Felosztás eredménykim'!$B188,'Eredeti fejléccel'!$BN:$BN)</f>
        <v>0</v>
      </c>
      <c r="DK188" s="6">
        <f>SUMIF('Eredeti fejléccel'!$B:$B,'Felosztás eredménykim'!$B188,'Eredeti fejléccel'!$BZ:$BZ)</f>
        <v>0</v>
      </c>
      <c r="DL188" s="8">
        <f t="shared" si="298"/>
        <v>0</v>
      </c>
      <c r="DM188" s="6">
        <f>SUMIF('Eredeti fejléccel'!$B:$B,'Felosztás eredménykim'!$B188,'Eredeti fejléccel'!$BR:$BR)</f>
        <v>0</v>
      </c>
      <c r="DN188" s="6">
        <f>SUMIF('Eredeti fejléccel'!$B:$B,'Felosztás eredménykim'!$B188,'Eredeti fejléccel'!$BS:$BS)</f>
        <v>0</v>
      </c>
      <c r="DO188" s="6">
        <f>SUMIF('Eredeti fejléccel'!$B:$B,'Felosztás eredménykim'!$B188,'Eredeti fejléccel'!$BO:$BO)</f>
        <v>0</v>
      </c>
      <c r="DP188" s="6">
        <f>SUMIF('Eredeti fejléccel'!$B:$B,'Felosztás eredménykim'!$B188,'Eredeti fejléccel'!$BP:$BP)</f>
        <v>0</v>
      </c>
      <c r="DQ188" s="6">
        <f>SUMIF('Eredeti fejléccel'!$B:$B,'Felosztás eredménykim'!$B188,'Eredeti fejléccel'!$BQ:$BQ)</f>
        <v>0</v>
      </c>
      <c r="DS188" s="8"/>
      <c r="DU188" s="6">
        <f>SUMIF('Eredeti fejléccel'!$B:$B,'Felosztás eredménykim'!$B188,'Eredeti fejléccel'!$BT:$BT)</f>
        <v>0</v>
      </c>
      <c r="DV188" s="6">
        <f>SUMIF('Eredeti fejléccel'!$B:$B,'Felosztás eredménykim'!$B188,'Eredeti fejléccel'!$BU:$BU)</f>
        <v>0</v>
      </c>
      <c r="DW188" s="6">
        <f>SUMIF('Eredeti fejléccel'!$B:$B,'Felosztás eredménykim'!$B188,'Eredeti fejléccel'!$BV:$BV)</f>
        <v>0</v>
      </c>
      <c r="DX188" s="6">
        <f>SUMIF('Eredeti fejléccel'!$B:$B,'Felosztás eredménykim'!$B188,'Eredeti fejléccel'!$BW:$BW)</f>
        <v>0</v>
      </c>
      <c r="DY188" s="6">
        <f>SUMIF('Eredeti fejléccel'!$B:$B,'Felosztás eredménykim'!$B188,'Eredeti fejléccel'!$BX:$BX)</f>
        <v>0</v>
      </c>
      <c r="EA188" s="6"/>
      <c r="EC188" s="6"/>
      <c r="EE188" s="6">
        <f>SUMIF('Eredeti fejléccel'!$B:$B,'Felosztás eredménykim'!$B188,'Eredeti fejléccel'!$CA:$CA)</f>
        <v>0</v>
      </c>
      <c r="EF188" s="6">
        <f>SUMIF('Eredeti fejléccel'!$B:$B,'Felosztás eredménykim'!$B188,'Eredeti fejléccel'!$CB:$CB)</f>
        <v>0</v>
      </c>
      <c r="EG188" s="6">
        <f>SUMIF('Eredeti fejléccel'!$B:$B,'Felosztás eredménykim'!$B188,'Eredeti fejléccel'!$CC:$CC)</f>
        <v>0</v>
      </c>
      <c r="EH188" s="6">
        <f>SUMIF('Eredeti fejléccel'!$B:$B,'Felosztás eredménykim'!$B188,'Eredeti fejléccel'!$CD:$CD)</f>
        <v>0</v>
      </c>
      <c r="EK188" s="6">
        <f>SUMIF('Eredeti fejléccel'!$B:$B,'Felosztás eredménykim'!$B188,'Eredeti fejléccel'!$CE:$CE)</f>
        <v>0</v>
      </c>
      <c r="EN188" s="6">
        <f>SUMIF('Eredeti fejléccel'!$B:$B,'Felosztás eredménykim'!$B188,'Eredeti fejléccel'!$CF:$CF)</f>
        <v>0</v>
      </c>
      <c r="EP188" s="6">
        <f>SUMIF('Eredeti fejléccel'!$B:$B,'Felosztás eredménykim'!$B188,'Eredeti fejléccel'!$CG:$CG)</f>
        <v>0</v>
      </c>
      <c r="ES188" s="6">
        <f>SUMIF('Eredeti fejléccel'!$B:$B,'Felosztás eredménykim'!$B188,'Eredeti fejléccel'!$CH:$CH)</f>
        <v>0</v>
      </c>
      <c r="ET188" s="6">
        <f>SUMIF('Eredeti fejléccel'!$B:$B,'Felosztás eredménykim'!$B188,'Eredeti fejléccel'!$CI:$CI)</f>
        <v>0</v>
      </c>
      <c r="EW188" s="8">
        <f t="shared" si="288"/>
        <v>0</v>
      </c>
      <c r="EX188" s="8">
        <f t="shared" si="243"/>
        <v>0</v>
      </c>
      <c r="EY188" s="8">
        <f t="shared" si="244"/>
        <v>0</v>
      </c>
      <c r="EZ188" s="8">
        <f t="shared" si="289"/>
        <v>0</v>
      </c>
      <c r="FA188" s="8">
        <f t="shared" si="290"/>
        <v>0</v>
      </c>
      <c r="FC188" s="6">
        <f>SUMIF('Eredeti fejléccel'!$B:$B,'Felosztás eredménykim'!$B188,'Eredeti fejléccel'!$L:$L)</f>
        <v>0</v>
      </c>
      <c r="FD188" s="6">
        <f>SUMIF('Eredeti fejléccel'!$B:$B,'Felosztás eredménykim'!$B188,'Eredeti fejléccel'!$CJ:$CJ)</f>
        <v>0</v>
      </c>
      <c r="FE188" s="6">
        <f>SUMIF('Eredeti fejléccel'!$B:$B,'Felosztás eredménykim'!$B188,'Eredeti fejléccel'!$CL:$CL)</f>
        <v>0</v>
      </c>
      <c r="FG188" s="99">
        <f t="shared" si="245"/>
        <v>0</v>
      </c>
      <c r="FH188" s="6">
        <f>SUMIF('Eredeti fejléccel'!$B:$B,'Felosztás eredménykim'!$B188,'Eredeti fejléccel'!$CK:$CK)</f>
        <v>0</v>
      </c>
      <c r="FI188" s="36">
        <f t="shared" si="346"/>
        <v>0</v>
      </c>
      <c r="FJ188" s="101">
        <f t="shared" si="229"/>
        <v>0</v>
      </c>
      <c r="FK188" s="6">
        <f>SUMIF('Eredeti fejléccel'!$B:$B,'Felosztás eredménykim'!$B188,'Eredeti fejléccel'!$CM:$CM)</f>
        <v>0</v>
      </c>
      <c r="FL188" s="6">
        <f>SUMIF('Eredeti fejléccel'!$B:$B,'Felosztás eredménykim'!$B188,'Eredeti fejléccel'!$CN:$CN)</f>
        <v>0</v>
      </c>
      <c r="FM188" s="8">
        <f t="shared" si="246"/>
        <v>0</v>
      </c>
      <c r="FN188" s="36">
        <f t="shared" si="347"/>
        <v>0</v>
      </c>
      <c r="FO188" s="101">
        <f t="shared" si="231"/>
        <v>0</v>
      </c>
      <c r="FP188" s="6">
        <f>SUMIF('Eredeti fejléccel'!$B:$B,'Felosztás eredménykim'!$B188,'Eredeti fejléccel'!$CO:$CO)</f>
        <v>0</v>
      </c>
      <c r="FQ188" s="6">
        <f>'Eredeti fejléccel'!CP188</f>
        <v>0</v>
      </c>
      <c r="FR188" s="6">
        <f>'Eredeti fejléccel'!CQ188</f>
        <v>0</v>
      </c>
      <c r="FS188" s="103">
        <f t="shared" si="247"/>
        <v>0</v>
      </c>
      <c r="FT188" s="36">
        <f t="shared" si="348"/>
        <v>0</v>
      </c>
      <c r="FU188" s="101">
        <f t="shared" si="233"/>
        <v>0</v>
      </c>
      <c r="FV188" s="101"/>
      <c r="FW188" s="6">
        <f>SUMIF('Eredeti fejléccel'!$B:$B,'Felosztás eredménykim'!$B188,'Eredeti fejléccel'!$CR:$CR)</f>
        <v>0</v>
      </c>
      <c r="FX188" s="6">
        <f>SUMIF('Eredeti fejléccel'!$B:$B,'Felosztás eredménykim'!$B188,'Eredeti fejléccel'!$CS:$CS)</f>
        <v>0</v>
      </c>
      <c r="FY188" s="6">
        <f>SUMIF('Eredeti fejléccel'!$B:$B,'Felosztás eredménykim'!$B188,'Eredeti fejléccel'!$CT:$CT)</f>
        <v>0</v>
      </c>
      <c r="FZ188" s="6">
        <f>SUMIF('Eredeti fejléccel'!$B:$B,'Felosztás eredménykim'!$B188,'Eredeti fejléccel'!$CU:$CU)</f>
        <v>0</v>
      </c>
      <c r="GA188" s="103">
        <f t="shared" si="248"/>
        <v>0</v>
      </c>
      <c r="GB188" s="36">
        <f t="shared" si="349"/>
        <v>0</v>
      </c>
      <c r="GC188" s="101">
        <f t="shared" si="235"/>
        <v>0</v>
      </c>
      <c r="GD188" s="6">
        <f>SUMIF('Eredeti fejléccel'!$B:$B,'Felosztás eredménykim'!$B188,'Eredeti fejléccel'!$CV:$CV)</f>
        <v>0</v>
      </c>
      <c r="GE188" s="6">
        <f>SUMIF('Eredeti fejléccel'!$B:$B,'Felosztás eredménykim'!$B188,'Eredeti fejléccel'!$CW:$CW)</f>
        <v>0</v>
      </c>
      <c r="GF188" s="103">
        <f t="shared" si="249"/>
        <v>0</v>
      </c>
      <c r="GG188" s="36">
        <f t="shared" si="236"/>
        <v>0</v>
      </c>
      <c r="GM188" s="6">
        <f>SUMIF('Eredeti fejléccel'!$B:$B,'Felosztás eredménykim'!$B188,'Eredeti fejléccel'!$CX:$CX)</f>
        <v>0</v>
      </c>
      <c r="GN188" s="6">
        <f>SUMIF('Eredeti fejléccel'!$B:$B,'Felosztás eredménykim'!$B188,'Eredeti fejléccel'!$CY:$CY)</f>
        <v>0</v>
      </c>
      <c r="GO188" s="6">
        <f>SUMIF('Eredeti fejléccel'!$B:$B,'Felosztás eredménykim'!$B188,'Eredeti fejléccel'!$CZ:$CZ)</f>
        <v>0</v>
      </c>
      <c r="GP188" s="6">
        <f>SUMIF('Eredeti fejléccel'!$B:$B,'Felosztás eredménykim'!$B188,'Eredeti fejléccel'!$DA:$DA)</f>
        <v>0</v>
      </c>
      <c r="GQ188" s="6">
        <f>SUMIF('Eredeti fejléccel'!$B:$B,'Felosztás eredménykim'!$B188,'Eredeti fejléccel'!$DB:$DB)</f>
        <v>0</v>
      </c>
      <c r="GR188" s="103">
        <f t="shared" si="250"/>
        <v>0</v>
      </c>
      <c r="GW188" s="36">
        <f t="shared" si="237"/>
        <v>0</v>
      </c>
      <c r="GX188" s="6">
        <f>SUMIF('Eredeti fejléccel'!$B:$B,'Felosztás eredménykim'!$B188,'Eredeti fejléccel'!$M:$M)</f>
        <v>0</v>
      </c>
      <c r="GY188" s="6">
        <f>SUMIF('Eredeti fejléccel'!$B:$B,'Felosztás eredménykim'!$B188,'Eredeti fejléccel'!$DC:$DC)</f>
        <v>0</v>
      </c>
      <c r="GZ188" s="6">
        <f>SUMIF('Eredeti fejléccel'!$B:$B,'Felosztás eredménykim'!$B188,'Eredeti fejléccel'!$DD:$DD)</f>
        <v>0</v>
      </c>
      <c r="HA188" s="6">
        <f>SUMIF('Eredeti fejléccel'!$B:$B,'Felosztás eredménykim'!$B188,'Eredeti fejléccel'!$DE:$DE)</f>
        <v>0</v>
      </c>
      <c r="HB188" s="103">
        <f t="shared" si="251"/>
        <v>0</v>
      </c>
      <c r="HD188" s="9">
        <f t="shared" si="350"/>
        <v>0</v>
      </c>
      <c r="HE188" s="9"/>
      <c r="HF188" s="476"/>
      <c r="HH188" s="34">
        <f t="shared" si="252"/>
        <v>0</v>
      </c>
    </row>
    <row r="189" spans="1:216" x14ac:dyDescent="0.25">
      <c r="A189" s="4" t="s">
        <v>878</v>
      </c>
      <c r="B189" s="4" t="s">
        <v>878</v>
      </c>
      <c r="D189" s="6">
        <f>SUMIF('Eredeti fejléccel'!$B:$B,'Felosztás eredménykim'!$B189,'Eredeti fejléccel'!$D:$D)</f>
        <v>0</v>
      </c>
      <c r="E189" s="6">
        <f>SUMIF('Eredeti fejléccel'!$B:$B,'Felosztás eredménykim'!$B189,'Eredeti fejléccel'!$E:$E)</f>
        <v>0</v>
      </c>
      <c r="F189" s="6">
        <f>SUMIF('Eredeti fejléccel'!$B:$B,'Felosztás eredménykim'!$B189,'Eredeti fejléccel'!$F:$F)</f>
        <v>0</v>
      </c>
      <c r="G189" s="6">
        <f>SUMIF('Eredeti fejléccel'!$B:$B,'Felosztás eredménykim'!$B189,'Eredeti fejléccel'!$G:$G)</f>
        <v>0</v>
      </c>
      <c r="H189" s="6"/>
      <c r="I189" s="6">
        <f>SUMIF('Eredeti fejléccel'!$B:$B,'Felosztás eredménykim'!$B189,'Eredeti fejléccel'!$O:$O)</f>
        <v>0</v>
      </c>
      <c r="J189" s="6">
        <f>SUMIF('Eredeti fejléccel'!$B:$B,'Felosztás eredménykim'!$B189,'Eredeti fejléccel'!$P:$P)</f>
        <v>0</v>
      </c>
      <c r="K189" s="6">
        <f>SUMIF('Eredeti fejléccel'!$B:$B,'Felosztás eredménykim'!$B189,'Eredeti fejléccel'!$Q:$Q)</f>
        <v>0</v>
      </c>
      <c r="L189" s="6">
        <f>SUMIF('Eredeti fejléccel'!$B:$B,'Felosztás eredménykim'!$B189,'Eredeti fejléccel'!$R:$R)</f>
        <v>0</v>
      </c>
      <c r="M189" s="6">
        <f>SUMIF('Eredeti fejléccel'!$B:$B,'Felosztás eredménykim'!$B189,'Eredeti fejléccel'!$T:$T)</f>
        <v>0</v>
      </c>
      <c r="N189" s="6">
        <f>SUMIF('Eredeti fejléccel'!$B:$B,'Felosztás eredménykim'!$B189,'Eredeti fejléccel'!$U:$U)</f>
        <v>0</v>
      </c>
      <c r="O189" s="6">
        <f>SUMIF('Eredeti fejléccel'!$B:$B,'Felosztás eredménykim'!$B189,'Eredeti fejléccel'!$V:$V)</f>
        <v>0</v>
      </c>
      <c r="P189" s="6">
        <f>SUMIF('Eredeti fejléccel'!$B:$B,'Felosztás eredménykim'!$B189,'Eredeti fejléccel'!$W:$W)</f>
        <v>0</v>
      </c>
      <c r="Q189" s="6">
        <f>SUMIF('Eredeti fejléccel'!$B:$B,'Felosztás eredménykim'!$B189,'Eredeti fejléccel'!$X:$X)</f>
        <v>0</v>
      </c>
      <c r="R189" s="6">
        <f>SUMIF('Eredeti fejléccel'!$B:$B,'Felosztás eredménykim'!$B189,'Eredeti fejléccel'!$Y:$Y)</f>
        <v>0</v>
      </c>
      <c r="S189" s="6">
        <f>SUMIF('Eredeti fejléccel'!$B:$B,'Felosztás eredménykim'!$B189,'Eredeti fejléccel'!$Z:$Z)</f>
        <v>0</v>
      </c>
      <c r="T189" s="6">
        <f>SUMIF('Eredeti fejléccel'!$B:$B,'Felosztás eredménykim'!$B189,'Eredeti fejléccel'!$AA:$AA)</f>
        <v>0</v>
      </c>
      <c r="U189" s="6">
        <f>SUMIF('Eredeti fejléccel'!$B:$B,'Felosztás eredménykim'!$B189,'Eredeti fejléccel'!$D:$D)</f>
        <v>0</v>
      </c>
      <c r="V189" s="6">
        <f>SUMIF('Eredeti fejléccel'!$B:$B,'Felosztás eredménykim'!$B189,'Eredeti fejléccel'!$AT:$AT)</f>
        <v>0</v>
      </c>
      <c r="W189" s="36">
        <f t="shared" si="368"/>
        <v>0</v>
      </c>
      <c r="X189" s="36">
        <f t="shared" si="211"/>
        <v>0</v>
      </c>
      <c r="Z189" s="6">
        <f>SUMIF('Eredeti fejléccel'!$B:$B,'Felosztás eredménykim'!$B189,'Eredeti fejléccel'!$K:$K)</f>
        <v>0</v>
      </c>
      <c r="AB189" s="6">
        <f>SUMIF('Eredeti fejléccel'!$B:$B,'Felosztás eredménykim'!$B189,'Eredeti fejléccel'!$AB:$AB)</f>
        <v>0</v>
      </c>
      <c r="AC189" s="6">
        <f>SUMIF('Eredeti fejléccel'!$B:$B,'Felosztás eredménykim'!$B189,'Eredeti fejléccel'!$AQ:$AQ)</f>
        <v>0</v>
      </c>
      <c r="AE189" s="73">
        <f t="shared" si="299"/>
        <v>0</v>
      </c>
      <c r="AF189" s="36">
        <f t="shared" si="339"/>
        <v>0</v>
      </c>
      <c r="AG189" s="8">
        <f t="shared" si="213"/>
        <v>0</v>
      </c>
      <c r="AI189" s="6">
        <f>SUMIF('Eredeti fejléccel'!$B:$B,'Felosztás eredménykim'!$B189,'Eredeti fejléccel'!$BB:$BB)</f>
        <v>0</v>
      </c>
      <c r="AJ189" s="6">
        <f>SUMIF('Eredeti fejléccel'!$B:$B,'Felosztás eredménykim'!$B189,'Eredeti fejléccel'!$AF:$AF)</f>
        <v>0</v>
      </c>
      <c r="AK189" s="8">
        <f t="shared" si="177"/>
        <v>0</v>
      </c>
      <c r="AL189" s="36">
        <f t="shared" si="340"/>
        <v>0</v>
      </c>
      <c r="AM189" s="8">
        <f t="shared" si="215"/>
        <v>0</v>
      </c>
      <c r="AN189" s="6">
        <f t="shared" si="291"/>
        <v>0</v>
      </c>
      <c r="AO189" s="6">
        <f>SUMIF('Eredeti fejléccel'!$B:$B,'Felosztás eredménykim'!$B189,'Eredeti fejléccel'!$AC:$AC)</f>
        <v>0</v>
      </c>
      <c r="AP189" s="6">
        <f>SUMIF('Eredeti fejléccel'!$B:$B,'Felosztás eredménykim'!$B189,'Eredeti fejléccel'!$AD:$AD)</f>
        <v>0</v>
      </c>
      <c r="AQ189" s="6">
        <f>SUMIF('Eredeti fejléccel'!$B:$B,'Felosztás eredménykim'!$B189,'Eredeti fejléccel'!$AE:$AE)</f>
        <v>0</v>
      </c>
      <c r="AR189" s="6">
        <f>SUMIF('Eredeti fejléccel'!$B:$B,'Felosztás eredménykim'!$B189,'Eredeti fejléccel'!$AG:$AG)</f>
        <v>0</v>
      </c>
      <c r="AS189" s="6">
        <f t="shared" si="292"/>
        <v>0</v>
      </c>
      <c r="AT189" s="36">
        <f t="shared" si="341"/>
        <v>0</v>
      </c>
      <c r="AU189" s="8">
        <f t="shared" si="217"/>
        <v>0</v>
      </c>
      <c r="AV189" s="6">
        <f>SUMIF('Eredeti fejléccel'!$B:$B,'Felosztás eredménykim'!$B189,'Eredeti fejléccel'!$AI:$AI)</f>
        <v>0</v>
      </c>
      <c r="AW189" s="6">
        <f>SUMIF('Eredeti fejléccel'!$B:$B,'Felosztás eredménykim'!$B189,'Eredeti fejléccel'!$AJ:$AJ)</f>
        <v>0</v>
      </c>
      <c r="AX189" s="6">
        <f>SUMIF('Eredeti fejléccel'!$B:$B,'Felosztás eredménykim'!$B189,'Eredeti fejléccel'!$AK:$AK)</f>
        <v>0</v>
      </c>
      <c r="AY189" s="6">
        <f>SUMIF('Eredeti fejléccel'!$B:$B,'Felosztás eredménykim'!$B189,'Eredeti fejléccel'!$AL:$AL)</f>
        <v>0</v>
      </c>
      <c r="AZ189" s="6">
        <f>SUMIF('Eredeti fejléccel'!$B:$B,'Felosztás eredménykim'!$B189,'Eredeti fejléccel'!$AM:$AM)</f>
        <v>0</v>
      </c>
      <c r="BA189" s="6">
        <f>SUMIF('Eredeti fejléccel'!$B:$B,'Felosztás eredménykim'!$B189,'Eredeti fejléccel'!$AN:$AN)</f>
        <v>0</v>
      </c>
      <c r="BB189" s="6">
        <f>SUMIF('Eredeti fejléccel'!$B:$B,'Felosztás eredménykim'!$B189,'Eredeti fejléccel'!$AP:$AP)</f>
        <v>0</v>
      </c>
      <c r="BD189" s="6">
        <f>SUMIF('Eredeti fejléccel'!$B:$B,'Felosztás eredménykim'!$B189,'Eredeti fejléccel'!$AS:$AS)</f>
        <v>0</v>
      </c>
      <c r="BE189" s="8">
        <f t="shared" si="238"/>
        <v>0</v>
      </c>
      <c r="BF189" s="36">
        <f t="shared" si="342"/>
        <v>0</v>
      </c>
      <c r="BG189" s="8">
        <f t="shared" si="219"/>
        <v>0</v>
      </c>
      <c r="BH189" s="6">
        <f t="shared" si="293"/>
        <v>0</v>
      </c>
      <c r="BI189" s="6">
        <f>SUMIF('Eredeti fejléccel'!$B:$B,'Felosztás eredménykim'!$B189,'Eredeti fejléccel'!$AH:$AH)</f>
        <v>0</v>
      </c>
      <c r="BJ189" s="6">
        <f>SUMIF('Eredeti fejléccel'!$B:$B,'Felosztás eredménykim'!$B189,'Eredeti fejléccel'!$AO:$AO)</f>
        <v>0</v>
      </c>
      <c r="BK189" s="6">
        <f>SUMIF('Eredeti fejléccel'!$B:$B,'Felosztás eredménykim'!$B189,'Eredeti fejléccel'!$BF:$BF)</f>
        <v>0</v>
      </c>
      <c r="BL189" s="8">
        <f t="shared" si="294"/>
        <v>0</v>
      </c>
      <c r="BM189" s="36">
        <f t="shared" si="343"/>
        <v>0</v>
      </c>
      <c r="BN189" s="8">
        <f t="shared" si="221"/>
        <v>0</v>
      </c>
      <c r="BP189" s="8">
        <f t="shared" si="295"/>
        <v>0</v>
      </c>
      <c r="BQ189" s="6">
        <f>SUMIF('Eredeti fejléccel'!$B:$B,'Felosztás eredménykim'!$B189,'Eredeti fejléccel'!$N:$N)</f>
        <v>0</v>
      </c>
      <c r="BR189" s="6">
        <f>SUMIF('Eredeti fejléccel'!$B:$B,'Felosztás eredménykim'!$B189,'Eredeti fejléccel'!$S:$S)</f>
        <v>0</v>
      </c>
      <c r="BT189" s="6">
        <f>SUMIF('Eredeti fejléccel'!$B:$B,'Felosztás eredménykim'!$B189,'Eredeti fejléccel'!$AR:$AR)</f>
        <v>0</v>
      </c>
      <c r="BU189" s="6">
        <f>SUMIF('Eredeti fejléccel'!$B:$B,'Felosztás eredménykim'!$B189,'Eredeti fejléccel'!$AU:$AU)</f>
        <v>0</v>
      </c>
      <c r="BV189" s="6">
        <f>SUMIF('Eredeti fejléccel'!$B:$B,'Felosztás eredménykim'!$B189,'Eredeti fejléccel'!$AV:$AV)</f>
        <v>0</v>
      </c>
      <c r="BW189" s="6">
        <f>SUMIF('Eredeti fejléccel'!$B:$B,'Felosztás eredménykim'!$B189,'Eredeti fejléccel'!$AW:$AW)</f>
        <v>0</v>
      </c>
      <c r="BX189" s="6">
        <f>SUMIF('Eredeti fejléccel'!$B:$B,'Felosztás eredménykim'!$B189,'Eredeti fejléccel'!$AX:$AX)</f>
        <v>0</v>
      </c>
      <c r="BY189" s="6">
        <f>SUMIF('Eredeti fejléccel'!$B:$B,'Felosztás eredménykim'!$B189,'Eredeti fejléccel'!$AY:$AY)</f>
        <v>0</v>
      </c>
      <c r="BZ189" s="6">
        <f>SUMIF('Eredeti fejléccel'!$B:$B,'Felosztás eredménykim'!$B189,'Eredeti fejléccel'!$AZ:$AZ)</f>
        <v>0</v>
      </c>
      <c r="CA189" s="6">
        <f>SUMIF('Eredeti fejléccel'!$B:$B,'Felosztás eredménykim'!$B189,'Eredeti fejléccel'!$BA:$BA)</f>
        <v>0</v>
      </c>
      <c r="CB189" s="6">
        <f t="shared" si="253"/>
        <v>0</v>
      </c>
      <c r="CC189" s="36">
        <f t="shared" si="344"/>
        <v>0</v>
      </c>
      <c r="CD189" s="8">
        <f t="shared" si="223"/>
        <v>0</v>
      </c>
      <c r="CE189" s="6">
        <f>SUMIF('Eredeti fejléccel'!$B:$B,'Felosztás eredménykim'!$B189,'Eredeti fejléccel'!$BC:$BC)</f>
        <v>0</v>
      </c>
      <c r="CF189" s="8">
        <f t="shared" si="300"/>
        <v>0</v>
      </c>
      <c r="CG189" s="6">
        <f>SUMIF('Eredeti fejléccel'!$B:$B,'Felosztás eredménykim'!$B189,'Eredeti fejléccel'!$H:$H)</f>
        <v>0</v>
      </c>
      <c r="CH189" s="6">
        <f>SUMIF('Eredeti fejléccel'!$B:$B,'Felosztás eredménykim'!$B189,'Eredeti fejléccel'!$BE:$BE)</f>
        <v>0</v>
      </c>
      <c r="CI189" s="6">
        <f t="shared" si="239"/>
        <v>0</v>
      </c>
      <c r="CJ189" s="36">
        <f t="shared" si="345"/>
        <v>0</v>
      </c>
      <c r="CK189" s="8">
        <f t="shared" si="225"/>
        <v>0</v>
      </c>
      <c r="CL189" s="8">
        <f t="shared" si="301"/>
        <v>0</v>
      </c>
      <c r="CM189" s="6">
        <f>SUMIF('Eredeti fejléccel'!$B:$B,'Felosztás eredménykim'!$B189,'Eredeti fejléccel'!$BD:$BD)</f>
        <v>0</v>
      </c>
      <c r="CN189" s="8">
        <f t="shared" si="240"/>
        <v>0</v>
      </c>
      <c r="CO189" s="8">
        <f t="shared" si="254"/>
        <v>0</v>
      </c>
      <c r="CR189" s="36">
        <f t="shared" si="226"/>
        <v>0</v>
      </c>
      <c r="CS189" s="6">
        <f>SUMIF('Eredeti fejléccel'!$B:$B,'Felosztás eredménykim'!$B189,'Eredeti fejléccel'!$I:$I)</f>
        <v>0</v>
      </c>
      <c r="CT189" s="6">
        <f>SUMIF('Eredeti fejléccel'!$B:$B,'Felosztás eredménykim'!$B189,'Eredeti fejléccel'!$BG:$BG)</f>
        <v>0</v>
      </c>
      <c r="CU189" s="6">
        <f>SUMIF('Eredeti fejléccel'!$B:$B,'Felosztás eredménykim'!$B189,'Eredeti fejléccel'!$BH:$BH)</f>
        <v>0</v>
      </c>
      <c r="CV189" s="6">
        <f>SUMIF('Eredeti fejléccel'!$B:$B,'Felosztás eredménykim'!$B189,'Eredeti fejléccel'!$BI:$BI)</f>
        <v>0</v>
      </c>
      <c r="CW189" s="6">
        <f>SUMIF('Eredeti fejléccel'!$B:$B,'Felosztás eredménykim'!$B189,'Eredeti fejléccel'!$BL:$BL)</f>
        <v>0</v>
      </c>
      <c r="CX189" s="6">
        <f t="shared" si="241"/>
        <v>0</v>
      </c>
      <c r="CY189" s="6">
        <f>SUMIF('Eredeti fejléccel'!$B:$B,'Felosztás eredménykim'!$B189,'Eredeti fejléccel'!$BJ:$BJ)</f>
        <v>0</v>
      </c>
      <c r="CZ189" s="6">
        <f>SUMIF('Eredeti fejléccel'!$B:$B,'Felosztás eredménykim'!$B189,'Eredeti fejléccel'!$BK:$BK)</f>
        <v>0</v>
      </c>
      <c r="DA189" s="99">
        <f t="shared" si="242"/>
        <v>0</v>
      </c>
      <c r="DC189" s="36">
        <f t="shared" si="227"/>
        <v>0</v>
      </c>
      <c r="DD189" s="6">
        <f>SUMIF('Eredeti fejléccel'!$B:$B,'Felosztás eredménykim'!$B189,'Eredeti fejléccel'!$J:$J)</f>
        <v>0</v>
      </c>
      <c r="DE189" s="6">
        <f>SUMIF('Eredeti fejléccel'!$B:$B,'Felosztás eredménykim'!$B189,'Eredeti fejléccel'!$BM:$BM)</f>
        <v>0</v>
      </c>
      <c r="DF189" s="6">
        <f t="shared" si="296"/>
        <v>0</v>
      </c>
      <c r="DG189" s="8">
        <f t="shared" si="255"/>
        <v>0</v>
      </c>
      <c r="DH189" s="8">
        <f t="shared" si="297"/>
        <v>0</v>
      </c>
      <c r="DJ189" s="6">
        <f>SUMIF('Eredeti fejléccel'!$B:$B,'Felosztás eredménykim'!$B189,'Eredeti fejléccel'!$BN:$BN)</f>
        <v>0</v>
      </c>
      <c r="DK189" s="6">
        <f>SUMIF('Eredeti fejléccel'!$B:$B,'Felosztás eredménykim'!$B189,'Eredeti fejléccel'!$BZ:$BZ)</f>
        <v>0</v>
      </c>
      <c r="DL189" s="8">
        <f t="shared" si="298"/>
        <v>0</v>
      </c>
      <c r="DM189" s="6">
        <f>SUMIF('Eredeti fejléccel'!$B:$B,'Felosztás eredménykim'!$B189,'Eredeti fejléccel'!$BR:$BR)</f>
        <v>0</v>
      </c>
      <c r="DN189" s="6">
        <f>SUMIF('Eredeti fejléccel'!$B:$B,'Felosztás eredménykim'!$B189,'Eredeti fejléccel'!$BS:$BS)</f>
        <v>0</v>
      </c>
      <c r="DO189" s="6">
        <f>SUMIF('Eredeti fejléccel'!$B:$B,'Felosztás eredménykim'!$B189,'Eredeti fejléccel'!$BO:$BO)</f>
        <v>0</v>
      </c>
      <c r="DP189" s="6">
        <f>SUMIF('Eredeti fejléccel'!$B:$B,'Felosztás eredménykim'!$B189,'Eredeti fejléccel'!$BP:$BP)</f>
        <v>0</v>
      </c>
      <c r="DQ189" s="6">
        <f>SUMIF('Eredeti fejléccel'!$B:$B,'Felosztás eredménykim'!$B189,'Eredeti fejléccel'!$BQ:$BQ)</f>
        <v>0</v>
      </c>
      <c r="DS189" s="8"/>
      <c r="DU189" s="6">
        <f>SUMIF('Eredeti fejléccel'!$B:$B,'Felosztás eredménykim'!$B189,'Eredeti fejléccel'!$BT:$BT)</f>
        <v>0</v>
      </c>
      <c r="DV189" s="6">
        <f>SUMIF('Eredeti fejléccel'!$B:$B,'Felosztás eredménykim'!$B189,'Eredeti fejléccel'!$BU:$BU)</f>
        <v>0</v>
      </c>
      <c r="DW189" s="6">
        <f>SUMIF('Eredeti fejléccel'!$B:$B,'Felosztás eredménykim'!$B189,'Eredeti fejléccel'!$BV:$BV)</f>
        <v>0</v>
      </c>
      <c r="DX189" s="6">
        <f>SUMIF('Eredeti fejléccel'!$B:$B,'Felosztás eredménykim'!$B189,'Eredeti fejléccel'!$BW:$BW)</f>
        <v>0</v>
      </c>
      <c r="DY189" s="6">
        <f>SUMIF('Eredeti fejléccel'!$B:$B,'Felosztás eredménykim'!$B189,'Eredeti fejléccel'!$BX:$BX)</f>
        <v>0</v>
      </c>
      <c r="EA189" s="6"/>
      <c r="EC189" s="6"/>
      <c r="EE189" s="6">
        <f>SUMIF('Eredeti fejléccel'!$B:$B,'Felosztás eredménykim'!$B189,'Eredeti fejléccel'!$CA:$CA)</f>
        <v>0</v>
      </c>
      <c r="EF189" s="6">
        <f>SUMIF('Eredeti fejléccel'!$B:$B,'Felosztás eredménykim'!$B189,'Eredeti fejléccel'!$CB:$CB)</f>
        <v>0</v>
      </c>
      <c r="EG189" s="6">
        <f>SUMIF('Eredeti fejléccel'!$B:$B,'Felosztás eredménykim'!$B189,'Eredeti fejléccel'!$CC:$CC)</f>
        <v>0</v>
      </c>
      <c r="EH189" s="6">
        <f>SUMIF('Eredeti fejléccel'!$B:$B,'Felosztás eredménykim'!$B189,'Eredeti fejléccel'!$CD:$CD)</f>
        <v>0</v>
      </c>
      <c r="EK189" s="6">
        <f>SUMIF('Eredeti fejléccel'!$B:$B,'Felosztás eredménykim'!$B189,'Eredeti fejléccel'!$CE:$CE)</f>
        <v>0</v>
      </c>
      <c r="EN189" s="6">
        <f>SUMIF('Eredeti fejléccel'!$B:$B,'Felosztás eredménykim'!$B189,'Eredeti fejléccel'!$CF:$CF)</f>
        <v>0</v>
      </c>
      <c r="EP189" s="6">
        <f>SUMIF('Eredeti fejléccel'!$B:$B,'Felosztás eredménykim'!$B189,'Eredeti fejléccel'!$CG:$CG)</f>
        <v>0</v>
      </c>
      <c r="ES189" s="6">
        <f>SUMIF('Eredeti fejléccel'!$B:$B,'Felosztás eredménykim'!$B189,'Eredeti fejléccel'!$CH:$CH)</f>
        <v>0</v>
      </c>
      <c r="ET189" s="6">
        <f>SUMIF('Eredeti fejléccel'!$B:$B,'Felosztás eredménykim'!$B189,'Eredeti fejléccel'!$CI:$CI)</f>
        <v>0</v>
      </c>
      <c r="EW189" s="8">
        <f t="shared" si="288"/>
        <v>0</v>
      </c>
      <c r="EX189" s="8">
        <f t="shared" si="243"/>
        <v>0</v>
      </c>
      <c r="EY189" s="8">
        <f t="shared" si="244"/>
        <v>0</v>
      </c>
      <c r="EZ189" s="8">
        <f t="shared" si="289"/>
        <v>0</v>
      </c>
      <c r="FA189" s="8">
        <f t="shared" si="290"/>
        <v>0</v>
      </c>
      <c r="FC189" s="6">
        <f>SUMIF('Eredeti fejléccel'!$B:$B,'Felosztás eredménykim'!$B189,'Eredeti fejléccel'!$L:$L)</f>
        <v>0</v>
      </c>
      <c r="FD189" s="6">
        <f>SUMIF('Eredeti fejléccel'!$B:$B,'Felosztás eredménykim'!$B189,'Eredeti fejléccel'!$CJ:$CJ)</f>
        <v>0</v>
      </c>
      <c r="FE189" s="6">
        <f>SUMIF('Eredeti fejléccel'!$B:$B,'Felosztás eredménykim'!$B189,'Eredeti fejléccel'!$CL:$CL)</f>
        <v>0</v>
      </c>
      <c r="FG189" s="99">
        <f t="shared" si="245"/>
        <v>0</v>
      </c>
      <c r="FH189" s="6">
        <f>SUMIF('Eredeti fejléccel'!$B:$B,'Felosztás eredménykim'!$B189,'Eredeti fejléccel'!$CK:$CK)</f>
        <v>0</v>
      </c>
      <c r="FI189" s="36">
        <f t="shared" si="346"/>
        <v>0</v>
      </c>
      <c r="FJ189" s="101">
        <f t="shared" si="229"/>
        <v>0</v>
      </c>
      <c r="FK189" s="6">
        <f>SUMIF('Eredeti fejléccel'!$B:$B,'Felosztás eredménykim'!$B189,'Eredeti fejléccel'!$CM:$CM)</f>
        <v>0</v>
      </c>
      <c r="FL189" s="6">
        <f>SUMIF('Eredeti fejléccel'!$B:$B,'Felosztás eredménykim'!$B189,'Eredeti fejléccel'!$CN:$CN)</f>
        <v>0</v>
      </c>
      <c r="FM189" s="8">
        <f t="shared" si="246"/>
        <v>0</v>
      </c>
      <c r="FN189" s="36">
        <f t="shared" si="347"/>
        <v>0</v>
      </c>
      <c r="FO189" s="101">
        <f t="shared" si="231"/>
        <v>0</v>
      </c>
      <c r="FP189" s="6">
        <f>SUMIF('Eredeti fejléccel'!$B:$B,'Felosztás eredménykim'!$B189,'Eredeti fejléccel'!$CO:$CO)</f>
        <v>0</v>
      </c>
      <c r="FQ189" s="6">
        <f>'Eredeti fejléccel'!CP189</f>
        <v>0</v>
      </c>
      <c r="FR189" s="6">
        <f>'Eredeti fejléccel'!CQ189</f>
        <v>0</v>
      </c>
      <c r="FS189" s="103">
        <f t="shared" si="247"/>
        <v>0</v>
      </c>
      <c r="FT189" s="36">
        <f t="shared" si="348"/>
        <v>0</v>
      </c>
      <c r="FU189" s="101">
        <f t="shared" si="233"/>
        <v>0</v>
      </c>
      <c r="FV189" s="101"/>
      <c r="FW189" s="6">
        <f>SUMIF('Eredeti fejléccel'!$B:$B,'Felosztás eredménykim'!$B189,'Eredeti fejléccel'!$CR:$CR)</f>
        <v>0</v>
      </c>
      <c r="FX189" s="6">
        <f>SUMIF('Eredeti fejléccel'!$B:$B,'Felosztás eredménykim'!$B189,'Eredeti fejléccel'!$CS:$CS)</f>
        <v>0</v>
      </c>
      <c r="FY189" s="6">
        <f>SUMIF('Eredeti fejléccel'!$B:$B,'Felosztás eredménykim'!$B189,'Eredeti fejléccel'!$CT:$CT)</f>
        <v>0</v>
      </c>
      <c r="FZ189" s="6">
        <f>SUMIF('Eredeti fejléccel'!$B:$B,'Felosztás eredménykim'!$B189,'Eredeti fejléccel'!$CU:$CU)</f>
        <v>0</v>
      </c>
      <c r="GA189" s="103">
        <f t="shared" si="248"/>
        <v>0</v>
      </c>
      <c r="GB189" s="36">
        <f t="shared" si="349"/>
        <v>0</v>
      </c>
      <c r="GC189" s="101">
        <f t="shared" si="235"/>
        <v>0</v>
      </c>
      <c r="GD189" s="6">
        <f>SUMIF('Eredeti fejléccel'!$B:$B,'Felosztás eredménykim'!$B189,'Eredeti fejléccel'!$CV:$CV)</f>
        <v>0</v>
      </c>
      <c r="GE189" s="6">
        <f>SUMIF('Eredeti fejléccel'!$B:$B,'Felosztás eredménykim'!$B189,'Eredeti fejléccel'!$CW:$CW)</f>
        <v>0</v>
      </c>
      <c r="GF189" s="103">
        <f t="shared" si="249"/>
        <v>0</v>
      </c>
      <c r="GG189" s="36">
        <f t="shared" si="236"/>
        <v>0</v>
      </c>
      <c r="GM189" s="6">
        <f>SUMIF('Eredeti fejléccel'!$B:$B,'Felosztás eredménykim'!$B189,'Eredeti fejléccel'!$CX:$CX)</f>
        <v>0</v>
      </c>
      <c r="GN189" s="6">
        <f>SUMIF('Eredeti fejléccel'!$B:$B,'Felosztás eredménykim'!$B189,'Eredeti fejléccel'!$CY:$CY)</f>
        <v>0</v>
      </c>
      <c r="GO189" s="6">
        <f>SUMIF('Eredeti fejléccel'!$B:$B,'Felosztás eredménykim'!$B189,'Eredeti fejléccel'!$CZ:$CZ)</f>
        <v>0</v>
      </c>
      <c r="GP189" s="6">
        <f>SUMIF('Eredeti fejléccel'!$B:$B,'Felosztás eredménykim'!$B189,'Eredeti fejléccel'!$DA:$DA)</f>
        <v>0</v>
      </c>
      <c r="GQ189" s="6">
        <f>SUMIF('Eredeti fejléccel'!$B:$B,'Felosztás eredménykim'!$B189,'Eredeti fejléccel'!$DB:$DB)</f>
        <v>0</v>
      </c>
      <c r="GR189" s="103">
        <f t="shared" si="250"/>
        <v>0</v>
      </c>
      <c r="GW189" s="36">
        <f t="shared" si="237"/>
        <v>0</v>
      </c>
      <c r="GX189" s="6">
        <f>SUMIF('Eredeti fejléccel'!$B:$B,'Felosztás eredménykim'!$B189,'Eredeti fejléccel'!$M:$M)</f>
        <v>0</v>
      </c>
      <c r="GY189" s="6">
        <f>SUMIF('Eredeti fejléccel'!$B:$B,'Felosztás eredménykim'!$B189,'Eredeti fejléccel'!$DC:$DC)</f>
        <v>0</v>
      </c>
      <c r="GZ189" s="6">
        <f>SUMIF('Eredeti fejléccel'!$B:$B,'Felosztás eredménykim'!$B189,'Eredeti fejléccel'!$DD:$DD)</f>
        <v>0</v>
      </c>
      <c r="HA189" s="6">
        <f>SUMIF('Eredeti fejléccel'!$B:$B,'Felosztás eredménykim'!$B189,'Eredeti fejléccel'!$DE:$DE)</f>
        <v>0</v>
      </c>
      <c r="HB189" s="103">
        <f t="shared" si="251"/>
        <v>0</v>
      </c>
      <c r="HD189" s="9">
        <f t="shared" si="350"/>
        <v>0</v>
      </c>
      <c r="HE189" s="9"/>
      <c r="HF189" s="476"/>
      <c r="HH189" s="34">
        <f t="shared" si="252"/>
        <v>0</v>
      </c>
    </row>
    <row r="190" spans="1:216" x14ac:dyDescent="0.25">
      <c r="A190" s="4" t="s">
        <v>879</v>
      </c>
      <c r="B190" s="4" t="s">
        <v>879</v>
      </c>
      <c r="D190" s="6">
        <f>SUMIF('Eredeti fejléccel'!$B:$B,'Felosztás eredménykim'!$B190,'Eredeti fejléccel'!$D:$D)</f>
        <v>0</v>
      </c>
      <c r="E190" s="6">
        <f>SUMIF('Eredeti fejléccel'!$B:$B,'Felosztás eredménykim'!$B190,'Eredeti fejléccel'!$E:$E)</f>
        <v>0</v>
      </c>
      <c r="F190" s="6">
        <f>SUMIF('Eredeti fejléccel'!$B:$B,'Felosztás eredménykim'!$B190,'Eredeti fejléccel'!$F:$F)</f>
        <v>0</v>
      </c>
      <c r="G190" s="6">
        <f>SUMIF('Eredeti fejléccel'!$B:$B,'Felosztás eredménykim'!$B190,'Eredeti fejléccel'!$G:$G)</f>
        <v>0</v>
      </c>
      <c r="H190" s="6"/>
      <c r="I190" s="6">
        <f>SUMIF('Eredeti fejléccel'!$B:$B,'Felosztás eredménykim'!$B190,'Eredeti fejléccel'!$O:$O)</f>
        <v>0</v>
      </c>
      <c r="J190" s="6">
        <f>SUMIF('Eredeti fejléccel'!$B:$B,'Felosztás eredménykim'!$B190,'Eredeti fejléccel'!$P:$P)</f>
        <v>0</v>
      </c>
      <c r="K190" s="6">
        <f>SUMIF('Eredeti fejléccel'!$B:$B,'Felosztás eredménykim'!$B190,'Eredeti fejléccel'!$Q:$Q)</f>
        <v>0</v>
      </c>
      <c r="L190" s="6">
        <f>SUMIF('Eredeti fejléccel'!$B:$B,'Felosztás eredménykim'!$B190,'Eredeti fejléccel'!$R:$R)</f>
        <v>0</v>
      </c>
      <c r="M190" s="6">
        <f>SUMIF('Eredeti fejléccel'!$B:$B,'Felosztás eredménykim'!$B190,'Eredeti fejléccel'!$T:$T)</f>
        <v>0</v>
      </c>
      <c r="N190" s="6">
        <f>SUMIF('Eredeti fejléccel'!$B:$B,'Felosztás eredménykim'!$B190,'Eredeti fejléccel'!$U:$U)</f>
        <v>0</v>
      </c>
      <c r="O190" s="6">
        <f>SUMIF('Eredeti fejléccel'!$B:$B,'Felosztás eredménykim'!$B190,'Eredeti fejléccel'!$V:$V)</f>
        <v>0</v>
      </c>
      <c r="P190" s="6">
        <f>SUMIF('Eredeti fejléccel'!$B:$B,'Felosztás eredménykim'!$B190,'Eredeti fejléccel'!$W:$W)</f>
        <v>0</v>
      </c>
      <c r="Q190" s="6">
        <f>SUMIF('Eredeti fejléccel'!$B:$B,'Felosztás eredménykim'!$B190,'Eredeti fejléccel'!$X:$X)</f>
        <v>0</v>
      </c>
      <c r="R190" s="6">
        <f>SUMIF('Eredeti fejléccel'!$B:$B,'Felosztás eredménykim'!$B190,'Eredeti fejléccel'!$Y:$Y)</f>
        <v>0</v>
      </c>
      <c r="S190" s="6">
        <f>SUMIF('Eredeti fejléccel'!$B:$B,'Felosztás eredménykim'!$B190,'Eredeti fejléccel'!$Z:$Z)</f>
        <v>0</v>
      </c>
      <c r="T190" s="6">
        <f>SUMIF('Eredeti fejléccel'!$B:$B,'Felosztás eredménykim'!$B190,'Eredeti fejléccel'!$AA:$AA)</f>
        <v>0</v>
      </c>
      <c r="U190" s="6">
        <f>SUMIF('Eredeti fejléccel'!$B:$B,'Felosztás eredménykim'!$B190,'Eredeti fejléccel'!$D:$D)</f>
        <v>0</v>
      </c>
      <c r="V190" s="6">
        <f>SUMIF('Eredeti fejléccel'!$B:$B,'Felosztás eredménykim'!$B190,'Eredeti fejléccel'!$AT:$AT)</f>
        <v>63500</v>
      </c>
      <c r="W190" s="36">
        <f t="shared" si="368"/>
        <v>-63500</v>
      </c>
      <c r="X190" s="36">
        <f t="shared" si="211"/>
        <v>0</v>
      </c>
      <c r="Z190" s="6">
        <f>SUMIF('Eredeti fejléccel'!$B:$B,'Felosztás eredménykim'!$B190,'Eredeti fejléccel'!$K:$K)</f>
        <v>0</v>
      </c>
      <c r="AB190" s="6">
        <f>SUMIF('Eredeti fejléccel'!$B:$B,'Felosztás eredménykim'!$B190,'Eredeti fejléccel'!$AB:$AB)</f>
        <v>0</v>
      </c>
      <c r="AC190" s="6">
        <f>SUMIF('Eredeti fejléccel'!$B:$B,'Felosztás eredménykim'!$B190,'Eredeti fejléccel'!$AQ:$AQ)</f>
        <v>0</v>
      </c>
      <c r="AE190" s="73">
        <f t="shared" si="299"/>
        <v>0</v>
      </c>
      <c r="AF190" s="36">
        <f t="shared" si="339"/>
        <v>0</v>
      </c>
      <c r="AG190" s="8">
        <f t="shared" si="213"/>
        <v>0</v>
      </c>
      <c r="AI190" s="6">
        <f>SUMIF('Eredeti fejléccel'!$B:$B,'Felosztás eredménykim'!$B190,'Eredeti fejléccel'!$BB:$BB)</f>
        <v>0</v>
      </c>
      <c r="AJ190" s="6">
        <f>SUMIF('Eredeti fejléccel'!$B:$B,'Felosztás eredménykim'!$B190,'Eredeti fejléccel'!$AF:$AF)</f>
        <v>0</v>
      </c>
      <c r="AK190" s="8">
        <f t="shared" si="177"/>
        <v>0</v>
      </c>
      <c r="AL190" s="36">
        <f t="shared" si="340"/>
        <v>0</v>
      </c>
      <c r="AM190" s="8">
        <f t="shared" si="215"/>
        <v>0</v>
      </c>
      <c r="AN190" s="6">
        <f t="shared" si="291"/>
        <v>0</v>
      </c>
      <c r="AO190" s="6">
        <f>SUMIF('Eredeti fejléccel'!$B:$B,'Felosztás eredménykim'!$B190,'Eredeti fejléccel'!$AC:$AC)</f>
        <v>0</v>
      </c>
      <c r="AP190" s="6">
        <f>SUMIF('Eredeti fejléccel'!$B:$B,'Felosztás eredménykim'!$B190,'Eredeti fejléccel'!$AD:$AD)</f>
        <v>0</v>
      </c>
      <c r="AQ190" s="6">
        <f>SUMIF('Eredeti fejléccel'!$B:$B,'Felosztás eredménykim'!$B190,'Eredeti fejléccel'!$AE:$AE)</f>
        <v>0</v>
      </c>
      <c r="AR190" s="6">
        <f>SUMIF('Eredeti fejléccel'!$B:$B,'Felosztás eredménykim'!$B190,'Eredeti fejléccel'!$AG:$AG)</f>
        <v>0</v>
      </c>
      <c r="AS190" s="6">
        <f t="shared" si="292"/>
        <v>0</v>
      </c>
      <c r="AT190" s="36">
        <f t="shared" si="341"/>
        <v>0</v>
      </c>
      <c r="AU190" s="8">
        <f t="shared" si="217"/>
        <v>0</v>
      </c>
      <c r="AV190" s="6">
        <f>SUMIF('Eredeti fejléccel'!$B:$B,'Felosztás eredménykim'!$B190,'Eredeti fejléccel'!$AI:$AI)</f>
        <v>0</v>
      </c>
      <c r="AW190" s="6">
        <f>SUMIF('Eredeti fejléccel'!$B:$B,'Felosztás eredménykim'!$B190,'Eredeti fejléccel'!$AJ:$AJ)</f>
        <v>0</v>
      </c>
      <c r="AX190" s="6">
        <f>SUMIF('Eredeti fejléccel'!$B:$B,'Felosztás eredménykim'!$B190,'Eredeti fejléccel'!$AK:$AK)</f>
        <v>0</v>
      </c>
      <c r="AY190" s="6">
        <f>SUMIF('Eredeti fejléccel'!$B:$B,'Felosztás eredménykim'!$B190,'Eredeti fejléccel'!$AL:$AL)</f>
        <v>0</v>
      </c>
      <c r="AZ190" s="6">
        <f>SUMIF('Eredeti fejléccel'!$B:$B,'Felosztás eredménykim'!$B190,'Eredeti fejléccel'!$AM:$AM)</f>
        <v>0</v>
      </c>
      <c r="BA190" s="6">
        <f>SUMIF('Eredeti fejléccel'!$B:$B,'Felosztás eredménykim'!$B190,'Eredeti fejléccel'!$AN:$AN)</f>
        <v>0</v>
      </c>
      <c r="BB190" s="6">
        <f>SUMIF('Eredeti fejléccel'!$B:$B,'Felosztás eredménykim'!$B190,'Eredeti fejléccel'!$AP:$AP)</f>
        <v>0</v>
      </c>
      <c r="BD190" s="6">
        <f>SUMIF('Eredeti fejléccel'!$B:$B,'Felosztás eredménykim'!$B190,'Eredeti fejléccel'!$AS:$AS)</f>
        <v>0</v>
      </c>
      <c r="BE190" s="8">
        <f t="shared" si="238"/>
        <v>0</v>
      </c>
      <c r="BF190" s="36">
        <f t="shared" si="342"/>
        <v>0</v>
      </c>
      <c r="BG190" s="8">
        <f t="shared" si="219"/>
        <v>0</v>
      </c>
      <c r="BH190" s="6">
        <f t="shared" si="293"/>
        <v>0</v>
      </c>
      <c r="BI190" s="6">
        <f>SUMIF('Eredeti fejléccel'!$B:$B,'Felosztás eredménykim'!$B190,'Eredeti fejléccel'!$AH:$AH)</f>
        <v>0</v>
      </c>
      <c r="BJ190" s="6">
        <f>SUMIF('Eredeti fejléccel'!$B:$B,'Felosztás eredménykim'!$B190,'Eredeti fejléccel'!$AO:$AO)</f>
        <v>0</v>
      </c>
      <c r="BK190" s="6">
        <f>SUMIF('Eredeti fejléccel'!$B:$B,'Felosztás eredménykim'!$B190,'Eredeti fejléccel'!$BF:$BF)</f>
        <v>0</v>
      </c>
      <c r="BL190" s="8">
        <f t="shared" si="294"/>
        <v>0</v>
      </c>
      <c r="BM190" s="36">
        <f t="shared" si="343"/>
        <v>0</v>
      </c>
      <c r="BN190" s="8">
        <f t="shared" si="221"/>
        <v>0</v>
      </c>
      <c r="BP190" s="8">
        <f t="shared" si="295"/>
        <v>0</v>
      </c>
      <c r="BQ190" s="6">
        <f>SUMIF('Eredeti fejléccel'!$B:$B,'Felosztás eredménykim'!$B190,'Eredeti fejléccel'!$N:$N)</f>
        <v>0</v>
      </c>
      <c r="BR190" s="6">
        <f>SUMIF('Eredeti fejléccel'!$B:$B,'Felosztás eredménykim'!$B190,'Eredeti fejléccel'!$S:$S)</f>
        <v>0</v>
      </c>
      <c r="BT190" s="6">
        <f>SUMIF('Eredeti fejléccel'!$B:$B,'Felosztás eredménykim'!$B190,'Eredeti fejléccel'!$AR:$AR)</f>
        <v>0</v>
      </c>
      <c r="BU190" s="6">
        <f>SUMIF('Eredeti fejléccel'!$B:$B,'Felosztás eredménykim'!$B190,'Eredeti fejléccel'!$AU:$AU)</f>
        <v>0</v>
      </c>
      <c r="BV190" s="6">
        <f>SUMIF('Eredeti fejléccel'!$B:$B,'Felosztás eredménykim'!$B190,'Eredeti fejléccel'!$AV:$AV)</f>
        <v>0</v>
      </c>
      <c r="BW190" s="6">
        <f>SUMIF('Eredeti fejléccel'!$B:$B,'Felosztás eredménykim'!$B190,'Eredeti fejléccel'!$AW:$AW)</f>
        <v>0</v>
      </c>
      <c r="BX190" s="6">
        <f>SUMIF('Eredeti fejléccel'!$B:$B,'Felosztás eredménykim'!$B190,'Eredeti fejléccel'!$AX:$AX)</f>
        <v>0</v>
      </c>
      <c r="BY190" s="6">
        <f>SUMIF('Eredeti fejléccel'!$B:$B,'Felosztás eredménykim'!$B190,'Eredeti fejléccel'!$AY:$AY)</f>
        <v>0</v>
      </c>
      <c r="BZ190" s="6">
        <f>SUMIF('Eredeti fejléccel'!$B:$B,'Felosztás eredménykim'!$B190,'Eredeti fejléccel'!$AZ:$AZ)</f>
        <v>0</v>
      </c>
      <c r="CA190" s="6">
        <f>SUMIF('Eredeti fejléccel'!$B:$B,'Felosztás eredménykim'!$B190,'Eredeti fejléccel'!$BA:$BA)</f>
        <v>0</v>
      </c>
      <c r="CB190" s="6">
        <f t="shared" si="253"/>
        <v>0</v>
      </c>
      <c r="CC190" s="36">
        <f t="shared" si="344"/>
        <v>0</v>
      </c>
      <c r="CD190" s="8">
        <f t="shared" si="223"/>
        <v>0</v>
      </c>
      <c r="CE190" s="6">
        <f>SUMIF('Eredeti fejléccel'!$B:$B,'Felosztás eredménykim'!$B190,'Eredeti fejléccel'!$BC:$BC)</f>
        <v>0</v>
      </c>
      <c r="CF190" s="8">
        <f t="shared" si="300"/>
        <v>0</v>
      </c>
      <c r="CG190" s="6">
        <f>SUMIF('Eredeti fejléccel'!$B:$B,'Felosztás eredménykim'!$B190,'Eredeti fejléccel'!$H:$H)</f>
        <v>0</v>
      </c>
      <c r="CH190" s="6">
        <f>SUMIF('Eredeti fejléccel'!$B:$B,'Felosztás eredménykim'!$B190,'Eredeti fejléccel'!$BE:$BE)</f>
        <v>0</v>
      </c>
      <c r="CI190" s="6">
        <f t="shared" si="239"/>
        <v>0</v>
      </c>
      <c r="CJ190" s="36">
        <f t="shared" si="345"/>
        <v>0</v>
      </c>
      <c r="CK190" s="8">
        <f t="shared" si="225"/>
        <v>0</v>
      </c>
      <c r="CL190" s="8">
        <f t="shared" si="301"/>
        <v>0</v>
      </c>
      <c r="CM190" s="6">
        <f>SUMIF('Eredeti fejléccel'!$B:$B,'Felosztás eredménykim'!$B190,'Eredeti fejléccel'!$BD:$BD)</f>
        <v>0</v>
      </c>
      <c r="CN190" s="8">
        <f t="shared" si="240"/>
        <v>0</v>
      </c>
      <c r="CO190" s="8">
        <f t="shared" si="254"/>
        <v>0</v>
      </c>
      <c r="CR190" s="36">
        <f t="shared" si="226"/>
        <v>0</v>
      </c>
      <c r="CS190" s="6">
        <f>SUMIF('Eredeti fejléccel'!$B:$B,'Felosztás eredménykim'!$B190,'Eredeti fejléccel'!$I:$I)</f>
        <v>0</v>
      </c>
      <c r="CT190" s="6">
        <f>SUMIF('Eredeti fejléccel'!$B:$B,'Felosztás eredménykim'!$B190,'Eredeti fejléccel'!$BG:$BG)</f>
        <v>0</v>
      </c>
      <c r="CU190" s="6">
        <f>SUMIF('Eredeti fejléccel'!$B:$B,'Felosztás eredménykim'!$B190,'Eredeti fejléccel'!$BH:$BH)</f>
        <v>0</v>
      </c>
      <c r="CV190" s="6">
        <f>SUMIF('Eredeti fejléccel'!$B:$B,'Felosztás eredménykim'!$B190,'Eredeti fejléccel'!$BI:$BI)</f>
        <v>0</v>
      </c>
      <c r="CW190" s="6">
        <f>SUMIF('Eredeti fejléccel'!$B:$B,'Felosztás eredménykim'!$B190,'Eredeti fejléccel'!$BL:$BL)</f>
        <v>0</v>
      </c>
      <c r="CX190" s="6">
        <f t="shared" si="241"/>
        <v>0</v>
      </c>
      <c r="CY190" s="6">
        <f>SUMIF('Eredeti fejléccel'!$B:$B,'Felosztás eredménykim'!$B190,'Eredeti fejléccel'!$BJ:$BJ)</f>
        <v>0</v>
      </c>
      <c r="CZ190" s="6">
        <f>SUMIF('Eredeti fejléccel'!$B:$B,'Felosztás eredménykim'!$B190,'Eredeti fejléccel'!$BK:$BK)</f>
        <v>0</v>
      </c>
      <c r="DA190" s="99">
        <f t="shared" si="242"/>
        <v>0</v>
      </c>
      <c r="DC190" s="36">
        <f t="shared" si="227"/>
        <v>0</v>
      </c>
      <c r="DD190" s="6">
        <f>SUMIF('Eredeti fejléccel'!$B:$B,'Felosztás eredménykim'!$B190,'Eredeti fejléccel'!$J:$J)</f>
        <v>0</v>
      </c>
      <c r="DE190" s="6">
        <f>SUMIF('Eredeti fejléccel'!$B:$B,'Felosztás eredménykim'!$B190,'Eredeti fejléccel'!$BM:$BM)</f>
        <v>0</v>
      </c>
      <c r="DF190" s="6">
        <f t="shared" si="296"/>
        <v>0</v>
      </c>
      <c r="DG190" s="8">
        <f t="shared" si="255"/>
        <v>0</v>
      </c>
      <c r="DH190" s="8">
        <f t="shared" si="297"/>
        <v>0</v>
      </c>
      <c r="DJ190" s="6">
        <f>SUMIF('Eredeti fejléccel'!$B:$B,'Felosztás eredménykim'!$B190,'Eredeti fejléccel'!$BN:$BN)</f>
        <v>0</v>
      </c>
      <c r="DK190" s="6">
        <f>SUMIF('Eredeti fejléccel'!$B:$B,'Felosztás eredménykim'!$B190,'Eredeti fejléccel'!$BZ:$BZ)</f>
        <v>0</v>
      </c>
      <c r="DL190" s="8">
        <f t="shared" si="298"/>
        <v>0</v>
      </c>
      <c r="DM190" s="6">
        <f>SUMIF('Eredeti fejléccel'!$B:$B,'Felosztás eredménykim'!$B190,'Eredeti fejléccel'!$BR:$BR)</f>
        <v>0</v>
      </c>
      <c r="DN190" s="6">
        <f>SUMIF('Eredeti fejléccel'!$B:$B,'Felosztás eredménykim'!$B190,'Eredeti fejléccel'!$BS:$BS)</f>
        <v>0</v>
      </c>
      <c r="DO190" s="6">
        <f>SUMIF('Eredeti fejléccel'!$B:$B,'Felosztás eredménykim'!$B190,'Eredeti fejléccel'!$BO:$BO)</f>
        <v>0</v>
      </c>
      <c r="DP190" s="6">
        <f>SUMIF('Eredeti fejléccel'!$B:$B,'Felosztás eredménykim'!$B190,'Eredeti fejléccel'!$BP:$BP)</f>
        <v>0</v>
      </c>
      <c r="DQ190" s="6">
        <f>SUMIF('Eredeti fejléccel'!$B:$B,'Felosztás eredménykim'!$B190,'Eredeti fejléccel'!$BQ:$BQ)</f>
        <v>0</v>
      </c>
      <c r="DS190" s="8"/>
      <c r="DU190" s="6">
        <f>SUMIF('Eredeti fejléccel'!$B:$B,'Felosztás eredménykim'!$B190,'Eredeti fejléccel'!$BT:$BT)</f>
        <v>0</v>
      </c>
      <c r="DV190" s="6">
        <f>SUMIF('Eredeti fejléccel'!$B:$B,'Felosztás eredménykim'!$B190,'Eredeti fejléccel'!$BU:$BU)</f>
        <v>0</v>
      </c>
      <c r="DW190" s="6">
        <f>SUMIF('Eredeti fejléccel'!$B:$B,'Felosztás eredménykim'!$B190,'Eredeti fejléccel'!$BV:$BV)</f>
        <v>0</v>
      </c>
      <c r="DX190" s="6">
        <f>SUMIF('Eredeti fejléccel'!$B:$B,'Felosztás eredménykim'!$B190,'Eredeti fejléccel'!$BW:$BW)</f>
        <v>0</v>
      </c>
      <c r="DY190" s="6">
        <f>SUMIF('Eredeti fejléccel'!$B:$B,'Felosztás eredménykim'!$B190,'Eredeti fejléccel'!$BX:$BX)</f>
        <v>0</v>
      </c>
      <c r="EA190" s="6"/>
      <c r="EC190" s="6"/>
      <c r="EE190" s="6">
        <f>SUMIF('Eredeti fejléccel'!$B:$B,'Felosztás eredménykim'!$B190,'Eredeti fejléccel'!$CA:$CA)</f>
        <v>0</v>
      </c>
      <c r="EF190" s="6">
        <f>SUMIF('Eredeti fejléccel'!$B:$B,'Felosztás eredménykim'!$B190,'Eredeti fejléccel'!$CB:$CB)</f>
        <v>0</v>
      </c>
      <c r="EG190" s="6">
        <f>SUMIF('Eredeti fejléccel'!$B:$B,'Felosztás eredménykim'!$B190,'Eredeti fejléccel'!$CC:$CC)</f>
        <v>0</v>
      </c>
      <c r="EH190" s="6">
        <f>SUMIF('Eredeti fejléccel'!$B:$B,'Felosztás eredménykim'!$B190,'Eredeti fejléccel'!$CD:$CD)</f>
        <v>0</v>
      </c>
      <c r="EK190" s="6">
        <f>SUMIF('Eredeti fejléccel'!$B:$B,'Felosztás eredménykim'!$B190,'Eredeti fejléccel'!$CE:$CE)</f>
        <v>0</v>
      </c>
      <c r="EN190" s="6">
        <f>SUMIF('Eredeti fejléccel'!$B:$B,'Felosztás eredménykim'!$B190,'Eredeti fejléccel'!$CF:$CF)</f>
        <v>0</v>
      </c>
      <c r="EP190" s="6">
        <f>SUMIF('Eredeti fejléccel'!$B:$B,'Felosztás eredménykim'!$B190,'Eredeti fejléccel'!$CG:$CG)</f>
        <v>0</v>
      </c>
      <c r="ES190" s="6">
        <f>SUMIF('Eredeti fejléccel'!$B:$B,'Felosztás eredménykim'!$B190,'Eredeti fejléccel'!$CH:$CH)</f>
        <v>0</v>
      </c>
      <c r="ET190" s="6">
        <f>SUMIF('Eredeti fejléccel'!$B:$B,'Felosztás eredménykim'!$B190,'Eredeti fejléccel'!$CI:$CI)</f>
        <v>0</v>
      </c>
      <c r="EW190" s="8">
        <f t="shared" si="288"/>
        <v>0</v>
      </c>
      <c r="EX190" s="8">
        <f t="shared" si="243"/>
        <v>0</v>
      </c>
      <c r="EY190" s="8">
        <f t="shared" si="244"/>
        <v>0</v>
      </c>
      <c r="EZ190" s="8">
        <f t="shared" si="289"/>
        <v>0</v>
      </c>
      <c r="FA190" s="8">
        <f t="shared" si="290"/>
        <v>0</v>
      </c>
      <c r="FC190" s="6">
        <f>SUMIF('Eredeti fejléccel'!$B:$B,'Felosztás eredménykim'!$B190,'Eredeti fejléccel'!$L:$L)</f>
        <v>0</v>
      </c>
      <c r="FD190" s="6">
        <f>SUMIF('Eredeti fejléccel'!$B:$B,'Felosztás eredménykim'!$B190,'Eredeti fejléccel'!$CJ:$CJ)</f>
        <v>0</v>
      </c>
      <c r="FE190" s="6">
        <f>SUMIF('Eredeti fejléccel'!$B:$B,'Felosztás eredménykim'!$B190,'Eredeti fejléccel'!$CL:$CL)</f>
        <v>0</v>
      </c>
      <c r="FG190" s="99">
        <f t="shared" si="245"/>
        <v>0</v>
      </c>
      <c r="FH190" s="6">
        <f>SUMIF('Eredeti fejléccel'!$B:$B,'Felosztás eredménykim'!$B190,'Eredeti fejléccel'!$CK:$CK)</f>
        <v>0</v>
      </c>
      <c r="FI190" s="36">
        <f t="shared" si="346"/>
        <v>0</v>
      </c>
      <c r="FJ190" s="101">
        <f t="shared" si="229"/>
        <v>0</v>
      </c>
      <c r="FK190" s="6">
        <f>SUMIF('Eredeti fejléccel'!$B:$B,'Felosztás eredménykim'!$B190,'Eredeti fejléccel'!$CM:$CM)</f>
        <v>0</v>
      </c>
      <c r="FL190" s="6">
        <f>SUMIF('Eredeti fejléccel'!$B:$B,'Felosztás eredménykim'!$B190,'Eredeti fejléccel'!$CN:$CN)</f>
        <v>0</v>
      </c>
      <c r="FM190" s="8">
        <f t="shared" si="246"/>
        <v>0</v>
      </c>
      <c r="FN190" s="36">
        <f t="shared" si="347"/>
        <v>0</v>
      </c>
      <c r="FO190" s="101">
        <f t="shared" si="231"/>
        <v>0</v>
      </c>
      <c r="FP190" s="6">
        <f>SUMIF('Eredeti fejléccel'!$B:$B,'Felosztás eredménykim'!$B190,'Eredeti fejléccel'!$CO:$CO)</f>
        <v>0</v>
      </c>
      <c r="FQ190" s="6">
        <f>'Eredeti fejléccel'!CP190</f>
        <v>0</v>
      </c>
      <c r="FR190" s="6">
        <f>'Eredeti fejléccel'!CQ190</f>
        <v>0</v>
      </c>
      <c r="FS190" s="103">
        <f t="shared" si="247"/>
        <v>0</v>
      </c>
      <c r="FT190" s="36">
        <f t="shared" si="348"/>
        <v>0</v>
      </c>
      <c r="FU190" s="101">
        <f t="shared" si="233"/>
        <v>0</v>
      </c>
      <c r="FV190" s="101"/>
      <c r="FW190" s="6">
        <f>SUMIF('Eredeti fejléccel'!$B:$B,'Felosztás eredménykim'!$B190,'Eredeti fejléccel'!$CR:$CR)</f>
        <v>0</v>
      </c>
      <c r="FX190" s="6">
        <f>SUMIF('Eredeti fejléccel'!$B:$B,'Felosztás eredménykim'!$B190,'Eredeti fejléccel'!$CS:$CS)</f>
        <v>0</v>
      </c>
      <c r="FY190" s="6">
        <f>SUMIF('Eredeti fejléccel'!$B:$B,'Felosztás eredménykim'!$B190,'Eredeti fejléccel'!$CT:$CT)</f>
        <v>0</v>
      </c>
      <c r="FZ190" s="6">
        <f>SUMIF('Eredeti fejléccel'!$B:$B,'Felosztás eredménykim'!$B190,'Eredeti fejléccel'!$CU:$CU)</f>
        <v>0</v>
      </c>
      <c r="GA190" s="103">
        <f t="shared" si="248"/>
        <v>0</v>
      </c>
      <c r="GB190" s="36">
        <f t="shared" si="349"/>
        <v>0</v>
      </c>
      <c r="GC190" s="101">
        <f t="shared" si="235"/>
        <v>0</v>
      </c>
      <c r="GD190" s="6">
        <f>SUMIF('Eredeti fejléccel'!$B:$B,'Felosztás eredménykim'!$B190,'Eredeti fejléccel'!$CV:$CV)</f>
        <v>0</v>
      </c>
      <c r="GE190" s="6">
        <f>SUMIF('Eredeti fejléccel'!$B:$B,'Felosztás eredménykim'!$B190,'Eredeti fejléccel'!$CW:$CW)</f>
        <v>0</v>
      </c>
      <c r="GF190" s="103">
        <f t="shared" si="249"/>
        <v>0</v>
      </c>
      <c r="GG190" s="36">
        <f t="shared" si="236"/>
        <v>0</v>
      </c>
      <c r="GM190" s="6">
        <f>SUMIF('Eredeti fejléccel'!$B:$B,'Felosztás eredménykim'!$B190,'Eredeti fejléccel'!$CX:$CX)</f>
        <v>0</v>
      </c>
      <c r="GN190" s="6">
        <f>SUMIF('Eredeti fejléccel'!$B:$B,'Felosztás eredménykim'!$B190,'Eredeti fejléccel'!$CY:$CY)</f>
        <v>0</v>
      </c>
      <c r="GO190" s="6">
        <f>SUMIF('Eredeti fejléccel'!$B:$B,'Felosztás eredménykim'!$B190,'Eredeti fejléccel'!$CZ:$CZ)</f>
        <v>0</v>
      </c>
      <c r="GP190" s="6">
        <f>SUMIF('Eredeti fejléccel'!$B:$B,'Felosztás eredménykim'!$B190,'Eredeti fejléccel'!$DA:$DA)</f>
        <v>0</v>
      </c>
      <c r="GQ190" s="6">
        <f>SUMIF('Eredeti fejléccel'!$B:$B,'Felosztás eredménykim'!$B190,'Eredeti fejléccel'!$DB:$DB)</f>
        <v>0</v>
      </c>
      <c r="GR190" s="103">
        <f t="shared" si="250"/>
        <v>0</v>
      </c>
      <c r="GW190" s="36">
        <f t="shared" si="237"/>
        <v>0</v>
      </c>
      <c r="GX190" s="6">
        <f>SUMIF('Eredeti fejléccel'!$B:$B,'Felosztás eredménykim'!$B190,'Eredeti fejléccel'!$M:$M)</f>
        <v>0</v>
      </c>
      <c r="GY190" s="6">
        <f>SUMIF('Eredeti fejléccel'!$B:$B,'Felosztás eredménykim'!$B190,'Eredeti fejléccel'!$DC:$DC)</f>
        <v>0</v>
      </c>
      <c r="GZ190" s="6">
        <f>SUMIF('Eredeti fejléccel'!$B:$B,'Felosztás eredménykim'!$B190,'Eredeti fejléccel'!$DD:$DD)</f>
        <v>0</v>
      </c>
      <c r="HA190" s="6">
        <f>SUMIF('Eredeti fejléccel'!$B:$B,'Felosztás eredménykim'!$B190,'Eredeti fejléccel'!$DE:$DE)</f>
        <v>0</v>
      </c>
      <c r="HB190" s="103">
        <f t="shared" si="251"/>
        <v>0</v>
      </c>
      <c r="HD190" s="9">
        <f t="shared" si="350"/>
        <v>63500</v>
      </c>
      <c r="HE190" s="9">
        <v>63500</v>
      </c>
      <c r="HF190" s="476"/>
      <c r="HH190" s="34">
        <f t="shared" si="252"/>
        <v>0</v>
      </c>
    </row>
    <row r="191" spans="1:216" x14ac:dyDescent="0.25">
      <c r="A191" s="4" t="s">
        <v>907</v>
      </c>
      <c r="B191" s="4" t="s">
        <v>907</v>
      </c>
      <c r="D191" s="6">
        <f>SUMIF('Eredeti fejléccel'!$B:$B,'Felosztás eredménykim'!$B191,'Eredeti fejléccel'!$D:$D)</f>
        <v>0</v>
      </c>
      <c r="E191" s="6">
        <f>SUMIF('Eredeti fejléccel'!$B:$B,'Felosztás eredménykim'!$B191,'Eredeti fejléccel'!$E:$E)</f>
        <v>0</v>
      </c>
      <c r="F191" s="6">
        <f>SUMIF('Eredeti fejléccel'!$B:$B,'Felosztás eredménykim'!$B191,'Eredeti fejléccel'!$F:$F)</f>
        <v>0</v>
      </c>
      <c r="G191" s="6">
        <f>SUMIF('Eredeti fejléccel'!$B:$B,'Felosztás eredménykim'!$B191,'Eredeti fejléccel'!$G:$G)</f>
        <v>0</v>
      </c>
      <c r="H191" s="6"/>
      <c r="I191" s="6">
        <f>SUMIF('Eredeti fejléccel'!$B:$B,'Felosztás eredménykim'!$B191,'Eredeti fejléccel'!$O:$O)</f>
        <v>0</v>
      </c>
      <c r="J191" s="6">
        <f>SUMIF('Eredeti fejléccel'!$B:$B,'Felosztás eredménykim'!$B191,'Eredeti fejléccel'!$P:$P)</f>
        <v>0</v>
      </c>
      <c r="K191" s="6">
        <f>SUMIF('Eredeti fejléccel'!$B:$B,'Felosztás eredménykim'!$B191,'Eredeti fejléccel'!$Q:$Q)</f>
        <v>0</v>
      </c>
      <c r="L191" s="6">
        <f>SUMIF('Eredeti fejléccel'!$B:$B,'Felosztás eredménykim'!$B191,'Eredeti fejléccel'!$R:$R)</f>
        <v>0</v>
      </c>
      <c r="M191" s="6">
        <f>SUMIF('Eredeti fejléccel'!$B:$B,'Felosztás eredménykim'!$B191,'Eredeti fejléccel'!$T:$T)</f>
        <v>0</v>
      </c>
      <c r="N191" s="6">
        <f>SUMIF('Eredeti fejléccel'!$B:$B,'Felosztás eredménykim'!$B191,'Eredeti fejléccel'!$U:$U)</f>
        <v>0</v>
      </c>
      <c r="O191" s="6">
        <f>SUMIF('Eredeti fejléccel'!$B:$B,'Felosztás eredménykim'!$B191,'Eredeti fejléccel'!$V:$V)</f>
        <v>0</v>
      </c>
      <c r="P191" s="6">
        <f>SUMIF('Eredeti fejléccel'!$B:$B,'Felosztás eredménykim'!$B191,'Eredeti fejléccel'!$W:$W)</f>
        <v>0</v>
      </c>
      <c r="Q191" s="6">
        <f>SUMIF('Eredeti fejléccel'!$B:$B,'Felosztás eredménykim'!$B191,'Eredeti fejléccel'!$X:$X)</f>
        <v>0</v>
      </c>
      <c r="R191" s="6">
        <f>SUMIF('Eredeti fejléccel'!$B:$B,'Felosztás eredménykim'!$B191,'Eredeti fejléccel'!$Y:$Y)</f>
        <v>0</v>
      </c>
      <c r="S191" s="6">
        <f>SUMIF('Eredeti fejléccel'!$B:$B,'Felosztás eredménykim'!$B191,'Eredeti fejléccel'!$Z:$Z)</f>
        <v>0</v>
      </c>
      <c r="T191" s="6">
        <f>SUMIF('Eredeti fejléccel'!$B:$B,'Felosztás eredménykim'!$B191,'Eredeti fejléccel'!$AA:$AA)</f>
        <v>0</v>
      </c>
      <c r="U191" s="6">
        <f>SUMIF('Eredeti fejléccel'!$B:$B,'Felosztás eredménykim'!$B191,'Eredeti fejléccel'!$D:$D)</f>
        <v>0</v>
      </c>
      <c r="V191" s="6">
        <f>SUMIF('Eredeti fejléccel'!$B:$B,'Felosztás eredménykim'!$B191,'Eredeti fejléccel'!$AT:$AT)</f>
        <v>0</v>
      </c>
      <c r="W191" s="36">
        <f t="shared" si="368"/>
        <v>0</v>
      </c>
      <c r="X191" s="36">
        <f t="shared" si="211"/>
        <v>0</v>
      </c>
      <c r="Z191" s="6">
        <f>SUMIF('Eredeti fejléccel'!$B:$B,'Felosztás eredménykim'!$B191,'Eredeti fejléccel'!$K:$K)</f>
        <v>0</v>
      </c>
      <c r="AB191" s="6">
        <f>SUMIF('Eredeti fejléccel'!$B:$B,'Felosztás eredménykim'!$B191,'Eredeti fejléccel'!$AB:$AB)</f>
        <v>0</v>
      </c>
      <c r="AC191" s="6">
        <f>SUMIF('Eredeti fejléccel'!$B:$B,'Felosztás eredménykim'!$B191,'Eredeti fejléccel'!$AQ:$AQ)</f>
        <v>0</v>
      </c>
      <c r="AE191" s="73">
        <f>SUM(Z191:AD191)</f>
        <v>0</v>
      </c>
      <c r="AF191" s="36">
        <f t="shared" si="339"/>
        <v>0</v>
      </c>
      <c r="AG191" s="8">
        <f t="shared" si="213"/>
        <v>0</v>
      </c>
      <c r="AI191" s="6">
        <f>SUMIF('Eredeti fejléccel'!$B:$B,'Felosztás eredménykim'!$B191,'Eredeti fejléccel'!$BB:$BB)</f>
        <v>0</v>
      </c>
      <c r="AJ191" s="6">
        <f>SUMIF('Eredeti fejléccel'!$B:$B,'Felosztás eredménykim'!$B191,'Eredeti fejléccel'!$AF:$AF)</f>
        <v>0</v>
      </c>
      <c r="AK191" s="8">
        <f>SUM(AG191:AJ191)</f>
        <v>0</v>
      </c>
      <c r="AL191" s="36">
        <f t="shared" si="340"/>
        <v>0</v>
      </c>
      <c r="AM191" s="8">
        <f t="shared" si="215"/>
        <v>0</v>
      </c>
      <c r="AN191" s="6">
        <f t="shared" si="291"/>
        <v>0</v>
      </c>
      <c r="AO191" s="6">
        <f>SUMIF('Eredeti fejléccel'!$B:$B,'Felosztás eredménykim'!$B191,'Eredeti fejléccel'!$AC:$AC)</f>
        <v>0</v>
      </c>
      <c r="AP191" s="6">
        <f>SUMIF('Eredeti fejléccel'!$B:$B,'Felosztás eredménykim'!$B191,'Eredeti fejléccel'!$AD:$AD)</f>
        <v>0</v>
      </c>
      <c r="AQ191" s="6">
        <f>SUMIF('Eredeti fejléccel'!$B:$B,'Felosztás eredménykim'!$B191,'Eredeti fejléccel'!$AE:$AE)</f>
        <v>0</v>
      </c>
      <c r="AR191" s="6">
        <f>SUMIF('Eredeti fejléccel'!$B:$B,'Felosztás eredménykim'!$B191,'Eredeti fejléccel'!$AG:$AG)</f>
        <v>0</v>
      </c>
      <c r="AS191" s="6">
        <f t="shared" si="292"/>
        <v>0</v>
      </c>
      <c r="AT191" s="36">
        <f t="shared" si="341"/>
        <v>0</v>
      </c>
      <c r="AU191" s="8">
        <f t="shared" si="217"/>
        <v>0</v>
      </c>
      <c r="AV191" s="6">
        <f>SUMIF('Eredeti fejléccel'!$B:$B,'Felosztás eredménykim'!$B191,'Eredeti fejléccel'!$AI:$AI)</f>
        <v>0</v>
      </c>
      <c r="AW191" s="6">
        <f>SUMIF('Eredeti fejléccel'!$B:$B,'Felosztás eredménykim'!$B191,'Eredeti fejléccel'!$AJ:$AJ)</f>
        <v>0</v>
      </c>
      <c r="AX191" s="6">
        <f>SUMIF('Eredeti fejléccel'!$B:$B,'Felosztás eredménykim'!$B191,'Eredeti fejléccel'!$AK:$AK)</f>
        <v>0</v>
      </c>
      <c r="AY191" s="6">
        <f>SUMIF('Eredeti fejléccel'!$B:$B,'Felosztás eredménykim'!$B191,'Eredeti fejléccel'!$AL:$AL)</f>
        <v>0</v>
      </c>
      <c r="AZ191" s="6">
        <f>SUMIF('Eredeti fejléccel'!$B:$B,'Felosztás eredménykim'!$B191,'Eredeti fejléccel'!$AM:$AM)</f>
        <v>0</v>
      </c>
      <c r="BA191" s="6">
        <f>SUMIF('Eredeti fejléccel'!$B:$B,'Felosztás eredménykim'!$B191,'Eredeti fejléccel'!$AN:$AN)</f>
        <v>0</v>
      </c>
      <c r="BB191" s="6">
        <f>SUMIF('Eredeti fejléccel'!$B:$B,'Felosztás eredménykim'!$B191,'Eredeti fejléccel'!$AP:$AP)</f>
        <v>0</v>
      </c>
      <c r="BD191" s="6">
        <f>SUMIF('Eredeti fejléccel'!$B:$B,'Felosztás eredménykim'!$B191,'Eredeti fejléccel'!$AS:$AS)</f>
        <v>0</v>
      </c>
      <c r="BE191" s="8">
        <f>SUM(AU191:BD191)</f>
        <v>0</v>
      </c>
      <c r="BF191" s="36">
        <f t="shared" si="342"/>
        <v>0</v>
      </c>
      <c r="BG191" s="8">
        <f t="shared" si="219"/>
        <v>0</v>
      </c>
      <c r="BH191" s="6">
        <f t="shared" si="293"/>
        <v>0</v>
      </c>
      <c r="BI191" s="6">
        <f>SUMIF('Eredeti fejléccel'!$B:$B,'Felosztás eredménykim'!$B191,'Eredeti fejléccel'!$AH:$AH)</f>
        <v>0</v>
      </c>
      <c r="BJ191" s="6">
        <f>SUMIF('Eredeti fejléccel'!$B:$B,'Felosztás eredménykim'!$B191,'Eredeti fejléccel'!$AO:$AO)</f>
        <v>0</v>
      </c>
      <c r="BK191" s="6">
        <f>SUMIF('Eredeti fejléccel'!$B:$B,'Felosztás eredménykim'!$B191,'Eredeti fejléccel'!$BF:$BF)</f>
        <v>0</v>
      </c>
      <c r="BL191" s="8">
        <f t="shared" si="294"/>
        <v>0</v>
      </c>
      <c r="BM191" s="36">
        <f t="shared" si="343"/>
        <v>0</v>
      </c>
      <c r="BN191" s="8">
        <f t="shared" si="221"/>
        <v>0</v>
      </c>
      <c r="BP191" s="8">
        <f t="shared" si="295"/>
        <v>0</v>
      </c>
      <c r="BQ191" s="6">
        <f>SUMIF('Eredeti fejléccel'!$B:$B,'Felosztás eredménykim'!$B191,'Eredeti fejléccel'!$N:$N)</f>
        <v>0</v>
      </c>
      <c r="BR191" s="6">
        <f>SUMIF('Eredeti fejléccel'!$B:$B,'Felosztás eredménykim'!$B191,'Eredeti fejléccel'!$S:$S)</f>
        <v>0</v>
      </c>
      <c r="BT191" s="6">
        <f>SUMIF('Eredeti fejléccel'!$B:$B,'Felosztás eredménykim'!$B191,'Eredeti fejléccel'!$AR:$AR)</f>
        <v>0</v>
      </c>
      <c r="BU191" s="6">
        <f>SUMIF('Eredeti fejléccel'!$B:$B,'Felosztás eredménykim'!$B191,'Eredeti fejléccel'!$AU:$AU)</f>
        <v>0</v>
      </c>
      <c r="BV191" s="6">
        <f>SUMIF('Eredeti fejléccel'!$B:$B,'Felosztás eredménykim'!$B191,'Eredeti fejléccel'!$AV:$AV)</f>
        <v>0</v>
      </c>
      <c r="BW191" s="6">
        <f>SUMIF('Eredeti fejléccel'!$B:$B,'Felosztás eredménykim'!$B191,'Eredeti fejléccel'!$AW:$AW)</f>
        <v>0</v>
      </c>
      <c r="BX191" s="6">
        <f>SUMIF('Eredeti fejléccel'!$B:$B,'Felosztás eredménykim'!$B191,'Eredeti fejléccel'!$AX:$AX)</f>
        <v>0</v>
      </c>
      <c r="BY191" s="6">
        <f>SUMIF('Eredeti fejléccel'!$B:$B,'Felosztás eredménykim'!$B191,'Eredeti fejléccel'!$AY:$AY)</f>
        <v>0</v>
      </c>
      <c r="BZ191" s="6">
        <f>SUMIF('Eredeti fejléccel'!$B:$B,'Felosztás eredménykim'!$B191,'Eredeti fejléccel'!$AZ:$AZ)</f>
        <v>0</v>
      </c>
      <c r="CA191" s="6">
        <f>SUMIF('Eredeti fejléccel'!$B:$B,'Felosztás eredménykim'!$B191,'Eredeti fejléccel'!$BA:$BA)</f>
        <v>0</v>
      </c>
      <c r="CB191" s="6">
        <f t="shared" si="253"/>
        <v>0</v>
      </c>
      <c r="CC191" s="36">
        <f t="shared" si="344"/>
        <v>0</v>
      </c>
      <c r="CD191" s="8">
        <f t="shared" si="223"/>
        <v>0</v>
      </c>
      <c r="CE191" s="6">
        <f>SUMIF('Eredeti fejléccel'!$B:$B,'Felosztás eredménykim'!$B191,'Eredeti fejléccel'!$BC:$BC)</f>
        <v>0</v>
      </c>
      <c r="CF191" s="8">
        <f t="shared" si="300"/>
        <v>0</v>
      </c>
      <c r="CG191" s="6">
        <f>SUMIF('Eredeti fejléccel'!$B:$B,'Felosztás eredménykim'!$B191,'Eredeti fejléccel'!$H:$H)</f>
        <v>0</v>
      </c>
      <c r="CH191" s="6">
        <f>SUMIF('Eredeti fejléccel'!$B:$B,'Felosztás eredménykim'!$B191,'Eredeti fejléccel'!$BE:$BE)</f>
        <v>0</v>
      </c>
      <c r="CI191" s="6">
        <f>SUM(CD191:CH191)</f>
        <v>0</v>
      </c>
      <c r="CJ191" s="36">
        <f t="shared" si="345"/>
        <v>0</v>
      </c>
      <c r="CK191" s="8">
        <f t="shared" si="225"/>
        <v>0</v>
      </c>
      <c r="CL191" s="8">
        <f t="shared" si="301"/>
        <v>0</v>
      </c>
      <c r="CM191" s="6">
        <f>SUMIF('Eredeti fejléccel'!$B:$B,'Felosztás eredménykim'!$B191,'Eredeti fejléccel'!$BD:$BD)</f>
        <v>0</v>
      </c>
      <c r="CN191" s="8">
        <f>SUM(CK191:CM191)</f>
        <v>0</v>
      </c>
      <c r="CO191" s="8">
        <f t="shared" si="254"/>
        <v>0</v>
      </c>
      <c r="CR191" s="36">
        <f t="shared" si="226"/>
        <v>0</v>
      </c>
      <c r="CS191" s="6">
        <f>SUMIF('Eredeti fejléccel'!$B:$B,'Felosztás eredménykim'!$B191,'Eredeti fejléccel'!$I:$I)</f>
        <v>0</v>
      </c>
      <c r="CT191" s="6">
        <f>SUMIF('Eredeti fejléccel'!$B:$B,'Felosztás eredménykim'!$B191,'Eredeti fejléccel'!$BG:$BG)</f>
        <v>0</v>
      </c>
      <c r="CU191" s="6">
        <f>SUMIF('Eredeti fejléccel'!$B:$B,'Felosztás eredménykim'!$B191,'Eredeti fejléccel'!$BH:$BH)</f>
        <v>0</v>
      </c>
      <c r="CV191" s="6">
        <f>SUMIF('Eredeti fejléccel'!$B:$B,'Felosztás eredménykim'!$B191,'Eredeti fejléccel'!$BI:$BI)</f>
        <v>0</v>
      </c>
      <c r="CW191" s="6">
        <f>SUMIF('Eredeti fejléccel'!$B:$B,'Felosztás eredménykim'!$B191,'Eredeti fejléccel'!$BL:$BL)</f>
        <v>0</v>
      </c>
      <c r="CX191" s="6">
        <f>SUM(CS191:CW191)</f>
        <v>0</v>
      </c>
      <c r="CY191" s="6">
        <f>SUMIF('Eredeti fejléccel'!$B:$B,'Felosztás eredménykim'!$B191,'Eredeti fejléccel'!$BJ:$BJ)</f>
        <v>0</v>
      </c>
      <c r="CZ191" s="6">
        <f>SUMIF('Eredeti fejléccel'!$B:$B,'Felosztás eredménykim'!$B191,'Eredeti fejléccel'!$BK:$BK)</f>
        <v>0</v>
      </c>
      <c r="DA191" s="99">
        <f t="shared" si="242"/>
        <v>0</v>
      </c>
      <c r="DC191" s="36">
        <f t="shared" si="227"/>
        <v>0</v>
      </c>
      <c r="DD191" s="6">
        <f>SUMIF('Eredeti fejléccel'!$B:$B,'Felosztás eredménykim'!$B191,'Eredeti fejléccel'!$J:$J)</f>
        <v>0</v>
      </c>
      <c r="DE191" s="6">
        <f>SUMIF('Eredeti fejléccel'!$B:$B,'Felosztás eredménykim'!$B191,'Eredeti fejléccel'!$BM:$BM)</f>
        <v>0</v>
      </c>
      <c r="DF191" s="6">
        <f t="shared" si="296"/>
        <v>0</v>
      </c>
      <c r="DG191" s="8">
        <f t="shared" si="255"/>
        <v>0</v>
      </c>
      <c r="DH191" s="8">
        <f t="shared" si="297"/>
        <v>0</v>
      </c>
      <c r="DJ191" s="6">
        <f>SUMIF('Eredeti fejléccel'!$B:$B,'Felosztás eredménykim'!$B191,'Eredeti fejléccel'!$BN:$BN)</f>
        <v>0</v>
      </c>
      <c r="DK191" s="6">
        <f>SUMIF('Eredeti fejléccel'!$B:$B,'Felosztás eredménykim'!$B191,'Eredeti fejléccel'!$BZ:$BZ)</f>
        <v>0</v>
      </c>
      <c r="DL191" s="8">
        <f t="shared" si="298"/>
        <v>0</v>
      </c>
      <c r="DM191" s="6">
        <f>SUMIF('Eredeti fejléccel'!$B:$B,'Felosztás eredménykim'!$B191,'Eredeti fejléccel'!$BR:$BR)</f>
        <v>0</v>
      </c>
      <c r="DN191" s="6">
        <f>SUMIF('Eredeti fejléccel'!$B:$B,'Felosztás eredménykim'!$B191,'Eredeti fejléccel'!$BS:$BS)</f>
        <v>0</v>
      </c>
      <c r="DO191" s="6">
        <f>SUMIF('Eredeti fejléccel'!$B:$B,'Felosztás eredménykim'!$B191,'Eredeti fejléccel'!$BO:$BO)</f>
        <v>0</v>
      </c>
      <c r="DP191" s="6">
        <f>SUMIF('Eredeti fejléccel'!$B:$B,'Felosztás eredménykim'!$B191,'Eredeti fejléccel'!$BP:$BP)</f>
        <v>0</v>
      </c>
      <c r="DQ191" s="6">
        <f>SUMIF('Eredeti fejléccel'!$B:$B,'Felosztás eredménykim'!$B191,'Eredeti fejléccel'!$BQ:$BQ)</f>
        <v>0</v>
      </c>
      <c r="DS191" s="8"/>
      <c r="DU191" s="6">
        <f>SUMIF('Eredeti fejléccel'!$B:$B,'Felosztás eredménykim'!$B191,'Eredeti fejléccel'!$BT:$BT)</f>
        <v>0</v>
      </c>
      <c r="DV191" s="6">
        <f>SUMIF('Eredeti fejléccel'!$B:$B,'Felosztás eredménykim'!$B191,'Eredeti fejléccel'!$BU:$BU)</f>
        <v>0</v>
      </c>
      <c r="DW191" s="6">
        <f>SUMIF('Eredeti fejléccel'!$B:$B,'Felosztás eredménykim'!$B191,'Eredeti fejléccel'!$BV:$BV)</f>
        <v>0</v>
      </c>
      <c r="DX191" s="6">
        <f>SUMIF('Eredeti fejléccel'!$B:$B,'Felosztás eredménykim'!$B191,'Eredeti fejléccel'!$BW:$BW)</f>
        <v>0</v>
      </c>
      <c r="DY191" s="6">
        <f>SUMIF('Eredeti fejléccel'!$B:$B,'Felosztás eredménykim'!$B191,'Eredeti fejléccel'!$BX:$BX)</f>
        <v>0</v>
      </c>
      <c r="EA191" s="6"/>
      <c r="EC191" s="6"/>
      <c r="EE191" s="6">
        <f>SUMIF('Eredeti fejléccel'!$B:$B,'Felosztás eredménykim'!$B191,'Eredeti fejléccel'!$CA:$CA)</f>
        <v>0</v>
      </c>
      <c r="EF191" s="6">
        <f>SUMIF('Eredeti fejléccel'!$B:$B,'Felosztás eredménykim'!$B191,'Eredeti fejléccel'!$CB:$CB)</f>
        <v>0</v>
      </c>
      <c r="EG191" s="6">
        <f>SUMIF('Eredeti fejléccel'!$B:$B,'Felosztás eredménykim'!$B191,'Eredeti fejléccel'!$CC:$CC)</f>
        <v>0</v>
      </c>
      <c r="EH191" s="6">
        <f>SUMIF('Eredeti fejléccel'!$B:$B,'Felosztás eredménykim'!$B191,'Eredeti fejléccel'!$CD:$CD)</f>
        <v>0</v>
      </c>
      <c r="EK191" s="6">
        <f>SUMIF('Eredeti fejléccel'!$B:$B,'Felosztás eredménykim'!$B191,'Eredeti fejléccel'!$CE:$CE)</f>
        <v>0</v>
      </c>
      <c r="EN191" s="6">
        <f>SUMIF('Eredeti fejléccel'!$B:$B,'Felosztás eredménykim'!$B191,'Eredeti fejléccel'!$CF:$CF)</f>
        <v>0</v>
      </c>
      <c r="EP191" s="6">
        <f>SUMIF('Eredeti fejléccel'!$B:$B,'Felosztás eredménykim'!$B191,'Eredeti fejléccel'!$CG:$CG)</f>
        <v>0</v>
      </c>
      <c r="ES191" s="6">
        <f>SUMIF('Eredeti fejléccel'!$B:$B,'Felosztás eredménykim'!$B191,'Eredeti fejléccel'!$CH:$CH)</f>
        <v>0</v>
      </c>
      <c r="ET191" s="6">
        <f>SUMIF('Eredeti fejléccel'!$B:$B,'Felosztás eredménykim'!$B191,'Eredeti fejléccel'!$CI:$CI)</f>
        <v>0</v>
      </c>
      <c r="EW191" s="8">
        <f t="shared" si="288"/>
        <v>0</v>
      </c>
      <c r="EX191" s="8">
        <f>SUM(EE191:EV191)</f>
        <v>0</v>
      </c>
      <c r="EY191" s="8">
        <f t="shared" si="244"/>
        <v>0</v>
      </c>
      <c r="EZ191" s="8">
        <f t="shared" si="289"/>
        <v>0</v>
      </c>
      <c r="FA191" s="8">
        <f t="shared" si="290"/>
        <v>0</v>
      </c>
      <c r="FC191" s="6">
        <f>SUMIF('Eredeti fejléccel'!$B:$B,'Felosztás eredménykim'!$B191,'Eredeti fejléccel'!$L:$L)</f>
        <v>0</v>
      </c>
      <c r="FD191" s="6">
        <f>SUMIF('Eredeti fejléccel'!$B:$B,'Felosztás eredménykim'!$B191,'Eredeti fejléccel'!$CJ:$CJ)</f>
        <v>0</v>
      </c>
      <c r="FE191" s="6">
        <f>SUMIF('Eredeti fejléccel'!$B:$B,'Felosztás eredménykim'!$B191,'Eredeti fejléccel'!$CL:$CL)</f>
        <v>0</v>
      </c>
      <c r="FG191" s="99">
        <f>SUM(FC191:FF191)</f>
        <v>0</v>
      </c>
      <c r="FH191" s="6">
        <f>SUMIF('Eredeti fejléccel'!$B:$B,'Felosztás eredménykim'!$B191,'Eredeti fejléccel'!$CK:$CK)</f>
        <v>0</v>
      </c>
      <c r="FI191" s="36">
        <f t="shared" si="346"/>
        <v>0</v>
      </c>
      <c r="FJ191" s="101">
        <f t="shared" si="229"/>
        <v>0</v>
      </c>
      <c r="FK191" s="6">
        <f>SUMIF('Eredeti fejléccel'!$B:$B,'Felosztás eredménykim'!$B191,'Eredeti fejléccel'!$CM:$CM)</f>
        <v>0</v>
      </c>
      <c r="FL191" s="6">
        <f>SUMIF('Eredeti fejléccel'!$B:$B,'Felosztás eredménykim'!$B191,'Eredeti fejléccel'!$CN:$CN)</f>
        <v>0</v>
      </c>
      <c r="FM191" s="8">
        <f>SUM(FJ191:FL191)</f>
        <v>0</v>
      </c>
      <c r="FN191" s="36">
        <f t="shared" si="347"/>
        <v>0</v>
      </c>
      <c r="FO191" s="101">
        <f t="shared" si="231"/>
        <v>0</v>
      </c>
      <c r="FP191" s="6">
        <f>SUMIF('Eredeti fejléccel'!$B:$B,'Felosztás eredménykim'!$B191,'Eredeti fejléccel'!$CO:$CO)</f>
        <v>0</v>
      </c>
      <c r="FQ191" s="6">
        <f>'Eredeti fejléccel'!CP191</f>
        <v>0</v>
      </c>
      <c r="FR191" s="6">
        <f>'Eredeti fejléccel'!CQ191</f>
        <v>0</v>
      </c>
      <c r="FS191" s="103">
        <f t="shared" si="247"/>
        <v>0</v>
      </c>
      <c r="FT191" s="36">
        <f t="shared" si="348"/>
        <v>0</v>
      </c>
      <c r="FU191" s="101">
        <f t="shared" si="233"/>
        <v>0</v>
      </c>
      <c r="FV191" s="101"/>
      <c r="FW191" s="6">
        <f>SUMIF('Eredeti fejléccel'!$B:$B,'Felosztás eredménykim'!$B191,'Eredeti fejléccel'!$CR:$CR)</f>
        <v>0</v>
      </c>
      <c r="FX191" s="6">
        <f>SUMIF('Eredeti fejléccel'!$B:$B,'Felosztás eredménykim'!$B191,'Eredeti fejléccel'!$CS:$CS)</f>
        <v>0</v>
      </c>
      <c r="FY191" s="6">
        <f>SUMIF('Eredeti fejléccel'!$B:$B,'Felosztás eredménykim'!$B191,'Eredeti fejléccel'!$CT:$CT)</f>
        <v>0</v>
      </c>
      <c r="FZ191" s="6">
        <f>SUMIF('Eredeti fejléccel'!$B:$B,'Felosztás eredménykim'!$B191,'Eredeti fejléccel'!$CU:$CU)</f>
        <v>0</v>
      </c>
      <c r="GA191" s="103">
        <f>SUM(FU191:FZ191)</f>
        <v>0</v>
      </c>
      <c r="GB191" s="36">
        <f t="shared" si="349"/>
        <v>0</v>
      </c>
      <c r="GC191" s="101">
        <f t="shared" si="235"/>
        <v>0</v>
      </c>
      <c r="GD191" s="6">
        <f>SUMIF('Eredeti fejléccel'!$B:$B,'Felosztás eredménykim'!$B191,'Eredeti fejléccel'!$CV:$CV)</f>
        <v>0</v>
      </c>
      <c r="GE191" s="6">
        <f>SUMIF('Eredeti fejléccel'!$B:$B,'Felosztás eredménykim'!$B191,'Eredeti fejléccel'!$CW:$CW)</f>
        <v>0</v>
      </c>
      <c r="GF191" s="103">
        <f>SUM(GC191:GE191)</f>
        <v>0</v>
      </c>
      <c r="GG191" s="36">
        <f t="shared" si="236"/>
        <v>0</v>
      </c>
      <c r="GM191" s="6">
        <f>SUMIF('Eredeti fejléccel'!$B:$B,'Felosztás eredménykim'!$B191,'Eredeti fejléccel'!$CX:$CX)</f>
        <v>0</v>
      </c>
      <c r="GN191" s="6">
        <f>SUMIF('Eredeti fejléccel'!$B:$B,'Felosztás eredménykim'!$B191,'Eredeti fejléccel'!$CY:$CY)</f>
        <v>0</v>
      </c>
      <c r="GO191" s="6">
        <f>SUMIF('Eredeti fejléccel'!$B:$B,'Felosztás eredménykim'!$B191,'Eredeti fejléccel'!$CZ:$CZ)</f>
        <v>0</v>
      </c>
      <c r="GP191" s="6">
        <f>SUMIF('Eredeti fejléccel'!$B:$B,'Felosztás eredménykim'!$B191,'Eredeti fejléccel'!$DA:$DA)</f>
        <v>0</v>
      </c>
      <c r="GQ191" s="6">
        <f>SUMIF('Eredeti fejléccel'!$B:$B,'Felosztás eredménykim'!$B191,'Eredeti fejléccel'!$DB:$DB)</f>
        <v>0</v>
      </c>
      <c r="GR191" s="103">
        <f>SUM(GH191:GQ191)</f>
        <v>0</v>
      </c>
      <c r="GW191" s="36">
        <f t="shared" si="237"/>
        <v>0</v>
      </c>
      <c r="GX191" s="6">
        <f>SUMIF('Eredeti fejléccel'!$B:$B,'Felosztás eredménykim'!$B191,'Eredeti fejléccel'!$M:$M)</f>
        <v>0</v>
      </c>
      <c r="GY191" s="6">
        <f>SUMIF('Eredeti fejléccel'!$B:$B,'Felosztás eredménykim'!$B191,'Eredeti fejléccel'!$DC:$DC)</f>
        <v>0</v>
      </c>
      <c r="GZ191" s="6">
        <f>SUMIF('Eredeti fejléccel'!$B:$B,'Felosztás eredménykim'!$B191,'Eredeti fejléccel'!$DD:$DD)</f>
        <v>0</v>
      </c>
      <c r="HA191" s="6">
        <f>SUMIF('Eredeti fejléccel'!$B:$B,'Felosztás eredménykim'!$B191,'Eredeti fejléccel'!$DE:$DE)</f>
        <v>0</v>
      </c>
      <c r="HB191" s="103">
        <f>SUM(GX191:HA191)</f>
        <v>0</v>
      </c>
      <c r="HD191" s="9">
        <f t="shared" si="350"/>
        <v>0</v>
      </c>
      <c r="HE191" s="9"/>
      <c r="HF191" s="476"/>
      <c r="HH191" s="34">
        <f>+HD191-HE191</f>
        <v>0</v>
      </c>
    </row>
    <row r="192" spans="1:216" x14ac:dyDescent="0.25">
      <c r="A192" s="4" t="s">
        <v>880</v>
      </c>
      <c r="B192" s="4" t="s">
        <v>880</v>
      </c>
      <c r="D192" s="6">
        <f>SUMIF('Eredeti fejléccel'!$B:$B,'Felosztás eredménykim'!$B192,'Eredeti fejléccel'!$D:$D)</f>
        <v>0</v>
      </c>
      <c r="E192" s="6">
        <f>SUMIF('Eredeti fejléccel'!$B:$B,'Felosztás eredménykim'!$B192,'Eredeti fejléccel'!$E:$E)</f>
        <v>0</v>
      </c>
      <c r="F192" s="6">
        <f>SUMIF('Eredeti fejléccel'!$B:$B,'Felosztás eredménykim'!$B192,'Eredeti fejléccel'!$F:$F)</f>
        <v>0</v>
      </c>
      <c r="G192" s="6">
        <f>SUMIF('Eredeti fejléccel'!$B:$B,'Felosztás eredménykim'!$B192,'Eredeti fejléccel'!$G:$G)</f>
        <v>0</v>
      </c>
      <c r="H192" s="6"/>
      <c r="I192" s="6">
        <f>SUMIF('Eredeti fejléccel'!$B:$B,'Felosztás eredménykim'!$B192,'Eredeti fejléccel'!$O:$O)</f>
        <v>0</v>
      </c>
      <c r="J192" s="6">
        <f>SUMIF('Eredeti fejléccel'!$B:$B,'Felosztás eredménykim'!$B192,'Eredeti fejléccel'!$P:$P)</f>
        <v>0</v>
      </c>
      <c r="K192" s="6">
        <f>SUMIF('Eredeti fejléccel'!$B:$B,'Felosztás eredménykim'!$B192,'Eredeti fejléccel'!$Q:$Q)</f>
        <v>0</v>
      </c>
      <c r="L192" s="6">
        <f>SUMIF('Eredeti fejléccel'!$B:$B,'Felosztás eredménykim'!$B192,'Eredeti fejléccel'!$R:$R)</f>
        <v>0</v>
      </c>
      <c r="M192" s="6">
        <f>SUMIF('Eredeti fejléccel'!$B:$B,'Felosztás eredménykim'!$B192,'Eredeti fejléccel'!$T:$T)</f>
        <v>0</v>
      </c>
      <c r="N192" s="6">
        <f>SUMIF('Eredeti fejléccel'!$B:$B,'Felosztás eredménykim'!$B192,'Eredeti fejléccel'!$U:$U)</f>
        <v>0</v>
      </c>
      <c r="O192" s="6">
        <f>SUMIF('Eredeti fejléccel'!$B:$B,'Felosztás eredménykim'!$B192,'Eredeti fejléccel'!$V:$V)</f>
        <v>0</v>
      </c>
      <c r="P192" s="6">
        <f>SUMIF('Eredeti fejléccel'!$B:$B,'Felosztás eredménykim'!$B192,'Eredeti fejléccel'!$W:$W)</f>
        <v>0</v>
      </c>
      <c r="Q192" s="6">
        <f>SUMIF('Eredeti fejléccel'!$B:$B,'Felosztás eredménykim'!$B192,'Eredeti fejléccel'!$X:$X)</f>
        <v>0</v>
      </c>
      <c r="R192" s="6">
        <f>SUMIF('Eredeti fejléccel'!$B:$B,'Felosztás eredménykim'!$B192,'Eredeti fejléccel'!$Y:$Y)</f>
        <v>0</v>
      </c>
      <c r="S192" s="6">
        <f>SUMIF('Eredeti fejléccel'!$B:$B,'Felosztás eredménykim'!$B192,'Eredeti fejléccel'!$Z:$Z)</f>
        <v>0</v>
      </c>
      <c r="T192" s="6">
        <f>SUMIF('Eredeti fejléccel'!$B:$B,'Felosztás eredménykim'!$B192,'Eredeti fejléccel'!$AA:$AA)</f>
        <v>0</v>
      </c>
      <c r="U192" s="6">
        <f>SUMIF('Eredeti fejléccel'!$B:$B,'Felosztás eredménykim'!$B192,'Eredeti fejléccel'!$D:$D)</f>
        <v>0</v>
      </c>
      <c r="V192" s="6">
        <f>SUMIF('Eredeti fejléccel'!$B:$B,'Felosztás eredménykim'!$B192,'Eredeti fejléccel'!$AT:$AT)</f>
        <v>76000</v>
      </c>
      <c r="W192" s="36">
        <f t="shared" si="368"/>
        <v>-76000</v>
      </c>
      <c r="X192" s="36">
        <f t="shared" si="211"/>
        <v>0</v>
      </c>
      <c r="Z192" s="6">
        <f>SUMIF('Eredeti fejléccel'!$B:$B,'Felosztás eredménykim'!$B192,'Eredeti fejléccel'!$K:$K)</f>
        <v>0</v>
      </c>
      <c r="AB192" s="6">
        <f>SUMIF('Eredeti fejléccel'!$B:$B,'Felosztás eredménykim'!$B192,'Eredeti fejléccel'!$AB:$AB)</f>
        <v>0</v>
      </c>
      <c r="AC192" s="6">
        <f>SUMIF('Eredeti fejléccel'!$B:$B,'Felosztás eredménykim'!$B192,'Eredeti fejléccel'!$AQ:$AQ)</f>
        <v>0</v>
      </c>
      <c r="AE192" s="73">
        <f t="shared" si="299"/>
        <v>0</v>
      </c>
      <c r="AF192" s="36">
        <f t="shared" si="339"/>
        <v>0</v>
      </c>
      <c r="AG192" s="8">
        <f t="shared" si="213"/>
        <v>0</v>
      </c>
      <c r="AI192" s="6">
        <f>SUMIF('Eredeti fejléccel'!$B:$B,'Felosztás eredménykim'!$B192,'Eredeti fejléccel'!$BB:$BB)</f>
        <v>0</v>
      </c>
      <c r="AJ192" s="6">
        <f>SUMIF('Eredeti fejléccel'!$B:$B,'Felosztás eredménykim'!$B192,'Eredeti fejléccel'!$AF:$AF)</f>
        <v>0</v>
      </c>
      <c r="AK192" s="8">
        <f t="shared" si="177"/>
        <v>0</v>
      </c>
      <c r="AL192" s="36">
        <f t="shared" si="340"/>
        <v>0</v>
      </c>
      <c r="AM192" s="8">
        <f t="shared" si="215"/>
        <v>0</v>
      </c>
      <c r="AN192" s="6">
        <f t="shared" si="291"/>
        <v>0</v>
      </c>
      <c r="AO192" s="6">
        <f>SUMIF('Eredeti fejléccel'!$B:$B,'Felosztás eredménykim'!$B192,'Eredeti fejléccel'!$AC:$AC)</f>
        <v>0</v>
      </c>
      <c r="AP192" s="6">
        <f>SUMIF('Eredeti fejléccel'!$B:$B,'Felosztás eredménykim'!$B192,'Eredeti fejléccel'!$AD:$AD)</f>
        <v>0</v>
      </c>
      <c r="AQ192" s="6">
        <f>SUMIF('Eredeti fejléccel'!$B:$B,'Felosztás eredménykim'!$B192,'Eredeti fejléccel'!$AE:$AE)</f>
        <v>0</v>
      </c>
      <c r="AR192" s="6">
        <f>SUMIF('Eredeti fejléccel'!$B:$B,'Felosztás eredménykim'!$B192,'Eredeti fejléccel'!$AG:$AG)</f>
        <v>0</v>
      </c>
      <c r="AS192" s="6">
        <f t="shared" si="292"/>
        <v>0</v>
      </c>
      <c r="AT192" s="36">
        <f t="shared" si="341"/>
        <v>0</v>
      </c>
      <c r="AU192" s="8">
        <f t="shared" si="217"/>
        <v>0</v>
      </c>
      <c r="AV192" s="6">
        <f>SUMIF('Eredeti fejléccel'!$B:$B,'Felosztás eredménykim'!$B192,'Eredeti fejléccel'!$AI:$AI)</f>
        <v>0</v>
      </c>
      <c r="AW192" s="6">
        <f>SUMIF('Eredeti fejléccel'!$B:$B,'Felosztás eredménykim'!$B192,'Eredeti fejléccel'!$AJ:$AJ)</f>
        <v>0</v>
      </c>
      <c r="AX192" s="6">
        <f>SUMIF('Eredeti fejléccel'!$B:$B,'Felosztás eredménykim'!$B192,'Eredeti fejléccel'!$AK:$AK)</f>
        <v>0</v>
      </c>
      <c r="AY192" s="6">
        <f>SUMIF('Eredeti fejléccel'!$B:$B,'Felosztás eredménykim'!$B192,'Eredeti fejléccel'!$AL:$AL)</f>
        <v>0</v>
      </c>
      <c r="AZ192" s="6">
        <f>SUMIF('Eredeti fejléccel'!$B:$B,'Felosztás eredménykim'!$B192,'Eredeti fejléccel'!$AM:$AM)</f>
        <v>0</v>
      </c>
      <c r="BA192" s="6">
        <f>SUMIF('Eredeti fejléccel'!$B:$B,'Felosztás eredménykim'!$B192,'Eredeti fejléccel'!$AN:$AN)</f>
        <v>0</v>
      </c>
      <c r="BB192" s="6">
        <f>SUMIF('Eredeti fejléccel'!$B:$B,'Felosztás eredménykim'!$B192,'Eredeti fejléccel'!$AP:$AP)</f>
        <v>0</v>
      </c>
      <c r="BD192" s="6">
        <f>SUMIF('Eredeti fejléccel'!$B:$B,'Felosztás eredménykim'!$B192,'Eredeti fejléccel'!$AS:$AS)</f>
        <v>0</v>
      </c>
      <c r="BE192" s="8">
        <f t="shared" si="238"/>
        <v>0</v>
      </c>
      <c r="BF192" s="36">
        <f t="shared" si="342"/>
        <v>0</v>
      </c>
      <c r="BG192" s="8">
        <f t="shared" si="219"/>
        <v>0</v>
      </c>
      <c r="BH192" s="6">
        <f t="shared" si="293"/>
        <v>0</v>
      </c>
      <c r="BI192" s="6">
        <f>SUMIF('Eredeti fejléccel'!$B:$B,'Felosztás eredménykim'!$B192,'Eredeti fejléccel'!$AH:$AH)</f>
        <v>0</v>
      </c>
      <c r="BJ192" s="6">
        <f>SUMIF('Eredeti fejléccel'!$B:$B,'Felosztás eredménykim'!$B192,'Eredeti fejléccel'!$AO:$AO)</f>
        <v>0</v>
      </c>
      <c r="BK192" s="6">
        <f>SUMIF('Eredeti fejléccel'!$B:$B,'Felosztás eredménykim'!$B192,'Eredeti fejléccel'!$BF:$BF)</f>
        <v>0</v>
      </c>
      <c r="BL192" s="8">
        <f t="shared" si="294"/>
        <v>0</v>
      </c>
      <c r="BM192" s="36">
        <f t="shared" si="343"/>
        <v>0</v>
      </c>
      <c r="BN192" s="8">
        <f t="shared" si="221"/>
        <v>0</v>
      </c>
      <c r="BP192" s="8">
        <f t="shared" si="295"/>
        <v>0</v>
      </c>
      <c r="BQ192" s="6">
        <f>SUMIF('Eredeti fejléccel'!$B:$B,'Felosztás eredménykim'!$B192,'Eredeti fejléccel'!$N:$N)</f>
        <v>0</v>
      </c>
      <c r="BR192" s="6">
        <f>SUMIF('Eredeti fejléccel'!$B:$B,'Felosztás eredménykim'!$B192,'Eredeti fejléccel'!$S:$S)</f>
        <v>0</v>
      </c>
      <c r="BT192" s="6">
        <f>SUMIF('Eredeti fejléccel'!$B:$B,'Felosztás eredménykim'!$B192,'Eredeti fejléccel'!$AR:$AR)</f>
        <v>0</v>
      </c>
      <c r="BU192" s="6">
        <f>SUMIF('Eredeti fejléccel'!$B:$B,'Felosztás eredménykim'!$B192,'Eredeti fejléccel'!$AU:$AU)</f>
        <v>0</v>
      </c>
      <c r="BV192" s="6">
        <f>SUMIF('Eredeti fejléccel'!$B:$B,'Felosztás eredménykim'!$B192,'Eredeti fejléccel'!$AV:$AV)</f>
        <v>0</v>
      </c>
      <c r="BW192" s="6">
        <f>SUMIF('Eredeti fejléccel'!$B:$B,'Felosztás eredménykim'!$B192,'Eredeti fejléccel'!$AW:$AW)</f>
        <v>0</v>
      </c>
      <c r="BX192" s="6">
        <f>SUMIF('Eredeti fejléccel'!$B:$B,'Felosztás eredménykim'!$B192,'Eredeti fejléccel'!$AX:$AX)</f>
        <v>0</v>
      </c>
      <c r="BY192" s="6">
        <f>SUMIF('Eredeti fejléccel'!$B:$B,'Felosztás eredménykim'!$B192,'Eredeti fejléccel'!$AY:$AY)</f>
        <v>0</v>
      </c>
      <c r="BZ192" s="6">
        <f>SUMIF('Eredeti fejléccel'!$B:$B,'Felosztás eredménykim'!$B192,'Eredeti fejléccel'!$AZ:$AZ)</f>
        <v>0</v>
      </c>
      <c r="CA192" s="6">
        <f>SUMIF('Eredeti fejléccel'!$B:$B,'Felosztás eredménykim'!$B192,'Eredeti fejléccel'!$BA:$BA)</f>
        <v>0</v>
      </c>
      <c r="CB192" s="6">
        <f t="shared" si="253"/>
        <v>0</v>
      </c>
      <c r="CC192" s="36">
        <f t="shared" si="344"/>
        <v>0</v>
      </c>
      <c r="CD192" s="8">
        <f t="shared" si="223"/>
        <v>0</v>
      </c>
      <c r="CE192" s="6">
        <f>SUMIF('Eredeti fejléccel'!$B:$B,'Felosztás eredménykim'!$B192,'Eredeti fejléccel'!$BC:$BC)</f>
        <v>0</v>
      </c>
      <c r="CF192" s="8">
        <f t="shared" si="300"/>
        <v>0</v>
      </c>
      <c r="CG192" s="6">
        <f>SUMIF('Eredeti fejléccel'!$B:$B,'Felosztás eredménykim'!$B192,'Eredeti fejléccel'!$H:$H)</f>
        <v>0</v>
      </c>
      <c r="CH192" s="6">
        <f>SUMIF('Eredeti fejléccel'!$B:$B,'Felosztás eredménykim'!$B192,'Eredeti fejléccel'!$BE:$BE)</f>
        <v>0</v>
      </c>
      <c r="CI192" s="6">
        <f t="shared" si="239"/>
        <v>0</v>
      </c>
      <c r="CJ192" s="36">
        <f t="shared" si="345"/>
        <v>0</v>
      </c>
      <c r="CK192" s="8">
        <f t="shared" si="225"/>
        <v>0</v>
      </c>
      <c r="CL192" s="8">
        <f t="shared" si="301"/>
        <v>0</v>
      </c>
      <c r="CM192" s="6">
        <f>SUMIF('Eredeti fejléccel'!$B:$B,'Felosztás eredménykim'!$B192,'Eredeti fejléccel'!$BD:$BD)</f>
        <v>0</v>
      </c>
      <c r="CN192" s="8">
        <f t="shared" si="240"/>
        <v>0</v>
      </c>
      <c r="CO192" s="8">
        <f t="shared" si="254"/>
        <v>0</v>
      </c>
      <c r="CR192" s="36">
        <f t="shared" si="226"/>
        <v>0</v>
      </c>
      <c r="CS192" s="6">
        <f>SUMIF('Eredeti fejléccel'!$B:$B,'Felosztás eredménykim'!$B192,'Eredeti fejléccel'!$I:$I)</f>
        <v>0</v>
      </c>
      <c r="CT192" s="6">
        <f>SUMIF('Eredeti fejléccel'!$B:$B,'Felosztás eredménykim'!$B192,'Eredeti fejléccel'!$BG:$BG)</f>
        <v>0</v>
      </c>
      <c r="CU192" s="6">
        <f>SUMIF('Eredeti fejléccel'!$B:$B,'Felosztás eredménykim'!$B192,'Eredeti fejléccel'!$BH:$BH)</f>
        <v>0</v>
      </c>
      <c r="CV192" s="6">
        <f>SUMIF('Eredeti fejléccel'!$B:$B,'Felosztás eredménykim'!$B192,'Eredeti fejléccel'!$BI:$BI)</f>
        <v>0</v>
      </c>
      <c r="CW192" s="6">
        <f>SUMIF('Eredeti fejléccel'!$B:$B,'Felosztás eredménykim'!$B192,'Eredeti fejléccel'!$BL:$BL)</f>
        <v>0</v>
      </c>
      <c r="CX192" s="6">
        <f t="shared" si="241"/>
        <v>0</v>
      </c>
      <c r="CY192" s="6">
        <f>SUMIF('Eredeti fejléccel'!$B:$B,'Felosztás eredménykim'!$B192,'Eredeti fejléccel'!$BJ:$BJ)</f>
        <v>0</v>
      </c>
      <c r="CZ192" s="6">
        <f>SUMIF('Eredeti fejléccel'!$B:$B,'Felosztás eredménykim'!$B192,'Eredeti fejléccel'!$BK:$BK)</f>
        <v>0</v>
      </c>
      <c r="DA192" s="99">
        <f t="shared" si="242"/>
        <v>0</v>
      </c>
      <c r="DC192" s="36">
        <f t="shared" si="227"/>
        <v>0</v>
      </c>
      <c r="DD192" s="6">
        <f>SUMIF('Eredeti fejléccel'!$B:$B,'Felosztás eredménykim'!$B192,'Eredeti fejléccel'!$J:$J)</f>
        <v>0</v>
      </c>
      <c r="DE192" s="6">
        <f>SUMIF('Eredeti fejléccel'!$B:$B,'Felosztás eredménykim'!$B192,'Eredeti fejléccel'!$BM:$BM)</f>
        <v>0</v>
      </c>
      <c r="DF192" s="6">
        <f t="shared" si="296"/>
        <v>0</v>
      </c>
      <c r="DG192" s="8">
        <f t="shared" si="255"/>
        <v>0</v>
      </c>
      <c r="DH192" s="8">
        <f t="shared" si="297"/>
        <v>0</v>
      </c>
      <c r="DJ192" s="6">
        <f>SUMIF('Eredeti fejléccel'!$B:$B,'Felosztás eredménykim'!$B192,'Eredeti fejléccel'!$BN:$BN)</f>
        <v>0</v>
      </c>
      <c r="DK192" s="6">
        <f>SUMIF('Eredeti fejléccel'!$B:$B,'Felosztás eredménykim'!$B192,'Eredeti fejléccel'!$BZ:$BZ)</f>
        <v>0</v>
      </c>
      <c r="DL192" s="8">
        <f t="shared" si="298"/>
        <v>0</v>
      </c>
      <c r="DM192" s="6">
        <f>SUMIF('Eredeti fejléccel'!$B:$B,'Felosztás eredménykim'!$B192,'Eredeti fejléccel'!$BR:$BR)</f>
        <v>0</v>
      </c>
      <c r="DN192" s="6">
        <f>SUMIF('Eredeti fejléccel'!$B:$B,'Felosztás eredménykim'!$B192,'Eredeti fejléccel'!$BS:$BS)</f>
        <v>0</v>
      </c>
      <c r="DO192" s="6">
        <f>SUMIF('Eredeti fejléccel'!$B:$B,'Felosztás eredménykim'!$B192,'Eredeti fejléccel'!$BO:$BO)</f>
        <v>0</v>
      </c>
      <c r="DP192" s="6">
        <f>SUMIF('Eredeti fejléccel'!$B:$B,'Felosztás eredménykim'!$B192,'Eredeti fejléccel'!$BP:$BP)</f>
        <v>0</v>
      </c>
      <c r="DQ192" s="6">
        <f>SUMIF('Eredeti fejléccel'!$B:$B,'Felosztás eredménykim'!$B192,'Eredeti fejléccel'!$BQ:$BQ)</f>
        <v>0</v>
      </c>
      <c r="DS192" s="8"/>
      <c r="DU192" s="6">
        <f>SUMIF('Eredeti fejléccel'!$B:$B,'Felosztás eredménykim'!$B192,'Eredeti fejléccel'!$BT:$BT)</f>
        <v>0</v>
      </c>
      <c r="DV192" s="6">
        <f>SUMIF('Eredeti fejléccel'!$B:$B,'Felosztás eredménykim'!$B192,'Eredeti fejléccel'!$BU:$BU)</f>
        <v>0</v>
      </c>
      <c r="DW192" s="6">
        <f>SUMIF('Eredeti fejléccel'!$B:$B,'Felosztás eredménykim'!$B192,'Eredeti fejléccel'!$BV:$BV)</f>
        <v>0</v>
      </c>
      <c r="DX192" s="6">
        <f>SUMIF('Eredeti fejléccel'!$B:$B,'Felosztás eredménykim'!$B192,'Eredeti fejléccel'!$BW:$BW)</f>
        <v>0</v>
      </c>
      <c r="DY192" s="6">
        <f>SUMIF('Eredeti fejléccel'!$B:$B,'Felosztás eredménykim'!$B192,'Eredeti fejléccel'!$BX:$BX)</f>
        <v>0</v>
      </c>
      <c r="EA192" s="6"/>
      <c r="EC192" s="6"/>
      <c r="EE192" s="6">
        <f>SUMIF('Eredeti fejléccel'!$B:$B,'Felosztás eredménykim'!$B192,'Eredeti fejléccel'!$CA:$CA)</f>
        <v>0</v>
      </c>
      <c r="EF192" s="6">
        <f>SUMIF('Eredeti fejléccel'!$B:$B,'Felosztás eredménykim'!$B192,'Eredeti fejléccel'!$CB:$CB)</f>
        <v>0</v>
      </c>
      <c r="EG192" s="6">
        <f>SUMIF('Eredeti fejléccel'!$B:$B,'Felosztás eredménykim'!$B192,'Eredeti fejléccel'!$CC:$CC)</f>
        <v>0</v>
      </c>
      <c r="EH192" s="6">
        <f>SUMIF('Eredeti fejléccel'!$B:$B,'Felosztás eredménykim'!$B192,'Eredeti fejléccel'!$CD:$CD)</f>
        <v>0</v>
      </c>
      <c r="EK192" s="6">
        <f>SUMIF('Eredeti fejléccel'!$B:$B,'Felosztás eredménykim'!$B192,'Eredeti fejléccel'!$CE:$CE)</f>
        <v>0</v>
      </c>
      <c r="EN192" s="6">
        <f>SUMIF('Eredeti fejléccel'!$B:$B,'Felosztás eredménykim'!$B192,'Eredeti fejléccel'!$CF:$CF)</f>
        <v>0</v>
      </c>
      <c r="EP192" s="6">
        <f>SUMIF('Eredeti fejléccel'!$B:$B,'Felosztás eredménykim'!$B192,'Eredeti fejléccel'!$CG:$CG)</f>
        <v>0</v>
      </c>
      <c r="ES192" s="6">
        <f>SUMIF('Eredeti fejléccel'!$B:$B,'Felosztás eredménykim'!$B192,'Eredeti fejléccel'!$CH:$CH)</f>
        <v>0</v>
      </c>
      <c r="ET192" s="6">
        <f>SUMIF('Eredeti fejléccel'!$B:$B,'Felosztás eredménykim'!$B192,'Eredeti fejléccel'!$CI:$CI)</f>
        <v>0</v>
      </c>
      <c r="EW192" s="8">
        <f t="shared" si="288"/>
        <v>0</v>
      </c>
      <c r="EX192" s="8">
        <f t="shared" si="243"/>
        <v>0</v>
      </c>
      <c r="EY192" s="8">
        <f t="shared" si="244"/>
        <v>0</v>
      </c>
      <c r="EZ192" s="8">
        <f t="shared" si="289"/>
        <v>0</v>
      </c>
      <c r="FA192" s="8">
        <f t="shared" si="290"/>
        <v>0</v>
      </c>
      <c r="FC192" s="6">
        <f>SUMIF('Eredeti fejléccel'!$B:$B,'Felosztás eredménykim'!$B192,'Eredeti fejléccel'!$L:$L)</f>
        <v>0</v>
      </c>
      <c r="FD192" s="6">
        <f>SUMIF('Eredeti fejléccel'!$B:$B,'Felosztás eredménykim'!$B192,'Eredeti fejléccel'!$CJ:$CJ)</f>
        <v>0</v>
      </c>
      <c r="FE192" s="6">
        <f>SUMIF('Eredeti fejléccel'!$B:$B,'Felosztás eredménykim'!$B192,'Eredeti fejléccel'!$CL:$CL)</f>
        <v>0</v>
      </c>
      <c r="FG192" s="99">
        <f t="shared" si="245"/>
        <v>0</v>
      </c>
      <c r="FH192" s="6">
        <f>SUMIF('Eredeti fejléccel'!$B:$B,'Felosztás eredménykim'!$B192,'Eredeti fejléccel'!$CK:$CK)</f>
        <v>0</v>
      </c>
      <c r="FI192" s="36">
        <f t="shared" si="346"/>
        <v>0</v>
      </c>
      <c r="FJ192" s="101">
        <f t="shared" si="229"/>
        <v>0</v>
      </c>
      <c r="FK192" s="6">
        <f>SUMIF('Eredeti fejléccel'!$B:$B,'Felosztás eredménykim'!$B192,'Eredeti fejléccel'!$CM:$CM)</f>
        <v>0</v>
      </c>
      <c r="FL192" s="6">
        <f>SUMIF('Eredeti fejléccel'!$B:$B,'Felosztás eredménykim'!$B192,'Eredeti fejléccel'!$CN:$CN)</f>
        <v>0</v>
      </c>
      <c r="FM192" s="8">
        <f t="shared" si="246"/>
        <v>0</v>
      </c>
      <c r="FN192" s="36">
        <f t="shared" si="347"/>
        <v>0</v>
      </c>
      <c r="FO192" s="101">
        <f t="shared" si="231"/>
        <v>0</v>
      </c>
      <c r="FP192" s="6">
        <f>SUMIF('Eredeti fejléccel'!$B:$B,'Felosztás eredménykim'!$B192,'Eredeti fejléccel'!$CO:$CO)</f>
        <v>0</v>
      </c>
      <c r="FQ192" s="6">
        <f>'Eredeti fejléccel'!CP192</f>
        <v>0</v>
      </c>
      <c r="FR192" s="6">
        <f>'Eredeti fejléccel'!CQ192</f>
        <v>0</v>
      </c>
      <c r="FS192" s="103">
        <f t="shared" si="247"/>
        <v>0</v>
      </c>
      <c r="FT192" s="36">
        <f t="shared" si="348"/>
        <v>0</v>
      </c>
      <c r="FU192" s="101">
        <f t="shared" si="233"/>
        <v>0</v>
      </c>
      <c r="FV192" s="101"/>
      <c r="FW192" s="6">
        <f>SUMIF('Eredeti fejléccel'!$B:$B,'Felosztás eredménykim'!$B192,'Eredeti fejléccel'!$CR:$CR)</f>
        <v>0</v>
      </c>
      <c r="FX192" s="6">
        <f>SUMIF('Eredeti fejléccel'!$B:$B,'Felosztás eredménykim'!$B192,'Eredeti fejléccel'!$CS:$CS)</f>
        <v>0</v>
      </c>
      <c r="FY192" s="6">
        <f>SUMIF('Eredeti fejléccel'!$B:$B,'Felosztás eredménykim'!$B192,'Eredeti fejléccel'!$CT:$CT)</f>
        <v>0</v>
      </c>
      <c r="FZ192" s="6">
        <f>SUMIF('Eredeti fejléccel'!$B:$B,'Felosztás eredménykim'!$B192,'Eredeti fejléccel'!$CU:$CU)</f>
        <v>0</v>
      </c>
      <c r="GA192" s="103">
        <f t="shared" si="248"/>
        <v>0</v>
      </c>
      <c r="GB192" s="36">
        <f t="shared" si="349"/>
        <v>0</v>
      </c>
      <c r="GC192" s="101">
        <f t="shared" si="235"/>
        <v>0</v>
      </c>
      <c r="GD192" s="6">
        <f>SUMIF('Eredeti fejléccel'!$B:$B,'Felosztás eredménykim'!$B192,'Eredeti fejléccel'!$CV:$CV)</f>
        <v>0</v>
      </c>
      <c r="GE192" s="6">
        <f>SUMIF('Eredeti fejléccel'!$B:$B,'Felosztás eredménykim'!$B192,'Eredeti fejléccel'!$CW:$CW)</f>
        <v>0</v>
      </c>
      <c r="GF192" s="103">
        <f t="shared" si="249"/>
        <v>0</v>
      </c>
      <c r="GG192" s="36">
        <f t="shared" si="236"/>
        <v>0</v>
      </c>
      <c r="GM192" s="6">
        <f>SUMIF('Eredeti fejléccel'!$B:$B,'Felosztás eredménykim'!$B192,'Eredeti fejléccel'!$CX:$CX)</f>
        <v>0</v>
      </c>
      <c r="GN192" s="6">
        <f>SUMIF('Eredeti fejléccel'!$B:$B,'Felosztás eredménykim'!$B192,'Eredeti fejléccel'!$CY:$CY)</f>
        <v>0</v>
      </c>
      <c r="GO192" s="6">
        <f>SUMIF('Eredeti fejléccel'!$B:$B,'Felosztás eredménykim'!$B192,'Eredeti fejléccel'!$CZ:$CZ)</f>
        <v>0</v>
      </c>
      <c r="GP192" s="6">
        <f>SUMIF('Eredeti fejléccel'!$B:$B,'Felosztás eredménykim'!$B192,'Eredeti fejléccel'!$DA:$DA)</f>
        <v>0</v>
      </c>
      <c r="GQ192" s="6">
        <f>SUMIF('Eredeti fejléccel'!$B:$B,'Felosztás eredménykim'!$B192,'Eredeti fejléccel'!$DB:$DB)</f>
        <v>0</v>
      </c>
      <c r="GR192" s="103">
        <f t="shared" si="250"/>
        <v>0</v>
      </c>
      <c r="GW192" s="36">
        <f t="shared" si="237"/>
        <v>0</v>
      </c>
      <c r="GX192" s="6">
        <f>SUMIF('Eredeti fejléccel'!$B:$B,'Felosztás eredménykim'!$B192,'Eredeti fejléccel'!$M:$M)</f>
        <v>0</v>
      </c>
      <c r="GY192" s="6">
        <f>SUMIF('Eredeti fejléccel'!$B:$B,'Felosztás eredménykim'!$B192,'Eredeti fejléccel'!$DC:$DC)</f>
        <v>0</v>
      </c>
      <c r="GZ192" s="6">
        <f>SUMIF('Eredeti fejléccel'!$B:$B,'Felosztás eredménykim'!$B192,'Eredeti fejléccel'!$DD:$DD)</f>
        <v>0</v>
      </c>
      <c r="HA192" s="6">
        <f>SUMIF('Eredeti fejléccel'!$B:$B,'Felosztás eredménykim'!$B192,'Eredeti fejléccel'!$DE:$DE)</f>
        <v>0</v>
      </c>
      <c r="HB192" s="103">
        <f t="shared" si="251"/>
        <v>0</v>
      </c>
      <c r="HD192" s="9">
        <f t="shared" si="350"/>
        <v>76000</v>
      </c>
      <c r="HE192" s="9">
        <v>76000</v>
      </c>
      <c r="HF192" s="476"/>
      <c r="HH192" s="34">
        <f t="shared" si="252"/>
        <v>0</v>
      </c>
    </row>
    <row r="193" spans="1:218" x14ac:dyDescent="0.25">
      <c r="A193" s="4" t="s">
        <v>908</v>
      </c>
      <c r="B193" s="4" t="s">
        <v>908</v>
      </c>
      <c r="D193" s="6">
        <f>SUMIF('Eredeti fejléccel'!$B:$B,'Felosztás eredménykim'!$B193,'Eredeti fejléccel'!$D:$D)</f>
        <v>0</v>
      </c>
      <c r="E193" s="6">
        <f>SUMIF('Eredeti fejléccel'!$B:$B,'Felosztás eredménykim'!$B193,'Eredeti fejléccel'!$E:$E)</f>
        <v>0</v>
      </c>
      <c r="F193" s="6">
        <f>SUMIF('Eredeti fejléccel'!$B:$B,'Felosztás eredménykim'!$B193,'Eredeti fejléccel'!$F:$F)</f>
        <v>0</v>
      </c>
      <c r="G193" s="6">
        <f>SUMIF('Eredeti fejléccel'!$B:$B,'Felosztás eredménykim'!$B193,'Eredeti fejléccel'!$G:$G)</f>
        <v>0</v>
      </c>
      <c r="H193" s="6"/>
      <c r="I193" s="6">
        <f>SUMIF('Eredeti fejléccel'!$B:$B,'Felosztás eredménykim'!$B193,'Eredeti fejléccel'!$O:$O)</f>
        <v>0</v>
      </c>
      <c r="J193" s="6">
        <f>SUMIF('Eredeti fejléccel'!$B:$B,'Felosztás eredménykim'!$B193,'Eredeti fejléccel'!$P:$P)</f>
        <v>0</v>
      </c>
      <c r="K193" s="6">
        <f>SUMIF('Eredeti fejléccel'!$B:$B,'Felosztás eredménykim'!$B193,'Eredeti fejléccel'!$Q:$Q)</f>
        <v>0</v>
      </c>
      <c r="L193" s="6">
        <f>SUMIF('Eredeti fejléccel'!$B:$B,'Felosztás eredménykim'!$B193,'Eredeti fejléccel'!$R:$R)</f>
        <v>0</v>
      </c>
      <c r="M193" s="6">
        <f>SUMIF('Eredeti fejléccel'!$B:$B,'Felosztás eredménykim'!$B193,'Eredeti fejléccel'!$T:$T)</f>
        <v>0</v>
      </c>
      <c r="N193" s="6">
        <f>SUMIF('Eredeti fejléccel'!$B:$B,'Felosztás eredménykim'!$B193,'Eredeti fejléccel'!$U:$U)</f>
        <v>0</v>
      </c>
      <c r="O193" s="6">
        <f>SUMIF('Eredeti fejléccel'!$B:$B,'Felosztás eredménykim'!$B193,'Eredeti fejléccel'!$V:$V)</f>
        <v>0</v>
      </c>
      <c r="P193" s="6">
        <f>SUMIF('Eredeti fejléccel'!$B:$B,'Felosztás eredménykim'!$B193,'Eredeti fejléccel'!$W:$W)</f>
        <v>0</v>
      </c>
      <c r="Q193" s="6">
        <f>SUMIF('Eredeti fejléccel'!$B:$B,'Felosztás eredménykim'!$B193,'Eredeti fejléccel'!$X:$X)</f>
        <v>0</v>
      </c>
      <c r="R193" s="6">
        <f>SUMIF('Eredeti fejléccel'!$B:$B,'Felosztás eredménykim'!$B193,'Eredeti fejléccel'!$Y:$Y)</f>
        <v>0</v>
      </c>
      <c r="S193" s="6">
        <f>SUMIF('Eredeti fejléccel'!$B:$B,'Felosztás eredménykim'!$B193,'Eredeti fejléccel'!$Z:$Z)</f>
        <v>0</v>
      </c>
      <c r="T193" s="6">
        <f>SUMIF('Eredeti fejléccel'!$B:$B,'Felosztás eredménykim'!$B193,'Eredeti fejléccel'!$AA:$AA)</f>
        <v>0</v>
      </c>
      <c r="U193" s="6">
        <f>SUMIF('Eredeti fejléccel'!$B:$B,'Felosztás eredménykim'!$B193,'Eredeti fejléccel'!$D:$D)</f>
        <v>0</v>
      </c>
      <c r="V193" s="6">
        <f>SUMIF('Eredeti fejléccel'!$B:$B,'Felosztás eredménykim'!$B193,'Eredeti fejléccel'!$AT:$AT)</f>
        <v>0</v>
      </c>
      <c r="W193" s="36">
        <f t="shared" si="368"/>
        <v>0</v>
      </c>
      <c r="X193" s="36">
        <f t="shared" si="211"/>
        <v>0</v>
      </c>
      <c r="Z193" s="6">
        <f>SUMIF('Eredeti fejléccel'!$B:$B,'Felosztás eredménykim'!$B193,'Eredeti fejléccel'!$K:$K)</f>
        <v>0</v>
      </c>
      <c r="AB193" s="6">
        <f>SUMIF('Eredeti fejléccel'!$B:$B,'Felosztás eredménykim'!$B193,'Eredeti fejléccel'!$AB:$AB)</f>
        <v>0</v>
      </c>
      <c r="AC193" s="6">
        <f>SUMIF('Eredeti fejléccel'!$B:$B,'Felosztás eredménykim'!$B193,'Eredeti fejléccel'!$AQ:$AQ)</f>
        <v>0</v>
      </c>
      <c r="AE193" s="73">
        <f>SUM(Z193:AD193)</f>
        <v>0</v>
      </c>
      <c r="AF193" s="36">
        <f t="shared" si="339"/>
        <v>0</v>
      </c>
      <c r="AG193" s="8">
        <f t="shared" si="213"/>
        <v>0</v>
      </c>
      <c r="AI193" s="6">
        <f>SUMIF('Eredeti fejléccel'!$B:$B,'Felosztás eredménykim'!$B193,'Eredeti fejléccel'!$BB:$BB)</f>
        <v>0</v>
      </c>
      <c r="AJ193" s="6">
        <f>SUMIF('Eredeti fejléccel'!$B:$B,'Felosztás eredménykim'!$B193,'Eredeti fejléccel'!$AF:$AF)</f>
        <v>0</v>
      </c>
      <c r="AK193" s="8">
        <f>SUM(AG193:AJ193)</f>
        <v>0</v>
      </c>
      <c r="AL193" s="36">
        <f t="shared" si="340"/>
        <v>0</v>
      </c>
      <c r="AM193" s="8">
        <f t="shared" si="215"/>
        <v>0</v>
      </c>
      <c r="AN193" s="6">
        <f t="shared" si="291"/>
        <v>0</v>
      </c>
      <c r="AO193" s="6">
        <f>SUMIF('Eredeti fejléccel'!$B:$B,'Felosztás eredménykim'!$B193,'Eredeti fejléccel'!$AC:$AC)</f>
        <v>0</v>
      </c>
      <c r="AP193" s="6">
        <f>SUMIF('Eredeti fejléccel'!$B:$B,'Felosztás eredménykim'!$B193,'Eredeti fejléccel'!$AD:$AD)</f>
        <v>0</v>
      </c>
      <c r="AQ193" s="6">
        <f>SUMIF('Eredeti fejléccel'!$B:$B,'Felosztás eredménykim'!$B193,'Eredeti fejléccel'!$AE:$AE)</f>
        <v>0</v>
      </c>
      <c r="AR193" s="6">
        <f>SUMIF('Eredeti fejléccel'!$B:$B,'Felosztás eredménykim'!$B193,'Eredeti fejléccel'!$AG:$AG)</f>
        <v>0</v>
      </c>
      <c r="AS193" s="6">
        <f t="shared" si="292"/>
        <v>0</v>
      </c>
      <c r="AT193" s="36">
        <f t="shared" si="341"/>
        <v>0</v>
      </c>
      <c r="AU193" s="8">
        <f t="shared" si="217"/>
        <v>0</v>
      </c>
      <c r="AV193" s="6">
        <f>SUMIF('Eredeti fejléccel'!$B:$B,'Felosztás eredménykim'!$B193,'Eredeti fejléccel'!$AI:$AI)</f>
        <v>0</v>
      </c>
      <c r="AW193" s="6">
        <f>SUMIF('Eredeti fejléccel'!$B:$B,'Felosztás eredménykim'!$B193,'Eredeti fejléccel'!$AJ:$AJ)</f>
        <v>0</v>
      </c>
      <c r="AX193" s="6">
        <f>SUMIF('Eredeti fejléccel'!$B:$B,'Felosztás eredménykim'!$B193,'Eredeti fejléccel'!$AK:$AK)</f>
        <v>0</v>
      </c>
      <c r="AY193" s="6">
        <f>SUMIF('Eredeti fejléccel'!$B:$B,'Felosztás eredménykim'!$B193,'Eredeti fejléccel'!$AL:$AL)</f>
        <v>0</v>
      </c>
      <c r="AZ193" s="6">
        <f>SUMIF('Eredeti fejléccel'!$B:$B,'Felosztás eredménykim'!$B193,'Eredeti fejléccel'!$AM:$AM)</f>
        <v>0</v>
      </c>
      <c r="BA193" s="6">
        <f>SUMIF('Eredeti fejléccel'!$B:$B,'Felosztás eredménykim'!$B193,'Eredeti fejléccel'!$AN:$AN)</f>
        <v>0</v>
      </c>
      <c r="BB193" s="6">
        <f>SUMIF('Eredeti fejléccel'!$B:$B,'Felosztás eredménykim'!$B193,'Eredeti fejléccel'!$AP:$AP)</f>
        <v>0</v>
      </c>
      <c r="BD193" s="6">
        <f>SUMIF('Eredeti fejléccel'!$B:$B,'Felosztás eredménykim'!$B193,'Eredeti fejléccel'!$AS:$AS)</f>
        <v>0</v>
      </c>
      <c r="BE193" s="8">
        <f>SUM(AU193:BD193)</f>
        <v>0</v>
      </c>
      <c r="BF193" s="36">
        <f t="shared" si="342"/>
        <v>0</v>
      </c>
      <c r="BG193" s="8">
        <f t="shared" si="219"/>
        <v>0</v>
      </c>
      <c r="BH193" s="6">
        <f t="shared" si="293"/>
        <v>0</v>
      </c>
      <c r="BI193" s="6">
        <f>SUMIF('Eredeti fejléccel'!$B:$B,'Felosztás eredménykim'!$B193,'Eredeti fejléccel'!$AH:$AH)</f>
        <v>0</v>
      </c>
      <c r="BJ193" s="6">
        <f>SUMIF('Eredeti fejléccel'!$B:$B,'Felosztás eredménykim'!$B193,'Eredeti fejléccel'!$AO:$AO)</f>
        <v>0</v>
      </c>
      <c r="BK193" s="6">
        <f>SUMIF('Eredeti fejléccel'!$B:$B,'Felosztás eredménykim'!$B193,'Eredeti fejléccel'!$BF:$BF)</f>
        <v>0</v>
      </c>
      <c r="BL193" s="8">
        <f t="shared" si="294"/>
        <v>0</v>
      </c>
      <c r="BM193" s="36">
        <f t="shared" si="343"/>
        <v>0</v>
      </c>
      <c r="BN193" s="8">
        <f t="shared" si="221"/>
        <v>0</v>
      </c>
      <c r="BP193" s="8">
        <f t="shared" si="295"/>
        <v>0</v>
      </c>
      <c r="BQ193" s="6">
        <f>SUMIF('Eredeti fejléccel'!$B:$B,'Felosztás eredménykim'!$B193,'Eredeti fejléccel'!$N:$N)</f>
        <v>0</v>
      </c>
      <c r="BR193" s="6">
        <f>SUMIF('Eredeti fejléccel'!$B:$B,'Felosztás eredménykim'!$B193,'Eredeti fejléccel'!$S:$S)</f>
        <v>0</v>
      </c>
      <c r="BT193" s="6">
        <f>SUMIF('Eredeti fejléccel'!$B:$B,'Felosztás eredménykim'!$B193,'Eredeti fejléccel'!$AR:$AR)</f>
        <v>0</v>
      </c>
      <c r="BU193" s="6">
        <f>SUMIF('Eredeti fejléccel'!$B:$B,'Felosztás eredménykim'!$B193,'Eredeti fejléccel'!$AU:$AU)</f>
        <v>0</v>
      </c>
      <c r="BV193" s="6">
        <f>SUMIF('Eredeti fejléccel'!$B:$B,'Felosztás eredménykim'!$B193,'Eredeti fejléccel'!$AV:$AV)</f>
        <v>0</v>
      </c>
      <c r="BW193" s="6">
        <f>SUMIF('Eredeti fejléccel'!$B:$B,'Felosztás eredménykim'!$B193,'Eredeti fejléccel'!$AW:$AW)</f>
        <v>0</v>
      </c>
      <c r="BX193" s="6">
        <f>SUMIF('Eredeti fejléccel'!$B:$B,'Felosztás eredménykim'!$B193,'Eredeti fejléccel'!$AX:$AX)</f>
        <v>0</v>
      </c>
      <c r="BY193" s="6">
        <f>SUMIF('Eredeti fejléccel'!$B:$B,'Felosztás eredménykim'!$B193,'Eredeti fejléccel'!$AY:$AY)</f>
        <v>0</v>
      </c>
      <c r="BZ193" s="6">
        <f>SUMIF('Eredeti fejléccel'!$B:$B,'Felosztás eredménykim'!$B193,'Eredeti fejléccel'!$AZ:$AZ)</f>
        <v>0</v>
      </c>
      <c r="CA193" s="6">
        <f>SUMIF('Eredeti fejléccel'!$B:$B,'Felosztás eredménykim'!$B193,'Eredeti fejléccel'!$BA:$BA)</f>
        <v>0</v>
      </c>
      <c r="CB193" s="6">
        <f t="shared" si="253"/>
        <v>0</v>
      </c>
      <c r="CC193" s="36">
        <f t="shared" si="344"/>
        <v>0</v>
      </c>
      <c r="CD193" s="8">
        <f t="shared" si="223"/>
        <v>0</v>
      </c>
      <c r="CE193" s="6">
        <f>SUMIF('Eredeti fejléccel'!$B:$B,'Felosztás eredménykim'!$B193,'Eredeti fejléccel'!$BC:$BC)</f>
        <v>0</v>
      </c>
      <c r="CF193" s="8">
        <f t="shared" si="300"/>
        <v>0</v>
      </c>
      <c r="CG193" s="6">
        <f>SUMIF('Eredeti fejléccel'!$B:$B,'Felosztás eredménykim'!$B193,'Eredeti fejléccel'!$H:$H)</f>
        <v>0</v>
      </c>
      <c r="CH193" s="6">
        <f>SUMIF('Eredeti fejléccel'!$B:$B,'Felosztás eredménykim'!$B193,'Eredeti fejléccel'!$BE:$BE)</f>
        <v>0</v>
      </c>
      <c r="CI193" s="6">
        <f>SUM(CD193:CH193)</f>
        <v>0</v>
      </c>
      <c r="CJ193" s="36">
        <f t="shared" si="345"/>
        <v>0</v>
      </c>
      <c r="CK193" s="8">
        <f t="shared" si="225"/>
        <v>0</v>
      </c>
      <c r="CL193" s="8">
        <f t="shared" si="301"/>
        <v>0</v>
      </c>
      <c r="CM193" s="6">
        <f>SUMIF('Eredeti fejléccel'!$B:$B,'Felosztás eredménykim'!$B193,'Eredeti fejléccel'!$BD:$BD)</f>
        <v>0</v>
      </c>
      <c r="CN193" s="8">
        <f>SUM(CK193:CM193)</f>
        <v>0</v>
      </c>
      <c r="CO193" s="8">
        <f t="shared" si="254"/>
        <v>0</v>
      </c>
      <c r="CR193" s="36">
        <f t="shared" si="226"/>
        <v>0</v>
      </c>
      <c r="CS193" s="6">
        <f>SUMIF('Eredeti fejléccel'!$B:$B,'Felosztás eredménykim'!$B193,'Eredeti fejléccel'!$I:$I)</f>
        <v>0</v>
      </c>
      <c r="CT193" s="6">
        <f>SUMIF('Eredeti fejléccel'!$B:$B,'Felosztás eredménykim'!$B193,'Eredeti fejléccel'!$BG:$BG)</f>
        <v>0</v>
      </c>
      <c r="CU193" s="6">
        <f>SUMIF('Eredeti fejléccel'!$B:$B,'Felosztás eredménykim'!$B193,'Eredeti fejléccel'!$BH:$BH)</f>
        <v>0</v>
      </c>
      <c r="CV193" s="6">
        <f>SUMIF('Eredeti fejléccel'!$B:$B,'Felosztás eredménykim'!$B193,'Eredeti fejléccel'!$BI:$BI)</f>
        <v>0</v>
      </c>
      <c r="CW193" s="6">
        <f>SUMIF('Eredeti fejléccel'!$B:$B,'Felosztás eredménykim'!$B193,'Eredeti fejléccel'!$BL:$BL)</f>
        <v>0</v>
      </c>
      <c r="CX193" s="6">
        <f>SUM(CS193:CW193)</f>
        <v>0</v>
      </c>
      <c r="CY193" s="6">
        <f>SUMIF('Eredeti fejléccel'!$B:$B,'Felosztás eredménykim'!$B193,'Eredeti fejléccel'!$BJ:$BJ)</f>
        <v>0</v>
      </c>
      <c r="CZ193" s="6">
        <f>SUMIF('Eredeti fejléccel'!$B:$B,'Felosztás eredménykim'!$B193,'Eredeti fejléccel'!$BK:$BK)</f>
        <v>0</v>
      </c>
      <c r="DA193" s="99">
        <f t="shared" si="242"/>
        <v>0</v>
      </c>
      <c r="DC193" s="36">
        <f t="shared" si="227"/>
        <v>0</v>
      </c>
      <c r="DD193" s="6">
        <f>SUMIF('Eredeti fejléccel'!$B:$B,'Felosztás eredménykim'!$B193,'Eredeti fejléccel'!$J:$J)</f>
        <v>0</v>
      </c>
      <c r="DE193" s="6">
        <f>SUMIF('Eredeti fejléccel'!$B:$B,'Felosztás eredménykim'!$B193,'Eredeti fejléccel'!$BM:$BM)</f>
        <v>0</v>
      </c>
      <c r="DF193" s="6">
        <f t="shared" si="296"/>
        <v>0</v>
      </c>
      <c r="DG193" s="8">
        <f t="shared" si="255"/>
        <v>0</v>
      </c>
      <c r="DH193" s="8">
        <f t="shared" si="297"/>
        <v>0</v>
      </c>
      <c r="DJ193" s="6">
        <f>SUMIF('Eredeti fejléccel'!$B:$B,'Felosztás eredménykim'!$B193,'Eredeti fejléccel'!$BN:$BN)</f>
        <v>0</v>
      </c>
      <c r="DK193" s="6">
        <f>SUMIF('Eredeti fejléccel'!$B:$B,'Felosztás eredménykim'!$B193,'Eredeti fejléccel'!$BZ:$BZ)</f>
        <v>0</v>
      </c>
      <c r="DL193" s="8">
        <f t="shared" si="298"/>
        <v>0</v>
      </c>
      <c r="DM193" s="6">
        <f>SUMIF('Eredeti fejléccel'!$B:$B,'Felosztás eredménykim'!$B193,'Eredeti fejléccel'!$BR:$BR)</f>
        <v>0</v>
      </c>
      <c r="DN193" s="6">
        <f>SUMIF('Eredeti fejléccel'!$B:$B,'Felosztás eredménykim'!$B193,'Eredeti fejléccel'!$BS:$BS)</f>
        <v>0</v>
      </c>
      <c r="DO193" s="6">
        <f>SUMIF('Eredeti fejléccel'!$B:$B,'Felosztás eredménykim'!$B193,'Eredeti fejléccel'!$BO:$BO)</f>
        <v>0</v>
      </c>
      <c r="DP193" s="6">
        <f>SUMIF('Eredeti fejléccel'!$B:$B,'Felosztás eredménykim'!$B193,'Eredeti fejléccel'!$BP:$BP)</f>
        <v>0</v>
      </c>
      <c r="DQ193" s="6">
        <f>SUMIF('Eredeti fejléccel'!$B:$B,'Felosztás eredménykim'!$B193,'Eredeti fejléccel'!$BQ:$BQ)</f>
        <v>0</v>
      </c>
      <c r="DS193" s="8"/>
      <c r="DU193" s="6">
        <f>SUMIF('Eredeti fejléccel'!$B:$B,'Felosztás eredménykim'!$B193,'Eredeti fejléccel'!$BT:$BT)</f>
        <v>0</v>
      </c>
      <c r="DV193" s="6">
        <f>SUMIF('Eredeti fejléccel'!$B:$B,'Felosztás eredménykim'!$B193,'Eredeti fejléccel'!$BU:$BU)</f>
        <v>0</v>
      </c>
      <c r="DW193" s="6">
        <f>SUMIF('Eredeti fejléccel'!$B:$B,'Felosztás eredménykim'!$B193,'Eredeti fejléccel'!$BV:$BV)</f>
        <v>0</v>
      </c>
      <c r="DX193" s="6">
        <f>SUMIF('Eredeti fejléccel'!$B:$B,'Felosztás eredménykim'!$B193,'Eredeti fejléccel'!$BW:$BW)</f>
        <v>0</v>
      </c>
      <c r="DY193" s="6">
        <f>SUMIF('Eredeti fejléccel'!$B:$B,'Felosztás eredménykim'!$B193,'Eredeti fejléccel'!$BX:$BX)</f>
        <v>0</v>
      </c>
      <c r="EA193" s="6"/>
      <c r="EC193" s="6"/>
      <c r="EE193" s="6">
        <f>SUMIF('Eredeti fejléccel'!$B:$B,'Felosztás eredménykim'!$B193,'Eredeti fejléccel'!$CA:$CA)</f>
        <v>0</v>
      </c>
      <c r="EF193" s="6">
        <f>SUMIF('Eredeti fejléccel'!$B:$B,'Felosztás eredménykim'!$B193,'Eredeti fejléccel'!$CB:$CB)</f>
        <v>0</v>
      </c>
      <c r="EG193" s="6">
        <f>SUMIF('Eredeti fejléccel'!$B:$B,'Felosztás eredménykim'!$B193,'Eredeti fejléccel'!$CC:$CC)</f>
        <v>0</v>
      </c>
      <c r="EH193" s="6">
        <f>SUMIF('Eredeti fejléccel'!$B:$B,'Felosztás eredménykim'!$B193,'Eredeti fejléccel'!$CD:$CD)</f>
        <v>0</v>
      </c>
      <c r="EK193" s="6">
        <f>SUMIF('Eredeti fejléccel'!$B:$B,'Felosztás eredménykim'!$B193,'Eredeti fejléccel'!$CE:$CE)</f>
        <v>0</v>
      </c>
      <c r="EN193" s="6">
        <f>SUMIF('Eredeti fejléccel'!$B:$B,'Felosztás eredménykim'!$B193,'Eredeti fejléccel'!$CF:$CF)</f>
        <v>0</v>
      </c>
      <c r="EP193" s="6">
        <f>SUMIF('Eredeti fejléccel'!$B:$B,'Felosztás eredménykim'!$B193,'Eredeti fejléccel'!$CG:$CG)</f>
        <v>0</v>
      </c>
      <c r="ES193" s="6">
        <f>SUMIF('Eredeti fejléccel'!$B:$B,'Felosztás eredménykim'!$B193,'Eredeti fejléccel'!$CH:$CH)</f>
        <v>0</v>
      </c>
      <c r="ET193" s="6">
        <f>SUMIF('Eredeti fejléccel'!$B:$B,'Felosztás eredménykim'!$B193,'Eredeti fejléccel'!$CI:$CI)</f>
        <v>0</v>
      </c>
      <c r="EW193" s="8">
        <f t="shared" si="288"/>
        <v>0</v>
      </c>
      <c r="EX193" s="8">
        <f>SUM(EE193:EV193)</f>
        <v>0</v>
      </c>
      <c r="EY193" s="8">
        <f t="shared" si="244"/>
        <v>0</v>
      </c>
      <c r="EZ193" s="8">
        <f t="shared" si="289"/>
        <v>0</v>
      </c>
      <c r="FA193" s="8">
        <f t="shared" si="290"/>
        <v>0</v>
      </c>
      <c r="FC193" s="6">
        <f>SUMIF('Eredeti fejléccel'!$B:$B,'Felosztás eredménykim'!$B193,'Eredeti fejléccel'!$L:$L)</f>
        <v>0</v>
      </c>
      <c r="FD193" s="6">
        <f>SUMIF('Eredeti fejléccel'!$B:$B,'Felosztás eredménykim'!$B193,'Eredeti fejléccel'!$CJ:$CJ)</f>
        <v>0</v>
      </c>
      <c r="FE193" s="6">
        <f>SUMIF('Eredeti fejléccel'!$B:$B,'Felosztás eredménykim'!$B193,'Eredeti fejléccel'!$CL:$CL)</f>
        <v>0</v>
      </c>
      <c r="FG193" s="99">
        <f>SUM(FC193:FF193)</f>
        <v>0</v>
      </c>
      <c r="FH193" s="6">
        <f>SUMIF('Eredeti fejléccel'!$B:$B,'Felosztás eredménykim'!$B193,'Eredeti fejléccel'!$CK:$CK)</f>
        <v>0</v>
      </c>
      <c r="FI193" s="36">
        <f t="shared" si="346"/>
        <v>0</v>
      </c>
      <c r="FJ193" s="101">
        <f t="shared" si="229"/>
        <v>0</v>
      </c>
      <c r="FK193" s="6">
        <f>SUMIF('Eredeti fejléccel'!$B:$B,'Felosztás eredménykim'!$B193,'Eredeti fejléccel'!$CM:$CM)</f>
        <v>0</v>
      </c>
      <c r="FL193" s="6">
        <f>SUMIF('Eredeti fejléccel'!$B:$B,'Felosztás eredménykim'!$B193,'Eredeti fejléccel'!$CN:$CN)</f>
        <v>0</v>
      </c>
      <c r="FM193" s="8">
        <f>SUM(FJ193:FL193)</f>
        <v>0</v>
      </c>
      <c r="FN193" s="36">
        <f t="shared" si="347"/>
        <v>0</v>
      </c>
      <c r="FO193" s="101">
        <f t="shared" si="231"/>
        <v>0</v>
      </c>
      <c r="FP193" s="6">
        <f>SUMIF('Eredeti fejléccel'!$B:$B,'Felosztás eredménykim'!$B193,'Eredeti fejléccel'!$CO:$CO)</f>
        <v>0</v>
      </c>
      <c r="FQ193" s="6">
        <f>'Eredeti fejléccel'!CP193</f>
        <v>0</v>
      </c>
      <c r="FR193" s="6">
        <f>'Eredeti fejléccel'!CQ193</f>
        <v>0</v>
      </c>
      <c r="FS193" s="103">
        <f t="shared" si="247"/>
        <v>0</v>
      </c>
      <c r="FT193" s="36">
        <f t="shared" si="348"/>
        <v>0</v>
      </c>
      <c r="FU193" s="101">
        <f t="shared" si="233"/>
        <v>0</v>
      </c>
      <c r="FV193" s="101"/>
      <c r="FW193" s="6">
        <f>SUMIF('Eredeti fejléccel'!$B:$B,'Felosztás eredménykim'!$B193,'Eredeti fejléccel'!$CR:$CR)</f>
        <v>0</v>
      </c>
      <c r="FX193" s="6">
        <f>SUMIF('Eredeti fejléccel'!$B:$B,'Felosztás eredménykim'!$B193,'Eredeti fejléccel'!$CS:$CS)</f>
        <v>0</v>
      </c>
      <c r="FY193" s="6">
        <f>SUMIF('Eredeti fejléccel'!$B:$B,'Felosztás eredménykim'!$B193,'Eredeti fejléccel'!$CT:$CT)</f>
        <v>0</v>
      </c>
      <c r="FZ193" s="6">
        <f>SUMIF('Eredeti fejléccel'!$B:$B,'Felosztás eredménykim'!$B193,'Eredeti fejléccel'!$CU:$CU)</f>
        <v>0</v>
      </c>
      <c r="GA193" s="103">
        <f>SUM(FU193:FZ193)</f>
        <v>0</v>
      </c>
      <c r="GB193" s="36">
        <f t="shared" si="349"/>
        <v>0</v>
      </c>
      <c r="GC193" s="101">
        <f t="shared" si="235"/>
        <v>0</v>
      </c>
      <c r="GD193" s="6">
        <f>SUMIF('Eredeti fejléccel'!$B:$B,'Felosztás eredménykim'!$B193,'Eredeti fejléccel'!$CV:$CV)</f>
        <v>0</v>
      </c>
      <c r="GE193" s="6">
        <f>SUMIF('Eredeti fejléccel'!$B:$B,'Felosztás eredménykim'!$B193,'Eredeti fejléccel'!$CW:$CW)</f>
        <v>0</v>
      </c>
      <c r="GF193" s="103">
        <f>SUM(GC193:GE193)</f>
        <v>0</v>
      </c>
      <c r="GG193" s="36">
        <f t="shared" si="236"/>
        <v>0</v>
      </c>
      <c r="GM193" s="6">
        <f>SUMIF('Eredeti fejléccel'!$B:$B,'Felosztás eredménykim'!$B193,'Eredeti fejléccel'!$CX:$CX)</f>
        <v>0</v>
      </c>
      <c r="GN193" s="6">
        <f>SUMIF('Eredeti fejléccel'!$B:$B,'Felosztás eredménykim'!$B193,'Eredeti fejléccel'!$CY:$CY)</f>
        <v>0</v>
      </c>
      <c r="GO193" s="6">
        <f>SUMIF('Eredeti fejléccel'!$B:$B,'Felosztás eredménykim'!$B193,'Eredeti fejléccel'!$CZ:$CZ)</f>
        <v>0</v>
      </c>
      <c r="GP193" s="6">
        <f>SUMIF('Eredeti fejléccel'!$B:$B,'Felosztás eredménykim'!$B193,'Eredeti fejléccel'!$DA:$DA)</f>
        <v>0</v>
      </c>
      <c r="GQ193" s="6">
        <f>SUMIF('Eredeti fejléccel'!$B:$B,'Felosztás eredménykim'!$B193,'Eredeti fejléccel'!$DB:$DB)</f>
        <v>0</v>
      </c>
      <c r="GR193" s="103">
        <f>SUM(GH193:GQ193)</f>
        <v>0</v>
      </c>
      <c r="GW193" s="36">
        <f t="shared" si="237"/>
        <v>0</v>
      </c>
      <c r="GX193" s="6">
        <f>SUMIF('Eredeti fejléccel'!$B:$B,'Felosztás eredménykim'!$B193,'Eredeti fejléccel'!$M:$M)</f>
        <v>0</v>
      </c>
      <c r="GY193" s="6">
        <f>SUMIF('Eredeti fejléccel'!$B:$B,'Felosztás eredménykim'!$B193,'Eredeti fejléccel'!$DC:$DC)</f>
        <v>0</v>
      </c>
      <c r="GZ193" s="6">
        <f>SUMIF('Eredeti fejléccel'!$B:$B,'Felosztás eredménykim'!$B193,'Eredeti fejléccel'!$DD:$DD)</f>
        <v>0</v>
      </c>
      <c r="HA193" s="6">
        <f>SUMIF('Eredeti fejléccel'!$B:$B,'Felosztás eredménykim'!$B193,'Eredeti fejléccel'!$DE:$DE)</f>
        <v>0</v>
      </c>
      <c r="HB193" s="103">
        <f>SUM(GX193:HA193)</f>
        <v>0</v>
      </c>
      <c r="HD193" s="9">
        <f t="shared" si="350"/>
        <v>0</v>
      </c>
      <c r="HE193" s="9"/>
      <c r="HF193" s="476"/>
      <c r="HH193" s="34">
        <f>+HD193-HE193</f>
        <v>0</v>
      </c>
    </row>
    <row r="194" spans="1:218" x14ac:dyDescent="0.25">
      <c r="A194" s="4" t="s">
        <v>881</v>
      </c>
      <c r="B194" s="4" t="s">
        <v>881</v>
      </c>
      <c r="D194" s="6">
        <f>SUMIF('Eredeti fejléccel'!$B:$B,'Felosztás eredménykim'!$B194,'Eredeti fejléccel'!$D:$D)</f>
        <v>0</v>
      </c>
      <c r="E194" s="6">
        <f>SUMIF('Eredeti fejléccel'!$B:$B,'Felosztás eredménykim'!$B194,'Eredeti fejléccel'!$E:$E)</f>
        <v>0</v>
      </c>
      <c r="F194" s="6">
        <f>SUMIF('Eredeti fejléccel'!$B:$B,'Felosztás eredménykim'!$B194,'Eredeti fejléccel'!$F:$F)</f>
        <v>0</v>
      </c>
      <c r="G194" s="6">
        <f>SUMIF('Eredeti fejléccel'!$B:$B,'Felosztás eredménykim'!$B194,'Eredeti fejléccel'!$G:$G)</f>
        <v>0</v>
      </c>
      <c r="H194" s="6"/>
      <c r="I194" s="6">
        <f>SUMIF('Eredeti fejléccel'!$B:$B,'Felosztás eredménykim'!$B194,'Eredeti fejléccel'!$O:$O)</f>
        <v>0</v>
      </c>
      <c r="J194" s="6">
        <f>SUMIF('Eredeti fejléccel'!$B:$B,'Felosztás eredménykim'!$B194,'Eredeti fejléccel'!$P:$P)</f>
        <v>0</v>
      </c>
      <c r="K194" s="6">
        <f>SUMIF('Eredeti fejléccel'!$B:$B,'Felosztás eredménykim'!$B194,'Eredeti fejléccel'!$Q:$Q)</f>
        <v>0</v>
      </c>
      <c r="L194" s="6">
        <f>SUMIF('Eredeti fejléccel'!$B:$B,'Felosztás eredménykim'!$B194,'Eredeti fejléccel'!$R:$R)</f>
        <v>0</v>
      </c>
      <c r="M194" s="6">
        <f>SUMIF('Eredeti fejléccel'!$B:$B,'Felosztás eredménykim'!$B194,'Eredeti fejléccel'!$T:$T)</f>
        <v>0</v>
      </c>
      <c r="N194" s="6">
        <f>SUMIF('Eredeti fejléccel'!$B:$B,'Felosztás eredménykim'!$B194,'Eredeti fejléccel'!$U:$U)</f>
        <v>0</v>
      </c>
      <c r="O194" s="6">
        <f>SUMIF('Eredeti fejléccel'!$B:$B,'Felosztás eredménykim'!$B194,'Eredeti fejléccel'!$V:$V)</f>
        <v>0</v>
      </c>
      <c r="P194" s="6">
        <f>SUMIF('Eredeti fejléccel'!$B:$B,'Felosztás eredménykim'!$B194,'Eredeti fejléccel'!$W:$W)</f>
        <v>0</v>
      </c>
      <c r="Q194" s="6">
        <f>SUMIF('Eredeti fejléccel'!$B:$B,'Felosztás eredménykim'!$B194,'Eredeti fejléccel'!$X:$X)</f>
        <v>0</v>
      </c>
      <c r="R194" s="6">
        <f>SUMIF('Eredeti fejléccel'!$B:$B,'Felosztás eredménykim'!$B194,'Eredeti fejléccel'!$Y:$Y)</f>
        <v>0</v>
      </c>
      <c r="S194" s="6">
        <f>SUMIF('Eredeti fejléccel'!$B:$B,'Felosztás eredménykim'!$B194,'Eredeti fejléccel'!$Z:$Z)</f>
        <v>0</v>
      </c>
      <c r="T194" s="6">
        <f>SUMIF('Eredeti fejléccel'!$B:$B,'Felosztás eredménykim'!$B194,'Eredeti fejléccel'!$AA:$AA)</f>
        <v>0</v>
      </c>
      <c r="U194" s="6">
        <f>SUMIF('Eredeti fejléccel'!$B:$B,'Felosztás eredménykim'!$B194,'Eredeti fejléccel'!$D:$D)</f>
        <v>0</v>
      </c>
      <c r="V194" s="6">
        <f>SUMIF('Eredeti fejléccel'!$B:$B,'Felosztás eredménykim'!$B194,'Eredeti fejléccel'!$AT:$AT)</f>
        <v>3053739</v>
      </c>
      <c r="W194" s="36">
        <f t="shared" si="368"/>
        <v>-3053739</v>
      </c>
      <c r="X194" s="36">
        <f t="shared" si="211"/>
        <v>0</v>
      </c>
      <c r="Z194" s="6">
        <f>SUMIF('Eredeti fejléccel'!$B:$B,'Felosztás eredménykim'!$B194,'Eredeti fejléccel'!$K:$K)</f>
        <v>0</v>
      </c>
      <c r="AB194" s="6">
        <f>SUMIF('Eredeti fejléccel'!$B:$B,'Felosztás eredménykim'!$B194,'Eredeti fejléccel'!$AB:$AB)</f>
        <v>0</v>
      </c>
      <c r="AC194" s="6">
        <f>SUMIF('Eredeti fejléccel'!$B:$B,'Felosztás eredménykim'!$B194,'Eredeti fejléccel'!$AQ:$AQ)</f>
        <v>0</v>
      </c>
      <c r="AE194" s="73">
        <f t="shared" si="299"/>
        <v>0</v>
      </c>
      <c r="AF194" s="36">
        <f t="shared" si="339"/>
        <v>0</v>
      </c>
      <c r="AG194" s="8">
        <f t="shared" si="213"/>
        <v>0</v>
      </c>
      <c r="AI194" s="6">
        <f>SUMIF('Eredeti fejléccel'!$B:$B,'Felosztás eredménykim'!$B194,'Eredeti fejléccel'!$BB:$BB)</f>
        <v>0</v>
      </c>
      <c r="AJ194" s="6">
        <f>SUMIF('Eredeti fejléccel'!$B:$B,'Felosztás eredménykim'!$B194,'Eredeti fejléccel'!$AF:$AF)</f>
        <v>0</v>
      </c>
      <c r="AK194" s="8">
        <f t="shared" si="177"/>
        <v>0</v>
      </c>
      <c r="AL194" s="36">
        <f t="shared" si="340"/>
        <v>0</v>
      </c>
      <c r="AM194" s="8">
        <f t="shared" si="215"/>
        <v>0</v>
      </c>
      <c r="AN194" s="6">
        <f t="shared" si="291"/>
        <v>0</v>
      </c>
      <c r="AO194" s="6">
        <f>SUMIF('Eredeti fejléccel'!$B:$B,'Felosztás eredménykim'!$B194,'Eredeti fejléccel'!$AC:$AC)</f>
        <v>0</v>
      </c>
      <c r="AP194" s="6">
        <f>SUMIF('Eredeti fejléccel'!$B:$B,'Felosztás eredménykim'!$B194,'Eredeti fejléccel'!$AD:$AD)</f>
        <v>0</v>
      </c>
      <c r="AQ194" s="6">
        <f>SUMIF('Eredeti fejléccel'!$B:$B,'Felosztás eredménykim'!$B194,'Eredeti fejléccel'!$AE:$AE)</f>
        <v>0</v>
      </c>
      <c r="AR194" s="6">
        <f>SUMIF('Eredeti fejléccel'!$B:$B,'Felosztás eredménykim'!$B194,'Eredeti fejléccel'!$AG:$AG)</f>
        <v>0</v>
      </c>
      <c r="AS194" s="6">
        <f t="shared" si="292"/>
        <v>0</v>
      </c>
      <c r="AT194" s="36">
        <f t="shared" si="341"/>
        <v>0</v>
      </c>
      <c r="AU194" s="8">
        <f t="shared" si="217"/>
        <v>0</v>
      </c>
      <c r="AV194" s="6">
        <f>SUMIF('Eredeti fejléccel'!$B:$B,'Felosztás eredménykim'!$B194,'Eredeti fejléccel'!$AI:$AI)</f>
        <v>0</v>
      </c>
      <c r="AW194" s="6">
        <f>SUMIF('Eredeti fejléccel'!$B:$B,'Felosztás eredménykim'!$B194,'Eredeti fejléccel'!$AJ:$AJ)</f>
        <v>0</v>
      </c>
      <c r="AX194" s="6">
        <f>SUMIF('Eredeti fejléccel'!$B:$B,'Felosztás eredménykim'!$B194,'Eredeti fejléccel'!$AK:$AK)</f>
        <v>0</v>
      </c>
      <c r="AY194" s="6">
        <f>SUMIF('Eredeti fejléccel'!$B:$B,'Felosztás eredménykim'!$B194,'Eredeti fejléccel'!$AL:$AL)</f>
        <v>0</v>
      </c>
      <c r="AZ194" s="6">
        <f>SUMIF('Eredeti fejléccel'!$B:$B,'Felosztás eredménykim'!$B194,'Eredeti fejléccel'!$AM:$AM)</f>
        <v>0</v>
      </c>
      <c r="BA194" s="6">
        <f>SUMIF('Eredeti fejléccel'!$B:$B,'Felosztás eredménykim'!$B194,'Eredeti fejléccel'!$AN:$AN)</f>
        <v>0</v>
      </c>
      <c r="BB194" s="6">
        <f>SUMIF('Eredeti fejléccel'!$B:$B,'Felosztás eredménykim'!$B194,'Eredeti fejléccel'!$AP:$AP)</f>
        <v>0</v>
      </c>
      <c r="BD194" s="6">
        <f>SUMIF('Eredeti fejléccel'!$B:$B,'Felosztás eredménykim'!$B194,'Eredeti fejléccel'!$AS:$AS)</f>
        <v>0</v>
      </c>
      <c r="BE194" s="8">
        <f t="shared" si="238"/>
        <v>0</v>
      </c>
      <c r="BF194" s="36">
        <f t="shared" si="342"/>
        <v>0</v>
      </c>
      <c r="BG194" s="8">
        <f t="shared" si="219"/>
        <v>0</v>
      </c>
      <c r="BH194" s="6">
        <f t="shared" si="293"/>
        <v>0</v>
      </c>
      <c r="BI194" s="6">
        <f>SUMIF('Eredeti fejléccel'!$B:$B,'Felosztás eredménykim'!$B194,'Eredeti fejléccel'!$AH:$AH)</f>
        <v>0</v>
      </c>
      <c r="BJ194" s="6">
        <f>SUMIF('Eredeti fejléccel'!$B:$B,'Felosztás eredménykim'!$B194,'Eredeti fejléccel'!$AO:$AO)</f>
        <v>0</v>
      </c>
      <c r="BK194" s="6">
        <f>SUMIF('Eredeti fejléccel'!$B:$B,'Felosztás eredménykim'!$B194,'Eredeti fejléccel'!$BF:$BF)</f>
        <v>0</v>
      </c>
      <c r="BL194" s="8">
        <f t="shared" si="294"/>
        <v>0</v>
      </c>
      <c r="BM194" s="36">
        <f t="shared" si="343"/>
        <v>0</v>
      </c>
      <c r="BN194" s="8">
        <f t="shared" si="221"/>
        <v>0</v>
      </c>
      <c r="BP194" s="8">
        <f t="shared" si="295"/>
        <v>0</v>
      </c>
      <c r="BQ194" s="6">
        <f>SUMIF('Eredeti fejléccel'!$B:$B,'Felosztás eredménykim'!$B194,'Eredeti fejléccel'!$N:$N)</f>
        <v>0</v>
      </c>
      <c r="BR194" s="6">
        <f>SUMIF('Eredeti fejléccel'!$B:$B,'Felosztás eredménykim'!$B194,'Eredeti fejléccel'!$S:$S)</f>
        <v>0</v>
      </c>
      <c r="BT194" s="6">
        <f>SUMIF('Eredeti fejléccel'!$B:$B,'Felosztás eredménykim'!$B194,'Eredeti fejléccel'!$AR:$AR)</f>
        <v>0</v>
      </c>
      <c r="BU194" s="6">
        <f>SUMIF('Eredeti fejléccel'!$B:$B,'Felosztás eredménykim'!$B194,'Eredeti fejléccel'!$AU:$AU)</f>
        <v>0</v>
      </c>
      <c r="BV194" s="6">
        <f>SUMIF('Eredeti fejléccel'!$B:$B,'Felosztás eredménykim'!$B194,'Eredeti fejléccel'!$AV:$AV)</f>
        <v>0</v>
      </c>
      <c r="BW194" s="6">
        <f>SUMIF('Eredeti fejléccel'!$B:$B,'Felosztás eredménykim'!$B194,'Eredeti fejléccel'!$AW:$AW)</f>
        <v>0</v>
      </c>
      <c r="BX194" s="6">
        <f>SUMIF('Eredeti fejléccel'!$B:$B,'Felosztás eredménykim'!$B194,'Eredeti fejléccel'!$AX:$AX)</f>
        <v>0</v>
      </c>
      <c r="BY194" s="6">
        <f>SUMIF('Eredeti fejléccel'!$B:$B,'Felosztás eredménykim'!$B194,'Eredeti fejléccel'!$AY:$AY)</f>
        <v>0</v>
      </c>
      <c r="BZ194" s="6">
        <f>SUMIF('Eredeti fejléccel'!$B:$B,'Felosztás eredménykim'!$B194,'Eredeti fejléccel'!$AZ:$AZ)</f>
        <v>0</v>
      </c>
      <c r="CA194" s="6">
        <f>SUMIF('Eredeti fejléccel'!$B:$B,'Felosztás eredménykim'!$B194,'Eredeti fejléccel'!$BA:$BA)</f>
        <v>0</v>
      </c>
      <c r="CB194" s="6">
        <f t="shared" si="253"/>
        <v>0</v>
      </c>
      <c r="CC194" s="36">
        <f t="shared" si="344"/>
        <v>0</v>
      </c>
      <c r="CD194" s="8">
        <f t="shared" si="223"/>
        <v>0</v>
      </c>
      <c r="CE194" s="6">
        <f>SUMIF('Eredeti fejléccel'!$B:$B,'Felosztás eredménykim'!$B194,'Eredeti fejléccel'!$BC:$BC)</f>
        <v>0</v>
      </c>
      <c r="CF194" s="8">
        <f t="shared" si="300"/>
        <v>0</v>
      </c>
      <c r="CG194" s="6">
        <f>SUMIF('Eredeti fejléccel'!$B:$B,'Felosztás eredménykim'!$B194,'Eredeti fejléccel'!$H:$H)</f>
        <v>0</v>
      </c>
      <c r="CH194" s="6">
        <f>SUMIF('Eredeti fejléccel'!$B:$B,'Felosztás eredménykim'!$B194,'Eredeti fejléccel'!$BE:$BE)</f>
        <v>0</v>
      </c>
      <c r="CI194" s="6">
        <f t="shared" si="239"/>
        <v>0</v>
      </c>
      <c r="CJ194" s="36">
        <f t="shared" si="345"/>
        <v>0</v>
      </c>
      <c r="CK194" s="8">
        <f t="shared" si="225"/>
        <v>0</v>
      </c>
      <c r="CL194" s="8">
        <f t="shared" si="301"/>
        <v>0</v>
      </c>
      <c r="CM194" s="6">
        <f>SUMIF('Eredeti fejléccel'!$B:$B,'Felosztás eredménykim'!$B194,'Eredeti fejléccel'!$BD:$BD)</f>
        <v>0</v>
      </c>
      <c r="CN194" s="8">
        <f t="shared" si="240"/>
        <v>0</v>
      </c>
      <c r="CO194" s="8">
        <f t="shared" si="254"/>
        <v>0</v>
      </c>
      <c r="CR194" s="36">
        <f t="shared" si="226"/>
        <v>0</v>
      </c>
      <c r="CS194" s="6">
        <f>SUMIF('Eredeti fejléccel'!$B:$B,'Felosztás eredménykim'!$B194,'Eredeti fejléccel'!$I:$I)</f>
        <v>0</v>
      </c>
      <c r="CT194" s="6">
        <f>SUMIF('Eredeti fejléccel'!$B:$B,'Felosztás eredménykim'!$B194,'Eredeti fejléccel'!$BG:$BG)</f>
        <v>0</v>
      </c>
      <c r="CU194" s="6">
        <f>SUMIF('Eredeti fejléccel'!$B:$B,'Felosztás eredménykim'!$B194,'Eredeti fejléccel'!$BH:$BH)</f>
        <v>0</v>
      </c>
      <c r="CV194" s="6">
        <f>SUMIF('Eredeti fejléccel'!$B:$B,'Felosztás eredménykim'!$B194,'Eredeti fejléccel'!$BI:$BI)</f>
        <v>0</v>
      </c>
      <c r="CW194" s="6">
        <f>SUMIF('Eredeti fejléccel'!$B:$B,'Felosztás eredménykim'!$B194,'Eredeti fejléccel'!$BL:$BL)</f>
        <v>0</v>
      </c>
      <c r="CX194" s="6">
        <f t="shared" si="241"/>
        <v>0</v>
      </c>
      <c r="CY194" s="6">
        <f>SUMIF('Eredeti fejléccel'!$B:$B,'Felosztás eredménykim'!$B194,'Eredeti fejléccel'!$BJ:$BJ)</f>
        <v>0</v>
      </c>
      <c r="CZ194" s="6">
        <f>SUMIF('Eredeti fejléccel'!$B:$B,'Felosztás eredménykim'!$B194,'Eredeti fejléccel'!$BK:$BK)</f>
        <v>0</v>
      </c>
      <c r="DA194" s="99">
        <f t="shared" si="242"/>
        <v>0</v>
      </c>
      <c r="DC194" s="36">
        <f t="shared" si="227"/>
        <v>0</v>
      </c>
      <c r="DD194" s="6">
        <f>SUMIF('Eredeti fejléccel'!$B:$B,'Felosztás eredménykim'!$B194,'Eredeti fejléccel'!$J:$J)</f>
        <v>0</v>
      </c>
      <c r="DE194" s="6">
        <f>SUMIF('Eredeti fejléccel'!$B:$B,'Felosztás eredménykim'!$B194,'Eredeti fejléccel'!$BM:$BM)</f>
        <v>0</v>
      </c>
      <c r="DF194" s="6">
        <f t="shared" si="296"/>
        <v>0</v>
      </c>
      <c r="DG194" s="8">
        <f t="shared" si="255"/>
        <v>0</v>
      </c>
      <c r="DH194" s="8">
        <f t="shared" si="297"/>
        <v>0</v>
      </c>
      <c r="DJ194" s="6">
        <f>SUMIF('Eredeti fejléccel'!$B:$B,'Felosztás eredménykim'!$B194,'Eredeti fejléccel'!$BN:$BN)</f>
        <v>0</v>
      </c>
      <c r="DK194" s="6">
        <f>SUMIF('Eredeti fejléccel'!$B:$B,'Felosztás eredménykim'!$B194,'Eredeti fejléccel'!$BZ:$BZ)</f>
        <v>0</v>
      </c>
      <c r="DL194" s="8">
        <f t="shared" si="298"/>
        <v>0</v>
      </c>
      <c r="DM194" s="6">
        <f>SUMIF('Eredeti fejléccel'!$B:$B,'Felosztás eredménykim'!$B194,'Eredeti fejléccel'!$BR:$BR)</f>
        <v>0</v>
      </c>
      <c r="DN194" s="6">
        <f>SUMIF('Eredeti fejléccel'!$B:$B,'Felosztás eredménykim'!$B194,'Eredeti fejléccel'!$BS:$BS)</f>
        <v>0</v>
      </c>
      <c r="DO194" s="6">
        <f>SUMIF('Eredeti fejléccel'!$B:$B,'Felosztás eredménykim'!$B194,'Eredeti fejléccel'!$BO:$BO)</f>
        <v>0</v>
      </c>
      <c r="DP194" s="6">
        <f>SUMIF('Eredeti fejléccel'!$B:$B,'Felosztás eredménykim'!$B194,'Eredeti fejléccel'!$BP:$BP)</f>
        <v>0</v>
      </c>
      <c r="DQ194" s="6">
        <f>SUMIF('Eredeti fejléccel'!$B:$B,'Felosztás eredménykim'!$B194,'Eredeti fejléccel'!$BQ:$BQ)</f>
        <v>0</v>
      </c>
      <c r="DS194" s="8"/>
      <c r="DU194" s="6">
        <f>SUMIF('Eredeti fejléccel'!$B:$B,'Felosztás eredménykim'!$B194,'Eredeti fejléccel'!$BT:$BT)</f>
        <v>0</v>
      </c>
      <c r="DV194" s="6">
        <f>SUMIF('Eredeti fejléccel'!$B:$B,'Felosztás eredménykim'!$B194,'Eredeti fejléccel'!$BU:$BU)</f>
        <v>0</v>
      </c>
      <c r="DW194" s="6">
        <f>SUMIF('Eredeti fejléccel'!$B:$B,'Felosztás eredménykim'!$B194,'Eredeti fejléccel'!$BV:$BV)</f>
        <v>0</v>
      </c>
      <c r="DX194" s="6">
        <f>SUMIF('Eredeti fejléccel'!$B:$B,'Felosztás eredménykim'!$B194,'Eredeti fejléccel'!$BW:$BW)</f>
        <v>0</v>
      </c>
      <c r="DY194" s="6">
        <f>SUMIF('Eredeti fejléccel'!$B:$B,'Felosztás eredménykim'!$B194,'Eredeti fejléccel'!$BX:$BX)</f>
        <v>0</v>
      </c>
      <c r="EA194" s="6"/>
      <c r="EC194" s="6"/>
      <c r="EE194" s="6">
        <f>SUMIF('Eredeti fejléccel'!$B:$B,'Felosztás eredménykim'!$B194,'Eredeti fejléccel'!$CA:$CA)</f>
        <v>0</v>
      </c>
      <c r="EF194" s="6">
        <f>SUMIF('Eredeti fejléccel'!$B:$B,'Felosztás eredménykim'!$B194,'Eredeti fejléccel'!$CB:$CB)</f>
        <v>0</v>
      </c>
      <c r="EG194" s="6">
        <f>SUMIF('Eredeti fejléccel'!$B:$B,'Felosztás eredménykim'!$B194,'Eredeti fejléccel'!$CC:$CC)</f>
        <v>0</v>
      </c>
      <c r="EH194" s="6">
        <f>SUMIF('Eredeti fejléccel'!$B:$B,'Felosztás eredménykim'!$B194,'Eredeti fejléccel'!$CD:$CD)</f>
        <v>0</v>
      </c>
      <c r="EK194" s="6">
        <f>SUMIF('Eredeti fejléccel'!$B:$B,'Felosztás eredménykim'!$B194,'Eredeti fejléccel'!$CE:$CE)</f>
        <v>0</v>
      </c>
      <c r="EN194" s="6">
        <f>SUMIF('Eredeti fejléccel'!$B:$B,'Felosztás eredménykim'!$B194,'Eredeti fejléccel'!$CF:$CF)</f>
        <v>0</v>
      </c>
      <c r="EP194" s="6">
        <f>SUMIF('Eredeti fejléccel'!$B:$B,'Felosztás eredménykim'!$B194,'Eredeti fejléccel'!$CG:$CG)</f>
        <v>0</v>
      </c>
      <c r="ES194" s="6">
        <f>SUMIF('Eredeti fejléccel'!$B:$B,'Felosztás eredménykim'!$B194,'Eredeti fejléccel'!$CH:$CH)</f>
        <v>0</v>
      </c>
      <c r="ET194" s="6">
        <f>SUMIF('Eredeti fejléccel'!$B:$B,'Felosztás eredménykim'!$B194,'Eredeti fejléccel'!$CI:$CI)</f>
        <v>0</v>
      </c>
      <c r="EW194" s="8">
        <f t="shared" si="288"/>
        <v>0</v>
      </c>
      <c r="EX194" s="8">
        <f t="shared" si="243"/>
        <v>0</v>
      </c>
      <c r="EY194" s="8">
        <f t="shared" si="244"/>
        <v>0</v>
      </c>
      <c r="EZ194" s="8">
        <f t="shared" si="289"/>
        <v>0</v>
      </c>
      <c r="FA194" s="8">
        <f t="shared" si="290"/>
        <v>0</v>
      </c>
      <c r="FC194" s="6">
        <f>SUMIF('Eredeti fejléccel'!$B:$B,'Felosztás eredménykim'!$B194,'Eredeti fejléccel'!$L:$L)</f>
        <v>0</v>
      </c>
      <c r="FD194" s="6">
        <f>SUMIF('Eredeti fejléccel'!$B:$B,'Felosztás eredménykim'!$B194,'Eredeti fejléccel'!$CJ:$CJ)</f>
        <v>0</v>
      </c>
      <c r="FE194" s="6">
        <f>SUMIF('Eredeti fejléccel'!$B:$B,'Felosztás eredménykim'!$B194,'Eredeti fejléccel'!$CL:$CL)</f>
        <v>0</v>
      </c>
      <c r="FG194" s="99">
        <f t="shared" si="245"/>
        <v>0</v>
      </c>
      <c r="FH194" s="6">
        <f>SUMIF('Eredeti fejléccel'!$B:$B,'Felosztás eredménykim'!$B194,'Eredeti fejléccel'!$CK:$CK)</f>
        <v>0</v>
      </c>
      <c r="FI194" s="36">
        <f t="shared" si="346"/>
        <v>0</v>
      </c>
      <c r="FJ194" s="101">
        <f t="shared" si="229"/>
        <v>0</v>
      </c>
      <c r="FK194" s="6">
        <f>SUMIF('Eredeti fejléccel'!$B:$B,'Felosztás eredménykim'!$B194,'Eredeti fejléccel'!$CM:$CM)</f>
        <v>0</v>
      </c>
      <c r="FL194" s="6">
        <f>SUMIF('Eredeti fejléccel'!$B:$B,'Felosztás eredménykim'!$B194,'Eredeti fejléccel'!$CN:$CN)</f>
        <v>0</v>
      </c>
      <c r="FM194" s="8">
        <f t="shared" si="246"/>
        <v>0</v>
      </c>
      <c r="FN194" s="36">
        <f t="shared" si="347"/>
        <v>0</v>
      </c>
      <c r="FO194" s="101">
        <f t="shared" si="231"/>
        <v>0</v>
      </c>
      <c r="FP194" s="6">
        <f>SUMIF('Eredeti fejléccel'!$B:$B,'Felosztás eredménykim'!$B194,'Eredeti fejléccel'!$CO:$CO)</f>
        <v>0</v>
      </c>
      <c r="FQ194" s="6">
        <f>'Eredeti fejléccel'!CP194</f>
        <v>0</v>
      </c>
      <c r="FR194" s="6">
        <f>'Eredeti fejléccel'!CQ194</f>
        <v>0</v>
      </c>
      <c r="FS194" s="103">
        <f t="shared" si="247"/>
        <v>0</v>
      </c>
      <c r="FT194" s="36">
        <f t="shared" si="348"/>
        <v>0</v>
      </c>
      <c r="FU194" s="101">
        <f t="shared" si="233"/>
        <v>0</v>
      </c>
      <c r="FV194" s="101"/>
      <c r="FW194" s="6">
        <f>SUMIF('Eredeti fejléccel'!$B:$B,'Felosztás eredménykim'!$B194,'Eredeti fejléccel'!$CR:$CR)</f>
        <v>0</v>
      </c>
      <c r="FX194" s="6">
        <f>SUMIF('Eredeti fejléccel'!$B:$B,'Felosztás eredménykim'!$B194,'Eredeti fejléccel'!$CS:$CS)</f>
        <v>0</v>
      </c>
      <c r="FY194" s="6">
        <f>SUMIF('Eredeti fejléccel'!$B:$B,'Felosztás eredménykim'!$B194,'Eredeti fejléccel'!$CT:$CT)</f>
        <v>0</v>
      </c>
      <c r="FZ194" s="6">
        <f>SUMIF('Eredeti fejléccel'!$B:$B,'Felosztás eredménykim'!$B194,'Eredeti fejléccel'!$CU:$CU)</f>
        <v>0</v>
      </c>
      <c r="GA194" s="103">
        <f t="shared" si="248"/>
        <v>0</v>
      </c>
      <c r="GB194" s="36">
        <f t="shared" si="349"/>
        <v>0</v>
      </c>
      <c r="GC194" s="101">
        <f t="shared" si="235"/>
        <v>0</v>
      </c>
      <c r="GD194" s="6">
        <f>SUMIF('Eredeti fejléccel'!$B:$B,'Felosztás eredménykim'!$B194,'Eredeti fejléccel'!$CV:$CV)</f>
        <v>0</v>
      </c>
      <c r="GE194" s="6">
        <f>SUMIF('Eredeti fejléccel'!$B:$B,'Felosztás eredménykim'!$B194,'Eredeti fejléccel'!$CW:$CW)</f>
        <v>0</v>
      </c>
      <c r="GF194" s="103">
        <f t="shared" si="249"/>
        <v>0</v>
      </c>
      <c r="GG194" s="36">
        <f t="shared" si="236"/>
        <v>0</v>
      </c>
      <c r="GM194" s="6">
        <f>SUMIF('Eredeti fejléccel'!$B:$B,'Felosztás eredménykim'!$B194,'Eredeti fejléccel'!$CX:$CX)</f>
        <v>0</v>
      </c>
      <c r="GN194" s="6">
        <f>SUMIF('Eredeti fejléccel'!$B:$B,'Felosztás eredménykim'!$B194,'Eredeti fejléccel'!$CY:$CY)</f>
        <v>0</v>
      </c>
      <c r="GO194" s="6">
        <f>SUMIF('Eredeti fejléccel'!$B:$B,'Felosztás eredménykim'!$B194,'Eredeti fejléccel'!$CZ:$CZ)</f>
        <v>0</v>
      </c>
      <c r="GP194" s="6">
        <f>SUMIF('Eredeti fejléccel'!$B:$B,'Felosztás eredménykim'!$B194,'Eredeti fejléccel'!$DA:$DA)</f>
        <v>0</v>
      </c>
      <c r="GQ194" s="6">
        <f>SUMIF('Eredeti fejléccel'!$B:$B,'Felosztás eredménykim'!$B194,'Eredeti fejléccel'!$DB:$DB)</f>
        <v>0</v>
      </c>
      <c r="GR194" s="103">
        <f t="shared" si="250"/>
        <v>0</v>
      </c>
      <c r="GW194" s="36">
        <f t="shared" si="237"/>
        <v>0</v>
      </c>
      <c r="GX194" s="6">
        <f>SUMIF('Eredeti fejléccel'!$B:$B,'Felosztás eredménykim'!$B194,'Eredeti fejléccel'!$M:$M)</f>
        <v>0</v>
      </c>
      <c r="GY194" s="6">
        <f>SUMIF('Eredeti fejléccel'!$B:$B,'Felosztás eredménykim'!$B194,'Eredeti fejléccel'!$DC:$DC)</f>
        <v>0</v>
      </c>
      <c r="GZ194" s="6">
        <f>SUMIF('Eredeti fejléccel'!$B:$B,'Felosztás eredménykim'!$B194,'Eredeti fejléccel'!$DD:$DD)</f>
        <v>0</v>
      </c>
      <c r="HA194" s="6">
        <f>SUMIF('Eredeti fejléccel'!$B:$B,'Felosztás eredménykim'!$B194,'Eredeti fejléccel'!$DE:$DE)</f>
        <v>0</v>
      </c>
      <c r="HB194" s="103">
        <f t="shared" si="251"/>
        <v>0</v>
      </c>
      <c r="HD194" s="9">
        <f t="shared" si="350"/>
        <v>3053739</v>
      </c>
      <c r="HE194" s="9">
        <v>3053739</v>
      </c>
      <c r="HF194" s="476"/>
      <c r="HH194" s="34">
        <f t="shared" si="252"/>
        <v>0</v>
      </c>
    </row>
    <row r="195" spans="1:218" x14ac:dyDescent="0.25">
      <c r="A195" s="4" t="s">
        <v>1728</v>
      </c>
      <c r="B195" s="4" t="s">
        <v>1728</v>
      </c>
      <c r="C195" s="1" t="s">
        <v>1729</v>
      </c>
      <c r="D195" s="6">
        <f>SUMIF('Eredeti fejléccel'!$B:$B,'Felosztás eredménykim'!$B195,'Eredeti fejléccel'!$D:$D)</f>
        <v>0</v>
      </c>
      <c r="E195" s="6">
        <f>SUMIF('Eredeti fejléccel'!$B:$B,'Felosztás eredménykim'!$B195,'Eredeti fejléccel'!$E:$E)</f>
        <v>0</v>
      </c>
      <c r="F195" s="6">
        <f>SUMIF('Eredeti fejléccel'!$B:$B,'Felosztás eredménykim'!$B195,'Eredeti fejléccel'!$F:$F)</f>
        <v>0</v>
      </c>
      <c r="G195" s="6">
        <f>SUMIF('Eredeti fejléccel'!$B:$B,'Felosztás eredménykim'!$B195,'Eredeti fejléccel'!$G:$G)</f>
        <v>0</v>
      </c>
      <c r="H195" s="6"/>
      <c r="I195" s="6">
        <f>SUMIF('Eredeti fejléccel'!$B:$B,'Felosztás eredménykim'!$B195,'Eredeti fejléccel'!$O:$O)</f>
        <v>0</v>
      </c>
      <c r="J195" s="6">
        <f>SUMIF('Eredeti fejléccel'!$B:$B,'Felosztás eredménykim'!$B195,'Eredeti fejléccel'!$P:$P)</f>
        <v>0</v>
      </c>
      <c r="K195" s="6">
        <f>SUMIF('Eredeti fejléccel'!$B:$B,'Felosztás eredménykim'!$B195,'Eredeti fejléccel'!$Q:$Q)</f>
        <v>0</v>
      </c>
      <c r="L195" s="6">
        <f>SUMIF('Eredeti fejléccel'!$B:$B,'Felosztás eredménykim'!$B195,'Eredeti fejléccel'!$R:$R)</f>
        <v>0</v>
      </c>
      <c r="M195" s="6">
        <f>SUMIF('Eredeti fejléccel'!$B:$B,'Felosztás eredménykim'!$B195,'Eredeti fejléccel'!$T:$T)</f>
        <v>0</v>
      </c>
      <c r="N195" s="6">
        <f>SUMIF('Eredeti fejléccel'!$B:$B,'Felosztás eredménykim'!$B195,'Eredeti fejléccel'!$U:$U)</f>
        <v>0</v>
      </c>
      <c r="O195" s="6">
        <f>SUMIF('Eredeti fejléccel'!$B:$B,'Felosztás eredménykim'!$B195,'Eredeti fejléccel'!$V:$V)</f>
        <v>0</v>
      </c>
      <c r="P195" s="6">
        <f>SUMIF('Eredeti fejléccel'!$B:$B,'Felosztás eredménykim'!$B195,'Eredeti fejléccel'!$W:$W)</f>
        <v>0</v>
      </c>
      <c r="Q195" s="6">
        <f>SUMIF('Eredeti fejléccel'!$B:$B,'Felosztás eredménykim'!$B195,'Eredeti fejléccel'!$X:$X)</f>
        <v>0</v>
      </c>
      <c r="R195" s="6">
        <f>SUMIF('Eredeti fejléccel'!$B:$B,'Felosztás eredménykim'!$B195,'Eredeti fejléccel'!$Y:$Y)</f>
        <v>0</v>
      </c>
      <c r="S195" s="6">
        <f>SUMIF('Eredeti fejléccel'!$B:$B,'Felosztás eredménykim'!$B195,'Eredeti fejléccel'!$Z:$Z)</f>
        <v>0</v>
      </c>
      <c r="T195" s="6">
        <f>SUMIF('Eredeti fejléccel'!$B:$B,'Felosztás eredménykim'!$B195,'Eredeti fejléccel'!$AA:$AA)</f>
        <v>0</v>
      </c>
      <c r="U195" s="6">
        <f>SUMIF('Eredeti fejléccel'!$B:$B,'Felosztás eredménykim'!$B195,'Eredeti fejléccel'!$D:$D)</f>
        <v>0</v>
      </c>
      <c r="V195" s="6">
        <f>SUMIF('Eredeti fejléccel'!$B:$B,'Felosztás eredménykim'!$B195,'Eredeti fejléccel'!$AT:$AT)</f>
        <v>333594</v>
      </c>
      <c r="W195" s="36">
        <f t="shared" si="368"/>
        <v>-333594</v>
      </c>
      <c r="X195" s="36">
        <f t="shared" si="211"/>
        <v>0</v>
      </c>
      <c r="Z195" s="6">
        <f>SUMIF('Eredeti fejléccel'!$B:$B,'Felosztás eredménykim'!$B195,'Eredeti fejléccel'!$K:$K)</f>
        <v>0</v>
      </c>
      <c r="AB195" s="6">
        <f>SUMIF('Eredeti fejléccel'!$B:$B,'Felosztás eredménykim'!$B195,'Eredeti fejléccel'!$AB:$AB)</f>
        <v>0</v>
      </c>
      <c r="AC195" s="6">
        <f>SUMIF('Eredeti fejléccel'!$B:$B,'Felosztás eredménykim'!$B195,'Eredeti fejléccel'!$AQ:$AQ)</f>
        <v>0</v>
      </c>
      <c r="AE195" s="73">
        <f t="shared" ref="AE195" si="369">SUM(Z195:AD195)</f>
        <v>0</v>
      </c>
      <c r="AF195" s="36">
        <f t="shared" si="339"/>
        <v>0</v>
      </c>
      <c r="AG195" s="8">
        <f t="shared" si="213"/>
        <v>0</v>
      </c>
      <c r="AI195" s="6">
        <f>SUMIF('Eredeti fejléccel'!$B:$B,'Felosztás eredménykim'!$B195,'Eredeti fejléccel'!$BB:$BB)</f>
        <v>0</v>
      </c>
      <c r="AJ195" s="6">
        <f>SUMIF('Eredeti fejléccel'!$B:$B,'Felosztás eredménykim'!$B195,'Eredeti fejléccel'!$AF:$AF)</f>
        <v>0</v>
      </c>
      <c r="AK195" s="8">
        <f t="shared" ref="AK195" si="370">SUM(AG195:AJ195)</f>
        <v>0</v>
      </c>
      <c r="AL195" s="36">
        <f t="shared" si="340"/>
        <v>0</v>
      </c>
      <c r="AM195" s="8">
        <f t="shared" si="215"/>
        <v>0</v>
      </c>
      <c r="AN195" s="6">
        <f t="shared" ref="AN195" si="371">-AO195/2</f>
        <v>0</v>
      </c>
      <c r="AO195" s="6">
        <f>SUMIF('Eredeti fejléccel'!$B:$B,'Felosztás eredménykim'!$B195,'Eredeti fejléccel'!$AC:$AC)</f>
        <v>0</v>
      </c>
      <c r="AP195" s="6">
        <f>SUMIF('Eredeti fejléccel'!$B:$B,'Felosztás eredménykim'!$B195,'Eredeti fejléccel'!$AD:$AD)</f>
        <v>0</v>
      </c>
      <c r="AQ195" s="6">
        <f>SUMIF('Eredeti fejléccel'!$B:$B,'Felosztás eredménykim'!$B195,'Eredeti fejléccel'!$AE:$AE)</f>
        <v>0</v>
      </c>
      <c r="AR195" s="6">
        <f>SUMIF('Eredeti fejléccel'!$B:$B,'Felosztás eredménykim'!$B195,'Eredeti fejléccel'!$AG:$AG)</f>
        <v>0</v>
      </c>
      <c r="AS195" s="6">
        <f t="shared" ref="AS195" si="372">SUM(AM195:AR195)</f>
        <v>0</v>
      </c>
      <c r="AT195" s="36">
        <f t="shared" si="341"/>
        <v>0</v>
      </c>
      <c r="AU195" s="8">
        <f t="shared" si="217"/>
        <v>0</v>
      </c>
      <c r="AV195" s="6">
        <f>SUMIF('Eredeti fejléccel'!$B:$B,'Felosztás eredménykim'!$B195,'Eredeti fejléccel'!$AI:$AI)</f>
        <v>0</v>
      </c>
      <c r="AW195" s="6">
        <f>SUMIF('Eredeti fejléccel'!$B:$B,'Felosztás eredménykim'!$B195,'Eredeti fejléccel'!$AJ:$AJ)</f>
        <v>0</v>
      </c>
      <c r="AX195" s="6">
        <f>SUMIF('Eredeti fejléccel'!$B:$B,'Felosztás eredménykim'!$B195,'Eredeti fejléccel'!$AK:$AK)</f>
        <v>0</v>
      </c>
      <c r="AY195" s="6">
        <f>SUMIF('Eredeti fejléccel'!$B:$B,'Felosztás eredménykim'!$B195,'Eredeti fejléccel'!$AL:$AL)</f>
        <v>0</v>
      </c>
      <c r="AZ195" s="6">
        <f>SUMIF('Eredeti fejléccel'!$B:$B,'Felosztás eredménykim'!$B195,'Eredeti fejléccel'!$AM:$AM)</f>
        <v>0</v>
      </c>
      <c r="BA195" s="6">
        <f>SUMIF('Eredeti fejléccel'!$B:$B,'Felosztás eredménykim'!$B195,'Eredeti fejléccel'!$AN:$AN)</f>
        <v>0</v>
      </c>
      <c r="BB195" s="6">
        <f>SUMIF('Eredeti fejléccel'!$B:$B,'Felosztás eredménykim'!$B195,'Eredeti fejléccel'!$AP:$AP)</f>
        <v>0</v>
      </c>
      <c r="BD195" s="6">
        <f>SUMIF('Eredeti fejléccel'!$B:$B,'Felosztás eredménykim'!$B195,'Eredeti fejléccel'!$AS:$AS)</f>
        <v>0</v>
      </c>
      <c r="BE195" s="8">
        <f t="shared" ref="BE195" si="373">SUM(AU195:BD195)</f>
        <v>0</v>
      </c>
      <c r="BF195" s="36">
        <f t="shared" si="342"/>
        <v>0</v>
      </c>
      <c r="BG195" s="8">
        <f t="shared" si="219"/>
        <v>0</v>
      </c>
      <c r="BH195" s="6">
        <f t="shared" ref="BH195" si="374">AO195/2</f>
        <v>0</v>
      </c>
      <c r="BI195" s="6">
        <f>SUMIF('Eredeti fejléccel'!$B:$B,'Felosztás eredménykim'!$B195,'Eredeti fejléccel'!$AH:$AH)</f>
        <v>0</v>
      </c>
      <c r="BJ195" s="6">
        <f>SUMIF('Eredeti fejléccel'!$B:$B,'Felosztás eredménykim'!$B195,'Eredeti fejléccel'!$AO:$AO)</f>
        <v>0</v>
      </c>
      <c r="BK195" s="6">
        <f>SUMIF('Eredeti fejléccel'!$B:$B,'Felosztás eredménykim'!$B195,'Eredeti fejléccel'!$BF:$BF)</f>
        <v>0</v>
      </c>
      <c r="BL195" s="8">
        <f t="shared" ref="BL195" si="375">SUM(BG195:BK195)</f>
        <v>0</v>
      </c>
      <c r="BM195" s="36">
        <f t="shared" si="343"/>
        <v>0</v>
      </c>
      <c r="BN195" s="8">
        <f t="shared" si="221"/>
        <v>0</v>
      </c>
      <c r="BP195" s="8">
        <f t="shared" ref="BP195" si="376">-FV195</f>
        <v>0</v>
      </c>
      <c r="BQ195" s="6">
        <f>SUMIF('Eredeti fejléccel'!$B:$B,'Felosztás eredménykim'!$B195,'Eredeti fejléccel'!$N:$N)</f>
        <v>0</v>
      </c>
      <c r="BR195" s="6">
        <f>SUMIF('Eredeti fejléccel'!$B:$B,'Felosztás eredménykim'!$B195,'Eredeti fejléccel'!$S:$S)</f>
        <v>0</v>
      </c>
      <c r="BT195" s="6">
        <f>SUMIF('Eredeti fejléccel'!$B:$B,'Felosztás eredménykim'!$B195,'Eredeti fejléccel'!$AR:$AR)</f>
        <v>0</v>
      </c>
      <c r="BU195" s="6">
        <f>SUMIF('Eredeti fejléccel'!$B:$B,'Felosztás eredménykim'!$B195,'Eredeti fejléccel'!$AU:$AU)</f>
        <v>0</v>
      </c>
      <c r="BV195" s="6">
        <f>SUMIF('Eredeti fejléccel'!$B:$B,'Felosztás eredménykim'!$B195,'Eredeti fejléccel'!$AV:$AV)</f>
        <v>0</v>
      </c>
      <c r="BW195" s="6">
        <f>SUMIF('Eredeti fejléccel'!$B:$B,'Felosztás eredménykim'!$B195,'Eredeti fejléccel'!$AW:$AW)</f>
        <v>0</v>
      </c>
      <c r="BX195" s="6">
        <f>SUMIF('Eredeti fejléccel'!$B:$B,'Felosztás eredménykim'!$B195,'Eredeti fejléccel'!$AX:$AX)</f>
        <v>0</v>
      </c>
      <c r="BY195" s="6">
        <f>SUMIF('Eredeti fejléccel'!$B:$B,'Felosztás eredménykim'!$B195,'Eredeti fejléccel'!$AY:$AY)</f>
        <v>0</v>
      </c>
      <c r="BZ195" s="6">
        <f>SUMIF('Eredeti fejléccel'!$B:$B,'Felosztás eredménykim'!$B195,'Eredeti fejléccel'!$AZ:$AZ)</f>
        <v>0</v>
      </c>
      <c r="CA195" s="6">
        <f>SUMIF('Eredeti fejléccel'!$B:$B,'Felosztás eredménykim'!$B195,'Eredeti fejléccel'!$BA:$BA)</f>
        <v>0</v>
      </c>
      <c r="CB195" s="6">
        <f t="shared" ref="CB195" si="377">SUM(BN195:CA195)</f>
        <v>0</v>
      </c>
      <c r="CC195" s="36">
        <f t="shared" si="344"/>
        <v>0</v>
      </c>
      <c r="CD195" s="8">
        <f t="shared" si="223"/>
        <v>0</v>
      </c>
      <c r="CE195" s="6">
        <f>SUMIF('Eredeti fejléccel'!$B:$B,'Felosztás eredménykim'!$B195,'Eredeti fejléccel'!$BC:$BC)</f>
        <v>0</v>
      </c>
      <c r="CF195" s="8">
        <f t="shared" ref="CF195" si="378">-CE195/2</f>
        <v>0</v>
      </c>
      <c r="CG195" s="6">
        <f>SUMIF('Eredeti fejléccel'!$B:$B,'Felosztás eredménykim'!$B195,'Eredeti fejléccel'!$H:$H)</f>
        <v>0</v>
      </c>
      <c r="CH195" s="6">
        <f>SUMIF('Eredeti fejléccel'!$B:$B,'Felosztás eredménykim'!$B195,'Eredeti fejléccel'!$BE:$BE)</f>
        <v>0</v>
      </c>
      <c r="CI195" s="6">
        <f t="shared" ref="CI195" si="379">SUM(CD195:CH195)</f>
        <v>0</v>
      </c>
      <c r="CJ195" s="36">
        <f t="shared" si="345"/>
        <v>0</v>
      </c>
      <c r="CK195" s="8">
        <f t="shared" si="225"/>
        <v>0</v>
      </c>
      <c r="CL195" s="8">
        <f t="shared" ref="CL195" si="380">CE195/2</f>
        <v>0</v>
      </c>
      <c r="CM195" s="6">
        <f>SUMIF('Eredeti fejléccel'!$B:$B,'Felosztás eredménykim'!$B195,'Eredeti fejléccel'!$BD:$BD)</f>
        <v>0</v>
      </c>
      <c r="CN195" s="8">
        <f t="shared" ref="CN195" si="381">SUM(CK195:CM195)</f>
        <v>0</v>
      </c>
      <c r="CO195" s="8">
        <f t="shared" ref="CO195" si="382">+AF195+AK195+AL195+AS195+AT195+BE195+BF195+BL195+BM195+CB195+CC195+CI195+CJ195+CN195</f>
        <v>0</v>
      </c>
      <c r="CR195" s="36">
        <f t="shared" si="226"/>
        <v>0</v>
      </c>
      <c r="CS195" s="6">
        <f>SUMIF('Eredeti fejléccel'!$B:$B,'Felosztás eredménykim'!$B195,'Eredeti fejléccel'!$I:$I)</f>
        <v>0</v>
      </c>
      <c r="CT195" s="6">
        <f>SUMIF('Eredeti fejléccel'!$B:$B,'Felosztás eredménykim'!$B195,'Eredeti fejléccel'!$BG:$BG)</f>
        <v>0</v>
      </c>
      <c r="CU195" s="6">
        <f>SUMIF('Eredeti fejléccel'!$B:$B,'Felosztás eredménykim'!$B195,'Eredeti fejléccel'!$BH:$BH)</f>
        <v>0</v>
      </c>
      <c r="CV195" s="6">
        <f>SUMIF('Eredeti fejléccel'!$B:$B,'Felosztás eredménykim'!$B195,'Eredeti fejléccel'!$BI:$BI)</f>
        <v>0</v>
      </c>
      <c r="CW195" s="6">
        <f>SUMIF('Eredeti fejléccel'!$B:$B,'Felosztás eredménykim'!$B195,'Eredeti fejléccel'!$BL:$BL)</f>
        <v>0</v>
      </c>
      <c r="CX195" s="6">
        <f t="shared" ref="CX195" si="383">SUM(CS195:CW195)</f>
        <v>0</v>
      </c>
      <c r="CY195" s="6">
        <f>SUMIF('Eredeti fejléccel'!$B:$B,'Felosztás eredménykim'!$B195,'Eredeti fejléccel'!$BJ:$BJ)</f>
        <v>0</v>
      </c>
      <c r="CZ195" s="6">
        <f>SUMIF('Eredeti fejléccel'!$B:$B,'Felosztás eredménykim'!$B195,'Eredeti fejléccel'!$BK:$BK)</f>
        <v>0</v>
      </c>
      <c r="DA195" s="99">
        <f t="shared" si="242"/>
        <v>0</v>
      </c>
      <c r="DC195" s="36">
        <f t="shared" si="227"/>
        <v>0</v>
      </c>
      <c r="DD195" s="6">
        <f>SUMIF('Eredeti fejléccel'!$B:$B,'Felosztás eredménykim'!$B195,'Eredeti fejléccel'!$J:$J)</f>
        <v>0</v>
      </c>
      <c r="DE195" s="6">
        <f>SUMIF('Eredeti fejléccel'!$B:$B,'Felosztás eredménykim'!$B195,'Eredeti fejléccel'!$BM:$BM)</f>
        <v>0</v>
      </c>
      <c r="DF195" s="6">
        <f t="shared" ref="DF195" si="384">-DI195</f>
        <v>0</v>
      </c>
      <c r="DG195" s="8">
        <f t="shared" ref="DG195" si="385">-BO195</f>
        <v>0</v>
      </c>
      <c r="DH195" s="8">
        <f t="shared" ref="DH195" si="386">SUM(DD195:DG195)</f>
        <v>0</v>
      </c>
      <c r="DJ195" s="6">
        <f>SUMIF('Eredeti fejléccel'!$B:$B,'Felosztás eredménykim'!$B195,'Eredeti fejléccel'!$BN:$BN)</f>
        <v>0</v>
      </c>
      <c r="DK195" s="6">
        <f>SUMIF('Eredeti fejléccel'!$B:$B,'Felosztás eredménykim'!$B195,'Eredeti fejléccel'!$BZ:$BZ)</f>
        <v>0</v>
      </c>
      <c r="DL195" s="8">
        <f t="shared" ref="DL195" si="387">SUM(DI195:DK195)</f>
        <v>0</v>
      </c>
      <c r="DM195" s="6">
        <f>SUMIF('Eredeti fejléccel'!$B:$B,'Felosztás eredménykim'!$B195,'Eredeti fejléccel'!$BR:$BR)</f>
        <v>0</v>
      </c>
      <c r="DN195" s="6">
        <f>SUMIF('Eredeti fejléccel'!$B:$B,'Felosztás eredménykim'!$B195,'Eredeti fejléccel'!$BS:$BS)</f>
        <v>0</v>
      </c>
      <c r="DO195" s="6">
        <f>SUMIF('Eredeti fejléccel'!$B:$B,'Felosztás eredménykim'!$B195,'Eredeti fejléccel'!$BO:$BO)</f>
        <v>0</v>
      </c>
      <c r="DP195" s="6">
        <f>SUMIF('Eredeti fejléccel'!$B:$B,'Felosztás eredménykim'!$B195,'Eredeti fejléccel'!$BP:$BP)</f>
        <v>0</v>
      </c>
      <c r="DQ195" s="6">
        <f>SUMIF('Eredeti fejléccel'!$B:$B,'Felosztás eredménykim'!$B195,'Eredeti fejléccel'!$BQ:$BQ)</f>
        <v>0</v>
      </c>
      <c r="DS195" s="8"/>
      <c r="DU195" s="6">
        <f>SUMIF('Eredeti fejléccel'!$B:$B,'Felosztás eredménykim'!$B195,'Eredeti fejléccel'!$BT:$BT)</f>
        <v>0</v>
      </c>
      <c r="DV195" s="6">
        <f>SUMIF('Eredeti fejléccel'!$B:$B,'Felosztás eredménykim'!$B195,'Eredeti fejléccel'!$BU:$BU)</f>
        <v>0</v>
      </c>
      <c r="DW195" s="6">
        <f>SUMIF('Eredeti fejléccel'!$B:$B,'Felosztás eredménykim'!$B195,'Eredeti fejléccel'!$BV:$BV)</f>
        <v>0</v>
      </c>
      <c r="DX195" s="6">
        <f>SUMIF('Eredeti fejléccel'!$B:$B,'Felosztás eredménykim'!$B195,'Eredeti fejléccel'!$BW:$BW)</f>
        <v>0</v>
      </c>
      <c r="DY195" s="6">
        <f>SUMIF('Eredeti fejléccel'!$B:$B,'Felosztás eredménykim'!$B195,'Eredeti fejléccel'!$BX:$BX)</f>
        <v>0</v>
      </c>
      <c r="EA195" s="6"/>
      <c r="EC195" s="6"/>
      <c r="EE195" s="6">
        <f>SUMIF('Eredeti fejléccel'!$B:$B,'Felosztás eredménykim'!$B195,'Eredeti fejléccel'!$CA:$CA)</f>
        <v>0</v>
      </c>
      <c r="EF195" s="6">
        <f>SUMIF('Eredeti fejléccel'!$B:$B,'Felosztás eredménykim'!$B195,'Eredeti fejléccel'!$CB:$CB)</f>
        <v>0</v>
      </c>
      <c r="EG195" s="6">
        <f>SUMIF('Eredeti fejléccel'!$B:$B,'Felosztás eredménykim'!$B195,'Eredeti fejléccel'!$CC:$CC)</f>
        <v>0</v>
      </c>
      <c r="EH195" s="6">
        <f>SUMIF('Eredeti fejléccel'!$B:$B,'Felosztás eredménykim'!$B195,'Eredeti fejléccel'!$CD:$CD)</f>
        <v>0</v>
      </c>
      <c r="EK195" s="6">
        <f>SUMIF('Eredeti fejléccel'!$B:$B,'Felosztás eredménykim'!$B195,'Eredeti fejléccel'!$CE:$CE)</f>
        <v>0</v>
      </c>
      <c r="EN195" s="6">
        <f>SUMIF('Eredeti fejléccel'!$B:$B,'Felosztás eredménykim'!$B195,'Eredeti fejléccel'!$CF:$CF)</f>
        <v>0</v>
      </c>
      <c r="EP195" s="6">
        <f>SUMIF('Eredeti fejléccel'!$B:$B,'Felosztás eredménykim'!$B195,'Eredeti fejléccel'!$CG:$CG)</f>
        <v>0</v>
      </c>
      <c r="ES195" s="6">
        <f>SUMIF('Eredeti fejléccel'!$B:$B,'Felosztás eredménykim'!$B195,'Eredeti fejléccel'!$CH:$CH)</f>
        <v>0</v>
      </c>
      <c r="ET195" s="6">
        <f>SUMIF('Eredeti fejléccel'!$B:$B,'Felosztás eredménykim'!$B195,'Eredeti fejléccel'!$CI:$CI)</f>
        <v>0</v>
      </c>
      <c r="EW195" s="8">
        <f t="shared" ref="EW195" si="388">SUM(DR195:ED195)</f>
        <v>0</v>
      </c>
      <c r="EX195" s="8">
        <f t="shared" ref="EX195" si="389">SUM(EE195:EV195)</f>
        <v>0</v>
      </c>
      <c r="EY195" s="8">
        <f t="shared" si="244"/>
        <v>0</v>
      </c>
      <c r="EZ195" s="8">
        <f t="shared" ref="EZ195" si="390">EY195+DL195+DM195+DN195+DO195+DP195+DQ195</f>
        <v>0</v>
      </c>
      <c r="FA195" s="8">
        <f t="shared" ref="FA195" si="391">EZ195-DL195-DM195</f>
        <v>0</v>
      </c>
      <c r="FC195" s="6">
        <f>SUMIF('Eredeti fejléccel'!$B:$B,'Felosztás eredménykim'!$B195,'Eredeti fejléccel'!$L:$L)</f>
        <v>0</v>
      </c>
      <c r="FD195" s="6">
        <f>SUMIF('Eredeti fejléccel'!$B:$B,'Felosztás eredménykim'!$B195,'Eredeti fejléccel'!$CJ:$CJ)</f>
        <v>0</v>
      </c>
      <c r="FE195" s="6">
        <f>SUMIF('Eredeti fejléccel'!$B:$B,'Felosztás eredménykim'!$B195,'Eredeti fejléccel'!$CL:$CL)</f>
        <v>0</v>
      </c>
      <c r="FG195" s="99">
        <f t="shared" ref="FG195" si="392">SUM(FC195:FF195)</f>
        <v>0</v>
      </c>
      <c r="FH195" s="6">
        <f>SUMIF('Eredeti fejléccel'!$B:$B,'Felosztás eredménykim'!$B195,'Eredeti fejléccel'!$CK:$CK)</f>
        <v>0</v>
      </c>
      <c r="FI195" s="36">
        <f t="shared" si="346"/>
        <v>0</v>
      </c>
      <c r="FJ195" s="101">
        <f t="shared" si="229"/>
        <v>0</v>
      </c>
      <c r="FK195" s="6">
        <f>SUMIF('Eredeti fejléccel'!$B:$B,'Felosztás eredménykim'!$B195,'Eredeti fejléccel'!$CM:$CM)</f>
        <v>0</v>
      </c>
      <c r="FL195" s="6">
        <f>SUMIF('Eredeti fejléccel'!$B:$B,'Felosztás eredménykim'!$B195,'Eredeti fejléccel'!$CN:$CN)</f>
        <v>0</v>
      </c>
      <c r="FM195" s="8">
        <f t="shared" ref="FM195" si="393">SUM(FJ195:FL195)</f>
        <v>0</v>
      </c>
      <c r="FN195" s="36">
        <f t="shared" si="347"/>
        <v>0</v>
      </c>
      <c r="FO195" s="101">
        <f t="shared" si="231"/>
        <v>0</v>
      </c>
      <c r="FP195" s="6">
        <f>SUMIF('Eredeti fejléccel'!$B:$B,'Felosztás eredménykim'!$B195,'Eredeti fejléccel'!$CO:$CO)</f>
        <v>0</v>
      </c>
      <c r="FQ195" s="6">
        <f>'Eredeti fejléccel'!CP195</f>
        <v>0</v>
      </c>
      <c r="FR195" s="6">
        <f>'Eredeti fejléccel'!CQ195</f>
        <v>0</v>
      </c>
      <c r="FS195" s="103">
        <f t="shared" si="247"/>
        <v>0</v>
      </c>
      <c r="FT195" s="36">
        <f t="shared" si="348"/>
        <v>0</v>
      </c>
      <c r="FU195" s="101">
        <f t="shared" si="233"/>
        <v>0</v>
      </c>
      <c r="FV195" s="101"/>
      <c r="FW195" s="6">
        <f>SUMIF('Eredeti fejléccel'!$B:$B,'Felosztás eredménykim'!$B195,'Eredeti fejléccel'!$CR:$CR)</f>
        <v>0</v>
      </c>
      <c r="FX195" s="6">
        <f>SUMIF('Eredeti fejléccel'!$B:$B,'Felosztás eredménykim'!$B195,'Eredeti fejléccel'!$CS:$CS)</f>
        <v>0</v>
      </c>
      <c r="FY195" s="6">
        <f>SUMIF('Eredeti fejléccel'!$B:$B,'Felosztás eredménykim'!$B195,'Eredeti fejléccel'!$CT:$CT)</f>
        <v>0</v>
      </c>
      <c r="FZ195" s="6">
        <f>SUMIF('Eredeti fejléccel'!$B:$B,'Felosztás eredménykim'!$B195,'Eredeti fejléccel'!$CU:$CU)</f>
        <v>0</v>
      </c>
      <c r="GA195" s="103">
        <f t="shared" ref="GA195" si="394">SUM(FU195:FZ195)</f>
        <v>0</v>
      </c>
      <c r="GB195" s="36">
        <f t="shared" si="349"/>
        <v>0</v>
      </c>
      <c r="GC195" s="101">
        <f t="shared" si="235"/>
        <v>0</v>
      </c>
      <c r="GD195" s="6">
        <f>SUMIF('Eredeti fejléccel'!$B:$B,'Felosztás eredménykim'!$B195,'Eredeti fejléccel'!$CV:$CV)</f>
        <v>0</v>
      </c>
      <c r="GE195" s="6">
        <f>SUMIF('Eredeti fejléccel'!$B:$B,'Felosztás eredménykim'!$B195,'Eredeti fejléccel'!$CW:$CW)</f>
        <v>0</v>
      </c>
      <c r="GF195" s="103">
        <f t="shared" ref="GF195" si="395">SUM(GC195:GE195)</f>
        <v>0</v>
      </c>
      <c r="GG195" s="36">
        <f t="shared" si="236"/>
        <v>0</v>
      </c>
      <c r="GM195" s="6">
        <f>SUMIF('Eredeti fejléccel'!$B:$B,'Felosztás eredménykim'!$B195,'Eredeti fejléccel'!$CX:$CX)</f>
        <v>0</v>
      </c>
      <c r="GN195" s="6">
        <f>SUMIF('Eredeti fejléccel'!$B:$B,'Felosztás eredménykim'!$B195,'Eredeti fejléccel'!$CY:$CY)</f>
        <v>0</v>
      </c>
      <c r="GO195" s="6">
        <f>SUMIF('Eredeti fejléccel'!$B:$B,'Felosztás eredménykim'!$B195,'Eredeti fejléccel'!$CZ:$CZ)</f>
        <v>0</v>
      </c>
      <c r="GP195" s="6">
        <f>SUMIF('Eredeti fejléccel'!$B:$B,'Felosztás eredménykim'!$B195,'Eredeti fejléccel'!$DA:$DA)</f>
        <v>0</v>
      </c>
      <c r="GQ195" s="6">
        <f>SUMIF('Eredeti fejléccel'!$B:$B,'Felosztás eredménykim'!$B195,'Eredeti fejléccel'!$DB:$DB)</f>
        <v>0</v>
      </c>
      <c r="GR195" s="103">
        <f t="shared" ref="GR195" si="396">SUM(GH195:GQ195)</f>
        <v>0</v>
      </c>
      <c r="GW195" s="36">
        <f t="shared" si="237"/>
        <v>0</v>
      </c>
      <c r="GX195" s="6">
        <f>SUMIF('Eredeti fejléccel'!$B:$B,'Felosztás eredménykim'!$B195,'Eredeti fejléccel'!$M:$M)</f>
        <v>0</v>
      </c>
      <c r="GY195" s="6">
        <f>SUMIF('Eredeti fejléccel'!$B:$B,'Felosztás eredménykim'!$B195,'Eredeti fejléccel'!$DC:$DC)</f>
        <v>0</v>
      </c>
      <c r="GZ195" s="6">
        <f>SUMIF('Eredeti fejléccel'!$B:$B,'Felosztás eredménykim'!$B195,'Eredeti fejléccel'!$DD:$DD)</f>
        <v>0</v>
      </c>
      <c r="HA195" s="6">
        <f>SUMIF('Eredeti fejléccel'!$B:$B,'Felosztás eredménykim'!$B195,'Eredeti fejléccel'!$DE:$DE)</f>
        <v>0</v>
      </c>
      <c r="HB195" s="103">
        <f t="shared" ref="HB195" si="397">SUM(GX195:HA195)</f>
        <v>0</v>
      </c>
      <c r="HD195" s="9">
        <f t="shared" si="350"/>
        <v>333594</v>
      </c>
      <c r="HE195" s="9">
        <v>333594</v>
      </c>
      <c r="HF195" s="476"/>
      <c r="HH195" s="34">
        <f t="shared" ref="HH195" si="398">+HD195-HE195</f>
        <v>0</v>
      </c>
    </row>
    <row r="196" spans="1:218" x14ac:dyDescent="0.25">
      <c r="A196" s="4" t="s">
        <v>782</v>
      </c>
      <c r="B196" s="4" t="s">
        <v>782</v>
      </c>
      <c r="C196" s="1" t="s">
        <v>783</v>
      </c>
      <c r="D196" s="6">
        <f>SUMIF('Eredeti fejléccel'!$B:$B,'Felosztás eredménykim'!$B196,'Eredeti fejléccel'!$D:$D)</f>
        <v>0</v>
      </c>
      <c r="E196" s="6">
        <f>SUMIF('Eredeti fejléccel'!$B:$B,'Felosztás eredménykim'!$B196,'Eredeti fejléccel'!$E:$E)</f>
        <v>0</v>
      </c>
      <c r="F196" s="6">
        <f>SUMIF('Eredeti fejléccel'!$B:$B,'Felosztás eredménykim'!$B196,'Eredeti fejléccel'!$F:$F)</f>
        <v>0</v>
      </c>
      <c r="G196" s="6">
        <f>SUMIF('Eredeti fejléccel'!$B:$B,'Felosztás eredménykim'!$B196,'Eredeti fejléccel'!$G:$G)</f>
        <v>0</v>
      </c>
      <c r="H196" s="6"/>
      <c r="I196" s="6">
        <f>SUMIF('Eredeti fejléccel'!$B:$B,'Felosztás eredménykim'!$B196,'Eredeti fejléccel'!$O:$O)</f>
        <v>0</v>
      </c>
      <c r="J196" s="6">
        <f>SUMIF('Eredeti fejléccel'!$B:$B,'Felosztás eredménykim'!$B196,'Eredeti fejléccel'!$P:$P)</f>
        <v>0</v>
      </c>
      <c r="K196" s="6">
        <f>SUMIF('Eredeti fejléccel'!$B:$B,'Felosztás eredménykim'!$B196,'Eredeti fejléccel'!$Q:$Q)</f>
        <v>0</v>
      </c>
      <c r="L196" s="6">
        <f>SUMIF('Eredeti fejléccel'!$B:$B,'Felosztás eredménykim'!$B196,'Eredeti fejléccel'!$R:$R)</f>
        <v>0</v>
      </c>
      <c r="M196" s="6">
        <f>SUMIF('Eredeti fejléccel'!$B:$B,'Felosztás eredménykim'!$B196,'Eredeti fejléccel'!$T:$T)</f>
        <v>0</v>
      </c>
      <c r="N196" s="6">
        <f>SUMIF('Eredeti fejléccel'!$B:$B,'Felosztás eredménykim'!$B196,'Eredeti fejléccel'!$U:$U)</f>
        <v>0</v>
      </c>
      <c r="O196" s="6">
        <f>SUMIF('Eredeti fejléccel'!$B:$B,'Felosztás eredménykim'!$B196,'Eredeti fejléccel'!$V:$V)</f>
        <v>0</v>
      </c>
      <c r="P196" s="6">
        <f>SUMIF('Eredeti fejléccel'!$B:$B,'Felosztás eredménykim'!$B196,'Eredeti fejléccel'!$W:$W)</f>
        <v>0</v>
      </c>
      <c r="Q196" s="6">
        <f>SUMIF('Eredeti fejléccel'!$B:$B,'Felosztás eredménykim'!$B196,'Eredeti fejléccel'!$X:$X)</f>
        <v>0</v>
      </c>
      <c r="R196" s="6">
        <f>SUMIF('Eredeti fejléccel'!$B:$B,'Felosztás eredménykim'!$B196,'Eredeti fejléccel'!$Y:$Y)</f>
        <v>0</v>
      </c>
      <c r="S196" s="6">
        <f>SUMIF('Eredeti fejléccel'!$B:$B,'Felosztás eredménykim'!$B196,'Eredeti fejléccel'!$Z:$Z)</f>
        <v>0</v>
      </c>
      <c r="T196" s="6">
        <f>SUMIF('Eredeti fejléccel'!$B:$B,'Felosztás eredménykim'!$B196,'Eredeti fejléccel'!$AA:$AA)</f>
        <v>0</v>
      </c>
      <c r="U196" s="6">
        <f>SUMIF('Eredeti fejléccel'!$B:$B,'Felosztás eredménykim'!$B196,'Eredeti fejléccel'!$D:$D)</f>
        <v>0</v>
      </c>
      <c r="V196" s="6">
        <f>SUMIF('Eredeti fejléccel'!$B:$B,'Felosztás eredménykim'!$B196,'Eredeti fejléccel'!$AT:$AT)</f>
        <v>517006</v>
      </c>
      <c r="W196" s="36">
        <f t="shared" si="368"/>
        <v>-517006</v>
      </c>
      <c r="X196" s="36">
        <f t="shared" si="211"/>
        <v>0</v>
      </c>
      <c r="Z196" s="6">
        <f>SUMIF('Eredeti fejléccel'!$B:$B,'Felosztás eredménykim'!$B196,'Eredeti fejléccel'!$K:$K)</f>
        <v>0</v>
      </c>
      <c r="AB196" s="6">
        <f>SUMIF('Eredeti fejléccel'!$B:$B,'Felosztás eredménykim'!$B196,'Eredeti fejléccel'!$AB:$AB)</f>
        <v>0</v>
      </c>
      <c r="AC196" s="6">
        <f>SUMIF('Eredeti fejléccel'!$B:$B,'Felosztás eredménykim'!$B196,'Eredeti fejléccel'!$AQ:$AQ)</f>
        <v>0</v>
      </c>
      <c r="AE196" s="73">
        <f t="shared" si="299"/>
        <v>0</v>
      </c>
      <c r="AF196" s="36">
        <f t="shared" si="339"/>
        <v>0</v>
      </c>
      <c r="AG196" s="8">
        <f t="shared" si="213"/>
        <v>0</v>
      </c>
      <c r="AI196" s="6">
        <f>SUMIF('Eredeti fejléccel'!$B:$B,'Felosztás eredménykim'!$B196,'Eredeti fejléccel'!$BB:$BB)</f>
        <v>0</v>
      </c>
      <c r="AJ196" s="6">
        <f>SUMIF('Eredeti fejléccel'!$B:$B,'Felosztás eredménykim'!$B196,'Eredeti fejléccel'!$AF:$AF)</f>
        <v>0</v>
      </c>
      <c r="AK196" s="8">
        <f t="shared" si="177"/>
        <v>0</v>
      </c>
      <c r="AL196" s="36">
        <f t="shared" si="340"/>
        <v>0</v>
      </c>
      <c r="AM196" s="8">
        <f t="shared" si="215"/>
        <v>0</v>
      </c>
      <c r="AN196" s="6">
        <f t="shared" si="291"/>
        <v>0</v>
      </c>
      <c r="AO196" s="6">
        <f>SUMIF('Eredeti fejléccel'!$B:$B,'Felosztás eredménykim'!$B196,'Eredeti fejléccel'!$AC:$AC)</f>
        <v>0</v>
      </c>
      <c r="AP196" s="6">
        <f>SUMIF('Eredeti fejléccel'!$B:$B,'Felosztás eredménykim'!$B196,'Eredeti fejléccel'!$AD:$AD)</f>
        <v>0</v>
      </c>
      <c r="AQ196" s="6">
        <f>SUMIF('Eredeti fejléccel'!$B:$B,'Felosztás eredménykim'!$B196,'Eredeti fejléccel'!$AE:$AE)</f>
        <v>0</v>
      </c>
      <c r="AR196" s="6">
        <f>SUMIF('Eredeti fejléccel'!$B:$B,'Felosztás eredménykim'!$B196,'Eredeti fejléccel'!$AG:$AG)</f>
        <v>0</v>
      </c>
      <c r="AS196" s="6">
        <f t="shared" si="292"/>
        <v>0</v>
      </c>
      <c r="AT196" s="36">
        <f t="shared" si="341"/>
        <v>0</v>
      </c>
      <c r="AU196" s="8">
        <f t="shared" si="217"/>
        <v>0</v>
      </c>
      <c r="AV196" s="6">
        <f>SUMIF('Eredeti fejléccel'!$B:$B,'Felosztás eredménykim'!$B196,'Eredeti fejléccel'!$AI:$AI)</f>
        <v>0</v>
      </c>
      <c r="AW196" s="6">
        <f>SUMIF('Eredeti fejléccel'!$B:$B,'Felosztás eredménykim'!$B196,'Eredeti fejléccel'!$AJ:$AJ)</f>
        <v>0</v>
      </c>
      <c r="AX196" s="6">
        <f>SUMIF('Eredeti fejléccel'!$B:$B,'Felosztás eredménykim'!$B196,'Eredeti fejléccel'!$AK:$AK)</f>
        <v>0</v>
      </c>
      <c r="AY196" s="6">
        <f>SUMIF('Eredeti fejléccel'!$B:$B,'Felosztás eredménykim'!$B196,'Eredeti fejléccel'!$AL:$AL)</f>
        <v>0</v>
      </c>
      <c r="AZ196" s="6">
        <f>SUMIF('Eredeti fejléccel'!$B:$B,'Felosztás eredménykim'!$B196,'Eredeti fejléccel'!$AM:$AM)</f>
        <v>0</v>
      </c>
      <c r="BA196" s="6">
        <f>SUMIF('Eredeti fejléccel'!$B:$B,'Felosztás eredménykim'!$B196,'Eredeti fejléccel'!$AN:$AN)</f>
        <v>0</v>
      </c>
      <c r="BB196" s="6">
        <f>SUMIF('Eredeti fejléccel'!$B:$B,'Felosztás eredménykim'!$B196,'Eredeti fejléccel'!$AP:$AP)</f>
        <v>0</v>
      </c>
      <c r="BD196" s="6">
        <f>SUMIF('Eredeti fejléccel'!$B:$B,'Felosztás eredménykim'!$B196,'Eredeti fejléccel'!$AS:$AS)</f>
        <v>0</v>
      </c>
      <c r="BE196" s="8">
        <f t="shared" si="238"/>
        <v>0</v>
      </c>
      <c r="BF196" s="36">
        <f t="shared" si="342"/>
        <v>0</v>
      </c>
      <c r="BG196" s="8">
        <f t="shared" si="219"/>
        <v>0</v>
      </c>
      <c r="BH196" s="6">
        <f t="shared" si="293"/>
        <v>0</v>
      </c>
      <c r="BI196" s="6">
        <f>SUMIF('Eredeti fejléccel'!$B:$B,'Felosztás eredménykim'!$B196,'Eredeti fejléccel'!$AH:$AH)</f>
        <v>0</v>
      </c>
      <c r="BJ196" s="6">
        <f>SUMIF('Eredeti fejléccel'!$B:$B,'Felosztás eredménykim'!$B196,'Eredeti fejléccel'!$AO:$AO)</f>
        <v>0</v>
      </c>
      <c r="BK196" s="6">
        <f>SUMIF('Eredeti fejléccel'!$B:$B,'Felosztás eredménykim'!$B196,'Eredeti fejléccel'!$BF:$BF)</f>
        <v>0</v>
      </c>
      <c r="BL196" s="8">
        <f t="shared" si="294"/>
        <v>0</v>
      </c>
      <c r="BM196" s="36">
        <f t="shared" si="343"/>
        <v>0</v>
      </c>
      <c r="BN196" s="8">
        <f t="shared" si="221"/>
        <v>0</v>
      </c>
      <c r="BP196" s="8">
        <f t="shared" si="295"/>
        <v>0</v>
      </c>
      <c r="BQ196" s="6">
        <f>SUMIF('Eredeti fejléccel'!$B:$B,'Felosztás eredménykim'!$B196,'Eredeti fejléccel'!$N:$N)</f>
        <v>0</v>
      </c>
      <c r="BR196" s="6">
        <f>SUMIF('Eredeti fejléccel'!$B:$B,'Felosztás eredménykim'!$B196,'Eredeti fejléccel'!$S:$S)</f>
        <v>0</v>
      </c>
      <c r="BT196" s="6">
        <f>SUMIF('Eredeti fejléccel'!$B:$B,'Felosztás eredménykim'!$B196,'Eredeti fejléccel'!$AR:$AR)</f>
        <v>0</v>
      </c>
      <c r="BU196" s="6">
        <f>SUMIF('Eredeti fejléccel'!$B:$B,'Felosztás eredménykim'!$B196,'Eredeti fejléccel'!$AU:$AU)</f>
        <v>0</v>
      </c>
      <c r="BV196" s="6">
        <f>SUMIF('Eredeti fejléccel'!$B:$B,'Felosztás eredménykim'!$B196,'Eredeti fejléccel'!$AV:$AV)</f>
        <v>0</v>
      </c>
      <c r="BW196" s="6">
        <f>SUMIF('Eredeti fejléccel'!$B:$B,'Felosztás eredménykim'!$B196,'Eredeti fejléccel'!$AW:$AW)</f>
        <v>0</v>
      </c>
      <c r="BX196" s="6">
        <f>SUMIF('Eredeti fejléccel'!$B:$B,'Felosztás eredménykim'!$B196,'Eredeti fejléccel'!$AX:$AX)</f>
        <v>0</v>
      </c>
      <c r="BY196" s="6">
        <f>SUMIF('Eredeti fejléccel'!$B:$B,'Felosztás eredménykim'!$B196,'Eredeti fejléccel'!$AY:$AY)</f>
        <v>0</v>
      </c>
      <c r="BZ196" s="6">
        <f>SUMIF('Eredeti fejléccel'!$B:$B,'Felosztás eredménykim'!$B196,'Eredeti fejléccel'!$AZ:$AZ)</f>
        <v>0</v>
      </c>
      <c r="CA196" s="6">
        <f>SUMIF('Eredeti fejléccel'!$B:$B,'Felosztás eredménykim'!$B196,'Eredeti fejléccel'!$BA:$BA)</f>
        <v>0</v>
      </c>
      <c r="CB196" s="6">
        <f t="shared" si="253"/>
        <v>0</v>
      </c>
      <c r="CC196" s="36">
        <f t="shared" si="344"/>
        <v>0</v>
      </c>
      <c r="CD196" s="8">
        <f t="shared" si="223"/>
        <v>0</v>
      </c>
      <c r="CE196" s="6">
        <f>SUMIF('Eredeti fejléccel'!$B:$B,'Felosztás eredménykim'!$B196,'Eredeti fejléccel'!$BC:$BC)</f>
        <v>0</v>
      </c>
      <c r="CF196" s="8">
        <f t="shared" si="300"/>
        <v>0</v>
      </c>
      <c r="CG196" s="6">
        <f>SUMIF('Eredeti fejléccel'!$B:$B,'Felosztás eredménykim'!$B196,'Eredeti fejléccel'!$H:$H)</f>
        <v>0</v>
      </c>
      <c r="CH196" s="6">
        <f>SUMIF('Eredeti fejléccel'!$B:$B,'Felosztás eredménykim'!$B196,'Eredeti fejléccel'!$BE:$BE)</f>
        <v>0</v>
      </c>
      <c r="CI196" s="6">
        <f t="shared" si="239"/>
        <v>0</v>
      </c>
      <c r="CJ196" s="36">
        <f t="shared" si="345"/>
        <v>0</v>
      </c>
      <c r="CK196" s="8">
        <f t="shared" si="225"/>
        <v>0</v>
      </c>
      <c r="CL196" s="8">
        <f t="shared" si="301"/>
        <v>0</v>
      </c>
      <c r="CM196" s="6">
        <f>SUMIF('Eredeti fejléccel'!$B:$B,'Felosztás eredménykim'!$B196,'Eredeti fejléccel'!$BD:$BD)</f>
        <v>0</v>
      </c>
      <c r="CN196" s="8">
        <f t="shared" si="240"/>
        <v>0</v>
      </c>
      <c r="CO196" s="8">
        <f t="shared" si="254"/>
        <v>0</v>
      </c>
      <c r="CR196" s="36">
        <f t="shared" si="226"/>
        <v>0</v>
      </c>
      <c r="CS196" s="6">
        <f>SUMIF('Eredeti fejléccel'!$B:$B,'Felosztás eredménykim'!$B196,'Eredeti fejléccel'!$I:$I)</f>
        <v>0</v>
      </c>
      <c r="CT196" s="6">
        <f>SUMIF('Eredeti fejléccel'!$B:$B,'Felosztás eredménykim'!$B196,'Eredeti fejléccel'!$BG:$BG)</f>
        <v>0</v>
      </c>
      <c r="CU196" s="6">
        <f>SUMIF('Eredeti fejléccel'!$B:$B,'Felosztás eredménykim'!$B196,'Eredeti fejléccel'!$BH:$BH)</f>
        <v>0</v>
      </c>
      <c r="CV196" s="6">
        <f>SUMIF('Eredeti fejléccel'!$B:$B,'Felosztás eredménykim'!$B196,'Eredeti fejléccel'!$BI:$BI)</f>
        <v>0</v>
      </c>
      <c r="CW196" s="6">
        <f>SUMIF('Eredeti fejléccel'!$B:$B,'Felosztás eredménykim'!$B196,'Eredeti fejléccel'!$BL:$BL)</f>
        <v>0</v>
      </c>
      <c r="CX196" s="6">
        <f t="shared" si="241"/>
        <v>0</v>
      </c>
      <c r="CY196" s="6">
        <f>SUMIF('Eredeti fejléccel'!$B:$B,'Felosztás eredménykim'!$B196,'Eredeti fejléccel'!$BJ:$BJ)</f>
        <v>0</v>
      </c>
      <c r="CZ196" s="6">
        <f>SUMIF('Eredeti fejléccel'!$B:$B,'Felosztás eredménykim'!$B196,'Eredeti fejléccel'!$BK:$BK)</f>
        <v>0</v>
      </c>
      <c r="DA196" s="99">
        <f t="shared" si="242"/>
        <v>0</v>
      </c>
      <c r="DC196" s="36">
        <f t="shared" si="227"/>
        <v>0</v>
      </c>
      <c r="DD196" s="6">
        <f>SUMIF('Eredeti fejléccel'!$B:$B,'Felosztás eredménykim'!$B196,'Eredeti fejléccel'!$J:$J)</f>
        <v>0</v>
      </c>
      <c r="DE196" s="6">
        <f>SUMIF('Eredeti fejléccel'!$B:$B,'Felosztás eredménykim'!$B196,'Eredeti fejléccel'!$BM:$BM)</f>
        <v>0</v>
      </c>
      <c r="DF196" s="6">
        <f t="shared" si="296"/>
        <v>0</v>
      </c>
      <c r="DG196" s="8">
        <f t="shared" si="255"/>
        <v>0</v>
      </c>
      <c r="DH196" s="8">
        <f t="shared" si="297"/>
        <v>0</v>
      </c>
      <c r="DJ196" s="6">
        <f>SUMIF('Eredeti fejléccel'!$B:$B,'Felosztás eredménykim'!$B196,'Eredeti fejléccel'!$BN:$BN)</f>
        <v>0</v>
      </c>
      <c r="DK196" s="6">
        <f>SUMIF('Eredeti fejléccel'!$B:$B,'Felosztás eredménykim'!$B196,'Eredeti fejléccel'!$BZ:$BZ)</f>
        <v>0</v>
      </c>
      <c r="DL196" s="8">
        <f t="shared" si="298"/>
        <v>0</v>
      </c>
      <c r="DM196" s="6">
        <f>SUMIF('Eredeti fejléccel'!$B:$B,'Felosztás eredménykim'!$B196,'Eredeti fejléccel'!$BR:$BR)</f>
        <v>0</v>
      </c>
      <c r="DN196" s="6">
        <f>SUMIF('Eredeti fejléccel'!$B:$B,'Felosztás eredménykim'!$B196,'Eredeti fejléccel'!$BS:$BS)</f>
        <v>0</v>
      </c>
      <c r="DO196" s="6">
        <f>SUMIF('Eredeti fejléccel'!$B:$B,'Felosztás eredménykim'!$B196,'Eredeti fejléccel'!$BO:$BO)</f>
        <v>0</v>
      </c>
      <c r="DP196" s="6">
        <f>SUMIF('Eredeti fejléccel'!$B:$B,'Felosztás eredménykim'!$B196,'Eredeti fejléccel'!$BP:$BP)</f>
        <v>0</v>
      </c>
      <c r="DQ196" s="6">
        <f>SUMIF('Eredeti fejléccel'!$B:$B,'Felosztás eredménykim'!$B196,'Eredeti fejléccel'!$BQ:$BQ)</f>
        <v>0</v>
      </c>
      <c r="DS196" s="8"/>
      <c r="DU196" s="6">
        <f>SUMIF('Eredeti fejléccel'!$B:$B,'Felosztás eredménykim'!$B196,'Eredeti fejléccel'!$BT:$BT)</f>
        <v>0</v>
      </c>
      <c r="DV196" s="6">
        <f>SUMIF('Eredeti fejléccel'!$B:$B,'Felosztás eredménykim'!$B196,'Eredeti fejléccel'!$BU:$BU)</f>
        <v>0</v>
      </c>
      <c r="DW196" s="6">
        <f>SUMIF('Eredeti fejléccel'!$B:$B,'Felosztás eredménykim'!$B196,'Eredeti fejléccel'!$BV:$BV)</f>
        <v>0</v>
      </c>
      <c r="DX196" s="6">
        <f>SUMIF('Eredeti fejléccel'!$B:$B,'Felosztás eredménykim'!$B196,'Eredeti fejléccel'!$BW:$BW)</f>
        <v>0</v>
      </c>
      <c r="DY196" s="6">
        <f>SUMIF('Eredeti fejléccel'!$B:$B,'Felosztás eredménykim'!$B196,'Eredeti fejléccel'!$BX:$BX)</f>
        <v>0</v>
      </c>
      <c r="EA196" s="6"/>
      <c r="EC196" s="6"/>
      <c r="EE196" s="6">
        <f>SUMIF('Eredeti fejléccel'!$B:$B,'Felosztás eredménykim'!$B196,'Eredeti fejléccel'!$CA:$CA)</f>
        <v>0</v>
      </c>
      <c r="EF196" s="6">
        <f>SUMIF('Eredeti fejléccel'!$B:$B,'Felosztás eredménykim'!$B196,'Eredeti fejléccel'!$CB:$CB)</f>
        <v>0</v>
      </c>
      <c r="EG196" s="6">
        <f>SUMIF('Eredeti fejléccel'!$B:$B,'Felosztás eredménykim'!$B196,'Eredeti fejléccel'!$CC:$CC)</f>
        <v>0</v>
      </c>
      <c r="EH196" s="6">
        <f>SUMIF('Eredeti fejléccel'!$B:$B,'Felosztás eredménykim'!$B196,'Eredeti fejléccel'!$CD:$CD)</f>
        <v>0</v>
      </c>
      <c r="EK196" s="6">
        <f>SUMIF('Eredeti fejléccel'!$B:$B,'Felosztás eredménykim'!$B196,'Eredeti fejléccel'!$CE:$CE)</f>
        <v>0</v>
      </c>
      <c r="EN196" s="6">
        <f>SUMIF('Eredeti fejléccel'!$B:$B,'Felosztás eredménykim'!$B196,'Eredeti fejléccel'!$CF:$CF)</f>
        <v>0</v>
      </c>
      <c r="EP196" s="6">
        <f>SUMIF('Eredeti fejléccel'!$B:$B,'Felosztás eredménykim'!$B196,'Eredeti fejléccel'!$CG:$CG)</f>
        <v>0</v>
      </c>
      <c r="ES196" s="6">
        <f>SUMIF('Eredeti fejléccel'!$B:$B,'Felosztás eredménykim'!$B196,'Eredeti fejléccel'!$CH:$CH)</f>
        <v>0</v>
      </c>
      <c r="ET196" s="6">
        <f>SUMIF('Eredeti fejléccel'!$B:$B,'Felosztás eredménykim'!$B196,'Eredeti fejléccel'!$CI:$CI)</f>
        <v>0</v>
      </c>
      <c r="EW196" s="8">
        <f t="shared" si="288"/>
        <v>0</v>
      </c>
      <c r="EX196" s="8">
        <f t="shared" si="243"/>
        <v>0</v>
      </c>
      <c r="EY196" s="8">
        <f t="shared" si="244"/>
        <v>0</v>
      </c>
      <c r="EZ196" s="8">
        <f t="shared" si="289"/>
        <v>0</v>
      </c>
      <c r="FA196" s="8">
        <f t="shared" si="290"/>
        <v>0</v>
      </c>
      <c r="FC196" s="6">
        <f>SUMIF('Eredeti fejléccel'!$B:$B,'Felosztás eredménykim'!$B196,'Eredeti fejléccel'!$L:$L)</f>
        <v>0</v>
      </c>
      <c r="FD196" s="6">
        <f>SUMIF('Eredeti fejléccel'!$B:$B,'Felosztás eredménykim'!$B196,'Eredeti fejléccel'!$CJ:$CJ)</f>
        <v>0</v>
      </c>
      <c r="FE196" s="6">
        <f>SUMIF('Eredeti fejléccel'!$B:$B,'Felosztás eredménykim'!$B196,'Eredeti fejléccel'!$CL:$CL)</f>
        <v>0</v>
      </c>
      <c r="FG196" s="99">
        <f t="shared" si="245"/>
        <v>0</v>
      </c>
      <c r="FH196" s="6">
        <f>SUMIF('Eredeti fejléccel'!$B:$B,'Felosztás eredménykim'!$B196,'Eredeti fejléccel'!$CK:$CK)</f>
        <v>0</v>
      </c>
      <c r="FI196" s="36">
        <f t="shared" si="346"/>
        <v>0</v>
      </c>
      <c r="FJ196" s="101">
        <f t="shared" si="229"/>
        <v>0</v>
      </c>
      <c r="FK196" s="6">
        <f>SUMIF('Eredeti fejléccel'!$B:$B,'Felosztás eredménykim'!$B196,'Eredeti fejléccel'!$CM:$CM)</f>
        <v>0</v>
      </c>
      <c r="FL196" s="6">
        <f>SUMIF('Eredeti fejléccel'!$B:$B,'Felosztás eredménykim'!$B196,'Eredeti fejléccel'!$CN:$CN)</f>
        <v>0</v>
      </c>
      <c r="FM196" s="8">
        <f t="shared" si="246"/>
        <v>0</v>
      </c>
      <c r="FN196" s="36">
        <f t="shared" si="347"/>
        <v>0</v>
      </c>
      <c r="FO196" s="101">
        <f t="shared" si="231"/>
        <v>0</v>
      </c>
      <c r="FP196" s="6">
        <f>SUMIF('Eredeti fejléccel'!$B:$B,'Felosztás eredménykim'!$B196,'Eredeti fejléccel'!$CO:$CO)</f>
        <v>0</v>
      </c>
      <c r="FQ196" s="6">
        <f>'Eredeti fejléccel'!CP196</f>
        <v>0</v>
      </c>
      <c r="FR196" s="6">
        <f>'Eredeti fejléccel'!CQ196</f>
        <v>0</v>
      </c>
      <c r="FS196" s="103">
        <f t="shared" si="247"/>
        <v>0</v>
      </c>
      <c r="FT196" s="36">
        <f t="shared" si="348"/>
        <v>0</v>
      </c>
      <c r="FU196" s="101">
        <f t="shared" si="233"/>
        <v>0</v>
      </c>
      <c r="FV196" s="101"/>
      <c r="FW196" s="6">
        <f>SUMIF('Eredeti fejléccel'!$B:$B,'Felosztás eredménykim'!$B196,'Eredeti fejléccel'!$CR:$CR)</f>
        <v>0</v>
      </c>
      <c r="FX196" s="6">
        <f>SUMIF('Eredeti fejléccel'!$B:$B,'Felosztás eredménykim'!$B196,'Eredeti fejléccel'!$CS:$CS)</f>
        <v>0</v>
      </c>
      <c r="FY196" s="6">
        <f>SUMIF('Eredeti fejléccel'!$B:$B,'Felosztás eredménykim'!$B196,'Eredeti fejléccel'!$CT:$CT)</f>
        <v>0</v>
      </c>
      <c r="FZ196" s="6">
        <f>SUMIF('Eredeti fejléccel'!$B:$B,'Felosztás eredménykim'!$B196,'Eredeti fejléccel'!$CU:$CU)</f>
        <v>0</v>
      </c>
      <c r="GA196" s="103">
        <f t="shared" si="248"/>
        <v>0</v>
      </c>
      <c r="GB196" s="36">
        <f t="shared" si="349"/>
        <v>0</v>
      </c>
      <c r="GC196" s="101">
        <f t="shared" si="235"/>
        <v>0</v>
      </c>
      <c r="GD196" s="6">
        <f>SUMIF('Eredeti fejléccel'!$B:$B,'Felosztás eredménykim'!$B196,'Eredeti fejléccel'!$CV:$CV)</f>
        <v>0</v>
      </c>
      <c r="GE196" s="6">
        <f>SUMIF('Eredeti fejléccel'!$B:$B,'Felosztás eredménykim'!$B196,'Eredeti fejléccel'!$CW:$CW)</f>
        <v>0</v>
      </c>
      <c r="GF196" s="103">
        <f t="shared" si="249"/>
        <v>0</v>
      </c>
      <c r="GG196" s="36">
        <f t="shared" si="236"/>
        <v>0</v>
      </c>
      <c r="GM196" s="6">
        <f>SUMIF('Eredeti fejléccel'!$B:$B,'Felosztás eredménykim'!$B196,'Eredeti fejléccel'!$CX:$CX)</f>
        <v>0</v>
      </c>
      <c r="GN196" s="6">
        <f>SUMIF('Eredeti fejléccel'!$B:$B,'Felosztás eredménykim'!$B196,'Eredeti fejléccel'!$CY:$CY)</f>
        <v>0</v>
      </c>
      <c r="GO196" s="6">
        <f>SUMIF('Eredeti fejléccel'!$B:$B,'Felosztás eredménykim'!$B196,'Eredeti fejléccel'!$CZ:$CZ)</f>
        <v>0</v>
      </c>
      <c r="GP196" s="6">
        <f>SUMIF('Eredeti fejléccel'!$B:$B,'Felosztás eredménykim'!$B196,'Eredeti fejléccel'!$DA:$DA)</f>
        <v>0</v>
      </c>
      <c r="GQ196" s="6">
        <f>SUMIF('Eredeti fejléccel'!$B:$B,'Felosztás eredménykim'!$B196,'Eredeti fejléccel'!$DB:$DB)</f>
        <v>0</v>
      </c>
      <c r="GR196" s="103">
        <f t="shared" si="250"/>
        <v>0</v>
      </c>
      <c r="GW196" s="36">
        <f t="shared" si="237"/>
        <v>0</v>
      </c>
      <c r="GX196" s="6">
        <f>SUMIF('Eredeti fejléccel'!$B:$B,'Felosztás eredménykim'!$B196,'Eredeti fejléccel'!$M:$M)</f>
        <v>0</v>
      </c>
      <c r="GY196" s="6">
        <f>SUMIF('Eredeti fejléccel'!$B:$B,'Felosztás eredménykim'!$B196,'Eredeti fejléccel'!$DC:$DC)</f>
        <v>0</v>
      </c>
      <c r="GZ196" s="6">
        <f>SUMIF('Eredeti fejléccel'!$B:$B,'Felosztás eredménykim'!$B196,'Eredeti fejléccel'!$DD:$DD)</f>
        <v>0</v>
      </c>
      <c r="HA196" s="6">
        <f>SUMIF('Eredeti fejléccel'!$B:$B,'Felosztás eredménykim'!$B196,'Eredeti fejléccel'!$DE:$DE)</f>
        <v>0</v>
      </c>
      <c r="HB196" s="103">
        <f t="shared" si="251"/>
        <v>0</v>
      </c>
      <c r="HD196" s="9">
        <f t="shared" si="350"/>
        <v>517006</v>
      </c>
      <c r="HE196" s="9">
        <v>517006</v>
      </c>
      <c r="HF196" s="476"/>
      <c r="HH196" s="34">
        <f t="shared" si="252"/>
        <v>0</v>
      </c>
    </row>
    <row r="197" spans="1:218" x14ac:dyDescent="0.25">
      <c r="A197" s="4" t="s">
        <v>882</v>
      </c>
      <c r="B197" s="4" t="s">
        <v>882</v>
      </c>
      <c r="D197" s="6">
        <f>SUMIF('Eredeti fejléccel'!$B:$B,'Felosztás eredménykim'!$B197,'Eredeti fejléccel'!$D:$D)</f>
        <v>0</v>
      </c>
      <c r="E197" s="6">
        <f>SUMIF('Eredeti fejléccel'!$B:$B,'Felosztás eredménykim'!$B197,'Eredeti fejléccel'!$E:$E)</f>
        <v>0</v>
      </c>
      <c r="F197" s="6">
        <f>SUMIF('Eredeti fejléccel'!$B:$B,'Felosztás eredménykim'!$B197,'Eredeti fejléccel'!$F:$F)</f>
        <v>0</v>
      </c>
      <c r="G197" s="6">
        <f>SUMIF('Eredeti fejléccel'!$B:$B,'Felosztás eredménykim'!$B197,'Eredeti fejléccel'!$G:$G)</f>
        <v>0</v>
      </c>
      <c r="H197" s="6"/>
      <c r="I197" s="6">
        <f>SUMIF('Eredeti fejléccel'!$B:$B,'Felosztás eredménykim'!$B197,'Eredeti fejléccel'!$O:$O)</f>
        <v>0</v>
      </c>
      <c r="J197" s="6">
        <f>SUMIF('Eredeti fejléccel'!$B:$B,'Felosztás eredménykim'!$B197,'Eredeti fejléccel'!$P:$P)</f>
        <v>0</v>
      </c>
      <c r="K197" s="6">
        <f>SUMIF('Eredeti fejléccel'!$B:$B,'Felosztás eredménykim'!$B197,'Eredeti fejléccel'!$Q:$Q)</f>
        <v>0</v>
      </c>
      <c r="L197" s="6">
        <f>SUMIF('Eredeti fejléccel'!$B:$B,'Felosztás eredménykim'!$B197,'Eredeti fejléccel'!$R:$R)</f>
        <v>0</v>
      </c>
      <c r="M197" s="6">
        <f>SUMIF('Eredeti fejléccel'!$B:$B,'Felosztás eredménykim'!$B197,'Eredeti fejléccel'!$T:$T)</f>
        <v>0</v>
      </c>
      <c r="N197" s="6">
        <f>SUMIF('Eredeti fejléccel'!$B:$B,'Felosztás eredménykim'!$B197,'Eredeti fejléccel'!$U:$U)</f>
        <v>0</v>
      </c>
      <c r="O197" s="6">
        <f>SUMIF('Eredeti fejléccel'!$B:$B,'Felosztás eredménykim'!$B197,'Eredeti fejléccel'!$V:$V)</f>
        <v>0</v>
      </c>
      <c r="P197" s="6">
        <f>SUMIF('Eredeti fejléccel'!$B:$B,'Felosztás eredménykim'!$B197,'Eredeti fejléccel'!$W:$W)</f>
        <v>0</v>
      </c>
      <c r="Q197" s="6">
        <f>SUMIF('Eredeti fejléccel'!$B:$B,'Felosztás eredménykim'!$B197,'Eredeti fejléccel'!$X:$X)</f>
        <v>0</v>
      </c>
      <c r="R197" s="6">
        <f>SUMIF('Eredeti fejléccel'!$B:$B,'Felosztás eredménykim'!$B197,'Eredeti fejléccel'!$Y:$Y)</f>
        <v>0</v>
      </c>
      <c r="S197" s="6">
        <f>SUMIF('Eredeti fejléccel'!$B:$B,'Felosztás eredménykim'!$B197,'Eredeti fejléccel'!$Z:$Z)</f>
        <v>0</v>
      </c>
      <c r="T197" s="6">
        <f>SUMIF('Eredeti fejléccel'!$B:$B,'Felosztás eredménykim'!$B197,'Eredeti fejléccel'!$AA:$AA)</f>
        <v>0</v>
      </c>
      <c r="U197" s="6">
        <f>SUMIF('Eredeti fejléccel'!$B:$B,'Felosztás eredménykim'!$B197,'Eredeti fejléccel'!$D:$D)</f>
        <v>0</v>
      </c>
      <c r="V197" s="6">
        <f>SUMIF('Eredeti fejléccel'!$B:$B,'Felosztás eredménykim'!$B197,'Eredeti fejléccel'!$AT:$AT)</f>
        <v>1060012.0799999998</v>
      </c>
      <c r="W197" s="36">
        <f t="shared" si="368"/>
        <v>-1060012.0799999998</v>
      </c>
      <c r="X197" s="36">
        <f t="shared" si="211"/>
        <v>0</v>
      </c>
      <c r="Z197" s="6">
        <f>SUMIF('Eredeti fejléccel'!$B:$B,'Felosztás eredménykim'!$B197,'Eredeti fejléccel'!$K:$K)</f>
        <v>0</v>
      </c>
      <c r="AB197" s="6">
        <f>SUMIF('Eredeti fejléccel'!$B:$B,'Felosztás eredménykim'!$B197,'Eredeti fejléccel'!$AB:$AB)</f>
        <v>0</v>
      </c>
      <c r="AC197" s="6">
        <f>SUMIF('Eredeti fejléccel'!$B:$B,'Felosztás eredménykim'!$B197,'Eredeti fejléccel'!$AQ:$AQ)</f>
        <v>0</v>
      </c>
      <c r="AE197" s="73">
        <f t="shared" si="299"/>
        <v>0</v>
      </c>
      <c r="AF197" s="36">
        <f t="shared" si="339"/>
        <v>0</v>
      </c>
      <c r="AG197" s="8">
        <f t="shared" si="213"/>
        <v>0</v>
      </c>
      <c r="AI197" s="6">
        <f>SUMIF('Eredeti fejléccel'!$B:$B,'Felosztás eredménykim'!$B197,'Eredeti fejléccel'!$BB:$BB)</f>
        <v>0</v>
      </c>
      <c r="AJ197" s="6">
        <f>SUMIF('Eredeti fejléccel'!$B:$B,'Felosztás eredménykim'!$B197,'Eredeti fejléccel'!$AF:$AF)</f>
        <v>0</v>
      </c>
      <c r="AK197" s="8">
        <f t="shared" si="177"/>
        <v>0</v>
      </c>
      <c r="AL197" s="36">
        <f t="shared" si="340"/>
        <v>0</v>
      </c>
      <c r="AM197" s="8">
        <f t="shared" si="215"/>
        <v>0</v>
      </c>
      <c r="AN197" s="6">
        <f t="shared" si="291"/>
        <v>0</v>
      </c>
      <c r="AO197" s="6">
        <f>SUMIF('Eredeti fejléccel'!$B:$B,'Felosztás eredménykim'!$B197,'Eredeti fejléccel'!$AC:$AC)</f>
        <v>0</v>
      </c>
      <c r="AP197" s="6">
        <f>SUMIF('Eredeti fejléccel'!$B:$B,'Felosztás eredménykim'!$B197,'Eredeti fejléccel'!$AD:$AD)</f>
        <v>0</v>
      </c>
      <c r="AQ197" s="6">
        <f>SUMIF('Eredeti fejléccel'!$B:$B,'Felosztás eredménykim'!$B197,'Eredeti fejléccel'!$AE:$AE)</f>
        <v>0</v>
      </c>
      <c r="AR197" s="6">
        <f>SUMIF('Eredeti fejléccel'!$B:$B,'Felosztás eredménykim'!$B197,'Eredeti fejléccel'!$AG:$AG)</f>
        <v>0</v>
      </c>
      <c r="AS197" s="6">
        <f t="shared" si="292"/>
        <v>0</v>
      </c>
      <c r="AT197" s="36">
        <f t="shared" si="341"/>
        <v>0</v>
      </c>
      <c r="AU197" s="8">
        <f t="shared" si="217"/>
        <v>0</v>
      </c>
      <c r="AV197" s="6">
        <f>SUMIF('Eredeti fejléccel'!$B:$B,'Felosztás eredménykim'!$B197,'Eredeti fejléccel'!$AI:$AI)</f>
        <v>0</v>
      </c>
      <c r="AW197" s="6">
        <f>SUMIF('Eredeti fejléccel'!$B:$B,'Felosztás eredménykim'!$B197,'Eredeti fejléccel'!$AJ:$AJ)</f>
        <v>0</v>
      </c>
      <c r="AX197" s="6">
        <f>SUMIF('Eredeti fejléccel'!$B:$B,'Felosztás eredménykim'!$B197,'Eredeti fejléccel'!$AK:$AK)</f>
        <v>0</v>
      </c>
      <c r="AY197" s="6">
        <f>SUMIF('Eredeti fejléccel'!$B:$B,'Felosztás eredménykim'!$B197,'Eredeti fejléccel'!$AL:$AL)</f>
        <v>0</v>
      </c>
      <c r="AZ197" s="6">
        <f>SUMIF('Eredeti fejléccel'!$B:$B,'Felosztás eredménykim'!$B197,'Eredeti fejléccel'!$AM:$AM)</f>
        <v>0</v>
      </c>
      <c r="BA197" s="6">
        <f>SUMIF('Eredeti fejléccel'!$B:$B,'Felosztás eredménykim'!$B197,'Eredeti fejléccel'!$AN:$AN)</f>
        <v>0</v>
      </c>
      <c r="BB197" s="6">
        <f>SUMIF('Eredeti fejléccel'!$B:$B,'Felosztás eredménykim'!$B197,'Eredeti fejléccel'!$AP:$AP)</f>
        <v>0</v>
      </c>
      <c r="BD197" s="6">
        <f>SUMIF('Eredeti fejléccel'!$B:$B,'Felosztás eredménykim'!$B197,'Eredeti fejléccel'!$AS:$AS)</f>
        <v>0</v>
      </c>
      <c r="BE197" s="8">
        <f t="shared" si="238"/>
        <v>0</v>
      </c>
      <c r="BF197" s="36">
        <f t="shared" si="342"/>
        <v>0</v>
      </c>
      <c r="BG197" s="8">
        <f t="shared" si="219"/>
        <v>0</v>
      </c>
      <c r="BH197" s="6">
        <f t="shared" si="293"/>
        <v>0</v>
      </c>
      <c r="BI197" s="6">
        <f>SUMIF('Eredeti fejléccel'!$B:$B,'Felosztás eredménykim'!$B197,'Eredeti fejléccel'!$AH:$AH)</f>
        <v>0</v>
      </c>
      <c r="BJ197" s="6">
        <f>SUMIF('Eredeti fejléccel'!$B:$B,'Felosztás eredménykim'!$B197,'Eredeti fejléccel'!$AO:$AO)</f>
        <v>0</v>
      </c>
      <c r="BK197" s="6">
        <f>SUMIF('Eredeti fejléccel'!$B:$B,'Felosztás eredménykim'!$B197,'Eredeti fejléccel'!$BF:$BF)</f>
        <v>0</v>
      </c>
      <c r="BL197" s="8">
        <f t="shared" si="294"/>
        <v>0</v>
      </c>
      <c r="BM197" s="36">
        <f t="shared" si="343"/>
        <v>0</v>
      </c>
      <c r="BN197" s="8">
        <f t="shared" si="221"/>
        <v>0</v>
      </c>
      <c r="BP197" s="8">
        <f t="shared" si="295"/>
        <v>0</v>
      </c>
      <c r="BQ197" s="6">
        <f>SUMIF('Eredeti fejléccel'!$B:$B,'Felosztás eredménykim'!$B197,'Eredeti fejléccel'!$N:$N)</f>
        <v>0</v>
      </c>
      <c r="BR197" s="6">
        <f>SUMIF('Eredeti fejléccel'!$B:$B,'Felosztás eredménykim'!$B197,'Eredeti fejléccel'!$S:$S)</f>
        <v>0</v>
      </c>
      <c r="BT197" s="6">
        <f>SUMIF('Eredeti fejléccel'!$B:$B,'Felosztás eredménykim'!$B197,'Eredeti fejléccel'!$AR:$AR)</f>
        <v>0</v>
      </c>
      <c r="BU197" s="6">
        <f>SUMIF('Eredeti fejléccel'!$B:$B,'Felosztás eredménykim'!$B197,'Eredeti fejléccel'!$AU:$AU)</f>
        <v>0</v>
      </c>
      <c r="BV197" s="6">
        <f>SUMIF('Eredeti fejléccel'!$B:$B,'Felosztás eredménykim'!$B197,'Eredeti fejléccel'!$AV:$AV)</f>
        <v>0</v>
      </c>
      <c r="BW197" s="6">
        <f>SUMIF('Eredeti fejléccel'!$B:$B,'Felosztás eredménykim'!$B197,'Eredeti fejléccel'!$AW:$AW)</f>
        <v>0</v>
      </c>
      <c r="BX197" s="6">
        <f>SUMIF('Eredeti fejléccel'!$B:$B,'Felosztás eredménykim'!$B197,'Eredeti fejléccel'!$AX:$AX)</f>
        <v>0</v>
      </c>
      <c r="BY197" s="6">
        <f>SUMIF('Eredeti fejléccel'!$B:$B,'Felosztás eredménykim'!$B197,'Eredeti fejléccel'!$AY:$AY)</f>
        <v>0</v>
      </c>
      <c r="BZ197" s="6">
        <f>SUMIF('Eredeti fejléccel'!$B:$B,'Felosztás eredménykim'!$B197,'Eredeti fejléccel'!$AZ:$AZ)</f>
        <v>0</v>
      </c>
      <c r="CA197" s="6">
        <f>SUMIF('Eredeti fejléccel'!$B:$B,'Felosztás eredménykim'!$B197,'Eredeti fejléccel'!$BA:$BA)</f>
        <v>0</v>
      </c>
      <c r="CB197" s="6">
        <f t="shared" si="253"/>
        <v>0</v>
      </c>
      <c r="CC197" s="36">
        <f t="shared" si="344"/>
        <v>0</v>
      </c>
      <c r="CD197" s="8">
        <f t="shared" si="223"/>
        <v>0</v>
      </c>
      <c r="CE197" s="6">
        <f>SUMIF('Eredeti fejléccel'!$B:$B,'Felosztás eredménykim'!$B197,'Eredeti fejléccel'!$BC:$BC)</f>
        <v>0</v>
      </c>
      <c r="CF197" s="8">
        <f t="shared" si="300"/>
        <v>0</v>
      </c>
      <c r="CG197" s="6">
        <f>SUMIF('Eredeti fejléccel'!$B:$B,'Felosztás eredménykim'!$B197,'Eredeti fejléccel'!$H:$H)</f>
        <v>0</v>
      </c>
      <c r="CH197" s="6">
        <f>SUMIF('Eredeti fejléccel'!$B:$B,'Felosztás eredménykim'!$B197,'Eredeti fejléccel'!$BE:$BE)</f>
        <v>0</v>
      </c>
      <c r="CI197" s="6">
        <f t="shared" si="239"/>
        <v>0</v>
      </c>
      <c r="CJ197" s="36">
        <f t="shared" si="345"/>
        <v>0</v>
      </c>
      <c r="CK197" s="8">
        <f t="shared" si="225"/>
        <v>0</v>
      </c>
      <c r="CL197" s="8">
        <f t="shared" si="301"/>
        <v>0</v>
      </c>
      <c r="CM197" s="6">
        <f>SUMIF('Eredeti fejléccel'!$B:$B,'Felosztás eredménykim'!$B197,'Eredeti fejléccel'!$BD:$BD)</f>
        <v>0</v>
      </c>
      <c r="CN197" s="8">
        <f t="shared" si="240"/>
        <v>0</v>
      </c>
      <c r="CO197" s="8">
        <f t="shared" si="254"/>
        <v>0</v>
      </c>
      <c r="CR197" s="36">
        <f t="shared" si="226"/>
        <v>0</v>
      </c>
      <c r="CS197" s="6">
        <f>SUMIF('Eredeti fejléccel'!$B:$B,'Felosztás eredménykim'!$B197,'Eredeti fejléccel'!$I:$I)</f>
        <v>0</v>
      </c>
      <c r="CT197" s="6">
        <f>SUMIF('Eredeti fejléccel'!$B:$B,'Felosztás eredménykim'!$B197,'Eredeti fejléccel'!$BG:$BG)</f>
        <v>0</v>
      </c>
      <c r="CU197" s="6">
        <f>SUMIF('Eredeti fejléccel'!$B:$B,'Felosztás eredménykim'!$B197,'Eredeti fejléccel'!$BH:$BH)</f>
        <v>0</v>
      </c>
      <c r="CV197" s="6">
        <f>SUMIF('Eredeti fejléccel'!$B:$B,'Felosztás eredménykim'!$B197,'Eredeti fejléccel'!$BI:$BI)</f>
        <v>0</v>
      </c>
      <c r="CW197" s="6">
        <f>SUMIF('Eredeti fejléccel'!$B:$B,'Felosztás eredménykim'!$B197,'Eredeti fejléccel'!$BL:$BL)</f>
        <v>0</v>
      </c>
      <c r="CX197" s="6">
        <f t="shared" si="241"/>
        <v>0</v>
      </c>
      <c r="CY197" s="6">
        <f>SUMIF('Eredeti fejléccel'!$B:$B,'Felosztás eredménykim'!$B197,'Eredeti fejléccel'!$BJ:$BJ)</f>
        <v>0</v>
      </c>
      <c r="CZ197" s="6">
        <f>SUMIF('Eredeti fejléccel'!$B:$B,'Felosztás eredménykim'!$B197,'Eredeti fejléccel'!$BK:$BK)</f>
        <v>0</v>
      </c>
      <c r="DA197" s="99">
        <f t="shared" si="242"/>
        <v>0</v>
      </c>
      <c r="DC197" s="36">
        <f t="shared" si="227"/>
        <v>0</v>
      </c>
      <c r="DD197" s="6">
        <f>SUMIF('Eredeti fejléccel'!$B:$B,'Felosztás eredménykim'!$B197,'Eredeti fejléccel'!$J:$J)</f>
        <v>0</v>
      </c>
      <c r="DE197" s="6">
        <f>SUMIF('Eredeti fejléccel'!$B:$B,'Felosztás eredménykim'!$B197,'Eredeti fejléccel'!$BM:$BM)</f>
        <v>0</v>
      </c>
      <c r="DF197" s="6">
        <f t="shared" si="296"/>
        <v>0</v>
      </c>
      <c r="DG197" s="8">
        <f t="shared" si="255"/>
        <v>0</v>
      </c>
      <c r="DH197" s="8">
        <f t="shared" si="297"/>
        <v>0</v>
      </c>
      <c r="DJ197" s="6">
        <f>SUMIF('Eredeti fejléccel'!$B:$B,'Felosztás eredménykim'!$B197,'Eredeti fejléccel'!$BN:$BN)</f>
        <v>0</v>
      </c>
      <c r="DK197" s="6">
        <f>SUMIF('Eredeti fejléccel'!$B:$B,'Felosztás eredménykim'!$B197,'Eredeti fejléccel'!$BZ:$BZ)</f>
        <v>0</v>
      </c>
      <c r="DL197" s="8">
        <f t="shared" si="298"/>
        <v>0</v>
      </c>
      <c r="DM197" s="6">
        <f>SUMIF('Eredeti fejléccel'!$B:$B,'Felosztás eredménykim'!$B197,'Eredeti fejléccel'!$BR:$BR)</f>
        <v>0</v>
      </c>
      <c r="DN197" s="6">
        <f>SUMIF('Eredeti fejléccel'!$B:$B,'Felosztás eredménykim'!$B197,'Eredeti fejléccel'!$BS:$BS)</f>
        <v>0</v>
      </c>
      <c r="DO197" s="6">
        <f>SUMIF('Eredeti fejléccel'!$B:$B,'Felosztás eredménykim'!$B197,'Eredeti fejléccel'!$BO:$BO)</f>
        <v>0</v>
      </c>
      <c r="DP197" s="6">
        <f>SUMIF('Eredeti fejléccel'!$B:$B,'Felosztás eredménykim'!$B197,'Eredeti fejléccel'!$BP:$BP)</f>
        <v>0</v>
      </c>
      <c r="DQ197" s="6">
        <f>SUMIF('Eredeti fejléccel'!$B:$B,'Felosztás eredménykim'!$B197,'Eredeti fejléccel'!$BQ:$BQ)</f>
        <v>0</v>
      </c>
      <c r="DS197" s="8"/>
      <c r="DU197" s="6">
        <f>SUMIF('Eredeti fejléccel'!$B:$B,'Felosztás eredménykim'!$B197,'Eredeti fejléccel'!$BT:$BT)</f>
        <v>0</v>
      </c>
      <c r="DV197" s="6">
        <f>SUMIF('Eredeti fejléccel'!$B:$B,'Felosztás eredménykim'!$B197,'Eredeti fejléccel'!$BU:$BU)</f>
        <v>0</v>
      </c>
      <c r="DW197" s="6">
        <f>SUMIF('Eredeti fejléccel'!$B:$B,'Felosztás eredménykim'!$B197,'Eredeti fejléccel'!$BV:$BV)</f>
        <v>0</v>
      </c>
      <c r="DX197" s="6">
        <f>SUMIF('Eredeti fejléccel'!$B:$B,'Felosztás eredménykim'!$B197,'Eredeti fejléccel'!$BW:$BW)</f>
        <v>0</v>
      </c>
      <c r="DY197" s="6">
        <f>SUMIF('Eredeti fejléccel'!$B:$B,'Felosztás eredménykim'!$B197,'Eredeti fejléccel'!$BX:$BX)</f>
        <v>0</v>
      </c>
      <c r="EA197" s="6"/>
      <c r="EC197" s="6"/>
      <c r="EE197" s="6">
        <f>SUMIF('Eredeti fejléccel'!$B:$B,'Felosztás eredménykim'!$B197,'Eredeti fejléccel'!$CA:$CA)</f>
        <v>0</v>
      </c>
      <c r="EF197" s="6">
        <f>SUMIF('Eredeti fejléccel'!$B:$B,'Felosztás eredménykim'!$B197,'Eredeti fejléccel'!$CB:$CB)</f>
        <v>0</v>
      </c>
      <c r="EG197" s="6">
        <f>SUMIF('Eredeti fejléccel'!$B:$B,'Felosztás eredménykim'!$B197,'Eredeti fejléccel'!$CC:$CC)</f>
        <v>0</v>
      </c>
      <c r="EH197" s="6">
        <f>SUMIF('Eredeti fejléccel'!$B:$B,'Felosztás eredménykim'!$B197,'Eredeti fejléccel'!$CD:$CD)</f>
        <v>0</v>
      </c>
      <c r="EK197" s="6">
        <f>SUMIF('Eredeti fejléccel'!$B:$B,'Felosztás eredménykim'!$B197,'Eredeti fejléccel'!$CE:$CE)</f>
        <v>0</v>
      </c>
      <c r="EN197" s="6">
        <f>SUMIF('Eredeti fejléccel'!$B:$B,'Felosztás eredménykim'!$B197,'Eredeti fejléccel'!$CF:$CF)</f>
        <v>0</v>
      </c>
      <c r="EP197" s="6">
        <f>SUMIF('Eredeti fejléccel'!$B:$B,'Felosztás eredménykim'!$B197,'Eredeti fejléccel'!$CG:$CG)</f>
        <v>0</v>
      </c>
      <c r="ES197" s="6">
        <f>SUMIF('Eredeti fejléccel'!$B:$B,'Felosztás eredménykim'!$B197,'Eredeti fejléccel'!$CH:$CH)</f>
        <v>0</v>
      </c>
      <c r="ET197" s="6">
        <f>SUMIF('Eredeti fejléccel'!$B:$B,'Felosztás eredménykim'!$B197,'Eredeti fejléccel'!$CI:$CI)</f>
        <v>0</v>
      </c>
      <c r="EW197" s="8">
        <f t="shared" si="288"/>
        <v>0</v>
      </c>
      <c r="EX197" s="8">
        <f t="shared" si="243"/>
        <v>0</v>
      </c>
      <c r="EY197" s="8">
        <f t="shared" si="244"/>
        <v>0</v>
      </c>
      <c r="EZ197" s="8">
        <f t="shared" si="289"/>
        <v>0</v>
      </c>
      <c r="FA197" s="8">
        <f t="shared" si="290"/>
        <v>0</v>
      </c>
      <c r="FC197" s="6">
        <f>SUMIF('Eredeti fejléccel'!$B:$B,'Felosztás eredménykim'!$B197,'Eredeti fejléccel'!$L:$L)</f>
        <v>0</v>
      </c>
      <c r="FD197" s="6">
        <f>SUMIF('Eredeti fejléccel'!$B:$B,'Felosztás eredménykim'!$B197,'Eredeti fejléccel'!$CJ:$CJ)</f>
        <v>0</v>
      </c>
      <c r="FE197" s="6">
        <f>SUMIF('Eredeti fejléccel'!$B:$B,'Felosztás eredménykim'!$B197,'Eredeti fejléccel'!$CL:$CL)</f>
        <v>0</v>
      </c>
      <c r="FG197" s="99">
        <f t="shared" si="245"/>
        <v>0</v>
      </c>
      <c r="FH197" s="6">
        <f>SUMIF('Eredeti fejléccel'!$B:$B,'Felosztás eredménykim'!$B197,'Eredeti fejléccel'!$CK:$CK)</f>
        <v>0</v>
      </c>
      <c r="FI197" s="36">
        <f t="shared" si="346"/>
        <v>0</v>
      </c>
      <c r="FJ197" s="101">
        <f t="shared" si="229"/>
        <v>0</v>
      </c>
      <c r="FK197" s="6">
        <f>SUMIF('Eredeti fejléccel'!$B:$B,'Felosztás eredménykim'!$B197,'Eredeti fejléccel'!$CM:$CM)</f>
        <v>0</v>
      </c>
      <c r="FL197" s="6">
        <f>SUMIF('Eredeti fejléccel'!$B:$B,'Felosztás eredménykim'!$B197,'Eredeti fejléccel'!$CN:$CN)</f>
        <v>0</v>
      </c>
      <c r="FM197" s="8">
        <f t="shared" si="246"/>
        <v>0</v>
      </c>
      <c r="FN197" s="36">
        <f t="shared" si="347"/>
        <v>0</v>
      </c>
      <c r="FO197" s="101">
        <f t="shared" si="231"/>
        <v>0</v>
      </c>
      <c r="FP197" s="6">
        <f>SUMIF('Eredeti fejléccel'!$B:$B,'Felosztás eredménykim'!$B197,'Eredeti fejléccel'!$CO:$CO)</f>
        <v>0</v>
      </c>
      <c r="FQ197" s="6">
        <f>'Eredeti fejléccel'!CP197</f>
        <v>0</v>
      </c>
      <c r="FR197" s="6">
        <f>'Eredeti fejléccel'!CQ197</f>
        <v>0</v>
      </c>
      <c r="FS197" s="103">
        <f t="shared" si="247"/>
        <v>0</v>
      </c>
      <c r="FT197" s="36">
        <f t="shared" si="348"/>
        <v>0</v>
      </c>
      <c r="FU197" s="101">
        <f t="shared" si="233"/>
        <v>0</v>
      </c>
      <c r="FV197" s="101"/>
      <c r="FW197" s="6">
        <f>SUMIF('Eredeti fejléccel'!$B:$B,'Felosztás eredménykim'!$B197,'Eredeti fejléccel'!$CR:$CR)</f>
        <v>0</v>
      </c>
      <c r="FX197" s="6">
        <f>SUMIF('Eredeti fejléccel'!$B:$B,'Felosztás eredménykim'!$B197,'Eredeti fejléccel'!$CS:$CS)</f>
        <v>0</v>
      </c>
      <c r="FY197" s="6">
        <f>SUMIF('Eredeti fejléccel'!$B:$B,'Felosztás eredménykim'!$B197,'Eredeti fejléccel'!$CT:$CT)</f>
        <v>0</v>
      </c>
      <c r="FZ197" s="6">
        <f>SUMIF('Eredeti fejléccel'!$B:$B,'Felosztás eredménykim'!$B197,'Eredeti fejléccel'!$CU:$CU)</f>
        <v>0</v>
      </c>
      <c r="GA197" s="103">
        <f t="shared" si="248"/>
        <v>0</v>
      </c>
      <c r="GB197" s="36">
        <f t="shared" si="349"/>
        <v>0</v>
      </c>
      <c r="GC197" s="101">
        <f t="shared" si="235"/>
        <v>0</v>
      </c>
      <c r="GD197" s="6">
        <f>SUMIF('Eredeti fejléccel'!$B:$B,'Felosztás eredménykim'!$B197,'Eredeti fejléccel'!$CV:$CV)</f>
        <v>0</v>
      </c>
      <c r="GE197" s="6">
        <f>SUMIF('Eredeti fejléccel'!$B:$B,'Felosztás eredménykim'!$B197,'Eredeti fejléccel'!$CW:$CW)</f>
        <v>0</v>
      </c>
      <c r="GF197" s="103">
        <f t="shared" si="249"/>
        <v>0</v>
      </c>
      <c r="GG197" s="36">
        <f t="shared" si="236"/>
        <v>0</v>
      </c>
      <c r="GM197" s="6">
        <f>SUMIF('Eredeti fejléccel'!$B:$B,'Felosztás eredménykim'!$B197,'Eredeti fejléccel'!$CX:$CX)</f>
        <v>0</v>
      </c>
      <c r="GN197" s="6">
        <f>SUMIF('Eredeti fejléccel'!$B:$B,'Felosztás eredménykim'!$B197,'Eredeti fejléccel'!$CY:$CY)</f>
        <v>0</v>
      </c>
      <c r="GO197" s="6">
        <f>SUMIF('Eredeti fejléccel'!$B:$B,'Felosztás eredménykim'!$B197,'Eredeti fejléccel'!$CZ:$CZ)</f>
        <v>0</v>
      </c>
      <c r="GP197" s="6">
        <f>SUMIF('Eredeti fejléccel'!$B:$B,'Felosztás eredménykim'!$B197,'Eredeti fejléccel'!$DA:$DA)</f>
        <v>0</v>
      </c>
      <c r="GQ197" s="6">
        <f>SUMIF('Eredeti fejléccel'!$B:$B,'Felosztás eredménykim'!$B197,'Eredeti fejléccel'!$DB:$DB)</f>
        <v>0</v>
      </c>
      <c r="GR197" s="103">
        <f t="shared" si="250"/>
        <v>0</v>
      </c>
      <c r="GW197" s="36">
        <f t="shared" si="237"/>
        <v>0</v>
      </c>
      <c r="GX197" s="6">
        <f>SUMIF('Eredeti fejléccel'!$B:$B,'Felosztás eredménykim'!$B197,'Eredeti fejléccel'!$M:$M)</f>
        <v>0</v>
      </c>
      <c r="GY197" s="6">
        <f>SUMIF('Eredeti fejléccel'!$B:$B,'Felosztás eredménykim'!$B197,'Eredeti fejléccel'!$DC:$DC)</f>
        <v>0</v>
      </c>
      <c r="GZ197" s="6">
        <f>SUMIF('Eredeti fejléccel'!$B:$B,'Felosztás eredménykim'!$B197,'Eredeti fejléccel'!$DD:$DD)</f>
        <v>0</v>
      </c>
      <c r="HA197" s="6">
        <f>SUMIF('Eredeti fejléccel'!$B:$B,'Felosztás eredménykim'!$B197,'Eredeti fejléccel'!$DE:$DE)</f>
        <v>0</v>
      </c>
      <c r="HB197" s="103">
        <f t="shared" si="251"/>
        <v>0</v>
      </c>
      <c r="HD197" s="9">
        <f t="shared" si="350"/>
        <v>1060012.0799999998</v>
      </c>
      <c r="HE197" s="9">
        <v>1060012.0799999998</v>
      </c>
      <c r="HF197" s="476"/>
      <c r="HH197" s="34">
        <f t="shared" si="252"/>
        <v>0</v>
      </c>
    </row>
    <row r="198" spans="1:218" x14ac:dyDescent="0.25">
      <c r="A198" s="4" t="s">
        <v>883</v>
      </c>
      <c r="B198" s="4" t="s">
        <v>883</v>
      </c>
      <c r="D198" s="6">
        <f>SUMIF('Eredeti fejléccel'!$B:$B,'Felosztás eredménykim'!$B198,'Eredeti fejléccel'!$D:$D)</f>
        <v>0</v>
      </c>
      <c r="E198" s="6">
        <f>SUMIF('Eredeti fejléccel'!$B:$B,'Felosztás eredménykim'!$B198,'Eredeti fejléccel'!$E:$E)</f>
        <v>0</v>
      </c>
      <c r="F198" s="6">
        <f>SUMIF('Eredeti fejléccel'!$B:$B,'Felosztás eredménykim'!$B198,'Eredeti fejléccel'!$F:$F)</f>
        <v>0</v>
      </c>
      <c r="G198" s="6">
        <f>SUMIF('Eredeti fejléccel'!$B:$B,'Felosztás eredménykim'!$B198,'Eredeti fejléccel'!$G:$G)</f>
        <v>0</v>
      </c>
      <c r="H198" s="6"/>
      <c r="I198" s="6">
        <f>SUMIF('Eredeti fejléccel'!$B:$B,'Felosztás eredménykim'!$B198,'Eredeti fejléccel'!$O:$O)</f>
        <v>0</v>
      </c>
      <c r="J198" s="6">
        <f>SUMIF('Eredeti fejléccel'!$B:$B,'Felosztás eredménykim'!$B198,'Eredeti fejléccel'!$P:$P)</f>
        <v>0</v>
      </c>
      <c r="K198" s="6">
        <f>SUMIF('Eredeti fejléccel'!$B:$B,'Felosztás eredménykim'!$B198,'Eredeti fejléccel'!$Q:$Q)</f>
        <v>0</v>
      </c>
      <c r="L198" s="6">
        <f>SUMIF('Eredeti fejléccel'!$B:$B,'Felosztás eredménykim'!$B198,'Eredeti fejléccel'!$R:$R)</f>
        <v>0</v>
      </c>
      <c r="M198" s="6">
        <f>SUMIF('Eredeti fejléccel'!$B:$B,'Felosztás eredménykim'!$B198,'Eredeti fejléccel'!$T:$T)</f>
        <v>0</v>
      </c>
      <c r="N198" s="6">
        <f>SUMIF('Eredeti fejléccel'!$B:$B,'Felosztás eredménykim'!$B198,'Eredeti fejléccel'!$U:$U)</f>
        <v>0</v>
      </c>
      <c r="O198" s="6">
        <f>SUMIF('Eredeti fejléccel'!$B:$B,'Felosztás eredménykim'!$B198,'Eredeti fejléccel'!$V:$V)</f>
        <v>0</v>
      </c>
      <c r="P198" s="6">
        <f>SUMIF('Eredeti fejléccel'!$B:$B,'Felosztás eredménykim'!$B198,'Eredeti fejléccel'!$W:$W)</f>
        <v>0</v>
      </c>
      <c r="Q198" s="6">
        <f>SUMIF('Eredeti fejléccel'!$B:$B,'Felosztás eredménykim'!$B198,'Eredeti fejléccel'!$X:$X)</f>
        <v>0</v>
      </c>
      <c r="R198" s="6">
        <f>SUMIF('Eredeti fejléccel'!$B:$B,'Felosztás eredménykim'!$B198,'Eredeti fejléccel'!$Y:$Y)</f>
        <v>0</v>
      </c>
      <c r="S198" s="6">
        <f>SUMIF('Eredeti fejléccel'!$B:$B,'Felosztás eredménykim'!$B198,'Eredeti fejléccel'!$Z:$Z)</f>
        <v>0</v>
      </c>
      <c r="T198" s="6">
        <f>SUMIF('Eredeti fejléccel'!$B:$B,'Felosztás eredménykim'!$B198,'Eredeti fejléccel'!$AA:$AA)</f>
        <v>0</v>
      </c>
      <c r="U198" s="6">
        <f>SUMIF('Eredeti fejléccel'!$B:$B,'Felosztás eredménykim'!$B198,'Eredeti fejléccel'!$D:$D)</f>
        <v>0</v>
      </c>
      <c r="V198" s="6">
        <f>SUMIF('Eredeti fejléccel'!$B:$B,'Felosztás eredménykim'!$B198,'Eredeti fejléccel'!$AT:$AT)</f>
        <v>4579369.4399999892</v>
      </c>
      <c r="W198" s="36">
        <f t="shared" si="368"/>
        <v>-4579369.4399999892</v>
      </c>
      <c r="X198" s="36">
        <f t="shared" si="211"/>
        <v>0</v>
      </c>
      <c r="Z198" s="6">
        <f>SUMIF('Eredeti fejléccel'!$B:$B,'Felosztás eredménykim'!$B198,'Eredeti fejléccel'!$K:$K)</f>
        <v>0</v>
      </c>
      <c r="AB198" s="6">
        <f>SUMIF('Eredeti fejléccel'!$B:$B,'Felosztás eredménykim'!$B198,'Eredeti fejléccel'!$AB:$AB)</f>
        <v>0</v>
      </c>
      <c r="AC198" s="6">
        <f>SUMIF('Eredeti fejléccel'!$B:$B,'Felosztás eredménykim'!$B198,'Eredeti fejléccel'!$AQ:$AQ)</f>
        <v>0</v>
      </c>
      <c r="AE198" s="73">
        <f t="shared" si="299"/>
        <v>0</v>
      </c>
      <c r="AF198" s="36">
        <f t="shared" si="339"/>
        <v>0</v>
      </c>
      <c r="AG198" s="8">
        <f t="shared" ref="AG198:AG261" si="399">$AE198/$HD$291*AG$290</f>
        <v>0</v>
      </c>
      <c r="AI198" s="6">
        <f>SUMIF('Eredeti fejléccel'!$B:$B,'Felosztás eredménykim'!$B198,'Eredeti fejléccel'!$BB:$BB)</f>
        <v>0</v>
      </c>
      <c r="AJ198" s="6">
        <f>SUMIF('Eredeti fejléccel'!$B:$B,'Felosztás eredménykim'!$B198,'Eredeti fejléccel'!$AF:$AF)</f>
        <v>0</v>
      </c>
      <c r="AK198" s="8">
        <f t="shared" si="177"/>
        <v>0</v>
      </c>
      <c r="AL198" s="36">
        <f t="shared" si="340"/>
        <v>0</v>
      </c>
      <c r="AM198" s="8">
        <f t="shared" ref="AM198:AM261" si="400">$AE198/$HD$291*AM$290</f>
        <v>0</v>
      </c>
      <c r="AN198" s="6">
        <f t="shared" si="291"/>
        <v>0</v>
      </c>
      <c r="AO198" s="6">
        <f>SUMIF('Eredeti fejléccel'!$B:$B,'Felosztás eredménykim'!$B198,'Eredeti fejléccel'!$AC:$AC)</f>
        <v>0</v>
      </c>
      <c r="AP198" s="6">
        <f>SUMIF('Eredeti fejléccel'!$B:$B,'Felosztás eredménykim'!$B198,'Eredeti fejléccel'!$AD:$AD)</f>
        <v>0</v>
      </c>
      <c r="AQ198" s="6">
        <f>SUMIF('Eredeti fejléccel'!$B:$B,'Felosztás eredménykim'!$B198,'Eredeti fejléccel'!$AE:$AE)</f>
        <v>0</v>
      </c>
      <c r="AR198" s="6">
        <f>SUMIF('Eredeti fejléccel'!$B:$B,'Felosztás eredménykim'!$B198,'Eredeti fejléccel'!$AG:$AG)</f>
        <v>0</v>
      </c>
      <c r="AS198" s="6">
        <f t="shared" si="292"/>
        <v>0</v>
      </c>
      <c r="AT198" s="36">
        <f t="shared" si="341"/>
        <v>0</v>
      </c>
      <c r="AU198" s="8">
        <f t="shared" ref="AU198:AU261" si="401">$AE198/$HD$291*AU$290</f>
        <v>0</v>
      </c>
      <c r="AV198" s="6">
        <f>SUMIF('Eredeti fejléccel'!$B:$B,'Felosztás eredménykim'!$B198,'Eredeti fejléccel'!$AI:$AI)</f>
        <v>0</v>
      </c>
      <c r="AW198" s="6">
        <f>SUMIF('Eredeti fejléccel'!$B:$B,'Felosztás eredménykim'!$B198,'Eredeti fejléccel'!$AJ:$AJ)</f>
        <v>0</v>
      </c>
      <c r="AX198" s="6">
        <f>SUMIF('Eredeti fejléccel'!$B:$B,'Felosztás eredménykim'!$B198,'Eredeti fejléccel'!$AK:$AK)</f>
        <v>0</v>
      </c>
      <c r="AY198" s="6">
        <f>SUMIF('Eredeti fejléccel'!$B:$B,'Felosztás eredménykim'!$B198,'Eredeti fejléccel'!$AL:$AL)</f>
        <v>0</v>
      </c>
      <c r="AZ198" s="6">
        <f>SUMIF('Eredeti fejléccel'!$B:$B,'Felosztás eredménykim'!$B198,'Eredeti fejléccel'!$AM:$AM)</f>
        <v>0</v>
      </c>
      <c r="BA198" s="6">
        <f>SUMIF('Eredeti fejléccel'!$B:$B,'Felosztás eredménykim'!$B198,'Eredeti fejléccel'!$AN:$AN)</f>
        <v>0</v>
      </c>
      <c r="BB198" s="6">
        <f>SUMIF('Eredeti fejléccel'!$B:$B,'Felosztás eredménykim'!$B198,'Eredeti fejléccel'!$AP:$AP)</f>
        <v>0</v>
      </c>
      <c r="BD198" s="6">
        <f>SUMIF('Eredeti fejléccel'!$B:$B,'Felosztás eredménykim'!$B198,'Eredeti fejléccel'!$AS:$AS)</f>
        <v>0</v>
      </c>
      <c r="BE198" s="8">
        <f t="shared" si="238"/>
        <v>0</v>
      </c>
      <c r="BF198" s="36">
        <f t="shared" si="342"/>
        <v>0</v>
      </c>
      <c r="BG198" s="8">
        <f t="shared" ref="BG198:BG261" si="402">$AE198/$HD$291*BG$290</f>
        <v>0</v>
      </c>
      <c r="BH198" s="6">
        <f t="shared" si="293"/>
        <v>0</v>
      </c>
      <c r="BI198" s="6">
        <f>SUMIF('Eredeti fejléccel'!$B:$B,'Felosztás eredménykim'!$B198,'Eredeti fejléccel'!$AH:$AH)</f>
        <v>0</v>
      </c>
      <c r="BJ198" s="6">
        <f>SUMIF('Eredeti fejléccel'!$B:$B,'Felosztás eredménykim'!$B198,'Eredeti fejléccel'!$AO:$AO)</f>
        <v>0</v>
      </c>
      <c r="BK198" s="6">
        <f>SUMIF('Eredeti fejléccel'!$B:$B,'Felosztás eredménykim'!$B198,'Eredeti fejléccel'!$BF:$BF)</f>
        <v>0</v>
      </c>
      <c r="BL198" s="8">
        <f t="shared" si="294"/>
        <v>0</v>
      </c>
      <c r="BM198" s="36">
        <f t="shared" si="343"/>
        <v>0</v>
      </c>
      <c r="BN198" s="8">
        <f t="shared" ref="BN198:BN261" si="403">$AE198/$HD$291*BN$290</f>
        <v>0</v>
      </c>
      <c r="BP198" s="8">
        <f t="shared" si="295"/>
        <v>0</v>
      </c>
      <c r="BQ198" s="6">
        <f>SUMIF('Eredeti fejléccel'!$B:$B,'Felosztás eredménykim'!$B198,'Eredeti fejléccel'!$N:$N)</f>
        <v>0</v>
      </c>
      <c r="BR198" s="6">
        <f>SUMIF('Eredeti fejléccel'!$B:$B,'Felosztás eredménykim'!$B198,'Eredeti fejléccel'!$S:$S)</f>
        <v>0</v>
      </c>
      <c r="BT198" s="6">
        <f>SUMIF('Eredeti fejléccel'!$B:$B,'Felosztás eredménykim'!$B198,'Eredeti fejléccel'!$AR:$AR)</f>
        <v>0</v>
      </c>
      <c r="BU198" s="6">
        <f>SUMIF('Eredeti fejléccel'!$B:$B,'Felosztás eredménykim'!$B198,'Eredeti fejléccel'!$AU:$AU)</f>
        <v>0</v>
      </c>
      <c r="BV198" s="6">
        <f>SUMIF('Eredeti fejléccel'!$B:$B,'Felosztás eredménykim'!$B198,'Eredeti fejléccel'!$AV:$AV)</f>
        <v>0</v>
      </c>
      <c r="BW198" s="6">
        <f>SUMIF('Eredeti fejléccel'!$B:$B,'Felosztás eredménykim'!$B198,'Eredeti fejléccel'!$AW:$AW)</f>
        <v>0</v>
      </c>
      <c r="BX198" s="6">
        <f>SUMIF('Eredeti fejléccel'!$B:$B,'Felosztás eredménykim'!$B198,'Eredeti fejléccel'!$AX:$AX)</f>
        <v>0</v>
      </c>
      <c r="BY198" s="6">
        <f>SUMIF('Eredeti fejléccel'!$B:$B,'Felosztás eredménykim'!$B198,'Eredeti fejléccel'!$AY:$AY)</f>
        <v>0</v>
      </c>
      <c r="BZ198" s="6">
        <f>SUMIF('Eredeti fejléccel'!$B:$B,'Felosztás eredménykim'!$B198,'Eredeti fejléccel'!$AZ:$AZ)</f>
        <v>0</v>
      </c>
      <c r="CA198" s="6">
        <f>SUMIF('Eredeti fejléccel'!$B:$B,'Felosztás eredménykim'!$B198,'Eredeti fejléccel'!$BA:$BA)</f>
        <v>0</v>
      </c>
      <c r="CB198" s="6">
        <f t="shared" si="253"/>
        <v>0</v>
      </c>
      <c r="CC198" s="36">
        <f t="shared" si="344"/>
        <v>0</v>
      </c>
      <c r="CD198" s="8">
        <f t="shared" ref="CD198:CD261" si="404">$AE198/$HD$291*CD$290</f>
        <v>0</v>
      </c>
      <c r="CE198" s="6">
        <f>SUMIF('Eredeti fejléccel'!$B:$B,'Felosztás eredménykim'!$B198,'Eredeti fejléccel'!$BC:$BC)</f>
        <v>0</v>
      </c>
      <c r="CF198" s="8">
        <f t="shared" si="300"/>
        <v>0</v>
      </c>
      <c r="CG198" s="6">
        <f>SUMIF('Eredeti fejléccel'!$B:$B,'Felosztás eredménykim'!$B198,'Eredeti fejléccel'!$H:$H)</f>
        <v>0</v>
      </c>
      <c r="CH198" s="6">
        <f>SUMIF('Eredeti fejléccel'!$B:$B,'Felosztás eredménykim'!$B198,'Eredeti fejléccel'!$BE:$BE)</f>
        <v>0</v>
      </c>
      <c r="CI198" s="6">
        <f t="shared" si="239"/>
        <v>0</v>
      </c>
      <c r="CJ198" s="36">
        <f t="shared" si="345"/>
        <v>0</v>
      </c>
      <c r="CK198" s="8">
        <f t="shared" ref="CK198:CK261" si="405">$AE198/$HD$291*CK$290</f>
        <v>0</v>
      </c>
      <c r="CL198" s="8">
        <f t="shared" si="301"/>
        <v>0</v>
      </c>
      <c r="CM198" s="6">
        <f>SUMIF('Eredeti fejléccel'!$B:$B,'Felosztás eredménykim'!$B198,'Eredeti fejléccel'!$BD:$BD)</f>
        <v>0</v>
      </c>
      <c r="CN198" s="8">
        <f t="shared" si="240"/>
        <v>0</v>
      </c>
      <c r="CO198" s="8">
        <f t="shared" si="254"/>
        <v>0</v>
      </c>
      <c r="CR198" s="36">
        <f t="shared" ref="CR198:CR261" si="406">$X198/$HD$290*CR$290</f>
        <v>0</v>
      </c>
      <c r="CS198" s="6">
        <f>SUMIF('Eredeti fejléccel'!$B:$B,'Felosztás eredménykim'!$B198,'Eredeti fejléccel'!$I:$I)</f>
        <v>0</v>
      </c>
      <c r="CT198" s="6">
        <f>SUMIF('Eredeti fejléccel'!$B:$B,'Felosztás eredménykim'!$B198,'Eredeti fejléccel'!$BG:$BG)</f>
        <v>0</v>
      </c>
      <c r="CU198" s="6">
        <f>SUMIF('Eredeti fejléccel'!$B:$B,'Felosztás eredménykim'!$B198,'Eredeti fejléccel'!$BH:$BH)</f>
        <v>0</v>
      </c>
      <c r="CV198" s="6">
        <f>SUMIF('Eredeti fejléccel'!$B:$B,'Felosztás eredménykim'!$B198,'Eredeti fejléccel'!$BI:$BI)</f>
        <v>0</v>
      </c>
      <c r="CW198" s="6">
        <f>SUMIF('Eredeti fejléccel'!$B:$B,'Felosztás eredménykim'!$B198,'Eredeti fejléccel'!$BL:$BL)</f>
        <v>0</v>
      </c>
      <c r="CX198" s="6">
        <f t="shared" si="241"/>
        <v>0</v>
      </c>
      <c r="CY198" s="6">
        <f>SUMIF('Eredeti fejléccel'!$B:$B,'Felosztás eredménykim'!$B198,'Eredeti fejléccel'!$BJ:$BJ)</f>
        <v>0</v>
      </c>
      <c r="CZ198" s="6">
        <f>SUMIF('Eredeti fejléccel'!$B:$B,'Felosztás eredménykim'!$B198,'Eredeti fejléccel'!$BK:$BK)</f>
        <v>0</v>
      </c>
      <c r="DA198" s="99">
        <f t="shared" si="242"/>
        <v>0</v>
      </c>
      <c r="DC198" s="36">
        <f t="shared" ref="DC198:DC261" si="407">$X198/$HD$290*DC$290</f>
        <v>0</v>
      </c>
      <c r="DD198" s="6">
        <f>SUMIF('Eredeti fejléccel'!$B:$B,'Felosztás eredménykim'!$B198,'Eredeti fejléccel'!$J:$J)</f>
        <v>0</v>
      </c>
      <c r="DE198" s="6">
        <f>SUMIF('Eredeti fejléccel'!$B:$B,'Felosztás eredménykim'!$B198,'Eredeti fejléccel'!$BM:$BM)</f>
        <v>0</v>
      </c>
      <c r="DF198" s="6">
        <f t="shared" si="296"/>
        <v>0</v>
      </c>
      <c r="DG198" s="8">
        <f t="shared" si="255"/>
        <v>0</v>
      </c>
      <c r="DH198" s="8">
        <f t="shared" si="297"/>
        <v>0</v>
      </c>
      <c r="DJ198" s="6">
        <f>SUMIF('Eredeti fejléccel'!$B:$B,'Felosztás eredménykim'!$B198,'Eredeti fejléccel'!$BN:$BN)</f>
        <v>0</v>
      </c>
      <c r="DK198" s="6">
        <f>SUMIF('Eredeti fejléccel'!$B:$B,'Felosztás eredménykim'!$B198,'Eredeti fejléccel'!$BZ:$BZ)</f>
        <v>0</v>
      </c>
      <c r="DL198" s="8">
        <f t="shared" si="298"/>
        <v>0</v>
      </c>
      <c r="DM198" s="6">
        <f>SUMIF('Eredeti fejléccel'!$B:$B,'Felosztás eredménykim'!$B198,'Eredeti fejléccel'!$BR:$BR)</f>
        <v>0</v>
      </c>
      <c r="DN198" s="6">
        <f>SUMIF('Eredeti fejléccel'!$B:$B,'Felosztás eredménykim'!$B198,'Eredeti fejléccel'!$BS:$BS)</f>
        <v>0</v>
      </c>
      <c r="DO198" s="6">
        <f>SUMIF('Eredeti fejléccel'!$B:$B,'Felosztás eredménykim'!$B198,'Eredeti fejléccel'!$BO:$BO)</f>
        <v>0</v>
      </c>
      <c r="DP198" s="6">
        <f>SUMIF('Eredeti fejléccel'!$B:$B,'Felosztás eredménykim'!$B198,'Eredeti fejléccel'!$BP:$BP)</f>
        <v>0</v>
      </c>
      <c r="DQ198" s="6">
        <f>SUMIF('Eredeti fejléccel'!$B:$B,'Felosztás eredménykim'!$B198,'Eredeti fejléccel'!$BQ:$BQ)</f>
        <v>0</v>
      </c>
      <c r="DS198" s="8"/>
      <c r="DU198" s="6">
        <f>SUMIF('Eredeti fejléccel'!$B:$B,'Felosztás eredménykim'!$B198,'Eredeti fejléccel'!$BT:$BT)</f>
        <v>0</v>
      </c>
      <c r="DV198" s="6">
        <f>SUMIF('Eredeti fejléccel'!$B:$B,'Felosztás eredménykim'!$B198,'Eredeti fejléccel'!$BU:$BU)</f>
        <v>0</v>
      </c>
      <c r="DW198" s="6">
        <f>SUMIF('Eredeti fejléccel'!$B:$B,'Felosztás eredménykim'!$B198,'Eredeti fejléccel'!$BV:$BV)</f>
        <v>0</v>
      </c>
      <c r="DX198" s="6">
        <f>SUMIF('Eredeti fejléccel'!$B:$B,'Felosztás eredménykim'!$B198,'Eredeti fejléccel'!$BW:$BW)</f>
        <v>0</v>
      </c>
      <c r="DY198" s="6">
        <f>SUMIF('Eredeti fejléccel'!$B:$B,'Felosztás eredménykim'!$B198,'Eredeti fejléccel'!$BX:$BX)</f>
        <v>0</v>
      </c>
      <c r="EA198" s="6"/>
      <c r="EC198" s="6"/>
      <c r="EE198" s="6">
        <f>SUMIF('Eredeti fejléccel'!$B:$B,'Felosztás eredménykim'!$B198,'Eredeti fejléccel'!$CA:$CA)</f>
        <v>0</v>
      </c>
      <c r="EF198" s="6">
        <f>SUMIF('Eredeti fejléccel'!$B:$B,'Felosztás eredménykim'!$B198,'Eredeti fejléccel'!$CB:$CB)</f>
        <v>0</v>
      </c>
      <c r="EG198" s="6">
        <f>SUMIF('Eredeti fejléccel'!$B:$B,'Felosztás eredménykim'!$B198,'Eredeti fejléccel'!$CC:$CC)</f>
        <v>0</v>
      </c>
      <c r="EH198" s="6">
        <f>SUMIF('Eredeti fejléccel'!$B:$B,'Felosztás eredménykim'!$B198,'Eredeti fejléccel'!$CD:$CD)</f>
        <v>0</v>
      </c>
      <c r="EK198" s="6">
        <f>SUMIF('Eredeti fejléccel'!$B:$B,'Felosztás eredménykim'!$B198,'Eredeti fejléccel'!$CE:$CE)</f>
        <v>0</v>
      </c>
      <c r="EN198" s="6">
        <f>SUMIF('Eredeti fejléccel'!$B:$B,'Felosztás eredménykim'!$B198,'Eredeti fejléccel'!$CF:$CF)</f>
        <v>0</v>
      </c>
      <c r="EP198" s="6">
        <f>SUMIF('Eredeti fejléccel'!$B:$B,'Felosztás eredménykim'!$B198,'Eredeti fejléccel'!$CG:$CG)</f>
        <v>0</v>
      </c>
      <c r="ES198" s="6">
        <f>SUMIF('Eredeti fejléccel'!$B:$B,'Felosztás eredménykim'!$B198,'Eredeti fejléccel'!$CH:$CH)</f>
        <v>0</v>
      </c>
      <c r="ET198" s="6">
        <f>SUMIF('Eredeti fejléccel'!$B:$B,'Felosztás eredménykim'!$B198,'Eredeti fejléccel'!$CI:$CI)</f>
        <v>0</v>
      </c>
      <c r="EW198" s="8">
        <f t="shared" si="288"/>
        <v>0</v>
      </c>
      <c r="EX198" s="8">
        <f t="shared" si="243"/>
        <v>0</v>
      </c>
      <c r="EY198" s="8">
        <f t="shared" si="244"/>
        <v>0</v>
      </c>
      <c r="EZ198" s="8">
        <f t="shared" si="289"/>
        <v>0</v>
      </c>
      <c r="FA198" s="8">
        <f t="shared" si="290"/>
        <v>0</v>
      </c>
      <c r="FC198" s="6">
        <f>SUMIF('Eredeti fejléccel'!$B:$B,'Felosztás eredménykim'!$B198,'Eredeti fejléccel'!$L:$L)</f>
        <v>0</v>
      </c>
      <c r="FD198" s="6">
        <f>SUMIF('Eredeti fejléccel'!$B:$B,'Felosztás eredménykim'!$B198,'Eredeti fejléccel'!$CJ:$CJ)</f>
        <v>0</v>
      </c>
      <c r="FE198" s="6">
        <f>SUMIF('Eredeti fejléccel'!$B:$B,'Felosztás eredménykim'!$B198,'Eredeti fejléccel'!$CL:$CL)</f>
        <v>0</v>
      </c>
      <c r="FG198" s="99">
        <f t="shared" si="245"/>
        <v>0</v>
      </c>
      <c r="FH198" s="6">
        <f>SUMIF('Eredeti fejléccel'!$B:$B,'Felosztás eredménykim'!$B198,'Eredeti fejléccel'!$CK:$CK)</f>
        <v>0</v>
      </c>
      <c r="FI198" s="36">
        <f t="shared" si="346"/>
        <v>0</v>
      </c>
      <c r="FJ198" s="101">
        <f t="shared" ref="FJ198:FJ261" si="408">$FG198/$HD$292*FJ$292</f>
        <v>0</v>
      </c>
      <c r="FK198" s="6">
        <f>SUMIF('Eredeti fejléccel'!$B:$B,'Felosztás eredménykim'!$B198,'Eredeti fejléccel'!$CM:$CM)</f>
        <v>0</v>
      </c>
      <c r="FL198" s="6">
        <f>SUMIF('Eredeti fejléccel'!$B:$B,'Felosztás eredménykim'!$B198,'Eredeti fejléccel'!$CN:$CN)</f>
        <v>0</v>
      </c>
      <c r="FM198" s="8">
        <f t="shared" si="246"/>
        <v>0</v>
      </c>
      <c r="FN198" s="36">
        <f t="shared" si="347"/>
        <v>0</v>
      </c>
      <c r="FO198" s="101">
        <f t="shared" ref="FO198:FO261" si="409">$FG198/$HD$292*FO$292</f>
        <v>0</v>
      </c>
      <c r="FP198" s="6">
        <f>SUMIF('Eredeti fejléccel'!$B:$B,'Felosztás eredménykim'!$B198,'Eredeti fejléccel'!$CO:$CO)</f>
        <v>0</v>
      </c>
      <c r="FQ198" s="6">
        <f>'Eredeti fejléccel'!CP198</f>
        <v>0</v>
      </c>
      <c r="FR198" s="6">
        <f>'Eredeti fejléccel'!CQ198</f>
        <v>0</v>
      </c>
      <c r="FS198" s="103">
        <f t="shared" si="247"/>
        <v>0</v>
      </c>
      <c r="FT198" s="36">
        <f t="shared" si="348"/>
        <v>0</v>
      </c>
      <c r="FU198" s="101">
        <f t="shared" ref="FU198:FU261" si="410">$FG198/$HD$292*FU$292</f>
        <v>0</v>
      </c>
      <c r="FV198" s="101"/>
      <c r="FW198" s="6">
        <f>SUMIF('Eredeti fejléccel'!$B:$B,'Felosztás eredménykim'!$B198,'Eredeti fejléccel'!$CR:$CR)</f>
        <v>0</v>
      </c>
      <c r="FX198" s="6">
        <f>SUMIF('Eredeti fejléccel'!$B:$B,'Felosztás eredménykim'!$B198,'Eredeti fejléccel'!$CS:$CS)</f>
        <v>0</v>
      </c>
      <c r="FY198" s="6">
        <f>SUMIF('Eredeti fejléccel'!$B:$B,'Felosztás eredménykim'!$B198,'Eredeti fejléccel'!$CT:$CT)</f>
        <v>0</v>
      </c>
      <c r="FZ198" s="6">
        <f>SUMIF('Eredeti fejléccel'!$B:$B,'Felosztás eredménykim'!$B198,'Eredeti fejléccel'!$CU:$CU)</f>
        <v>0</v>
      </c>
      <c r="GA198" s="103">
        <f t="shared" si="248"/>
        <v>0</v>
      </c>
      <c r="GB198" s="36">
        <f t="shared" si="349"/>
        <v>0</v>
      </c>
      <c r="GC198" s="101">
        <f t="shared" ref="GC198:GC261" si="411">$FG198/$HD$292*GC$292</f>
        <v>0</v>
      </c>
      <c r="GD198" s="6">
        <f>SUMIF('Eredeti fejléccel'!$B:$B,'Felosztás eredménykim'!$B198,'Eredeti fejléccel'!$CV:$CV)</f>
        <v>0</v>
      </c>
      <c r="GE198" s="6">
        <f>SUMIF('Eredeti fejléccel'!$B:$B,'Felosztás eredménykim'!$B198,'Eredeti fejléccel'!$CW:$CW)</f>
        <v>0</v>
      </c>
      <c r="GF198" s="103">
        <f t="shared" si="249"/>
        <v>0</v>
      </c>
      <c r="GG198" s="36">
        <f t="shared" ref="GG198:GG261" si="412">$X198/$HD$290*GG$290</f>
        <v>0</v>
      </c>
      <c r="GM198" s="6">
        <f>SUMIF('Eredeti fejléccel'!$B:$B,'Felosztás eredménykim'!$B198,'Eredeti fejléccel'!$CX:$CX)</f>
        <v>0</v>
      </c>
      <c r="GN198" s="6">
        <f>SUMIF('Eredeti fejléccel'!$B:$B,'Felosztás eredménykim'!$B198,'Eredeti fejléccel'!$CY:$CY)</f>
        <v>0</v>
      </c>
      <c r="GO198" s="6">
        <f>SUMIF('Eredeti fejléccel'!$B:$B,'Felosztás eredménykim'!$B198,'Eredeti fejléccel'!$CZ:$CZ)</f>
        <v>0</v>
      </c>
      <c r="GP198" s="6">
        <f>SUMIF('Eredeti fejléccel'!$B:$B,'Felosztás eredménykim'!$B198,'Eredeti fejléccel'!$DA:$DA)</f>
        <v>0</v>
      </c>
      <c r="GQ198" s="6">
        <f>SUMIF('Eredeti fejléccel'!$B:$B,'Felosztás eredménykim'!$B198,'Eredeti fejléccel'!$DB:$DB)</f>
        <v>0</v>
      </c>
      <c r="GR198" s="103">
        <f t="shared" si="250"/>
        <v>0</v>
      </c>
      <c r="GW198" s="36">
        <f t="shared" ref="GW198:GW261" si="413">$X198/$HD$290*GW$290</f>
        <v>0</v>
      </c>
      <c r="GX198" s="6">
        <f>SUMIF('Eredeti fejléccel'!$B:$B,'Felosztás eredménykim'!$B198,'Eredeti fejléccel'!$M:$M)</f>
        <v>0</v>
      </c>
      <c r="GY198" s="6">
        <f>SUMIF('Eredeti fejléccel'!$B:$B,'Felosztás eredménykim'!$B198,'Eredeti fejléccel'!$DC:$DC)</f>
        <v>0</v>
      </c>
      <c r="GZ198" s="6">
        <f>SUMIF('Eredeti fejléccel'!$B:$B,'Felosztás eredménykim'!$B198,'Eredeti fejléccel'!$DD:$DD)</f>
        <v>0</v>
      </c>
      <c r="HA198" s="6">
        <f>SUMIF('Eredeti fejléccel'!$B:$B,'Felosztás eredménykim'!$B198,'Eredeti fejléccel'!$DE:$DE)</f>
        <v>0</v>
      </c>
      <c r="HB198" s="103">
        <f t="shared" si="251"/>
        <v>0</v>
      </c>
      <c r="HD198" s="9">
        <f t="shared" si="350"/>
        <v>4579369.4399999892</v>
      </c>
      <c r="HE198" s="9">
        <v>4579369.4399999892</v>
      </c>
      <c r="HF198" s="476"/>
      <c r="HH198" s="34">
        <f t="shared" si="252"/>
        <v>0</v>
      </c>
    </row>
    <row r="199" spans="1:218" x14ac:dyDescent="0.25">
      <c r="A199" s="4" t="s">
        <v>884</v>
      </c>
      <c r="B199" s="4" t="s">
        <v>884</v>
      </c>
      <c r="D199" s="6">
        <f>SUMIF('Eredeti fejléccel'!$B:$B,'Felosztás eredménykim'!$B199,'Eredeti fejléccel'!$D:$D)</f>
        <v>0</v>
      </c>
      <c r="E199" s="6">
        <f>SUMIF('Eredeti fejléccel'!$B:$B,'Felosztás eredménykim'!$B199,'Eredeti fejléccel'!$E:$E)</f>
        <v>0</v>
      </c>
      <c r="F199" s="6">
        <f>SUMIF('Eredeti fejléccel'!$B:$B,'Felosztás eredménykim'!$B199,'Eredeti fejléccel'!$F:$F)</f>
        <v>0</v>
      </c>
      <c r="G199" s="6">
        <f>SUMIF('Eredeti fejléccel'!$B:$B,'Felosztás eredménykim'!$B199,'Eredeti fejléccel'!$G:$G)</f>
        <v>0</v>
      </c>
      <c r="H199" s="6"/>
      <c r="I199" s="6">
        <f>SUMIF('Eredeti fejléccel'!$B:$B,'Felosztás eredménykim'!$B199,'Eredeti fejléccel'!$O:$O)</f>
        <v>0</v>
      </c>
      <c r="J199" s="6">
        <f>SUMIF('Eredeti fejléccel'!$B:$B,'Felosztás eredménykim'!$B199,'Eredeti fejléccel'!$P:$P)</f>
        <v>0</v>
      </c>
      <c r="K199" s="6">
        <f>SUMIF('Eredeti fejléccel'!$B:$B,'Felosztás eredménykim'!$B199,'Eredeti fejléccel'!$Q:$Q)</f>
        <v>0</v>
      </c>
      <c r="L199" s="6">
        <f>SUMIF('Eredeti fejléccel'!$B:$B,'Felosztás eredménykim'!$B199,'Eredeti fejléccel'!$R:$R)</f>
        <v>0</v>
      </c>
      <c r="M199" s="6">
        <f>SUMIF('Eredeti fejléccel'!$B:$B,'Felosztás eredménykim'!$B199,'Eredeti fejléccel'!$T:$T)</f>
        <v>0</v>
      </c>
      <c r="N199" s="6">
        <f>SUMIF('Eredeti fejléccel'!$B:$B,'Felosztás eredménykim'!$B199,'Eredeti fejléccel'!$U:$U)</f>
        <v>0</v>
      </c>
      <c r="O199" s="6">
        <f>SUMIF('Eredeti fejléccel'!$B:$B,'Felosztás eredménykim'!$B199,'Eredeti fejléccel'!$V:$V)</f>
        <v>0</v>
      </c>
      <c r="P199" s="6">
        <f>SUMIF('Eredeti fejléccel'!$B:$B,'Felosztás eredménykim'!$B199,'Eredeti fejléccel'!$W:$W)</f>
        <v>0</v>
      </c>
      <c r="Q199" s="6">
        <f>SUMIF('Eredeti fejléccel'!$B:$B,'Felosztás eredménykim'!$B199,'Eredeti fejléccel'!$X:$X)</f>
        <v>0</v>
      </c>
      <c r="R199" s="6">
        <f>SUMIF('Eredeti fejléccel'!$B:$B,'Felosztás eredménykim'!$B199,'Eredeti fejléccel'!$Y:$Y)</f>
        <v>0</v>
      </c>
      <c r="S199" s="6">
        <f>SUMIF('Eredeti fejléccel'!$B:$B,'Felosztás eredménykim'!$B199,'Eredeti fejléccel'!$Z:$Z)</f>
        <v>0</v>
      </c>
      <c r="T199" s="6">
        <f>SUMIF('Eredeti fejléccel'!$B:$B,'Felosztás eredménykim'!$B199,'Eredeti fejléccel'!$AA:$AA)</f>
        <v>0</v>
      </c>
      <c r="U199" s="6">
        <f>SUMIF('Eredeti fejléccel'!$B:$B,'Felosztás eredménykim'!$B199,'Eredeti fejléccel'!$D:$D)</f>
        <v>0</v>
      </c>
      <c r="V199" s="6">
        <f>SUMIF('Eredeti fejléccel'!$B:$B,'Felosztás eredménykim'!$B199,'Eredeti fejléccel'!$AT:$AT)</f>
        <v>2680318</v>
      </c>
      <c r="W199" s="36">
        <f t="shared" si="368"/>
        <v>-2680318</v>
      </c>
      <c r="X199" s="36">
        <f t="shared" ref="X199:X263" si="414">SUM(D199:W199)</f>
        <v>0</v>
      </c>
      <c r="Z199" s="6">
        <f>SUMIF('Eredeti fejléccel'!$B:$B,'Felosztás eredménykim'!$B199,'Eredeti fejléccel'!$K:$K)</f>
        <v>0</v>
      </c>
      <c r="AB199" s="6">
        <f>SUMIF('Eredeti fejléccel'!$B:$B,'Felosztás eredménykim'!$B199,'Eredeti fejléccel'!$AB:$AB)</f>
        <v>0</v>
      </c>
      <c r="AC199" s="6">
        <f>SUMIF('Eredeti fejléccel'!$B:$B,'Felosztás eredménykim'!$B199,'Eredeti fejléccel'!$AQ:$AQ)</f>
        <v>0</v>
      </c>
      <c r="AE199" s="73">
        <f t="shared" si="299"/>
        <v>0</v>
      </c>
      <c r="AF199" s="36">
        <f t="shared" si="339"/>
        <v>0</v>
      </c>
      <c r="AG199" s="8">
        <f t="shared" si="399"/>
        <v>0</v>
      </c>
      <c r="AI199" s="6">
        <f>SUMIF('Eredeti fejléccel'!$B:$B,'Felosztás eredménykim'!$B199,'Eredeti fejléccel'!$BB:$BB)</f>
        <v>0</v>
      </c>
      <c r="AJ199" s="6">
        <f>SUMIF('Eredeti fejléccel'!$B:$B,'Felosztás eredménykim'!$B199,'Eredeti fejléccel'!$AF:$AF)</f>
        <v>0</v>
      </c>
      <c r="AK199" s="8">
        <f t="shared" si="177"/>
        <v>0</v>
      </c>
      <c r="AL199" s="36">
        <f t="shared" si="340"/>
        <v>0</v>
      </c>
      <c r="AM199" s="8">
        <f t="shared" si="400"/>
        <v>0</v>
      </c>
      <c r="AN199" s="6">
        <f t="shared" si="291"/>
        <v>0</v>
      </c>
      <c r="AO199" s="6">
        <f>SUMIF('Eredeti fejléccel'!$B:$B,'Felosztás eredménykim'!$B199,'Eredeti fejléccel'!$AC:$AC)</f>
        <v>0</v>
      </c>
      <c r="AP199" s="6">
        <f>SUMIF('Eredeti fejléccel'!$B:$B,'Felosztás eredménykim'!$B199,'Eredeti fejléccel'!$AD:$AD)</f>
        <v>0</v>
      </c>
      <c r="AQ199" s="6">
        <f>SUMIF('Eredeti fejléccel'!$B:$B,'Felosztás eredménykim'!$B199,'Eredeti fejléccel'!$AE:$AE)</f>
        <v>0</v>
      </c>
      <c r="AR199" s="6">
        <f>SUMIF('Eredeti fejléccel'!$B:$B,'Felosztás eredménykim'!$B199,'Eredeti fejléccel'!$AG:$AG)</f>
        <v>0</v>
      </c>
      <c r="AS199" s="6">
        <f t="shared" si="292"/>
        <v>0</v>
      </c>
      <c r="AT199" s="36">
        <f t="shared" si="341"/>
        <v>0</v>
      </c>
      <c r="AU199" s="8">
        <f t="shared" si="401"/>
        <v>0</v>
      </c>
      <c r="AV199" s="6">
        <f>SUMIF('Eredeti fejléccel'!$B:$B,'Felosztás eredménykim'!$B199,'Eredeti fejléccel'!$AI:$AI)</f>
        <v>0</v>
      </c>
      <c r="AW199" s="6">
        <f>SUMIF('Eredeti fejléccel'!$B:$B,'Felosztás eredménykim'!$B199,'Eredeti fejléccel'!$AJ:$AJ)</f>
        <v>0</v>
      </c>
      <c r="AX199" s="6">
        <f>SUMIF('Eredeti fejléccel'!$B:$B,'Felosztás eredménykim'!$B199,'Eredeti fejléccel'!$AK:$AK)</f>
        <v>0</v>
      </c>
      <c r="AY199" s="6">
        <f>SUMIF('Eredeti fejléccel'!$B:$B,'Felosztás eredménykim'!$B199,'Eredeti fejléccel'!$AL:$AL)</f>
        <v>0</v>
      </c>
      <c r="AZ199" s="6">
        <f>SUMIF('Eredeti fejléccel'!$B:$B,'Felosztás eredménykim'!$B199,'Eredeti fejléccel'!$AM:$AM)</f>
        <v>0</v>
      </c>
      <c r="BA199" s="6">
        <f>SUMIF('Eredeti fejléccel'!$B:$B,'Felosztás eredménykim'!$B199,'Eredeti fejléccel'!$AN:$AN)</f>
        <v>0</v>
      </c>
      <c r="BB199" s="6">
        <f>SUMIF('Eredeti fejléccel'!$B:$B,'Felosztás eredménykim'!$B199,'Eredeti fejléccel'!$AP:$AP)</f>
        <v>0</v>
      </c>
      <c r="BD199" s="6">
        <f>SUMIF('Eredeti fejléccel'!$B:$B,'Felosztás eredménykim'!$B199,'Eredeti fejléccel'!$AS:$AS)</f>
        <v>0</v>
      </c>
      <c r="BE199" s="8">
        <f t="shared" si="238"/>
        <v>0</v>
      </c>
      <c r="BF199" s="36">
        <f t="shared" si="342"/>
        <v>0</v>
      </c>
      <c r="BG199" s="8">
        <f t="shared" si="402"/>
        <v>0</v>
      </c>
      <c r="BH199" s="6">
        <f t="shared" si="293"/>
        <v>0</v>
      </c>
      <c r="BI199" s="6">
        <f>SUMIF('Eredeti fejléccel'!$B:$B,'Felosztás eredménykim'!$B199,'Eredeti fejléccel'!$AH:$AH)</f>
        <v>0</v>
      </c>
      <c r="BJ199" s="6">
        <f>SUMIF('Eredeti fejléccel'!$B:$B,'Felosztás eredménykim'!$B199,'Eredeti fejléccel'!$AO:$AO)</f>
        <v>0</v>
      </c>
      <c r="BK199" s="6">
        <f>SUMIF('Eredeti fejléccel'!$B:$B,'Felosztás eredménykim'!$B199,'Eredeti fejléccel'!$BF:$BF)</f>
        <v>0</v>
      </c>
      <c r="BL199" s="8">
        <f t="shared" si="294"/>
        <v>0</v>
      </c>
      <c r="BM199" s="36">
        <f t="shared" si="343"/>
        <v>0</v>
      </c>
      <c r="BN199" s="8">
        <f t="shared" si="403"/>
        <v>0</v>
      </c>
      <c r="BP199" s="8">
        <f t="shared" si="295"/>
        <v>0</v>
      </c>
      <c r="BQ199" s="6">
        <f>SUMIF('Eredeti fejléccel'!$B:$B,'Felosztás eredménykim'!$B199,'Eredeti fejléccel'!$N:$N)</f>
        <v>0</v>
      </c>
      <c r="BR199" s="6">
        <f>SUMIF('Eredeti fejléccel'!$B:$B,'Felosztás eredménykim'!$B199,'Eredeti fejléccel'!$S:$S)</f>
        <v>0</v>
      </c>
      <c r="BT199" s="6">
        <f>SUMIF('Eredeti fejléccel'!$B:$B,'Felosztás eredménykim'!$B199,'Eredeti fejléccel'!$AR:$AR)</f>
        <v>0</v>
      </c>
      <c r="BU199" s="6">
        <f>SUMIF('Eredeti fejléccel'!$B:$B,'Felosztás eredménykim'!$B199,'Eredeti fejléccel'!$AU:$AU)</f>
        <v>0</v>
      </c>
      <c r="BV199" s="6">
        <f>SUMIF('Eredeti fejléccel'!$B:$B,'Felosztás eredménykim'!$B199,'Eredeti fejléccel'!$AV:$AV)</f>
        <v>0</v>
      </c>
      <c r="BW199" s="6">
        <f>SUMIF('Eredeti fejléccel'!$B:$B,'Felosztás eredménykim'!$B199,'Eredeti fejléccel'!$AW:$AW)</f>
        <v>0</v>
      </c>
      <c r="BX199" s="6">
        <f>SUMIF('Eredeti fejléccel'!$B:$B,'Felosztás eredménykim'!$B199,'Eredeti fejléccel'!$AX:$AX)</f>
        <v>0</v>
      </c>
      <c r="BY199" s="6">
        <f>SUMIF('Eredeti fejléccel'!$B:$B,'Felosztás eredménykim'!$B199,'Eredeti fejléccel'!$AY:$AY)</f>
        <v>0</v>
      </c>
      <c r="BZ199" s="6">
        <f>SUMIF('Eredeti fejléccel'!$B:$B,'Felosztás eredménykim'!$B199,'Eredeti fejléccel'!$AZ:$AZ)</f>
        <v>0</v>
      </c>
      <c r="CA199" s="6">
        <f>SUMIF('Eredeti fejléccel'!$B:$B,'Felosztás eredménykim'!$B199,'Eredeti fejléccel'!$BA:$BA)</f>
        <v>0</v>
      </c>
      <c r="CB199" s="6">
        <f t="shared" si="253"/>
        <v>0</v>
      </c>
      <c r="CC199" s="36">
        <f t="shared" si="344"/>
        <v>0</v>
      </c>
      <c r="CD199" s="8">
        <f t="shared" si="404"/>
        <v>0</v>
      </c>
      <c r="CE199" s="6">
        <f>SUMIF('Eredeti fejléccel'!$B:$B,'Felosztás eredménykim'!$B199,'Eredeti fejléccel'!$BC:$BC)</f>
        <v>0</v>
      </c>
      <c r="CF199" s="8">
        <f t="shared" si="300"/>
        <v>0</v>
      </c>
      <c r="CG199" s="6">
        <f>SUMIF('Eredeti fejléccel'!$B:$B,'Felosztás eredménykim'!$B199,'Eredeti fejléccel'!$H:$H)</f>
        <v>0</v>
      </c>
      <c r="CH199" s="6">
        <f>SUMIF('Eredeti fejléccel'!$B:$B,'Felosztás eredménykim'!$B199,'Eredeti fejléccel'!$BE:$BE)</f>
        <v>0</v>
      </c>
      <c r="CI199" s="6">
        <f t="shared" si="239"/>
        <v>0</v>
      </c>
      <c r="CJ199" s="36">
        <f t="shared" si="345"/>
        <v>0</v>
      </c>
      <c r="CK199" s="8">
        <f t="shared" si="405"/>
        <v>0</v>
      </c>
      <c r="CL199" s="8">
        <f t="shared" si="301"/>
        <v>0</v>
      </c>
      <c r="CM199" s="6">
        <f>SUMIF('Eredeti fejléccel'!$B:$B,'Felosztás eredménykim'!$B199,'Eredeti fejléccel'!$BD:$BD)</f>
        <v>0</v>
      </c>
      <c r="CN199" s="8">
        <f t="shared" si="240"/>
        <v>0</v>
      </c>
      <c r="CO199" s="8">
        <f t="shared" si="254"/>
        <v>0</v>
      </c>
      <c r="CR199" s="36">
        <f t="shared" si="406"/>
        <v>0</v>
      </c>
      <c r="CS199" s="6">
        <f>SUMIF('Eredeti fejléccel'!$B:$B,'Felosztás eredménykim'!$B199,'Eredeti fejléccel'!$I:$I)</f>
        <v>0</v>
      </c>
      <c r="CT199" s="6">
        <f>SUMIF('Eredeti fejléccel'!$B:$B,'Felosztás eredménykim'!$B199,'Eredeti fejléccel'!$BG:$BG)</f>
        <v>0</v>
      </c>
      <c r="CU199" s="6">
        <f>SUMIF('Eredeti fejléccel'!$B:$B,'Felosztás eredménykim'!$B199,'Eredeti fejléccel'!$BH:$BH)</f>
        <v>0</v>
      </c>
      <c r="CV199" s="6">
        <f>SUMIF('Eredeti fejléccel'!$B:$B,'Felosztás eredménykim'!$B199,'Eredeti fejléccel'!$BI:$BI)</f>
        <v>0</v>
      </c>
      <c r="CW199" s="6">
        <f>SUMIF('Eredeti fejléccel'!$B:$B,'Felosztás eredménykim'!$B199,'Eredeti fejléccel'!$BL:$BL)</f>
        <v>0</v>
      </c>
      <c r="CX199" s="6">
        <f t="shared" si="241"/>
        <v>0</v>
      </c>
      <c r="CY199" s="6">
        <f>SUMIF('Eredeti fejléccel'!$B:$B,'Felosztás eredménykim'!$B199,'Eredeti fejléccel'!$BJ:$BJ)</f>
        <v>0</v>
      </c>
      <c r="CZ199" s="6">
        <f>SUMIF('Eredeti fejléccel'!$B:$B,'Felosztás eredménykim'!$B199,'Eredeti fejléccel'!$BK:$BK)</f>
        <v>0</v>
      </c>
      <c r="DA199" s="99">
        <f t="shared" si="242"/>
        <v>0</v>
      </c>
      <c r="DC199" s="36">
        <f t="shared" si="407"/>
        <v>0</v>
      </c>
      <c r="DD199" s="6">
        <f>SUMIF('Eredeti fejléccel'!$B:$B,'Felosztás eredménykim'!$B199,'Eredeti fejléccel'!$J:$J)</f>
        <v>0</v>
      </c>
      <c r="DE199" s="6">
        <f>SUMIF('Eredeti fejléccel'!$B:$B,'Felosztás eredménykim'!$B199,'Eredeti fejléccel'!$BM:$BM)</f>
        <v>0</v>
      </c>
      <c r="DF199" s="6">
        <f t="shared" si="296"/>
        <v>0</v>
      </c>
      <c r="DG199" s="8">
        <f t="shared" si="255"/>
        <v>0</v>
      </c>
      <c r="DH199" s="8">
        <f t="shared" si="297"/>
        <v>0</v>
      </c>
      <c r="DJ199" s="6">
        <f>SUMIF('Eredeti fejléccel'!$B:$B,'Felosztás eredménykim'!$B199,'Eredeti fejléccel'!$BN:$BN)</f>
        <v>0</v>
      </c>
      <c r="DK199" s="6">
        <f>SUMIF('Eredeti fejléccel'!$B:$B,'Felosztás eredménykim'!$B199,'Eredeti fejléccel'!$BZ:$BZ)</f>
        <v>0</v>
      </c>
      <c r="DL199" s="8">
        <f t="shared" si="298"/>
        <v>0</v>
      </c>
      <c r="DM199" s="6">
        <f>SUMIF('Eredeti fejléccel'!$B:$B,'Felosztás eredménykim'!$B199,'Eredeti fejléccel'!$BR:$BR)</f>
        <v>0</v>
      </c>
      <c r="DN199" s="6">
        <f>SUMIF('Eredeti fejléccel'!$B:$B,'Felosztás eredménykim'!$B199,'Eredeti fejléccel'!$BS:$BS)</f>
        <v>0</v>
      </c>
      <c r="DO199" s="6">
        <f>SUMIF('Eredeti fejléccel'!$B:$B,'Felosztás eredménykim'!$B199,'Eredeti fejléccel'!$BO:$BO)</f>
        <v>0</v>
      </c>
      <c r="DP199" s="6">
        <f>SUMIF('Eredeti fejléccel'!$B:$B,'Felosztás eredménykim'!$B199,'Eredeti fejléccel'!$BP:$BP)</f>
        <v>0</v>
      </c>
      <c r="DQ199" s="6">
        <f>SUMIF('Eredeti fejléccel'!$B:$B,'Felosztás eredménykim'!$B199,'Eredeti fejléccel'!$BQ:$BQ)</f>
        <v>0</v>
      </c>
      <c r="DS199" s="8"/>
      <c r="DU199" s="6">
        <f>SUMIF('Eredeti fejléccel'!$B:$B,'Felosztás eredménykim'!$B199,'Eredeti fejléccel'!$BT:$BT)</f>
        <v>0</v>
      </c>
      <c r="DV199" s="6">
        <f>SUMIF('Eredeti fejléccel'!$B:$B,'Felosztás eredménykim'!$B199,'Eredeti fejléccel'!$BU:$BU)</f>
        <v>0</v>
      </c>
      <c r="DW199" s="6">
        <f>SUMIF('Eredeti fejléccel'!$B:$B,'Felosztás eredménykim'!$B199,'Eredeti fejléccel'!$BV:$BV)</f>
        <v>0</v>
      </c>
      <c r="DX199" s="6">
        <f>SUMIF('Eredeti fejléccel'!$B:$B,'Felosztás eredménykim'!$B199,'Eredeti fejléccel'!$BW:$BW)</f>
        <v>0</v>
      </c>
      <c r="DY199" s="6">
        <f>SUMIF('Eredeti fejléccel'!$B:$B,'Felosztás eredménykim'!$B199,'Eredeti fejléccel'!$BX:$BX)</f>
        <v>0</v>
      </c>
      <c r="EA199" s="6"/>
      <c r="EC199" s="6"/>
      <c r="EE199" s="6">
        <f>SUMIF('Eredeti fejléccel'!$B:$B,'Felosztás eredménykim'!$B199,'Eredeti fejléccel'!$CA:$CA)</f>
        <v>0</v>
      </c>
      <c r="EF199" s="6">
        <f>SUMIF('Eredeti fejléccel'!$B:$B,'Felosztás eredménykim'!$B199,'Eredeti fejléccel'!$CB:$CB)</f>
        <v>0</v>
      </c>
      <c r="EG199" s="6">
        <f>SUMIF('Eredeti fejléccel'!$B:$B,'Felosztás eredménykim'!$B199,'Eredeti fejléccel'!$CC:$CC)</f>
        <v>0</v>
      </c>
      <c r="EH199" s="6">
        <f>SUMIF('Eredeti fejléccel'!$B:$B,'Felosztás eredménykim'!$B199,'Eredeti fejléccel'!$CD:$CD)</f>
        <v>0</v>
      </c>
      <c r="EK199" s="6">
        <f>SUMIF('Eredeti fejléccel'!$B:$B,'Felosztás eredménykim'!$B199,'Eredeti fejléccel'!$CE:$CE)</f>
        <v>0</v>
      </c>
      <c r="EN199" s="6">
        <f>SUMIF('Eredeti fejléccel'!$B:$B,'Felosztás eredménykim'!$B199,'Eredeti fejléccel'!$CF:$CF)</f>
        <v>0</v>
      </c>
      <c r="EP199" s="6">
        <f>SUMIF('Eredeti fejléccel'!$B:$B,'Felosztás eredménykim'!$B199,'Eredeti fejléccel'!$CG:$CG)</f>
        <v>0</v>
      </c>
      <c r="ES199" s="6">
        <f>SUMIF('Eredeti fejléccel'!$B:$B,'Felosztás eredménykim'!$B199,'Eredeti fejléccel'!$CH:$CH)</f>
        <v>0</v>
      </c>
      <c r="ET199" s="6">
        <f>SUMIF('Eredeti fejléccel'!$B:$B,'Felosztás eredménykim'!$B199,'Eredeti fejléccel'!$CI:$CI)</f>
        <v>0</v>
      </c>
      <c r="EW199" s="8">
        <f t="shared" si="288"/>
        <v>0</v>
      </c>
      <c r="EX199" s="8">
        <f t="shared" si="243"/>
        <v>0</v>
      </c>
      <c r="EY199" s="8">
        <f t="shared" si="244"/>
        <v>0</v>
      </c>
      <c r="EZ199" s="8">
        <f t="shared" si="289"/>
        <v>0</v>
      </c>
      <c r="FA199" s="8">
        <f t="shared" si="290"/>
        <v>0</v>
      </c>
      <c r="FC199" s="6">
        <f>SUMIF('Eredeti fejléccel'!$B:$B,'Felosztás eredménykim'!$B199,'Eredeti fejléccel'!$L:$L)</f>
        <v>0</v>
      </c>
      <c r="FD199" s="6">
        <f>SUMIF('Eredeti fejléccel'!$B:$B,'Felosztás eredménykim'!$B199,'Eredeti fejléccel'!$CJ:$CJ)</f>
        <v>0</v>
      </c>
      <c r="FE199" s="6">
        <f>SUMIF('Eredeti fejléccel'!$B:$B,'Felosztás eredménykim'!$B199,'Eredeti fejléccel'!$CL:$CL)</f>
        <v>0</v>
      </c>
      <c r="FG199" s="99">
        <f t="shared" si="245"/>
        <v>0</v>
      </c>
      <c r="FH199" s="6">
        <f>SUMIF('Eredeti fejléccel'!$B:$B,'Felosztás eredménykim'!$B199,'Eredeti fejléccel'!$CK:$CK)</f>
        <v>0</v>
      </c>
      <c r="FI199" s="36">
        <f t="shared" si="346"/>
        <v>0</v>
      </c>
      <c r="FJ199" s="101">
        <f t="shared" si="408"/>
        <v>0</v>
      </c>
      <c r="FK199" s="6">
        <f>SUMIF('Eredeti fejléccel'!$B:$B,'Felosztás eredménykim'!$B199,'Eredeti fejléccel'!$CM:$CM)</f>
        <v>0</v>
      </c>
      <c r="FL199" s="6">
        <f>SUMIF('Eredeti fejléccel'!$B:$B,'Felosztás eredménykim'!$B199,'Eredeti fejléccel'!$CN:$CN)</f>
        <v>0</v>
      </c>
      <c r="FM199" s="8">
        <f t="shared" si="246"/>
        <v>0</v>
      </c>
      <c r="FN199" s="36">
        <f t="shared" si="347"/>
        <v>0</v>
      </c>
      <c r="FO199" s="101">
        <f t="shared" si="409"/>
        <v>0</v>
      </c>
      <c r="FP199" s="6">
        <f>SUMIF('Eredeti fejléccel'!$B:$B,'Felosztás eredménykim'!$B199,'Eredeti fejléccel'!$CO:$CO)</f>
        <v>0</v>
      </c>
      <c r="FQ199" s="6">
        <f>'Eredeti fejléccel'!CP199</f>
        <v>0</v>
      </c>
      <c r="FR199" s="6">
        <f>'Eredeti fejléccel'!CQ199</f>
        <v>0</v>
      </c>
      <c r="FS199" s="103">
        <f t="shared" si="247"/>
        <v>0</v>
      </c>
      <c r="FT199" s="36">
        <f t="shared" si="348"/>
        <v>0</v>
      </c>
      <c r="FU199" s="101">
        <f t="shared" si="410"/>
        <v>0</v>
      </c>
      <c r="FV199" s="101"/>
      <c r="FW199" s="6">
        <f>SUMIF('Eredeti fejléccel'!$B:$B,'Felosztás eredménykim'!$B199,'Eredeti fejléccel'!$CR:$CR)</f>
        <v>0</v>
      </c>
      <c r="FX199" s="6">
        <f>SUMIF('Eredeti fejléccel'!$B:$B,'Felosztás eredménykim'!$B199,'Eredeti fejléccel'!$CS:$CS)</f>
        <v>0</v>
      </c>
      <c r="FY199" s="6">
        <f>SUMIF('Eredeti fejléccel'!$B:$B,'Felosztás eredménykim'!$B199,'Eredeti fejléccel'!$CT:$CT)</f>
        <v>0</v>
      </c>
      <c r="FZ199" s="6">
        <f>SUMIF('Eredeti fejléccel'!$B:$B,'Felosztás eredménykim'!$B199,'Eredeti fejléccel'!$CU:$CU)</f>
        <v>0</v>
      </c>
      <c r="GA199" s="103">
        <f t="shared" si="248"/>
        <v>0</v>
      </c>
      <c r="GB199" s="36">
        <f t="shared" si="349"/>
        <v>0</v>
      </c>
      <c r="GC199" s="101">
        <f t="shared" si="411"/>
        <v>0</v>
      </c>
      <c r="GD199" s="6">
        <f>SUMIF('Eredeti fejléccel'!$B:$B,'Felosztás eredménykim'!$B199,'Eredeti fejléccel'!$CV:$CV)</f>
        <v>0</v>
      </c>
      <c r="GE199" s="6">
        <f>SUMIF('Eredeti fejléccel'!$B:$B,'Felosztás eredménykim'!$B199,'Eredeti fejléccel'!$CW:$CW)</f>
        <v>0</v>
      </c>
      <c r="GF199" s="103">
        <f t="shared" si="249"/>
        <v>0</v>
      </c>
      <c r="GG199" s="36">
        <f t="shared" si="412"/>
        <v>0</v>
      </c>
      <c r="GM199" s="6">
        <f>SUMIF('Eredeti fejléccel'!$B:$B,'Felosztás eredménykim'!$B199,'Eredeti fejléccel'!$CX:$CX)</f>
        <v>0</v>
      </c>
      <c r="GN199" s="6">
        <f>SUMIF('Eredeti fejléccel'!$B:$B,'Felosztás eredménykim'!$B199,'Eredeti fejléccel'!$CY:$CY)</f>
        <v>0</v>
      </c>
      <c r="GO199" s="6">
        <f>SUMIF('Eredeti fejléccel'!$B:$B,'Felosztás eredménykim'!$B199,'Eredeti fejléccel'!$CZ:$CZ)</f>
        <v>0</v>
      </c>
      <c r="GP199" s="6">
        <f>SUMIF('Eredeti fejléccel'!$B:$B,'Felosztás eredménykim'!$B199,'Eredeti fejléccel'!$DA:$DA)</f>
        <v>0</v>
      </c>
      <c r="GQ199" s="6">
        <f>SUMIF('Eredeti fejléccel'!$B:$B,'Felosztás eredménykim'!$B199,'Eredeti fejléccel'!$DB:$DB)</f>
        <v>0</v>
      </c>
      <c r="GR199" s="103">
        <f t="shared" si="250"/>
        <v>0</v>
      </c>
      <c r="GW199" s="36">
        <f t="shared" si="413"/>
        <v>0</v>
      </c>
      <c r="GX199" s="6">
        <f>SUMIF('Eredeti fejléccel'!$B:$B,'Felosztás eredménykim'!$B199,'Eredeti fejléccel'!$M:$M)</f>
        <v>0</v>
      </c>
      <c r="GY199" s="6">
        <f>SUMIF('Eredeti fejléccel'!$B:$B,'Felosztás eredménykim'!$B199,'Eredeti fejléccel'!$DC:$DC)</f>
        <v>0</v>
      </c>
      <c r="GZ199" s="6">
        <f>SUMIF('Eredeti fejléccel'!$B:$B,'Felosztás eredménykim'!$B199,'Eredeti fejléccel'!$DD:$DD)</f>
        <v>0</v>
      </c>
      <c r="HA199" s="6">
        <f>SUMIF('Eredeti fejléccel'!$B:$B,'Felosztás eredménykim'!$B199,'Eredeti fejléccel'!$DE:$DE)</f>
        <v>0</v>
      </c>
      <c r="HB199" s="103">
        <f t="shared" si="251"/>
        <v>0</v>
      </c>
      <c r="HD199" s="9">
        <f t="shared" si="350"/>
        <v>2680318</v>
      </c>
      <c r="HE199" s="9">
        <v>2680318</v>
      </c>
      <c r="HF199" s="476"/>
      <c r="HH199" s="34">
        <f t="shared" si="252"/>
        <v>0</v>
      </c>
    </row>
    <row r="200" spans="1:218" x14ac:dyDescent="0.25">
      <c r="A200" s="4" t="s">
        <v>885</v>
      </c>
      <c r="B200" s="4" t="s">
        <v>885</v>
      </c>
      <c r="D200" s="6">
        <f>SUMIF('Eredeti fejléccel'!$B:$B,'Felosztás eredménykim'!$B200,'Eredeti fejléccel'!$D:$D)</f>
        <v>0</v>
      </c>
      <c r="E200" s="6">
        <f>SUMIF('Eredeti fejléccel'!$B:$B,'Felosztás eredménykim'!$B200,'Eredeti fejléccel'!$E:$E)</f>
        <v>0</v>
      </c>
      <c r="F200" s="6">
        <f>SUMIF('Eredeti fejléccel'!$B:$B,'Felosztás eredménykim'!$B200,'Eredeti fejléccel'!$F:$F)</f>
        <v>0</v>
      </c>
      <c r="G200" s="6">
        <f>SUMIF('Eredeti fejléccel'!$B:$B,'Felosztás eredménykim'!$B200,'Eredeti fejléccel'!$G:$G)</f>
        <v>0</v>
      </c>
      <c r="H200" s="6"/>
      <c r="I200" s="6">
        <f>SUMIF('Eredeti fejléccel'!$B:$B,'Felosztás eredménykim'!$B200,'Eredeti fejléccel'!$O:$O)</f>
        <v>0</v>
      </c>
      <c r="J200" s="6">
        <f>SUMIF('Eredeti fejléccel'!$B:$B,'Felosztás eredménykim'!$B200,'Eredeti fejléccel'!$P:$P)</f>
        <v>0</v>
      </c>
      <c r="K200" s="6">
        <f>SUMIF('Eredeti fejléccel'!$B:$B,'Felosztás eredménykim'!$B200,'Eredeti fejléccel'!$Q:$Q)</f>
        <v>0</v>
      </c>
      <c r="L200" s="6">
        <f>SUMIF('Eredeti fejléccel'!$B:$B,'Felosztás eredménykim'!$B200,'Eredeti fejléccel'!$R:$R)</f>
        <v>0</v>
      </c>
      <c r="M200" s="6">
        <f>SUMIF('Eredeti fejléccel'!$B:$B,'Felosztás eredménykim'!$B200,'Eredeti fejléccel'!$T:$T)</f>
        <v>0</v>
      </c>
      <c r="N200" s="6">
        <f>SUMIF('Eredeti fejléccel'!$B:$B,'Felosztás eredménykim'!$B200,'Eredeti fejléccel'!$U:$U)</f>
        <v>0</v>
      </c>
      <c r="O200" s="6">
        <f>SUMIF('Eredeti fejléccel'!$B:$B,'Felosztás eredménykim'!$B200,'Eredeti fejléccel'!$V:$V)</f>
        <v>0</v>
      </c>
      <c r="P200" s="6">
        <f>SUMIF('Eredeti fejléccel'!$B:$B,'Felosztás eredménykim'!$B200,'Eredeti fejléccel'!$W:$W)</f>
        <v>0</v>
      </c>
      <c r="Q200" s="6">
        <f>SUMIF('Eredeti fejléccel'!$B:$B,'Felosztás eredménykim'!$B200,'Eredeti fejléccel'!$X:$X)</f>
        <v>0</v>
      </c>
      <c r="R200" s="6">
        <f>SUMIF('Eredeti fejléccel'!$B:$B,'Felosztás eredménykim'!$B200,'Eredeti fejléccel'!$Y:$Y)</f>
        <v>0</v>
      </c>
      <c r="S200" s="6">
        <f>SUMIF('Eredeti fejléccel'!$B:$B,'Felosztás eredménykim'!$B200,'Eredeti fejléccel'!$Z:$Z)</f>
        <v>0</v>
      </c>
      <c r="T200" s="6">
        <f>SUMIF('Eredeti fejléccel'!$B:$B,'Felosztás eredménykim'!$B200,'Eredeti fejléccel'!$AA:$AA)</f>
        <v>0</v>
      </c>
      <c r="U200" s="6">
        <f>SUMIF('Eredeti fejléccel'!$B:$B,'Felosztás eredménykim'!$B200,'Eredeti fejléccel'!$D:$D)</f>
        <v>0</v>
      </c>
      <c r="V200" s="6">
        <f>SUMIF('Eredeti fejléccel'!$B:$B,'Felosztás eredménykim'!$B200,'Eredeti fejléccel'!$AT:$AT)</f>
        <v>639057.49000000011</v>
      </c>
      <c r="W200" s="36">
        <f t="shared" si="368"/>
        <v>-639057.49000000011</v>
      </c>
      <c r="X200" s="36">
        <f t="shared" si="414"/>
        <v>0</v>
      </c>
      <c r="Z200" s="6">
        <f>SUMIF('Eredeti fejléccel'!$B:$B,'Felosztás eredménykim'!$B200,'Eredeti fejléccel'!$K:$K)</f>
        <v>0</v>
      </c>
      <c r="AB200" s="6">
        <f>SUMIF('Eredeti fejléccel'!$B:$B,'Felosztás eredménykim'!$B200,'Eredeti fejléccel'!$AB:$AB)</f>
        <v>0</v>
      </c>
      <c r="AC200" s="6">
        <f>SUMIF('Eredeti fejléccel'!$B:$B,'Felosztás eredménykim'!$B200,'Eredeti fejléccel'!$AQ:$AQ)</f>
        <v>0</v>
      </c>
      <c r="AE200" s="73">
        <f t="shared" si="299"/>
        <v>0</v>
      </c>
      <c r="AF200" s="36">
        <f t="shared" si="339"/>
        <v>0</v>
      </c>
      <c r="AG200" s="8">
        <f t="shared" si="399"/>
        <v>0</v>
      </c>
      <c r="AI200" s="6">
        <f>SUMIF('Eredeti fejléccel'!$B:$B,'Felosztás eredménykim'!$B200,'Eredeti fejléccel'!$BB:$BB)</f>
        <v>0</v>
      </c>
      <c r="AJ200" s="6">
        <f>SUMIF('Eredeti fejléccel'!$B:$B,'Felosztás eredménykim'!$B200,'Eredeti fejléccel'!$AF:$AF)</f>
        <v>0</v>
      </c>
      <c r="AK200" s="8">
        <f t="shared" si="177"/>
        <v>0</v>
      </c>
      <c r="AL200" s="36">
        <f t="shared" si="340"/>
        <v>0</v>
      </c>
      <c r="AM200" s="8">
        <f t="shared" si="400"/>
        <v>0</v>
      </c>
      <c r="AN200" s="6">
        <f t="shared" si="291"/>
        <v>0</v>
      </c>
      <c r="AO200" s="6">
        <f>SUMIF('Eredeti fejléccel'!$B:$B,'Felosztás eredménykim'!$B200,'Eredeti fejléccel'!$AC:$AC)</f>
        <v>0</v>
      </c>
      <c r="AP200" s="6">
        <f>SUMIF('Eredeti fejléccel'!$B:$B,'Felosztás eredménykim'!$B200,'Eredeti fejléccel'!$AD:$AD)</f>
        <v>0</v>
      </c>
      <c r="AQ200" s="6">
        <f>SUMIF('Eredeti fejléccel'!$B:$B,'Felosztás eredménykim'!$B200,'Eredeti fejléccel'!$AE:$AE)</f>
        <v>0</v>
      </c>
      <c r="AR200" s="6">
        <f>SUMIF('Eredeti fejléccel'!$B:$B,'Felosztás eredménykim'!$B200,'Eredeti fejléccel'!$AG:$AG)</f>
        <v>0</v>
      </c>
      <c r="AS200" s="6">
        <f t="shared" si="292"/>
        <v>0</v>
      </c>
      <c r="AT200" s="36">
        <f t="shared" si="341"/>
        <v>0</v>
      </c>
      <c r="AU200" s="8">
        <f t="shared" si="401"/>
        <v>0</v>
      </c>
      <c r="AV200" s="6">
        <f>SUMIF('Eredeti fejléccel'!$B:$B,'Felosztás eredménykim'!$B200,'Eredeti fejléccel'!$AI:$AI)</f>
        <v>0</v>
      </c>
      <c r="AW200" s="6">
        <f>SUMIF('Eredeti fejléccel'!$B:$B,'Felosztás eredménykim'!$B200,'Eredeti fejléccel'!$AJ:$AJ)</f>
        <v>0</v>
      </c>
      <c r="AX200" s="6">
        <f>SUMIF('Eredeti fejléccel'!$B:$B,'Felosztás eredménykim'!$B200,'Eredeti fejléccel'!$AK:$AK)</f>
        <v>0</v>
      </c>
      <c r="AY200" s="6">
        <f>SUMIF('Eredeti fejléccel'!$B:$B,'Felosztás eredménykim'!$B200,'Eredeti fejléccel'!$AL:$AL)</f>
        <v>0</v>
      </c>
      <c r="AZ200" s="6">
        <f>SUMIF('Eredeti fejléccel'!$B:$B,'Felosztás eredménykim'!$B200,'Eredeti fejléccel'!$AM:$AM)</f>
        <v>0</v>
      </c>
      <c r="BA200" s="6">
        <f>SUMIF('Eredeti fejléccel'!$B:$B,'Felosztás eredménykim'!$B200,'Eredeti fejléccel'!$AN:$AN)</f>
        <v>0</v>
      </c>
      <c r="BB200" s="6">
        <f>SUMIF('Eredeti fejléccel'!$B:$B,'Felosztás eredménykim'!$B200,'Eredeti fejléccel'!$AP:$AP)</f>
        <v>0</v>
      </c>
      <c r="BD200" s="6">
        <f>SUMIF('Eredeti fejléccel'!$B:$B,'Felosztás eredménykim'!$B200,'Eredeti fejléccel'!$AS:$AS)</f>
        <v>0</v>
      </c>
      <c r="BE200" s="8">
        <f t="shared" si="238"/>
        <v>0</v>
      </c>
      <c r="BF200" s="36">
        <f t="shared" si="342"/>
        <v>0</v>
      </c>
      <c r="BG200" s="8">
        <f t="shared" si="402"/>
        <v>0</v>
      </c>
      <c r="BH200" s="6">
        <f t="shared" si="293"/>
        <v>0</v>
      </c>
      <c r="BI200" s="6">
        <f>SUMIF('Eredeti fejléccel'!$B:$B,'Felosztás eredménykim'!$B200,'Eredeti fejléccel'!$AH:$AH)</f>
        <v>0</v>
      </c>
      <c r="BJ200" s="6">
        <f>SUMIF('Eredeti fejléccel'!$B:$B,'Felosztás eredménykim'!$B200,'Eredeti fejléccel'!$AO:$AO)</f>
        <v>0</v>
      </c>
      <c r="BK200" s="6">
        <f>SUMIF('Eredeti fejléccel'!$B:$B,'Felosztás eredménykim'!$B200,'Eredeti fejléccel'!$BF:$BF)</f>
        <v>0</v>
      </c>
      <c r="BL200" s="8">
        <f t="shared" si="294"/>
        <v>0</v>
      </c>
      <c r="BM200" s="36">
        <f t="shared" si="343"/>
        <v>0</v>
      </c>
      <c r="BN200" s="8">
        <f t="shared" si="403"/>
        <v>0</v>
      </c>
      <c r="BP200" s="8">
        <f t="shared" si="295"/>
        <v>0</v>
      </c>
      <c r="BQ200" s="6">
        <f>SUMIF('Eredeti fejléccel'!$B:$B,'Felosztás eredménykim'!$B200,'Eredeti fejléccel'!$N:$N)</f>
        <v>0</v>
      </c>
      <c r="BR200" s="6">
        <f>SUMIF('Eredeti fejléccel'!$B:$B,'Felosztás eredménykim'!$B200,'Eredeti fejléccel'!$S:$S)</f>
        <v>0</v>
      </c>
      <c r="BT200" s="6">
        <f>SUMIF('Eredeti fejléccel'!$B:$B,'Felosztás eredménykim'!$B200,'Eredeti fejléccel'!$AR:$AR)</f>
        <v>0</v>
      </c>
      <c r="BU200" s="6">
        <f>SUMIF('Eredeti fejléccel'!$B:$B,'Felosztás eredménykim'!$B200,'Eredeti fejléccel'!$AU:$AU)</f>
        <v>0</v>
      </c>
      <c r="BV200" s="6">
        <f>SUMIF('Eredeti fejléccel'!$B:$B,'Felosztás eredménykim'!$B200,'Eredeti fejléccel'!$AV:$AV)</f>
        <v>0</v>
      </c>
      <c r="BW200" s="6">
        <f>SUMIF('Eredeti fejléccel'!$B:$B,'Felosztás eredménykim'!$B200,'Eredeti fejléccel'!$AW:$AW)</f>
        <v>0</v>
      </c>
      <c r="BX200" s="6">
        <f>SUMIF('Eredeti fejléccel'!$B:$B,'Felosztás eredménykim'!$B200,'Eredeti fejléccel'!$AX:$AX)</f>
        <v>0</v>
      </c>
      <c r="BY200" s="6">
        <f>SUMIF('Eredeti fejléccel'!$B:$B,'Felosztás eredménykim'!$B200,'Eredeti fejléccel'!$AY:$AY)</f>
        <v>0</v>
      </c>
      <c r="BZ200" s="6">
        <f>SUMIF('Eredeti fejléccel'!$B:$B,'Felosztás eredménykim'!$B200,'Eredeti fejléccel'!$AZ:$AZ)</f>
        <v>0</v>
      </c>
      <c r="CA200" s="6">
        <f>SUMIF('Eredeti fejléccel'!$B:$B,'Felosztás eredménykim'!$B200,'Eredeti fejléccel'!$BA:$BA)</f>
        <v>0</v>
      </c>
      <c r="CB200" s="6">
        <f t="shared" si="253"/>
        <v>0</v>
      </c>
      <c r="CC200" s="36">
        <f t="shared" si="344"/>
        <v>0</v>
      </c>
      <c r="CD200" s="8">
        <f t="shared" si="404"/>
        <v>0</v>
      </c>
      <c r="CE200" s="6">
        <f>SUMIF('Eredeti fejléccel'!$B:$B,'Felosztás eredménykim'!$B200,'Eredeti fejléccel'!$BC:$BC)</f>
        <v>0</v>
      </c>
      <c r="CF200" s="8">
        <f t="shared" si="300"/>
        <v>0</v>
      </c>
      <c r="CG200" s="6">
        <f>SUMIF('Eredeti fejléccel'!$B:$B,'Felosztás eredménykim'!$B200,'Eredeti fejléccel'!$H:$H)</f>
        <v>0</v>
      </c>
      <c r="CH200" s="6">
        <f>SUMIF('Eredeti fejléccel'!$B:$B,'Felosztás eredménykim'!$B200,'Eredeti fejléccel'!$BE:$BE)</f>
        <v>0</v>
      </c>
      <c r="CI200" s="6">
        <f t="shared" si="239"/>
        <v>0</v>
      </c>
      <c r="CJ200" s="36">
        <f t="shared" si="345"/>
        <v>0</v>
      </c>
      <c r="CK200" s="8">
        <f t="shared" si="405"/>
        <v>0</v>
      </c>
      <c r="CL200" s="8">
        <f t="shared" si="301"/>
        <v>0</v>
      </c>
      <c r="CM200" s="6">
        <f>SUMIF('Eredeti fejléccel'!$B:$B,'Felosztás eredménykim'!$B200,'Eredeti fejléccel'!$BD:$BD)</f>
        <v>0</v>
      </c>
      <c r="CN200" s="8">
        <f t="shared" si="240"/>
        <v>0</v>
      </c>
      <c r="CO200" s="8">
        <f t="shared" si="254"/>
        <v>0</v>
      </c>
      <c r="CR200" s="36">
        <f t="shared" si="406"/>
        <v>0</v>
      </c>
      <c r="CS200" s="6">
        <f>SUMIF('Eredeti fejléccel'!$B:$B,'Felosztás eredménykim'!$B200,'Eredeti fejléccel'!$I:$I)</f>
        <v>0</v>
      </c>
      <c r="CT200" s="6">
        <f>SUMIF('Eredeti fejléccel'!$B:$B,'Felosztás eredménykim'!$B200,'Eredeti fejléccel'!$BG:$BG)</f>
        <v>0</v>
      </c>
      <c r="CU200" s="6">
        <f>SUMIF('Eredeti fejléccel'!$B:$B,'Felosztás eredménykim'!$B200,'Eredeti fejléccel'!$BH:$BH)</f>
        <v>0</v>
      </c>
      <c r="CV200" s="6">
        <f>SUMIF('Eredeti fejléccel'!$B:$B,'Felosztás eredménykim'!$B200,'Eredeti fejléccel'!$BI:$BI)</f>
        <v>0</v>
      </c>
      <c r="CW200" s="6">
        <f>SUMIF('Eredeti fejléccel'!$B:$B,'Felosztás eredménykim'!$B200,'Eredeti fejléccel'!$BL:$BL)</f>
        <v>0</v>
      </c>
      <c r="CX200" s="6">
        <f t="shared" si="241"/>
        <v>0</v>
      </c>
      <c r="CY200" s="6">
        <f>SUMIF('Eredeti fejléccel'!$B:$B,'Felosztás eredménykim'!$B200,'Eredeti fejléccel'!$BJ:$BJ)</f>
        <v>0</v>
      </c>
      <c r="CZ200" s="6">
        <f>SUMIF('Eredeti fejléccel'!$B:$B,'Felosztás eredménykim'!$B200,'Eredeti fejléccel'!$BK:$BK)</f>
        <v>0</v>
      </c>
      <c r="DA200" s="99">
        <f t="shared" ref="DA200:DA264" si="415">SUM(CX200:CZ200)</f>
        <v>0</v>
      </c>
      <c r="DC200" s="36">
        <f t="shared" si="407"/>
        <v>0</v>
      </c>
      <c r="DD200" s="6">
        <f>SUMIF('Eredeti fejléccel'!$B:$B,'Felosztás eredménykim'!$B200,'Eredeti fejléccel'!$J:$J)</f>
        <v>0</v>
      </c>
      <c r="DE200" s="6">
        <f>SUMIF('Eredeti fejléccel'!$B:$B,'Felosztás eredménykim'!$B200,'Eredeti fejléccel'!$BM:$BM)</f>
        <v>0</v>
      </c>
      <c r="DF200" s="6">
        <f t="shared" si="296"/>
        <v>0</v>
      </c>
      <c r="DG200" s="8">
        <f t="shared" si="255"/>
        <v>0</v>
      </c>
      <c r="DH200" s="8">
        <f t="shared" si="297"/>
        <v>0</v>
      </c>
      <c r="DJ200" s="6">
        <f>SUMIF('Eredeti fejléccel'!$B:$B,'Felosztás eredménykim'!$B200,'Eredeti fejléccel'!$BN:$BN)</f>
        <v>0</v>
      </c>
      <c r="DK200" s="6">
        <f>SUMIF('Eredeti fejléccel'!$B:$B,'Felosztás eredménykim'!$B200,'Eredeti fejléccel'!$BZ:$BZ)</f>
        <v>0</v>
      </c>
      <c r="DL200" s="8">
        <f t="shared" si="298"/>
        <v>0</v>
      </c>
      <c r="DM200" s="6">
        <f>SUMIF('Eredeti fejléccel'!$B:$B,'Felosztás eredménykim'!$B200,'Eredeti fejléccel'!$BR:$BR)</f>
        <v>0</v>
      </c>
      <c r="DN200" s="6">
        <f>SUMIF('Eredeti fejléccel'!$B:$B,'Felosztás eredménykim'!$B200,'Eredeti fejléccel'!$BS:$BS)</f>
        <v>0</v>
      </c>
      <c r="DO200" s="6">
        <f>SUMIF('Eredeti fejléccel'!$B:$B,'Felosztás eredménykim'!$B200,'Eredeti fejléccel'!$BO:$BO)</f>
        <v>0</v>
      </c>
      <c r="DP200" s="6">
        <f>SUMIF('Eredeti fejléccel'!$B:$B,'Felosztás eredménykim'!$B200,'Eredeti fejléccel'!$BP:$BP)</f>
        <v>0</v>
      </c>
      <c r="DQ200" s="6">
        <f>SUMIF('Eredeti fejléccel'!$B:$B,'Felosztás eredménykim'!$B200,'Eredeti fejléccel'!$BQ:$BQ)</f>
        <v>0</v>
      </c>
      <c r="DS200" s="8"/>
      <c r="DU200" s="6">
        <f>SUMIF('Eredeti fejléccel'!$B:$B,'Felosztás eredménykim'!$B200,'Eredeti fejléccel'!$BT:$BT)</f>
        <v>0</v>
      </c>
      <c r="DV200" s="6">
        <f>SUMIF('Eredeti fejléccel'!$B:$B,'Felosztás eredménykim'!$B200,'Eredeti fejléccel'!$BU:$BU)</f>
        <v>0</v>
      </c>
      <c r="DW200" s="6">
        <f>SUMIF('Eredeti fejléccel'!$B:$B,'Felosztás eredménykim'!$B200,'Eredeti fejléccel'!$BV:$BV)</f>
        <v>0</v>
      </c>
      <c r="DX200" s="6">
        <f>SUMIF('Eredeti fejléccel'!$B:$B,'Felosztás eredménykim'!$B200,'Eredeti fejléccel'!$BW:$BW)</f>
        <v>0</v>
      </c>
      <c r="DY200" s="6">
        <f>SUMIF('Eredeti fejléccel'!$B:$B,'Felosztás eredménykim'!$B200,'Eredeti fejléccel'!$BX:$BX)</f>
        <v>0</v>
      </c>
      <c r="EA200" s="6"/>
      <c r="EC200" s="6"/>
      <c r="EE200" s="6">
        <f>SUMIF('Eredeti fejléccel'!$B:$B,'Felosztás eredménykim'!$B200,'Eredeti fejléccel'!$CA:$CA)</f>
        <v>0</v>
      </c>
      <c r="EF200" s="6">
        <f>SUMIF('Eredeti fejléccel'!$B:$B,'Felosztás eredménykim'!$B200,'Eredeti fejléccel'!$CB:$CB)</f>
        <v>0</v>
      </c>
      <c r="EG200" s="6">
        <f>SUMIF('Eredeti fejléccel'!$B:$B,'Felosztás eredménykim'!$B200,'Eredeti fejléccel'!$CC:$CC)</f>
        <v>0</v>
      </c>
      <c r="EH200" s="6">
        <f>SUMIF('Eredeti fejléccel'!$B:$B,'Felosztás eredménykim'!$B200,'Eredeti fejléccel'!$CD:$CD)</f>
        <v>0</v>
      </c>
      <c r="EK200" s="6">
        <f>SUMIF('Eredeti fejléccel'!$B:$B,'Felosztás eredménykim'!$B200,'Eredeti fejléccel'!$CE:$CE)</f>
        <v>0</v>
      </c>
      <c r="EN200" s="6">
        <f>SUMIF('Eredeti fejléccel'!$B:$B,'Felosztás eredménykim'!$B200,'Eredeti fejléccel'!$CF:$CF)</f>
        <v>0</v>
      </c>
      <c r="EP200" s="6">
        <f>SUMIF('Eredeti fejléccel'!$B:$B,'Felosztás eredménykim'!$B200,'Eredeti fejléccel'!$CG:$CG)</f>
        <v>0</v>
      </c>
      <c r="ES200" s="6">
        <f>SUMIF('Eredeti fejléccel'!$B:$B,'Felosztás eredménykim'!$B200,'Eredeti fejléccel'!$CH:$CH)</f>
        <v>0</v>
      </c>
      <c r="ET200" s="6">
        <f>SUMIF('Eredeti fejléccel'!$B:$B,'Felosztás eredménykim'!$B200,'Eredeti fejléccel'!$CI:$CI)</f>
        <v>0</v>
      </c>
      <c r="EW200" s="8">
        <f t="shared" si="288"/>
        <v>0</v>
      </c>
      <c r="EX200" s="8">
        <f t="shared" si="243"/>
        <v>0</v>
      </c>
      <c r="EY200" s="8">
        <f t="shared" ref="EY200:EY264" si="416">SUM(DR200:EV200)+DH200+DN200+DP200-DS200-DT200</f>
        <v>0</v>
      </c>
      <c r="EZ200" s="8">
        <f t="shared" si="289"/>
        <v>0</v>
      </c>
      <c r="FA200" s="8">
        <f t="shared" si="290"/>
        <v>0</v>
      </c>
      <c r="FC200" s="6">
        <f>SUMIF('Eredeti fejléccel'!$B:$B,'Felosztás eredménykim'!$B200,'Eredeti fejléccel'!$L:$L)</f>
        <v>0</v>
      </c>
      <c r="FD200" s="6">
        <f>SUMIF('Eredeti fejléccel'!$B:$B,'Felosztás eredménykim'!$B200,'Eredeti fejléccel'!$CJ:$CJ)</f>
        <v>0</v>
      </c>
      <c r="FE200" s="6">
        <f>SUMIF('Eredeti fejléccel'!$B:$B,'Felosztás eredménykim'!$B200,'Eredeti fejléccel'!$CL:$CL)</f>
        <v>0</v>
      </c>
      <c r="FG200" s="99">
        <f t="shared" si="245"/>
        <v>0</v>
      </c>
      <c r="FH200" s="6">
        <f>SUMIF('Eredeti fejléccel'!$B:$B,'Felosztás eredménykim'!$B200,'Eredeti fejléccel'!$CK:$CK)</f>
        <v>0</v>
      </c>
      <c r="FI200" s="36">
        <f t="shared" si="346"/>
        <v>0</v>
      </c>
      <c r="FJ200" s="101">
        <f t="shared" si="408"/>
        <v>0</v>
      </c>
      <c r="FK200" s="6">
        <f>SUMIF('Eredeti fejléccel'!$B:$B,'Felosztás eredménykim'!$B200,'Eredeti fejléccel'!$CM:$CM)</f>
        <v>0</v>
      </c>
      <c r="FL200" s="6">
        <f>SUMIF('Eredeti fejléccel'!$B:$B,'Felosztás eredménykim'!$B200,'Eredeti fejléccel'!$CN:$CN)</f>
        <v>0</v>
      </c>
      <c r="FM200" s="8">
        <f t="shared" si="246"/>
        <v>0</v>
      </c>
      <c r="FN200" s="36">
        <f t="shared" si="347"/>
        <v>0</v>
      </c>
      <c r="FO200" s="101">
        <f t="shared" si="409"/>
        <v>0</v>
      </c>
      <c r="FP200" s="6">
        <f>SUMIF('Eredeti fejléccel'!$B:$B,'Felosztás eredménykim'!$B200,'Eredeti fejléccel'!$CO:$CO)</f>
        <v>0</v>
      </c>
      <c r="FQ200" s="6">
        <f>'Eredeti fejléccel'!CP200</f>
        <v>0</v>
      </c>
      <c r="FR200" s="6">
        <f>'Eredeti fejléccel'!CQ200</f>
        <v>0</v>
      </c>
      <c r="FS200" s="103">
        <f t="shared" si="247"/>
        <v>0</v>
      </c>
      <c r="FT200" s="36">
        <f t="shared" si="348"/>
        <v>0</v>
      </c>
      <c r="FU200" s="101">
        <f t="shared" si="410"/>
        <v>0</v>
      </c>
      <c r="FV200" s="101"/>
      <c r="FW200" s="6">
        <f>SUMIF('Eredeti fejléccel'!$B:$B,'Felosztás eredménykim'!$B200,'Eredeti fejléccel'!$CR:$CR)</f>
        <v>0</v>
      </c>
      <c r="FX200" s="6">
        <f>SUMIF('Eredeti fejléccel'!$B:$B,'Felosztás eredménykim'!$B200,'Eredeti fejléccel'!$CS:$CS)</f>
        <v>0</v>
      </c>
      <c r="FY200" s="6">
        <f>SUMIF('Eredeti fejléccel'!$B:$B,'Felosztás eredménykim'!$B200,'Eredeti fejléccel'!$CT:$CT)</f>
        <v>0</v>
      </c>
      <c r="FZ200" s="6">
        <f>SUMIF('Eredeti fejléccel'!$B:$B,'Felosztás eredménykim'!$B200,'Eredeti fejléccel'!$CU:$CU)</f>
        <v>0</v>
      </c>
      <c r="GA200" s="103">
        <f t="shared" si="248"/>
        <v>0</v>
      </c>
      <c r="GB200" s="36">
        <f t="shared" si="349"/>
        <v>0</v>
      </c>
      <c r="GC200" s="101">
        <f t="shared" si="411"/>
        <v>0</v>
      </c>
      <c r="GD200" s="6">
        <f>SUMIF('Eredeti fejléccel'!$B:$B,'Felosztás eredménykim'!$B200,'Eredeti fejléccel'!$CV:$CV)</f>
        <v>0</v>
      </c>
      <c r="GE200" s="6">
        <f>SUMIF('Eredeti fejléccel'!$B:$B,'Felosztás eredménykim'!$B200,'Eredeti fejléccel'!$CW:$CW)</f>
        <v>0</v>
      </c>
      <c r="GF200" s="103">
        <f t="shared" si="249"/>
        <v>0</v>
      </c>
      <c r="GG200" s="36">
        <f t="shared" si="412"/>
        <v>0</v>
      </c>
      <c r="GM200" s="6">
        <f>SUMIF('Eredeti fejléccel'!$B:$B,'Felosztás eredménykim'!$B200,'Eredeti fejléccel'!$CX:$CX)</f>
        <v>0</v>
      </c>
      <c r="GN200" s="6">
        <f>SUMIF('Eredeti fejléccel'!$B:$B,'Felosztás eredménykim'!$B200,'Eredeti fejléccel'!$CY:$CY)</f>
        <v>0</v>
      </c>
      <c r="GO200" s="6">
        <f>SUMIF('Eredeti fejléccel'!$B:$B,'Felosztás eredménykim'!$B200,'Eredeti fejléccel'!$CZ:$CZ)</f>
        <v>0</v>
      </c>
      <c r="GP200" s="6">
        <f>SUMIF('Eredeti fejléccel'!$B:$B,'Felosztás eredménykim'!$B200,'Eredeti fejléccel'!$DA:$DA)</f>
        <v>0</v>
      </c>
      <c r="GQ200" s="6">
        <f>SUMIF('Eredeti fejléccel'!$B:$B,'Felosztás eredménykim'!$B200,'Eredeti fejléccel'!$DB:$DB)</f>
        <v>0</v>
      </c>
      <c r="GR200" s="103">
        <f t="shared" si="250"/>
        <v>0</v>
      </c>
      <c r="GW200" s="36">
        <f t="shared" si="413"/>
        <v>0</v>
      </c>
      <c r="GX200" s="6">
        <f>SUMIF('Eredeti fejléccel'!$B:$B,'Felosztás eredménykim'!$B200,'Eredeti fejléccel'!$M:$M)</f>
        <v>0</v>
      </c>
      <c r="GY200" s="6">
        <f>SUMIF('Eredeti fejléccel'!$B:$B,'Felosztás eredménykim'!$B200,'Eredeti fejléccel'!$DC:$DC)</f>
        <v>0</v>
      </c>
      <c r="GZ200" s="6">
        <f>SUMIF('Eredeti fejléccel'!$B:$B,'Felosztás eredménykim'!$B200,'Eredeti fejléccel'!$DD:$DD)</f>
        <v>0</v>
      </c>
      <c r="HA200" s="6">
        <f>SUMIF('Eredeti fejléccel'!$B:$B,'Felosztás eredménykim'!$B200,'Eredeti fejléccel'!$DE:$DE)</f>
        <v>0</v>
      </c>
      <c r="HB200" s="103">
        <f t="shared" si="251"/>
        <v>0</v>
      </c>
      <c r="HD200" s="9">
        <f t="shared" si="350"/>
        <v>639057.49000000011</v>
      </c>
      <c r="HE200" s="9">
        <v>639057.49000000011</v>
      </c>
      <c r="HF200" s="476"/>
      <c r="HH200" s="34">
        <f t="shared" si="252"/>
        <v>0</v>
      </c>
    </row>
    <row r="201" spans="1:218" x14ac:dyDescent="0.25">
      <c r="A201" s="4" t="s">
        <v>886</v>
      </c>
      <c r="B201" s="4" t="s">
        <v>886</v>
      </c>
      <c r="D201" s="6">
        <f>SUMIF('Eredeti fejléccel'!$B:$B,'Felosztás eredménykim'!$B201,'Eredeti fejléccel'!$D:$D)</f>
        <v>0</v>
      </c>
      <c r="E201" s="6">
        <f>SUMIF('Eredeti fejléccel'!$B:$B,'Felosztás eredménykim'!$B201,'Eredeti fejléccel'!$E:$E)</f>
        <v>0</v>
      </c>
      <c r="F201" s="6">
        <f>SUMIF('Eredeti fejléccel'!$B:$B,'Felosztás eredménykim'!$B201,'Eredeti fejléccel'!$F:$F)</f>
        <v>0</v>
      </c>
      <c r="G201" s="6">
        <f>SUMIF('Eredeti fejléccel'!$B:$B,'Felosztás eredménykim'!$B201,'Eredeti fejléccel'!$G:$G)</f>
        <v>0</v>
      </c>
      <c r="H201" s="6"/>
      <c r="I201" s="6">
        <f>SUMIF('Eredeti fejléccel'!$B:$B,'Felosztás eredménykim'!$B201,'Eredeti fejléccel'!$O:$O)</f>
        <v>0</v>
      </c>
      <c r="J201" s="6">
        <f>SUMIF('Eredeti fejléccel'!$B:$B,'Felosztás eredménykim'!$B201,'Eredeti fejléccel'!$P:$P)</f>
        <v>0</v>
      </c>
      <c r="K201" s="6">
        <f>SUMIF('Eredeti fejléccel'!$B:$B,'Felosztás eredménykim'!$B201,'Eredeti fejléccel'!$Q:$Q)</f>
        <v>0</v>
      </c>
      <c r="L201" s="6">
        <f>SUMIF('Eredeti fejléccel'!$B:$B,'Felosztás eredménykim'!$B201,'Eredeti fejléccel'!$R:$R)</f>
        <v>0</v>
      </c>
      <c r="M201" s="6">
        <f>SUMIF('Eredeti fejléccel'!$B:$B,'Felosztás eredménykim'!$B201,'Eredeti fejléccel'!$T:$T)</f>
        <v>0</v>
      </c>
      <c r="N201" s="6">
        <f>SUMIF('Eredeti fejléccel'!$B:$B,'Felosztás eredménykim'!$B201,'Eredeti fejléccel'!$U:$U)</f>
        <v>0</v>
      </c>
      <c r="O201" s="6">
        <f>SUMIF('Eredeti fejléccel'!$B:$B,'Felosztás eredménykim'!$B201,'Eredeti fejléccel'!$V:$V)</f>
        <v>0</v>
      </c>
      <c r="P201" s="6">
        <f>SUMIF('Eredeti fejléccel'!$B:$B,'Felosztás eredménykim'!$B201,'Eredeti fejléccel'!$W:$W)</f>
        <v>0</v>
      </c>
      <c r="Q201" s="6">
        <f>SUMIF('Eredeti fejléccel'!$B:$B,'Felosztás eredménykim'!$B201,'Eredeti fejléccel'!$X:$X)</f>
        <v>0</v>
      </c>
      <c r="R201" s="6">
        <f>SUMIF('Eredeti fejléccel'!$B:$B,'Felosztás eredménykim'!$B201,'Eredeti fejléccel'!$Y:$Y)</f>
        <v>0</v>
      </c>
      <c r="S201" s="6">
        <f>SUMIF('Eredeti fejléccel'!$B:$B,'Felosztás eredménykim'!$B201,'Eredeti fejléccel'!$Z:$Z)</f>
        <v>0</v>
      </c>
      <c r="T201" s="6">
        <f>SUMIF('Eredeti fejléccel'!$B:$B,'Felosztás eredménykim'!$B201,'Eredeti fejléccel'!$AA:$AA)</f>
        <v>0</v>
      </c>
      <c r="U201" s="6">
        <f>SUMIF('Eredeti fejléccel'!$B:$B,'Felosztás eredménykim'!$B201,'Eredeti fejléccel'!$D:$D)</f>
        <v>0</v>
      </c>
      <c r="V201" s="6">
        <f>SUMIF('Eredeti fejléccel'!$B:$B,'Felosztás eredménykim'!$B201,'Eredeti fejléccel'!$AT:$AT)</f>
        <v>16479656.409999967</v>
      </c>
      <c r="W201" s="36">
        <f t="shared" si="368"/>
        <v>-16479656.409999967</v>
      </c>
      <c r="X201" s="36">
        <f t="shared" si="414"/>
        <v>0</v>
      </c>
      <c r="Z201" s="6">
        <f>SUMIF('Eredeti fejléccel'!$B:$B,'Felosztás eredménykim'!$B201,'Eredeti fejléccel'!$K:$K)</f>
        <v>0</v>
      </c>
      <c r="AB201" s="6">
        <f>SUMIF('Eredeti fejléccel'!$B:$B,'Felosztás eredménykim'!$B201,'Eredeti fejléccel'!$AB:$AB)</f>
        <v>0</v>
      </c>
      <c r="AC201" s="6">
        <f>SUMIF('Eredeti fejléccel'!$B:$B,'Felosztás eredménykim'!$B201,'Eredeti fejléccel'!$AQ:$AQ)</f>
        <v>0</v>
      </c>
      <c r="AE201" s="73">
        <f>SUM(Z201:AD201)</f>
        <v>0</v>
      </c>
      <c r="AF201" s="36">
        <f t="shared" si="339"/>
        <v>0</v>
      </c>
      <c r="AG201" s="8">
        <f t="shared" si="399"/>
        <v>0</v>
      </c>
      <c r="AI201" s="6">
        <f>SUMIF('Eredeti fejléccel'!$B:$B,'Felosztás eredménykim'!$B201,'Eredeti fejléccel'!$BB:$BB)</f>
        <v>0</v>
      </c>
      <c r="AJ201" s="6">
        <f>SUMIF('Eredeti fejléccel'!$B:$B,'Felosztás eredménykim'!$B201,'Eredeti fejléccel'!$AF:$AF)</f>
        <v>0</v>
      </c>
      <c r="AK201" s="8">
        <f>SUM(AG201:AJ201)</f>
        <v>0</v>
      </c>
      <c r="AL201" s="36">
        <f t="shared" si="340"/>
        <v>0</v>
      </c>
      <c r="AM201" s="8">
        <f t="shared" si="400"/>
        <v>0</v>
      </c>
      <c r="AN201" s="6">
        <f>-AO201/2</f>
        <v>0</v>
      </c>
      <c r="AO201" s="6">
        <f>SUMIF('Eredeti fejléccel'!$B:$B,'Felosztás eredménykim'!$B201,'Eredeti fejléccel'!$AC:$AC)</f>
        <v>0</v>
      </c>
      <c r="AP201" s="6">
        <f>SUMIF('Eredeti fejléccel'!$B:$B,'Felosztás eredménykim'!$B201,'Eredeti fejléccel'!$AD:$AD)</f>
        <v>0</v>
      </c>
      <c r="AQ201" s="6">
        <f>SUMIF('Eredeti fejléccel'!$B:$B,'Felosztás eredménykim'!$B201,'Eredeti fejléccel'!$AE:$AE)</f>
        <v>0</v>
      </c>
      <c r="AR201" s="6">
        <f>SUMIF('Eredeti fejléccel'!$B:$B,'Felosztás eredménykim'!$B201,'Eredeti fejléccel'!$AG:$AG)</f>
        <v>0</v>
      </c>
      <c r="AS201" s="6">
        <f>SUM(AM201:AR201)</f>
        <v>0</v>
      </c>
      <c r="AT201" s="36">
        <f t="shared" si="341"/>
        <v>0</v>
      </c>
      <c r="AU201" s="8">
        <f t="shared" si="401"/>
        <v>0</v>
      </c>
      <c r="AV201" s="6">
        <f>SUMIF('Eredeti fejléccel'!$B:$B,'Felosztás eredménykim'!$B201,'Eredeti fejléccel'!$AI:$AI)</f>
        <v>0</v>
      </c>
      <c r="AW201" s="6">
        <f>SUMIF('Eredeti fejléccel'!$B:$B,'Felosztás eredménykim'!$B201,'Eredeti fejléccel'!$AJ:$AJ)</f>
        <v>0</v>
      </c>
      <c r="AX201" s="6">
        <f>SUMIF('Eredeti fejléccel'!$B:$B,'Felosztás eredménykim'!$B201,'Eredeti fejléccel'!$AK:$AK)</f>
        <v>0</v>
      </c>
      <c r="AY201" s="6">
        <f>SUMIF('Eredeti fejléccel'!$B:$B,'Felosztás eredménykim'!$B201,'Eredeti fejléccel'!$AL:$AL)</f>
        <v>0</v>
      </c>
      <c r="AZ201" s="6">
        <f>SUMIF('Eredeti fejléccel'!$B:$B,'Felosztás eredménykim'!$B201,'Eredeti fejléccel'!$AM:$AM)</f>
        <v>0</v>
      </c>
      <c r="BA201" s="6">
        <f>SUMIF('Eredeti fejléccel'!$B:$B,'Felosztás eredménykim'!$B201,'Eredeti fejléccel'!$AN:$AN)</f>
        <v>0</v>
      </c>
      <c r="BB201" s="6">
        <f>SUMIF('Eredeti fejléccel'!$B:$B,'Felosztás eredménykim'!$B201,'Eredeti fejléccel'!$AP:$AP)</f>
        <v>0</v>
      </c>
      <c r="BD201" s="6">
        <f>SUMIF('Eredeti fejléccel'!$B:$B,'Felosztás eredménykim'!$B201,'Eredeti fejléccel'!$AS:$AS)</f>
        <v>0</v>
      </c>
      <c r="BE201" s="8">
        <f>SUM(AU201:BD201)</f>
        <v>0</v>
      </c>
      <c r="BF201" s="36">
        <f t="shared" si="342"/>
        <v>0</v>
      </c>
      <c r="BG201" s="8">
        <f t="shared" si="402"/>
        <v>0</v>
      </c>
      <c r="BH201" s="6">
        <f>AO201/2</f>
        <v>0</v>
      </c>
      <c r="BI201" s="6">
        <f>SUMIF('Eredeti fejléccel'!$B:$B,'Felosztás eredménykim'!$B201,'Eredeti fejléccel'!$AH:$AH)</f>
        <v>0</v>
      </c>
      <c r="BJ201" s="6">
        <f>SUMIF('Eredeti fejléccel'!$B:$B,'Felosztás eredménykim'!$B201,'Eredeti fejléccel'!$AO:$AO)</f>
        <v>0</v>
      </c>
      <c r="BK201" s="6">
        <f>SUMIF('Eredeti fejléccel'!$B:$B,'Felosztás eredménykim'!$B201,'Eredeti fejléccel'!$BF:$BF)</f>
        <v>0</v>
      </c>
      <c r="BL201" s="8">
        <f>SUM(BG201:BK201)</f>
        <v>0</v>
      </c>
      <c r="BM201" s="36">
        <f t="shared" si="343"/>
        <v>0</v>
      </c>
      <c r="BN201" s="8">
        <f t="shared" si="403"/>
        <v>0</v>
      </c>
      <c r="BP201" s="8">
        <f>-FV201</f>
        <v>0</v>
      </c>
      <c r="BQ201" s="6">
        <f>SUMIF('Eredeti fejléccel'!$B:$B,'Felosztás eredménykim'!$B201,'Eredeti fejléccel'!$N:$N)</f>
        <v>0</v>
      </c>
      <c r="BR201" s="6">
        <f>SUMIF('Eredeti fejléccel'!$B:$B,'Felosztás eredménykim'!$B201,'Eredeti fejléccel'!$S:$S)</f>
        <v>0</v>
      </c>
      <c r="BT201" s="6">
        <f>SUMIF('Eredeti fejléccel'!$B:$B,'Felosztás eredménykim'!$B201,'Eredeti fejléccel'!$AR:$AR)</f>
        <v>0</v>
      </c>
      <c r="BU201" s="6">
        <f>SUMIF('Eredeti fejléccel'!$B:$B,'Felosztás eredménykim'!$B201,'Eredeti fejléccel'!$AU:$AU)</f>
        <v>0</v>
      </c>
      <c r="BV201" s="6">
        <f>SUMIF('Eredeti fejléccel'!$B:$B,'Felosztás eredménykim'!$B201,'Eredeti fejléccel'!$AV:$AV)</f>
        <v>0</v>
      </c>
      <c r="BW201" s="6">
        <f>SUMIF('Eredeti fejléccel'!$B:$B,'Felosztás eredménykim'!$B201,'Eredeti fejléccel'!$AW:$AW)</f>
        <v>0</v>
      </c>
      <c r="BX201" s="6">
        <f>SUMIF('Eredeti fejléccel'!$B:$B,'Felosztás eredménykim'!$B201,'Eredeti fejléccel'!$AX:$AX)</f>
        <v>0</v>
      </c>
      <c r="BY201" s="6">
        <f>SUMIF('Eredeti fejléccel'!$B:$B,'Felosztás eredménykim'!$B201,'Eredeti fejléccel'!$AY:$AY)</f>
        <v>0</v>
      </c>
      <c r="BZ201" s="6">
        <f>SUMIF('Eredeti fejléccel'!$B:$B,'Felosztás eredménykim'!$B201,'Eredeti fejléccel'!$AZ:$AZ)</f>
        <v>0</v>
      </c>
      <c r="CA201" s="6">
        <f>SUMIF('Eredeti fejléccel'!$B:$B,'Felosztás eredménykim'!$B201,'Eredeti fejléccel'!$BA:$BA)</f>
        <v>0</v>
      </c>
      <c r="CB201" s="6">
        <f t="shared" si="253"/>
        <v>0</v>
      </c>
      <c r="CC201" s="36">
        <f t="shared" si="344"/>
        <v>0</v>
      </c>
      <c r="CD201" s="8">
        <f t="shared" si="404"/>
        <v>0</v>
      </c>
      <c r="CE201" s="6">
        <f>SUMIF('Eredeti fejléccel'!$B:$B,'Felosztás eredménykim'!$B201,'Eredeti fejléccel'!$BC:$BC)</f>
        <v>0</v>
      </c>
      <c r="CF201" s="8">
        <f>-CE201/2</f>
        <v>0</v>
      </c>
      <c r="CG201" s="6">
        <f>SUMIF('Eredeti fejléccel'!$B:$B,'Felosztás eredménykim'!$B201,'Eredeti fejléccel'!$H:$H)</f>
        <v>0</v>
      </c>
      <c r="CH201" s="6">
        <f>SUMIF('Eredeti fejléccel'!$B:$B,'Felosztás eredménykim'!$B201,'Eredeti fejléccel'!$BE:$BE)</f>
        <v>0</v>
      </c>
      <c r="CI201" s="6">
        <f>SUM(CD201:CH201)</f>
        <v>0</v>
      </c>
      <c r="CJ201" s="36">
        <f t="shared" si="345"/>
        <v>0</v>
      </c>
      <c r="CK201" s="8">
        <f t="shared" si="405"/>
        <v>0</v>
      </c>
      <c r="CL201" s="8">
        <f>CE201/2</f>
        <v>0</v>
      </c>
      <c r="CM201" s="6">
        <f>SUMIF('Eredeti fejléccel'!$B:$B,'Felosztás eredménykim'!$B201,'Eredeti fejléccel'!$BD:$BD)</f>
        <v>0</v>
      </c>
      <c r="CN201" s="8">
        <f>SUM(CK201:CM201)</f>
        <v>0</v>
      </c>
      <c r="CO201" s="8">
        <f t="shared" si="254"/>
        <v>0</v>
      </c>
      <c r="CR201" s="36">
        <f t="shared" si="406"/>
        <v>0</v>
      </c>
      <c r="CS201" s="6">
        <f>SUMIF('Eredeti fejléccel'!$B:$B,'Felosztás eredménykim'!$B201,'Eredeti fejléccel'!$I:$I)</f>
        <v>0</v>
      </c>
      <c r="CT201" s="6">
        <f>SUMIF('Eredeti fejléccel'!$B:$B,'Felosztás eredménykim'!$B201,'Eredeti fejléccel'!$BG:$BG)</f>
        <v>0</v>
      </c>
      <c r="CU201" s="6">
        <f>SUMIF('Eredeti fejléccel'!$B:$B,'Felosztás eredménykim'!$B201,'Eredeti fejléccel'!$BH:$BH)</f>
        <v>0</v>
      </c>
      <c r="CV201" s="6">
        <f>SUMIF('Eredeti fejléccel'!$B:$B,'Felosztás eredménykim'!$B201,'Eredeti fejléccel'!$BI:$BI)</f>
        <v>0</v>
      </c>
      <c r="CW201" s="6">
        <f>SUMIF('Eredeti fejléccel'!$B:$B,'Felosztás eredménykim'!$B201,'Eredeti fejléccel'!$BL:$BL)</f>
        <v>0</v>
      </c>
      <c r="CX201" s="6">
        <f>SUM(CS201:CW201)</f>
        <v>0</v>
      </c>
      <c r="CY201" s="6">
        <f>SUMIF('Eredeti fejléccel'!$B:$B,'Felosztás eredménykim'!$B201,'Eredeti fejléccel'!$BJ:$BJ)</f>
        <v>0</v>
      </c>
      <c r="CZ201" s="6">
        <f>SUMIF('Eredeti fejléccel'!$B:$B,'Felosztás eredménykim'!$B201,'Eredeti fejléccel'!$BK:$BK)</f>
        <v>0</v>
      </c>
      <c r="DA201" s="99">
        <f t="shared" si="415"/>
        <v>0</v>
      </c>
      <c r="DC201" s="36">
        <f t="shared" si="407"/>
        <v>0</v>
      </c>
      <c r="DD201" s="6">
        <f>SUMIF('Eredeti fejléccel'!$B:$B,'Felosztás eredménykim'!$B201,'Eredeti fejléccel'!$J:$J)</f>
        <v>0</v>
      </c>
      <c r="DE201" s="6">
        <f>SUMIF('Eredeti fejléccel'!$B:$B,'Felosztás eredménykim'!$B201,'Eredeti fejléccel'!$BM:$BM)</f>
        <v>0</v>
      </c>
      <c r="DF201" s="6">
        <f>-DI201</f>
        <v>0</v>
      </c>
      <c r="DG201" s="8">
        <f t="shared" si="255"/>
        <v>0</v>
      </c>
      <c r="DH201" s="8">
        <f>SUM(DD201:DG201)</f>
        <v>0</v>
      </c>
      <c r="DJ201" s="6">
        <f>SUMIF('Eredeti fejléccel'!$B:$B,'Felosztás eredménykim'!$B201,'Eredeti fejléccel'!$BN:$BN)</f>
        <v>0</v>
      </c>
      <c r="DK201" s="6">
        <f>SUMIF('Eredeti fejléccel'!$B:$B,'Felosztás eredménykim'!$B201,'Eredeti fejléccel'!$BZ:$BZ)</f>
        <v>0</v>
      </c>
      <c r="DL201" s="8">
        <f>SUM(DI201:DK201)</f>
        <v>0</v>
      </c>
      <c r="DM201" s="6">
        <f>SUMIF('Eredeti fejléccel'!$B:$B,'Felosztás eredménykim'!$B201,'Eredeti fejléccel'!$BR:$BR)</f>
        <v>0</v>
      </c>
      <c r="DN201" s="6">
        <f>SUMIF('Eredeti fejléccel'!$B:$B,'Felosztás eredménykim'!$B201,'Eredeti fejléccel'!$BS:$BS)</f>
        <v>0</v>
      </c>
      <c r="DO201" s="6">
        <f>SUMIF('Eredeti fejléccel'!$B:$B,'Felosztás eredménykim'!$B201,'Eredeti fejléccel'!$BO:$BO)</f>
        <v>0</v>
      </c>
      <c r="DP201" s="6">
        <f>SUMIF('Eredeti fejléccel'!$B:$B,'Felosztás eredménykim'!$B201,'Eredeti fejléccel'!$BP:$BP)</f>
        <v>0</v>
      </c>
      <c r="DQ201" s="6">
        <f>SUMIF('Eredeti fejléccel'!$B:$B,'Felosztás eredménykim'!$B201,'Eredeti fejléccel'!$BQ:$BQ)</f>
        <v>0</v>
      </c>
      <c r="DS201" s="8"/>
      <c r="DU201" s="6">
        <f>SUMIF('Eredeti fejléccel'!$B:$B,'Felosztás eredménykim'!$B201,'Eredeti fejléccel'!$BT:$BT)</f>
        <v>0</v>
      </c>
      <c r="DV201" s="6">
        <f>SUMIF('Eredeti fejléccel'!$B:$B,'Felosztás eredménykim'!$B201,'Eredeti fejléccel'!$BU:$BU)</f>
        <v>0</v>
      </c>
      <c r="DW201" s="6">
        <f>SUMIF('Eredeti fejléccel'!$B:$B,'Felosztás eredménykim'!$B201,'Eredeti fejléccel'!$BV:$BV)</f>
        <v>0</v>
      </c>
      <c r="DX201" s="6">
        <f>SUMIF('Eredeti fejléccel'!$B:$B,'Felosztás eredménykim'!$B201,'Eredeti fejléccel'!$BW:$BW)</f>
        <v>0</v>
      </c>
      <c r="DY201" s="6">
        <f>SUMIF('Eredeti fejléccel'!$B:$B,'Felosztás eredménykim'!$B201,'Eredeti fejléccel'!$BX:$BX)</f>
        <v>0</v>
      </c>
      <c r="EA201" s="6"/>
      <c r="EC201" s="6"/>
      <c r="EE201" s="6">
        <f>SUMIF('Eredeti fejléccel'!$B:$B,'Felosztás eredménykim'!$B201,'Eredeti fejléccel'!$CA:$CA)</f>
        <v>0</v>
      </c>
      <c r="EF201" s="6">
        <f>SUMIF('Eredeti fejléccel'!$B:$B,'Felosztás eredménykim'!$B201,'Eredeti fejléccel'!$CB:$CB)</f>
        <v>0</v>
      </c>
      <c r="EG201" s="6">
        <f>SUMIF('Eredeti fejléccel'!$B:$B,'Felosztás eredménykim'!$B201,'Eredeti fejléccel'!$CC:$CC)</f>
        <v>0</v>
      </c>
      <c r="EH201" s="6">
        <f>SUMIF('Eredeti fejléccel'!$B:$B,'Felosztás eredménykim'!$B201,'Eredeti fejléccel'!$CD:$CD)</f>
        <v>0</v>
      </c>
      <c r="EK201" s="6">
        <f>SUMIF('Eredeti fejléccel'!$B:$B,'Felosztás eredménykim'!$B201,'Eredeti fejléccel'!$CE:$CE)</f>
        <v>0</v>
      </c>
      <c r="EN201" s="6">
        <f>SUMIF('Eredeti fejléccel'!$B:$B,'Felosztás eredménykim'!$B201,'Eredeti fejléccel'!$CF:$CF)</f>
        <v>0</v>
      </c>
      <c r="EP201" s="6">
        <f>SUMIF('Eredeti fejléccel'!$B:$B,'Felosztás eredménykim'!$B201,'Eredeti fejléccel'!$CG:$CG)</f>
        <v>0</v>
      </c>
      <c r="ES201" s="6">
        <f>SUMIF('Eredeti fejléccel'!$B:$B,'Felosztás eredménykim'!$B201,'Eredeti fejléccel'!$CH:$CH)</f>
        <v>0</v>
      </c>
      <c r="ET201" s="6">
        <f>SUMIF('Eredeti fejléccel'!$B:$B,'Felosztás eredménykim'!$B201,'Eredeti fejléccel'!$CI:$CI)</f>
        <v>0</v>
      </c>
      <c r="EW201" s="8">
        <f>SUM(DR201:ED201)</f>
        <v>0</v>
      </c>
      <c r="EX201" s="8">
        <f>SUM(EE201:EV201)</f>
        <v>0</v>
      </c>
      <c r="EY201" s="8">
        <f t="shared" si="416"/>
        <v>0</v>
      </c>
      <c r="EZ201" s="8">
        <f>EY201+DL201+DM201+DN201+DO201+DP201+DQ201</f>
        <v>0</v>
      </c>
      <c r="FA201" s="8">
        <f>EZ201-DL201-DM201</f>
        <v>0</v>
      </c>
      <c r="FC201" s="6">
        <f>SUMIF('Eredeti fejléccel'!$B:$B,'Felosztás eredménykim'!$B201,'Eredeti fejléccel'!$L:$L)</f>
        <v>0</v>
      </c>
      <c r="FD201" s="6">
        <f>SUMIF('Eredeti fejléccel'!$B:$B,'Felosztás eredménykim'!$B201,'Eredeti fejléccel'!$CJ:$CJ)</f>
        <v>0</v>
      </c>
      <c r="FE201" s="6">
        <f>SUMIF('Eredeti fejléccel'!$B:$B,'Felosztás eredménykim'!$B201,'Eredeti fejléccel'!$CL:$CL)</f>
        <v>0</v>
      </c>
      <c r="FG201" s="99">
        <f>SUM(FC201:FF201)</f>
        <v>0</v>
      </c>
      <c r="FH201" s="6">
        <f>SUMIF('Eredeti fejléccel'!$B:$B,'Felosztás eredménykim'!$B201,'Eredeti fejléccel'!$CK:$CK)</f>
        <v>0</v>
      </c>
      <c r="FI201" s="36">
        <f t="shared" si="346"/>
        <v>0</v>
      </c>
      <c r="FJ201" s="101">
        <f t="shared" si="408"/>
        <v>0</v>
      </c>
      <c r="FK201" s="6">
        <f>SUMIF('Eredeti fejléccel'!$B:$B,'Felosztás eredménykim'!$B201,'Eredeti fejléccel'!$CM:$CM)</f>
        <v>0</v>
      </c>
      <c r="FL201" s="6">
        <f>SUMIF('Eredeti fejléccel'!$B:$B,'Felosztás eredménykim'!$B201,'Eredeti fejléccel'!$CN:$CN)</f>
        <v>0</v>
      </c>
      <c r="FM201" s="8">
        <f>SUM(FJ201:FL201)</f>
        <v>0</v>
      </c>
      <c r="FN201" s="36">
        <f t="shared" si="347"/>
        <v>0</v>
      </c>
      <c r="FO201" s="101">
        <f t="shared" si="409"/>
        <v>0</v>
      </c>
      <c r="FP201" s="6">
        <f>SUMIF('Eredeti fejléccel'!$B:$B,'Felosztás eredménykim'!$B201,'Eredeti fejléccel'!$CO:$CO)</f>
        <v>0</v>
      </c>
      <c r="FQ201" s="6">
        <f>'Eredeti fejléccel'!CP201</f>
        <v>0</v>
      </c>
      <c r="FR201" s="6">
        <f>'Eredeti fejléccel'!CQ201</f>
        <v>0</v>
      </c>
      <c r="FS201" s="103">
        <f t="shared" ref="FS201:FS266" si="417">SUM(FO201:FR201)</f>
        <v>0</v>
      </c>
      <c r="FT201" s="36">
        <f t="shared" si="348"/>
        <v>0</v>
      </c>
      <c r="FU201" s="101">
        <f t="shared" si="410"/>
        <v>0</v>
      </c>
      <c r="FV201" s="101"/>
      <c r="FW201" s="6">
        <f>SUMIF('Eredeti fejléccel'!$B:$B,'Felosztás eredménykim'!$B201,'Eredeti fejléccel'!$CR:$CR)</f>
        <v>0</v>
      </c>
      <c r="FX201" s="6">
        <f>SUMIF('Eredeti fejléccel'!$B:$B,'Felosztás eredménykim'!$B201,'Eredeti fejléccel'!$CS:$CS)</f>
        <v>0</v>
      </c>
      <c r="FY201" s="6">
        <f>SUMIF('Eredeti fejléccel'!$B:$B,'Felosztás eredménykim'!$B201,'Eredeti fejléccel'!$CT:$CT)</f>
        <v>0</v>
      </c>
      <c r="FZ201" s="6">
        <f>SUMIF('Eredeti fejléccel'!$B:$B,'Felosztás eredménykim'!$B201,'Eredeti fejléccel'!$CU:$CU)</f>
        <v>0</v>
      </c>
      <c r="GA201" s="103">
        <f>SUM(FU201:FZ201)</f>
        <v>0</v>
      </c>
      <c r="GB201" s="36">
        <f t="shared" si="349"/>
        <v>0</v>
      </c>
      <c r="GC201" s="101">
        <f t="shared" si="411"/>
        <v>0</v>
      </c>
      <c r="GD201" s="6">
        <f>SUMIF('Eredeti fejléccel'!$B:$B,'Felosztás eredménykim'!$B201,'Eredeti fejléccel'!$CV:$CV)</f>
        <v>0</v>
      </c>
      <c r="GE201" s="6">
        <f>SUMIF('Eredeti fejléccel'!$B:$B,'Felosztás eredménykim'!$B201,'Eredeti fejléccel'!$CW:$CW)</f>
        <v>0</v>
      </c>
      <c r="GF201" s="103">
        <f>SUM(GC201:GE201)</f>
        <v>0</v>
      </c>
      <c r="GG201" s="36">
        <f t="shared" si="412"/>
        <v>0</v>
      </c>
      <c r="GM201" s="6">
        <f>SUMIF('Eredeti fejléccel'!$B:$B,'Felosztás eredménykim'!$B201,'Eredeti fejléccel'!$CX:$CX)</f>
        <v>0</v>
      </c>
      <c r="GN201" s="6">
        <f>SUMIF('Eredeti fejléccel'!$B:$B,'Felosztás eredménykim'!$B201,'Eredeti fejléccel'!$CY:$CY)</f>
        <v>0</v>
      </c>
      <c r="GO201" s="6">
        <f>SUMIF('Eredeti fejléccel'!$B:$B,'Felosztás eredménykim'!$B201,'Eredeti fejléccel'!$CZ:$CZ)</f>
        <v>0</v>
      </c>
      <c r="GP201" s="6">
        <f>SUMIF('Eredeti fejléccel'!$B:$B,'Felosztás eredménykim'!$B201,'Eredeti fejléccel'!$DA:$DA)</f>
        <v>0</v>
      </c>
      <c r="GQ201" s="6">
        <f>SUMIF('Eredeti fejléccel'!$B:$B,'Felosztás eredménykim'!$B201,'Eredeti fejléccel'!$DB:$DB)</f>
        <v>0</v>
      </c>
      <c r="GR201" s="103">
        <f>SUM(GH201:GQ201)</f>
        <v>0</v>
      </c>
      <c r="GW201" s="36">
        <f t="shared" si="413"/>
        <v>0</v>
      </c>
      <c r="GX201" s="6">
        <f>SUMIF('Eredeti fejléccel'!$B:$B,'Felosztás eredménykim'!$B201,'Eredeti fejléccel'!$M:$M)</f>
        <v>0</v>
      </c>
      <c r="GY201" s="6">
        <f>SUMIF('Eredeti fejléccel'!$B:$B,'Felosztás eredménykim'!$B201,'Eredeti fejléccel'!$DC:$DC)</f>
        <v>0</v>
      </c>
      <c r="GZ201" s="6">
        <f>SUMIF('Eredeti fejléccel'!$B:$B,'Felosztás eredménykim'!$B201,'Eredeti fejléccel'!$DD:$DD)</f>
        <v>0</v>
      </c>
      <c r="HA201" s="6">
        <f>SUMIF('Eredeti fejléccel'!$B:$B,'Felosztás eredménykim'!$B201,'Eredeti fejléccel'!$DE:$DE)</f>
        <v>0</v>
      </c>
      <c r="HB201" s="103">
        <f>SUM(GX201:HA201)</f>
        <v>0</v>
      </c>
      <c r="HD201" s="9">
        <f t="shared" si="350"/>
        <v>16479656.409999967</v>
      </c>
      <c r="HE201" s="9">
        <v>16479656.409999967</v>
      </c>
      <c r="HF201" s="476"/>
      <c r="HH201" s="34">
        <f>+HD201-HE201</f>
        <v>0</v>
      </c>
    </row>
    <row r="202" spans="1:218" x14ac:dyDescent="0.25">
      <c r="A202" s="4" t="s">
        <v>1715</v>
      </c>
      <c r="B202" s="4" t="s">
        <v>1715</v>
      </c>
      <c r="C202" s="1" t="s">
        <v>1716</v>
      </c>
      <c r="D202" s="6">
        <f>SUMIF('Eredeti fejléccel'!$B:$B,'Felosztás eredménykim'!$B202,'Eredeti fejléccel'!$D:$D)</f>
        <v>0</v>
      </c>
      <c r="E202" s="6">
        <f>SUMIF('Eredeti fejléccel'!$B:$B,'Felosztás eredménykim'!$B202,'Eredeti fejléccel'!$E:$E)</f>
        <v>0</v>
      </c>
      <c r="F202" s="6">
        <f>SUMIF('Eredeti fejléccel'!$B:$B,'Felosztás eredménykim'!$B202,'Eredeti fejléccel'!$F:$F)</f>
        <v>0</v>
      </c>
      <c r="G202" s="6">
        <f>SUMIF('Eredeti fejléccel'!$B:$B,'Felosztás eredménykim'!$B202,'Eredeti fejléccel'!$G:$G)</f>
        <v>0</v>
      </c>
      <c r="H202" s="6"/>
      <c r="I202" s="6">
        <f>SUMIF('Eredeti fejléccel'!$B:$B,'Felosztás eredménykim'!$B202,'Eredeti fejléccel'!$O:$O)</f>
        <v>0</v>
      </c>
      <c r="J202" s="6">
        <f>SUMIF('Eredeti fejléccel'!$B:$B,'Felosztás eredménykim'!$B202,'Eredeti fejléccel'!$P:$P)</f>
        <v>0</v>
      </c>
      <c r="K202" s="6">
        <f>SUMIF('Eredeti fejléccel'!$B:$B,'Felosztás eredménykim'!$B202,'Eredeti fejléccel'!$Q:$Q)</f>
        <v>0</v>
      </c>
      <c r="L202" s="6">
        <f>SUMIF('Eredeti fejléccel'!$B:$B,'Felosztás eredménykim'!$B202,'Eredeti fejléccel'!$R:$R)</f>
        <v>0</v>
      </c>
      <c r="M202" s="6">
        <f>SUMIF('Eredeti fejléccel'!$B:$B,'Felosztás eredménykim'!$B202,'Eredeti fejléccel'!$T:$T)</f>
        <v>0</v>
      </c>
      <c r="N202" s="6">
        <f>SUMIF('Eredeti fejléccel'!$B:$B,'Felosztás eredménykim'!$B202,'Eredeti fejléccel'!$U:$U)</f>
        <v>0</v>
      </c>
      <c r="O202" s="6">
        <f>SUMIF('Eredeti fejléccel'!$B:$B,'Felosztás eredménykim'!$B202,'Eredeti fejléccel'!$V:$V)</f>
        <v>0</v>
      </c>
      <c r="P202" s="6">
        <f>SUMIF('Eredeti fejléccel'!$B:$B,'Felosztás eredménykim'!$B202,'Eredeti fejléccel'!$W:$W)</f>
        <v>0</v>
      </c>
      <c r="Q202" s="6">
        <f>SUMIF('Eredeti fejléccel'!$B:$B,'Felosztás eredménykim'!$B202,'Eredeti fejléccel'!$X:$X)</f>
        <v>0</v>
      </c>
      <c r="R202" s="6">
        <f>SUMIF('Eredeti fejléccel'!$B:$B,'Felosztás eredménykim'!$B202,'Eredeti fejléccel'!$Y:$Y)</f>
        <v>0</v>
      </c>
      <c r="S202" s="6">
        <f>SUMIF('Eredeti fejléccel'!$B:$B,'Felosztás eredménykim'!$B202,'Eredeti fejléccel'!$Z:$Z)</f>
        <v>0</v>
      </c>
      <c r="T202" s="6">
        <f>SUMIF('Eredeti fejléccel'!$B:$B,'Felosztás eredménykim'!$B202,'Eredeti fejléccel'!$AA:$AA)</f>
        <v>0</v>
      </c>
      <c r="U202" s="6">
        <f>SUMIF('Eredeti fejléccel'!$B:$B,'Felosztás eredménykim'!$B202,'Eredeti fejléccel'!$D:$D)</f>
        <v>0</v>
      </c>
      <c r="V202" s="6">
        <f>SUMIF('Eredeti fejléccel'!$B:$B,'Felosztás eredménykim'!$B202,'Eredeti fejléccel'!$AT:$AT)</f>
        <v>80000</v>
      </c>
      <c r="W202" s="36">
        <f t="shared" si="368"/>
        <v>-80000</v>
      </c>
      <c r="X202" s="36">
        <f t="shared" si="414"/>
        <v>0</v>
      </c>
      <c r="Z202" s="6">
        <f>SUMIF('Eredeti fejléccel'!$B:$B,'Felosztás eredménykim'!$B202,'Eredeti fejléccel'!$K:$K)</f>
        <v>0</v>
      </c>
      <c r="AB202" s="6">
        <f>SUMIF('Eredeti fejléccel'!$B:$B,'Felosztás eredménykim'!$B202,'Eredeti fejléccel'!$AB:$AB)</f>
        <v>0</v>
      </c>
      <c r="AC202" s="6">
        <f>SUMIF('Eredeti fejléccel'!$B:$B,'Felosztás eredménykim'!$B202,'Eredeti fejléccel'!$AQ:$AQ)</f>
        <v>0</v>
      </c>
      <c r="AE202" s="73">
        <f t="shared" si="299"/>
        <v>0</v>
      </c>
      <c r="AF202" s="36">
        <f t="shared" si="339"/>
        <v>0</v>
      </c>
      <c r="AG202" s="8">
        <f t="shared" si="399"/>
        <v>0</v>
      </c>
      <c r="AI202" s="6">
        <f>SUMIF('Eredeti fejléccel'!$B:$B,'Felosztás eredménykim'!$B202,'Eredeti fejléccel'!$BB:$BB)</f>
        <v>0</v>
      </c>
      <c r="AJ202" s="6">
        <f>SUMIF('Eredeti fejléccel'!$B:$B,'Felosztás eredménykim'!$B202,'Eredeti fejléccel'!$AF:$AF)</f>
        <v>0</v>
      </c>
      <c r="AK202" s="8">
        <f t="shared" si="177"/>
        <v>0</v>
      </c>
      <c r="AL202" s="36">
        <f t="shared" si="340"/>
        <v>0</v>
      </c>
      <c r="AM202" s="8">
        <f t="shared" si="400"/>
        <v>0</v>
      </c>
      <c r="AN202" s="6">
        <f t="shared" si="291"/>
        <v>0</v>
      </c>
      <c r="AO202" s="6">
        <f>SUMIF('Eredeti fejléccel'!$B:$B,'Felosztás eredménykim'!$B202,'Eredeti fejléccel'!$AC:$AC)</f>
        <v>0</v>
      </c>
      <c r="AP202" s="6">
        <f>SUMIF('Eredeti fejléccel'!$B:$B,'Felosztás eredménykim'!$B202,'Eredeti fejléccel'!$AD:$AD)</f>
        <v>0</v>
      </c>
      <c r="AQ202" s="6">
        <f>SUMIF('Eredeti fejléccel'!$B:$B,'Felosztás eredménykim'!$B202,'Eredeti fejléccel'!$AE:$AE)</f>
        <v>0</v>
      </c>
      <c r="AR202" s="6">
        <f>SUMIF('Eredeti fejléccel'!$B:$B,'Felosztás eredménykim'!$B202,'Eredeti fejléccel'!$AG:$AG)</f>
        <v>0</v>
      </c>
      <c r="AS202" s="6">
        <f t="shared" si="292"/>
        <v>0</v>
      </c>
      <c r="AT202" s="36">
        <f t="shared" si="341"/>
        <v>0</v>
      </c>
      <c r="AU202" s="8">
        <f t="shared" si="401"/>
        <v>0</v>
      </c>
      <c r="AV202" s="6">
        <f>SUMIF('Eredeti fejléccel'!$B:$B,'Felosztás eredménykim'!$B202,'Eredeti fejléccel'!$AI:$AI)</f>
        <v>0</v>
      </c>
      <c r="AW202" s="6">
        <f>SUMIF('Eredeti fejléccel'!$B:$B,'Felosztás eredménykim'!$B202,'Eredeti fejléccel'!$AJ:$AJ)</f>
        <v>0</v>
      </c>
      <c r="AX202" s="6">
        <f>SUMIF('Eredeti fejléccel'!$B:$B,'Felosztás eredménykim'!$B202,'Eredeti fejléccel'!$AK:$AK)</f>
        <v>0</v>
      </c>
      <c r="AY202" s="6">
        <f>SUMIF('Eredeti fejléccel'!$B:$B,'Felosztás eredménykim'!$B202,'Eredeti fejléccel'!$AL:$AL)</f>
        <v>0</v>
      </c>
      <c r="AZ202" s="6">
        <f>SUMIF('Eredeti fejléccel'!$B:$B,'Felosztás eredménykim'!$B202,'Eredeti fejléccel'!$AM:$AM)</f>
        <v>0</v>
      </c>
      <c r="BA202" s="6">
        <f>SUMIF('Eredeti fejléccel'!$B:$B,'Felosztás eredménykim'!$B202,'Eredeti fejléccel'!$AN:$AN)</f>
        <v>0</v>
      </c>
      <c r="BB202" s="6">
        <f>SUMIF('Eredeti fejléccel'!$B:$B,'Felosztás eredménykim'!$B202,'Eredeti fejléccel'!$AP:$AP)</f>
        <v>0</v>
      </c>
      <c r="BD202" s="6">
        <f>SUMIF('Eredeti fejléccel'!$B:$B,'Felosztás eredménykim'!$B202,'Eredeti fejléccel'!$AS:$AS)</f>
        <v>0</v>
      </c>
      <c r="BE202" s="8">
        <f t="shared" si="238"/>
        <v>0</v>
      </c>
      <c r="BF202" s="36">
        <f t="shared" si="342"/>
        <v>0</v>
      </c>
      <c r="BG202" s="8">
        <f t="shared" si="402"/>
        <v>0</v>
      </c>
      <c r="BH202" s="6">
        <f t="shared" si="293"/>
        <v>0</v>
      </c>
      <c r="BI202" s="6">
        <f>SUMIF('Eredeti fejléccel'!$B:$B,'Felosztás eredménykim'!$B202,'Eredeti fejléccel'!$AH:$AH)</f>
        <v>0</v>
      </c>
      <c r="BJ202" s="6">
        <f>SUMIF('Eredeti fejléccel'!$B:$B,'Felosztás eredménykim'!$B202,'Eredeti fejléccel'!$AO:$AO)</f>
        <v>0</v>
      </c>
      <c r="BK202" s="6">
        <f>SUMIF('Eredeti fejléccel'!$B:$B,'Felosztás eredménykim'!$B202,'Eredeti fejléccel'!$BF:$BF)</f>
        <v>0</v>
      </c>
      <c r="BL202" s="8">
        <f t="shared" si="294"/>
        <v>0</v>
      </c>
      <c r="BM202" s="36">
        <f t="shared" si="343"/>
        <v>0</v>
      </c>
      <c r="BN202" s="8">
        <f t="shared" si="403"/>
        <v>0</v>
      </c>
      <c r="BP202" s="8">
        <f t="shared" si="295"/>
        <v>0</v>
      </c>
      <c r="BQ202" s="6">
        <f>SUMIF('Eredeti fejléccel'!$B:$B,'Felosztás eredménykim'!$B202,'Eredeti fejléccel'!$N:$N)</f>
        <v>0</v>
      </c>
      <c r="BR202" s="6">
        <f>SUMIF('Eredeti fejléccel'!$B:$B,'Felosztás eredménykim'!$B202,'Eredeti fejléccel'!$S:$S)</f>
        <v>0</v>
      </c>
      <c r="BT202" s="6">
        <f>SUMIF('Eredeti fejléccel'!$B:$B,'Felosztás eredménykim'!$B202,'Eredeti fejléccel'!$AR:$AR)</f>
        <v>0</v>
      </c>
      <c r="BU202" s="6">
        <f>SUMIF('Eredeti fejléccel'!$B:$B,'Felosztás eredménykim'!$B202,'Eredeti fejléccel'!$AU:$AU)</f>
        <v>0</v>
      </c>
      <c r="BV202" s="6">
        <f>SUMIF('Eredeti fejléccel'!$B:$B,'Felosztás eredménykim'!$B202,'Eredeti fejléccel'!$AV:$AV)</f>
        <v>0</v>
      </c>
      <c r="BW202" s="6">
        <f>SUMIF('Eredeti fejléccel'!$B:$B,'Felosztás eredménykim'!$B202,'Eredeti fejléccel'!$AW:$AW)</f>
        <v>0</v>
      </c>
      <c r="BX202" s="6">
        <f>SUMIF('Eredeti fejléccel'!$B:$B,'Felosztás eredménykim'!$B202,'Eredeti fejléccel'!$AX:$AX)</f>
        <v>0</v>
      </c>
      <c r="BY202" s="6">
        <f>SUMIF('Eredeti fejléccel'!$B:$B,'Felosztás eredménykim'!$B202,'Eredeti fejléccel'!$AY:$AY)</f>
        <v>0</v>
      </c>
      <c r="BZ202" s="6">
        <f>SUMIF('Eredeti fejléccel'!$B:$B,'Felosztás eredménykim'!$B202,'Eredeti fejléccel'!$AZ:$AZ)</f>
        <v>0</v>
      </c>
      <c r="CA202" s="6">
        <f>SUMIF('Eredeti fejléccel'!$B:$B,'Felosztás eredménykim'!$B202,'Eredeti fejléccel'!$BA:$BA)</f>
        <v>0</v>
      </c>
      <c r="CB202" s="6">
        <f t="shared" si="253"/>
        <v>0</v>
      </c>
      <c r="CC202" s="36">
        <f t="shared" si="344"/>
        <v>0</v>
      </c>
      <c r="CD202" s="8">
        <f t="shared" si="404"/>
        <v>0</v>
      </c>
      <c r="CE202" s="6">
        <f>SUMIF('Eredeti fejléccel'!$B:$B,'Felosztás eredménykim'!$B202,'Eredeti fejléccel'!$BC:$BC)</f>
        <v>0</v>
      </c>
      <c r="CF202" s="8">
        <f t="shared" si="300"/>
        <v>0</v>
      </c>
      <c r="CG202" s="6">
        <f>SUMIF('Eredeti fejléccel'!$B:$B,'Felosztás eredménykim'!$B202,'Eredeti fejléccel'!$H:$H)</f>
        <v>0</v>
      </c>
      <c r="CH202" s="6">
        <f>SUMIF('Eredeti fejléccel'!$B:$B,'Felosztás eredménykim'!$B202,'Eredeti fejléccel'!$BE:$BE)</f>
        <v>0</v>
      </c>
      <c r="CI202" s="6">
        <f t="shared" si="239"/>
        <v>0</v>
      </c>
      <c r="CJ202" s="36">
        <f t="shared" si="345"/>
        <v>0</v>
      </c>
      <c r="CK202" s="8">
        <f t="shared" si="405"/>
        <v>0</v>
      </c>
      <c r="CL202" s="8">
        <f t="shared" si="301"/>
        <v>0</v>
      </c>
      <c r="CM202" s="6">
        <f>SUMIF('Eredeti fejléccel'!$B:$B,'Felosztás eredménykim'!$B202,'Eredeti fejléccel'!$BD:$BD)</f>
        <v>0</v>
      </c>
      <c r="CN202" s="8">
        <f t="shared" si="240"/>
        <v>0</v>
      </c>
      <c r="CO202" s="8">
        <f t="shared" si="254"/>
        <v>0</v>
      </c>
      <c r="CR202" s="36">
        <f t="shared" si="406"/>
        <v>0</v>
      </c>
      <c r="CS202" s="6">
        <f>SUMIF('Eredeti fejléccel'!$B:$B,'Felosztás eredménykim'!$B202,'Eredeti fejléccel'!$I:$I)</f>
        <v>0</v>
      </c>
      <c r="CT202" s="6">
        <f>SUMIF('Eredeti fejléccel'!$B:$B,'Felosztás eredménykim'!$B202,'Eredeti fejléccel'!$BG:$BG)</f>
        <v>0</v>
      </c>
      <c r="CU202" s="6">
        <f>SUMIF('Eredeti fejléccel'!$B:$B,'Felosztás eredménykim'!$B202,'Eredeti fejléccel'!$BH:$BH)</f>
        <v>0</v>
      </c>
      <c r="CV202" s="6">
        <f>SUMIF('Eredeti fejléccel'!$B:$B,'Felosztás eredménykim'!$B202,'Eredeti fejléccel'!$BI:$BI)</f>
        <v>0</v>
      </c>
      <c r="CW202" s="6">
        <f>SUMIF('Eredeti fejléccel'!$B:$B,'Felosztás eredménykim'!$B202,'Eredeti fejléccel'!$BL:$BL)</f>
        <v>0</v>
      </c>
      <c r="CX202" s="6">
        <f t="shared" si="241"/>
        <v>0</v>
      </c>
      <c r="CY202" s="6">
        <f>SUMIF('Eredeti fejléccel'!$B:$B,'Felosztás eredménykim'!$B202,'Eredeti fejléccel'!$BJ:$BJ)</f>
        <v>0</v>
      </c>
      <c r="CZ202" s="6">
        <f>SUMIF('Eredeti fejléccel'!$B:$B,'Felosztás eredménykim'!$B202,'Eredeti fejléccel'!$BK:$BK)</f>
        <v>0</v>
      </c>
      <c r="DA202" s="99">
        <f t="shared" si="415"/>
        <v>0</v>
      </c>
      <c r="DC202" s="36">
        <f t="shared" si="407"/>
        <v>0</v>
      </c>
      <c r="DD202" s="6">
        <f>SUMIF('Eredeti fejléccel'!$B:$B,'Felosztás eredménykim'!$B202,'Eredeti fejléccel'!$J:$J)</f>
        <v>0</v>
      </c>
      <c r="DE202" s="6">
        <f>SUMIF('Eredeti fejléccel'!$B:$B,'Felosztás eredménykim'!$B202,'Eredeti fejléccel'!$BM:$BM)</f>
        <v>0</v>
      </c>
      <c r="DF202" s="6">
        <f t="shared" si="296"/>
        <v>0</v>
      </c>
      <c r="DG202" s="8">
        <f t="shared" si="255"/>
        <v>0</v>
      </c>
      <c r="DH202" s="8">
        <f t="shared" si="297"/>
        <v>0</v>
      </c>
      <c r="DJ202" s="6">
        <f>SUMIF('Eredeti fejléccel'!$B:$B,'Felosztás eredménykim'!$B202,'Eredeti fejléccel'!$BN:$BN)</f>
        <v>0</v>
      </c>
      <c r="DK202" s="6">
        <f>SUMIF('Eredeti fejléccel'!$B:$B,'Felosztás eredménykim'!$B202,'Eredeti fejléccel'!$BZ:$BZ)</f>
        <v>0</v>
      </c>
      <c r="DL202" s="8">
        <f t="shared" si="298"/>
        <v>0</v>
      </c>
      <c r="DM202" s="6">
        <f>SUMIF('Eredeti fejléccel'!$B:$B,'Felosztás eredménykim'!$B202,'Eredeti fejléccel'!$BR:$BR)</f>
        <v>0</v>
      </c>
      <c r="DN202" s="6">
        <f>SUMIF('Eredeti fejléccel'!$B:$B,'Felosztás eredménykim'!$B202,'Eredeti fejléccel'!$BS:$BS)</f>
        <v>0</v>
      </c>
      <c r="DO202" s="6">
        <f>SUMIF('Eredeti fejléccel'!$B:$B,'Felosztás eredménykim'!$B202,'Eredeti fejléccel'!$BO:$BO)</f>
        <v>0</v>
      </c>
      <c r="DP202" s="6">
        <f>SUMIF('Eredeti fejléccel'!$B:$B,'Felosztás eredménykim'!$B202,'Eredeti fejléccel'!$BP:$BP)</f>
        <v>0</v>
      </c>
      <c r="DQ202" s="6">
        <f>SUMIF('Eredeti fejléccel'!$B:$B,'Felosztás eredménykim'!$B202,'Eredeti fejléccel'!$BQ:$BQ)</f>
        <v>0</v>
      </c>
      <c r="DS202" s="8"/>
      <c r="DU202" s="6">
        <f>SUMIF('Eredeti fejléccel'!$B:$B,'Felosztás eredménykim'!$B202,'Eredeti fejléccel'!$BT:$BT)</f>
        <v>0</v>
      </c>
      <c r="DV202" s="6">
        <f>SUMIF('Eredeti fejléccel'!$B:$B,'Felosztás eredménykim'!$B202,'Eredeti fejléccel'!$BU:$BU)</f>
        <v>0</v>
      </c>
      <c r="DW202" s="6">
        <f>SUMIF('Eredeti fejléccel'!$B:$B,'Felosztás eredménykim'!$B202,'Eredeti fejléccel'!$BV:$BV)</f>
        <v>0</v>
      </c>
      <c r="DX202" s="6">
        <f>SUMIF('Eredeti fejléccel'!$B:$B,'Felosztás eredménykim'!$B202,'Eredeti fejléccel'!$BW:$BW)</f>
        <v>0</v>
      </c>
      <c r="DY202" s="6">
        <f>SUMIF('Eredeti fejléccel'!$B:$B,'Felosztás eredménykim'!$B202,'Eredeti fejléccel'!$BX:$BX)</f>
        <v>0</v>
      </c>
      <c r="EA202" s="6"/>
      <c r="EC202" s="6"/>
      <c r="EE202" s="6">
        <f>SUMIF('Eredeti fejléccel'!$B:$B,'Felosztás eredménykim'!$B202,'Eredeti fejléccel'!$CA:$CA)</f>
        <v>0</v>
      </c>
      <c r="EF202" s="6">
        <f>SUMIF('Eredeti fejléccel'!$B:$B,'Felosztás eredménykim'!$B202,'Eredeti fejléccel'!$CB:$CB)</f>
        <v>0</v>
      </c>
      <c r="EG202" s="6">
        <f>SUMIF('Eredeti fejléccel'!$B:$B,'Felosztás eredménykim'!$B202,'Eredeti fejléccel'!$CC:$CC)</f>
        <v>0</v>
      </c>
      <c r="EH202" s="6">
        <f>SUMIF('Eredeti fejléccel'!$B:$B,'Felosztás eredménykim'!$B202,'Eredeti fejléccel'!$CD:$CD)</f>
        <v>0</v>
      </c>
      <c r="EK202" s="6">
        <f>SUMIF('Eredeti fejléccel'!$B:$B,'Felosztás eredménykim'!$B202,'Eredeti fejléccel'!$CE:$CE)</f>
        <v>0</v>
      </c>
      <c r="EN202" s="6">
        <f>SUMIF('Eredeti fejléccel'!$B:$B,'Felosztás eredménykim'!$B202,'Eredeti fejléccel'!$CF:$CF)</f>
        <v>0</v>
      </c>
      <c r="EP202" s="6">
        <f>SUMIF('Eredeti fejléccel'!$B:$B,'Felosztás eredménykim'!$B202,'Eredeti fejléccel'!$CG:$CG)</f>
        <v>0</v>
      </c>
      <c r="ES202" s="6">
        <f>SUMIF('Eredeti fejléccel'!$B:$B,'Felosztás eredménykim'!$B202,'Eredeti fejléccel'!$CH:$CH)</f>
        <v>0</v>
      </c>
      <c r="ET202" s="6">
        <f>SUMIF('Eredeti fejléccel'!$B:$B,'Felosztás eredménykim'!$B202,'Eredeti fejléccel'!$CI:$CI)</f>
        <v>0</v>
      </c>
      <c r="EW202" s="8">
        <f t="shared" si="288"/>
        <v>0</v>
      </c>
      <c r="EX202" s="8">
        <f t="shared" si="243"/>
        <v>0</v>
      </c>
      <c r="EY202" s="8">
        <f t="shared" si="416"/>
        <v>0</v>
      </c>
      <c r="EZ202" s="8">
        <f t="shared" si="289"/>
        <v>0</v>
      </c>
      <c r="FA202" s="8">
        <f t="shared" si="290"/>
        <v>0</v>
      </c>
      <c r="FC202" s="6">
        <f>SUMIF('Eredeti fejléccel'!$B:$B,'Felosztás eredménykim'!$B202,'Eredeti fejléccel'!$L:$L)</f>
        <v>0</v>
      </c>
      <c r="FD202" s="6">
        <f>SUMIF('Eredeti fejléccel'!$B:$B,'Felosztás eredménykim'!$B202,'Eredeti fejléccel'!$CJ:$CJ)</f>
        <v>0</v>
      </c>
      <c r="FE202" s="6">
        <f>SUMIF('Eredeti fejléccel'!$B:$B,'Felosztás eredménykim'!$B202,'Eredeti fejléccel'!$CL:$CL)</f>
        <v>0</v>
      </c>
      <c r="FG202" s="99">
        <f t="shared" si="245"/>
        <v>0</v>
      </c>
      <c r="FH202" s="6">
        <f>SUMIF('Eredeti fejléccel'!$B:$B,'Felosztás eredménykim'!$B202,'Eredeti fejléccel'!$CK:$CK)</f>
        <v>0</v>
      </c>
      <c r="FI202" s="36">
        <f t="shared" si="346"/>
        <v>0</v>
      </c>
      <c r="FJ202" s="101">
        <f t="shared" si="408"/>
        <v>0</v>
      </c>
      <c r="FK202" s="6">
        <f>SUMIF('Eredeti fejléccel'!$B:$B,'Felosztás eredménykim'!$B202,'Eredeti fejléccel'!$CM:$CM)</f>
        <v>0</v>
      </c>
      <c r="FL202" s="6">
        <f>SUMIF('Eredeti fejléccel'!$B:$B,'Felosztás eredménykim'!$B202,'Eredeti fejléccel'!$CN:$CN)</f>
        <v>0</v>
      </c>
      <c r="FM202" s="8">
        <f t="shared" si="246"/>
        <v>0</v>
      </c>
      <c r="FN202" s="36">
        <f t="shared" si="347"/>
        <v>0</v>
      </c>
      <c r="FO202" s="101">
        <f t="shared" si="409"/>
        <v>0</v>
      </c>
      <c r="FP202" s="6">
        <f>SUMIF('Eredeti fejléccel'!$B:$B,'Felosztás eredménykim'!$B202,'Eredeti fejléccel'!$CO:$CO)</f>
        <v>0</v>
      </c>
      <c r="FQ202" s="6">
        <f>'Eredeti fejléccel'!CP202</f>
        <v>0</v>
      </c>
      <c r="FR202" s="6">
        <f>'Eredeti fejléccel'!CQ202</f>
        <v>0</v>
      </c>
      <c r="FS202" s="103">
        <f t="shared" si="417"/>
        <v>0</v>
      </c>
      <c r="FT202" s="36">
        <f t="shared" si="348"/>
        <v>0</v>
      </c>
      <c r="FU202" s="101">
        <f t="shared" si="410"/>
        <v>0</v>
      </c>
      <c r="FV202" s="101"/>
      <c r="FW202" s="6">
        <f>SUMIF('Eredeti fejléccel'!$B:$B,'Felosztás eredménykim'!$B202,'Eredeti fejléccel'!$CR:$CR)</f>
        <v>0</v>
      </c>
      <c r="FX202" s="6">
        <f>SUMIF('Eredeti fejléccel'!$B:$B,'Felosztás eredménykim'!$B202,'Eredeti fejléccel'!$CS:$CS)</f>
        <v>0</v>
      </c>
      <c r="FY202" s="6">
        <f>SUMIF('Eredeti fejléccel'!$B:$B,'Felosztás eredménykim'!$B202,'Eredeti fejléccel'!$CT:$CT)</f>
        <v>0</v>
      </c>
      <c r="FZ202" s="6">
        <f>SUMIF('Eredeti fejléccel'!$B:$B,'Felosztás eredménykim'!$B202,'Eredeti fejléccel'!$CU:$CU)</f>
        <v>0</v>
      </c>
      <c r="GA202" s="103">
        <f t="shared" si="248"/>
        <v>0</v>
      </c>
      <c r="GB202" s="36">
        <f t="shared" si="349"/>
        <v>0</v>
      </c>
      <c r="GC202" s="101">
        <f t="shared" si="411"/>
        <v>0</v>
      </c>
      <c r="GD202" s="6">
        <f>SUMIF('Eredeti fejléccel'!$B:$B,'Felosztás eredménykim'!$B202,'Eredeti fejléccel'!$CV:$CV)</f>
        <v>0</v>
      </c>
      <c r="GE202" s="6">
        <f>SUMIF('Eredeti fejléccel'!$B:$B,'Felosztás eredménykim'!$B202,'Eredeti fejléccel'!$CW:$CW)</f>
        <v>0</v>
      </c>
      <c r="GF202" s="103">
        <f t="shared" si="249"/>
        <v>0</v>
      </c>
      <c r="GG202" s="36">
        <f t="shared" si="412"/>
        <v>0</v>
      </c>
      <c r="GM202" s="6">
        <f>SUMIF('Eredeti fejléccel'!$B:$B,'Felosztás eredménykim'!$B202,'Eredeti fejléccel'!$CX:$CX)</f>
        <v>0</v>
      </c>
      <c r="GN202" s="6">
        <f>SUMIF('Eredeti fejléccel'!$B:$B,'Felosztás eredménykim'!$B202,'Eredeti fejléccel'!$CY:$CY)</f>
        <v>0</v>
      </c>
      <c r="GO202" s="6">
        <f>SUMIF('Eredeti fejléccel'!$B:$B,'Felosztás eredménykim'!$B202,'Eredeti fejléccel'!$CZ:$CZ)</f>
        <v>0</v>
      </c>
      <c r="GP202" s="6">
        <f>SUMIF('Eredeti fejléccel'!$B:$B,'Felosztás eredménykim'!$B202,'Eredeti fejléccel'!$DA:$DA)</f>
        <v>0</v>
      </c>
      <c r="GQ202" s="6">
        <f>SUMIF('Eredeti fejléccel'!$B:$B,'Felosztás eredménykim'!$B202,'Eredeti fejléccel'!$DB:$DB)</f>
        <v>0</v>
      </c>
      <c r="GR202" s="103">
        <f t="shared" si="250"/>
        <v>0</v>
      </c>
      <c r="GW202" s="36">
        <f t="shared" si="413"/>
        <v>0</v>
      </c>
      <c r="GX202" s="6">
        <f>SUMIF('Eredeti fejléccel'!$B:$B,'Felosztás eredménykim'!$B202,'Eredeti fejléccel'!$M:$M)</f>
        <v>0</v>
      </c>
      <c r="GY202" s="6">
        <f>SUMIF('Eredeti fejléccel'!$B:$B,'Felosztás eredménykim'!$B202,'Eredeti fejléccel'!$DC:$DC)</f>
        <v>0</v>
      </c>
      <c r="GZ202" s="6">
        <f>SUMIF('Eredeti fejléccel'!$B:$B,'Felosztás eredménykim'!$B202,'Eredeti fejléccel'!$DD:$DD)</f>
        <v>0</v>
      </c>
      <c r="HA202" s="6">
        <f>SUMIF('Eredeti fejléccel'!$B:$B,'Felosztás eredménykim'!$B202,'Eredeti fejléccel'!$DE:$DE)</f>
        <v>0</v>
      </c>
      <c r="HB202" s="103">
        <f t="shared" si="251"/>
        <v>0</v>
      </c>
      <c r="HD202" s="9">
        <f t="shared" si="350"/>
        <v>80000</v>
      </c>
      <c r="HE202" s="9">
        <v>80000</v>
      </c>
      <c r="HF202" s="476"/>
      <c r="HH202" s="34">
        <f t="shared" si="252"/>
        <v>0</v>
      </c>
    </row>
    <row r="203" spans="1:218" x14ac:dyDescent="0.25">
      <c r="A203" s="4" t="s">
        <v>887</v>
      </c>
      <c r="B203" s="4" t="s">
        <v>887</v>
      </c>
      <c r="D203" s="6">
        <f>SUMIF('Eredeti fejléccel'!$B:$B,'Felosztás eredménykim'!$B203,'Eredeti fejléccel'!$D:$D)</f>
        <v>0</v>
      </c>
      <c r="E203" s="6">
        <f>SUMIF('Eredeti fejléccel'!$B:$B,'Felosztás eredménykim'!$B203,'Eredeti fejléccel'!$E:$E)</f>
        <v>0</v>
      </c>
      <c r="F203" s="6">
        <f>SUMIF('Eredeti fejléccel'!$B:$B,'Felosztás eredménykim'!$B203,'Eredeti fejléccel'!$F:$F)</f>
        <v>0</v>
      </c>
      <c r="G203" s="6">
        <f>SUMIF('Eredeti fejléccel'!$B:$B,'Felosztás eredménykim'!$B203,'Eredeti fejléccel'!$G:$G)</f>
        <v>0</v>
      </c>
      <c r="H203" s="6"/>
      <c r="I203" s="6">
        <f>SUMIF('Eredeti fejléccel'!$B:$B,'Felosztás eredménykim'!$B203,'Eredeti fejléccel'!$O:$O)</f>
        <v>0</v>
      </c>
      <c r="J203" s="6">
        <f>SUMIF('Eredeti fejléccel'!$B:$B,'Felosztás eredménykim'!$B203,'Eredeti fejléccel'!$P:$P)</f>
        <v>0</v>
      </c>
      <c r="K203" s="6">
        <f>SUMIF('Eredeti fejléccel'!$B:$B,'Felosztás eredménykim'!$B203,'Eredeti fejléccel'!$Q:$Q)</f>
        <v>0</v>
      </c>
      <c r="L203" s="6">
        <f>SUMIF('Eredeti fejléccel'!$B:$B,'Felosztás eredménykim'!$B203,'Eredeti fejléccel'!$R:$R)</f>
        <v>0</v>
      </c>
      <c r="M203" s="6">
        <f>SUMIF('Eredeti fejléccel'!$B:$B,'Felosztás eredménykim'!$B203,'Eredeti fejléccel'!$T:$T)</f>
        <v>0</v>
      </c>
      <c r="N203" s="6">
        <f>SUMIF('Eredeti fejléccel'!$B:$B,'Felosztás eredménykim'!$B203,'Eredeti fejléccel'!$U:$U)</f>
        <v>0</v>
      </c>
      <c r="O203" s="6">
        <f>SUMIF('Eredeti fejléccel'!$B:$B,'Felosztás eredménykim'!$B203,'Eredeti fejléccel'!$V:$V)</f>
        <v>0</v>
      </c>
      <c r="P203" s="6">
        <f>SUMIF('Eredeti fejléccel'!$B:$B,'Felosztás eredménykim'!$B203,'Eredeti fejléccel'!$W:$W)</f>
        <v>0</v>
      </c>
      <c r="Q203" s="6">
        <f>SUMIF('Eredeti fejléccel'!$B:$B,'Felosztás eredménykim'!$B203,'Eredeti fejléccel'!$X:$X)</f>
        <v>0</v>
      </c>
      <c r="R203" s="6">
        <f>SUMIF('Eredeti fejléccel'!$B:$B,'Felosztás eredménykim'!$B203,'Eredeti fejléccel'!$Y:$Y)</f>
        <v>0</v>
      </c>
      <c r="S203" s="6">
        <f>SUMIF('Eredeti fejléccel'!$B:$B,'Felosztás eredménykim'!$B203,'Eredeti fejléccel'!$Z:$Z)</f>
        <v>0</v>
      </c>
      <c r="T203" s="6">
        <f>SUMIF('Eredeti fejléccel'!$B:$B,'Felosztás eredménykim'!$B203,'Eredeti fejléccel'!$AA:$AA)</f>
        <v>0</v>
      </c>
      <c r="U203" s="6">
        <f>SUMIF('Eredeti fejléccel'!$B:$B,'Felosztás eredménykim'!$B203,'Eredeti fejléccel'!$D:$D)</f>
        <v>0</v>
      </c>
      <c r="V203" s="6">
        <f>SUMIF('Eredeti fejléccel'!$B:$B,'Felosztás eredménykim'!$B203,'Eredeti fejléccel'!$AT:$AT)</f>
        <v>88224</v>
      </c>
      <c r="W203" s="36">
        <f t="shared" si="368"/>
        <v>-88224</v>
      </c>
      <c r="X203" s="36">
        <f t="shared" si="414"/>
        <v>0</v>
      </c>
      <c r="Z203" s="6">
        <f>SUMIF('Eredeti fejléccel'!$B:$B,'Felosztás eredménykim'!$B203,'Eredeti fejléccel'!$K:$K)</f>
        <v>0</v>
      </c>
      <c r="AB203" s="6">
        <f>SUMIF('Eredeti fejléccel'!$B:$B,'Felosztás eredménykim'!$B203,'Eredeti fejléccel'!$AB:$AB)</f>
        <v>0</v>
      </c>
      <c r="AC203" s="6">
        <f>SUMIF('Eredeti fejléccel'!$B:$B,'Felosztás eredménykim'!$B203,'Eredeti fejléccel'!$AQ:$AQ)</f>
        <v>0</v>
      </c>
      <c r="AE203" s="73">
        <f t="shared" si="299"/>
        <v>0</v>
      </c>
      <c r="AF203" s="36">
        <f t="shared" si="339"/>
        <v>0</v>
      </c>
      <c r="AG203" s="8">
        <f t="shared" si="399"/>
        <v>0</v>
      </c>
      <c r="AI203" s="6">
        <f>SUMIF('Eredeti fejléccel'!$B:$B,'Felosztás eredménykim'!$B203,'Eredeti fejléccel'!$BB:$BB)</f>
        <v>0</v>
      </c>
      <c r="AJ203" s="6">
        <f>SUMIF('Eredeti fejléccel'!$B:$B,'Felosztás eredménykim'!$B203,'Eredeti fejléccel'!$AF:$AF)</f>
        <v>0</v>
      </c>
      <c r="AK203" s="8">
        <f t="shared" si="177"/>
        <v>0</v>
      </c>
      <c r="AL203" s="36">
        <f t="shared" si="340"/>
        <v>0</v>
      </c>
      <c r="AM203" s="8">
        <f t="shared" si="400"/>
        <v>0</v>
      </c>
      <c r="AN203" s="6">
        <f t="shared" si="291"/>
        <v>0</v>
      </c>
      <c r="AO203" s="6">
        <f>SUMIF('Eredeti fejléccel'!$B:$B,'Felosztás eredménykim'!$B203,'Eredeti fejléccel'!$AC:$AC)</f>
        <v>0</v>
      </c>
      <c r="AP203" s="6">
        <f>SUMIF('Eredeti fejléccel'!$B:$B,'Felosztás eredménykim'!$B203,'Eredeti fejléccel'!$AD:$AD)</f>
        <v>0</v>
      </c>
      <c r="AQ203" s="6">
        <f>SUMIF('Eredeti fejléccel'!$B:$B,'Felosztás eredménykim'!$B203,'Eredeti fejléccel'!$AE:$AE)</f>
        <v>0</v>
      </c>
      <c r="AR203" s="6">
        <f>SUMIF('Eredeti fejléccel'!$B:$B,'Felosztás eredménykim'!$B203,'Eredeti fejléccel'!$AG:$AG)</f>
        <v>0</v>
      </c>
      <c r="AS203" s="6">
        <f t="shared" si="292"/>
        <v>0</v>
      </c>
      <c r="AT203" s="36">
        <f t="shared" si="341"/>
        <v>0</v>
      </c>
      <c r="AU203" s="8">
        <f t="shared" si="401"/>
        <v>0</v>
      </c>
      <c r="AV203" s="6">
        <f>SUMIF('Eredeti fejléccel'!$B:$B,'Felosztás eredménykim'!$B203,'Eredeti fejléccel'!$AI:$AI)</f>
        <v>0</v>
      </c>
      <c r="AW203" s="6">
        <f>SUMIF('Eredeti fejléccel'!$B:$B,'Felosztás eredménykim'!$B203,'Eredeti fejléccel'!$AJ:$AJ)</f>
        <v>0</v>
      </c>
      <c r="AX203" s="6">
        <f>SUMIF('Eredeti fejléccel'!$B:$B,'Felosztás eredménykim'!$B203,'Eredeti fejléccel'!$AK:$AK)</f>
        <v>0</v>
      </c>
      <c r="AY203" s="6">
        <f>SUMIF('Eredeti fejléccel'!$B:$B,'Felosztás eredménykim'!$B203,'Eredeti fejléccel'!$AL:$AL)</f>
        <v>0</v>
      </c>
      <c r="AZ203" s="6">
        <f>SUMIF('Eredeti fejléccel'!$B:$B,'Felosztás eredménykim'!$B203,'Eredeti fejléccel'!$AM:$AM)</f>
        <v>0</v>
      </c>
      <c r="BA203" s="6">
        <f>SUMIF('Eredeti fejléccel'!$B:$B,'Felosztás eredménykim'!$B203,'Eredeti fejléccel'!$AN:$AN)</f>
        <v>0</v>
      </c>
      <c r="BB203" s="6">
        <f>SUMIF('Eredeti fejléccel'!$B:$B,'Felosztás eredménykim'!$B203,'Eredeti fejléccel'!$AP:$AP)</f>
        <v>0</v>
      </c>
      <c r="BD203" s="6">
        <f>SUMIF('Eredeti fejléccel'!$B:$B,'Felosztás eredménykim'!$B203,'Eredeti fejléccel'!$AS:$AS)</f>
        <v>0</v>
      </c>
      <c r="BE203" s="8">
        <f t="shared" si="238"/>
        <v>0</v>
      </c>
      <c r="BF203" s="36">
        <f t="shared" si="342"/>
        <v>0</v>
      </c>
      <c r="BG203" s="8">
        <f t="shared" si="402"/>
        <v>0</v>
      </c>
      <c r="BH203" s="6">
        <f t="shared" si="293"/>
        <v>0</v>
      </c>
      <c r="BI203" s="6">
        <f>SUMIF('Eredeti fejléccel'!$B:$B,'Felosztás eredménykim'!$B203,'Eredeti fejléccel'!$AH:$AH)</f>
        <v>0</v>
      </c>
      <c r="BJ203" s="6">
        <f>SUMIF('Eredeti fejléccel'!$B:$B,'Felosztás eredménykim'!$B203,'Eredeti fejléccel'!$AO:$AO)</f>
        <v>0</v>
      </c>
      <c r="BK203" s="6">
        <f>SUMIF('Eredeti fejléccel'!$B:$B,'Felosztás eredménykim'!$B203,'Eredeti fejléccel'!$BF:$BF)</f>
        <v>0</v>
      </c>
      <c r="BL203" s="8">
        <f t="shared" si="294"/>
        <v>0</v>
      </c>
      <c r="BM203" s="36">
        <f t="shared" si="343"/>
        <v>0</v>
      </c>
      <c r="BN203" s="8">
        <f t="shared" si="403"/>
        <v>0</v>
      </c>
      <c r="BP203" s="8">
        <f t="shared" si="295"/>
        <v>0</v>
      </c>
      <c r="BQ203" s="6">
        <f>SUMIF('Eredeti fejléccel'!$B:$B,'Felosztás eredménykim'!$B203,'Eredeti fejléccel'!$N:$N)</f>
        <v>0</v>
      </c>
      <c r="BR203" s="6">
        <f>SUMIF('Eredeti fejléccel'!$B:$B,'Felosztás eredménykim'!$B203,'Eredeti fejléccel'!$S:$S)</f>
        <v>0</v>
      </c>
      <c r="BT203" s="6">
        <f>SUMIF('Eredeti fejléccel'!$B:$B,'Felosztás eredménykim'!$B203,'Eredeti fejléccel'!$AR:$AR)</f>
        <v>0</v>
      </c>
      <c r="BU203" s="6">
        <f>SUMIF('Eredeti fejléccel'!$B:$B,'Felosztás eredménykim'!$B203,'Eredeti fejléccel'!$AU:$AU)</f>
        <v>0</v>
      </c>
      <c r="BV203" s="6">
        <f>SUMIF('Eredeti fejléccel'!$B:$B,'Felosztás eredménykim'!$B203,'Eredeti fejléccel'!$AV:$AV)</f>
        <v>0</v>
      </c>
      <c r="BW203" s="6">
        <f>SUMIF('Eredeti fejléccel'!$B:$B,'Felosztás eredménykim'!$B203,'Eredeti fejléccel'!$AW:$AW)</f>
        <v>0</v>
      </c>
      <c r="BX203" s="6">
        <f>SUMIF('Eredeti fejléccel'!$B:$B,'Felosztás eredménykim'!$B203,'Eredeti fejléccel'!$AX:$AX)</f>
        <v>0</v>
      </c>
      <c r="BY203" s="6">
        <f>SUMIF('Eredeti fejléccel'!$B:$B,'Felosztás eredménykim'!$B203,'Eredeti fejléccel'!$AY:$AY)</f>
        <v>0</v>
      </c>
      <c r="BZ203" s="6">
        <f>SUMIF('Eredeti fejléccel'!$B:$B,'Felosztás eredménykim'!$B203,'Eredeti fejléccel'!$AZ:$AZ)</f>
        <v>0</v>
      </c>
      <c r="CA203" s="6">
        <f>SUMIF('Eredeti fejléccel'!$B:$B,'Felosztás eredménykim'!$B203,'Eredeti fejléccel'!$BA:$BA)</f>
        <v>0</v>
      </c>
      <c r="CB203" s="6">
        <f t="shared" si="253"/>
        <v>0</v>
      </c>
      <c r="CC203" s="36">
        <f t="shared" si="344"/>
        <v>0</v>
      </c>
      <c r="CD203" s="8">
        <f t="shared" si="404"/>
        <v>0</v>
      </c>
      <c r="CE203" s="6">
        <f>SUMIF('Eredeti fejléccel'!$B:$B,'Felosztás eredménykim'!$B203,'Eredeti fejléccel'!$BC:$BC)</f>
        <v>0</v>
      </c>
      <c r="CF203" s="8">
        <f t="shared" si="300"/>
        <v>0</v>
      </c>
      <c r="CG203" s="6">
        <f>SUMIF('Eredeti fejléccel'!$B:$B,'Felosztás eredménykim'!$B203,'Eredeti fejléccel'!$H:$H)</f>
        <v>0</v>
      </c>
      <c r="CH203" s="6">
        <f>SUMIF('Eredeti fejléccel'!$B:$B,'Felosztás eredménykim'!$B203,'Eredeti fejléccel'!$BE:$BE)</f>
        <v>0</v>
      </c>
      <c r="CI203" s="6">
        <f t="shared" si="239"/>
        <v>0</v>
      </c>
      <c r="CJ203" s="36">
        <f t="shared" si="345"/>
        <v>0</v>
      </c>
      <c r="CK203" s="8">
        <f t="shared" si="405"/>
        <v>0</v>
      </c>
      <c r="CL203" s="8">
        <f t="shared" si="301"/>
        <v>0</v>
      </c>
      <c r="CM203" s="6">
        <f>SUMIF('Eredeti fejléccel'!$B:$B,'Felosztás eredménykim'!$B203,'Eredeti fejléccel'!$BD:$BD)</f>
        <v>0</v>
      </c>
      <c r="CN203" s="8">
        <f t="shared" si="240"/>
        <v>0</v>
      </c>
      <c r="CO203" s="8">
        <f t="shared" si="254"/>
        <v>0</v>
      </c>
      <c r="CR203" s="36">
        <f t="shared" si="406"/>
        <v>0</v>
      </c>
      <c r="CS203" s="6">
        <f>SUMIF('Eredeti fejléccel'!$B:$B,'Felosztás eredménykim'!$B203,'Eredeti fejléccel'!$I:$I)</f>
        <v>0</v>
      </c>
      <c r="CT203" s="6">
        <f>SUMIF('Eredeti fejléccel'!$B:$B,'Felosztás eredménykim'!$B203,'Eredeti fejléccel'!$BG:$BG)</f>
        <v>0</v>
      </c>
      <c r="CU203" s="6">
        <f>SUMIF('Eredeti fejléccel'!$B:$B,'Felosztás eredménykim'!$B203,'Eredeti fejléccel'!$BH:$BH)</f>
        <v>0</v>
      </c>
      <c r="CV203" s="6">
        <f>SUMIF('Eredeti fejléccel'!$B:$B,'Felosztás eredménykim'!$B203,'Eredeti fejléccel'!$BI:$BI)</f>
        <v>0</v>
      </c>
      <c r="CW203" s="6">
        <f>SUMIF('Eredeti fejléccel'!$B:$B,'Felosztás eredménykim'!$B203,'Eredeti fejléccel'!$BL:$BL)</f>
        <v>0</v>
      </c>
      <c r="CX203" s="6">
        <f t="shared" si="241"/>
        <v>0</v>
      </c>
      <c r="CY203" s="6">
        <f>SUMIF('Eredeti fejléccel'!$B:$B,'Felosztás eredménykim'!$B203,'Eredeti fejléccel'!$BJ:$BJ)</f>
        <v>0</v>
      </c>
      <c r="CZ203" s="6">
        <f>SUMIF('Eredeti fejléccel'!$B:$B,'Felosztás eredménykim'!$B203,'Eredeti fejléccel'!$BK:$BK)</f>
        <v>0</v>
      </c>
      <c r="DA203" s="99">
        <f t="shared" si="415"/>
        <v>0</v>
      </c>
      <c r="DC203" s="36">
        <f t="shared" si="407"/>
        <v>0</v>
      </c>
      <c r="DD203" s="6">
        <f>SUMIF('Eredeti fejléccel'!$B:$B,'Felosztás eredménykim'!$B203,'Eredeti fejléccel'!$J:$J)</f>
        <v>0</v>
      </c>
      <c r="DE203" s="6">
        <f>SUMIF('Eredeti fejléccel'!$B:$B,'Felosztás eredménykim'!$B203,'Eredeti fejléccel'!$BM:$BM)</f>
        <v>0</v>
      </c>
      <c r="DF203" s="6">
        <f t="shared" si="296"/>
        <v>0</v>
      </c>
      <c r="DG203" s="8">
        <f t="shared" si="255"/>
        <v>0</v>
      </c>
      <c r="DH203" s="8">
        <f t="shared" si="297"/>
        <v>0</v>
      </c>
      <c r="DJ203" s="6">
        <f>SUMIF('Eredeti fejléccel'!$B:$B,'Felosztás eredménykim'!$B203,'Eredeti fejléccel'!$BN:$BN)</f>
        <v>0</v>
      </c>
      <c r="DK203" s="6">
        <f>SUMIF('Eredeti fejléccel'!$B:$B,'Felosztás eredménykim'!$B203,'Eredeti fejléccel'!$BZ:$BZ)</f>
        <v>0</v>
      </c>
      <c r="DL203" s="8">
        <f t="shared" si="298"/>
        <v>0</v>
      </c>
      <c r="DM203" s="6">
        <f>SUMIF('Eredeti fejléccel'!$B:$B,'Felosztás eredménykim'!$B203,'Eredeti fejléccel'!$BR:$BR)</f>
        <v>0</v>
      </c>
      <c r="DN203" s="6">
        <f>SUMIF('Eredeti fejléccel'!$B:$B,'Felosztás eredménykim'!$B203,'Eredeti fejléccel'!$BS:$BS)</f>
        <v>0</v>
      </c>
      <c r="DO203" s="6">
        <f>SUMIF('Eredeti fejléccel'!$B:$B,'Felosztás eredménykim'!$B203,'Eredeti fejléccel'!$BO:$BO)</f>
        <v>0</v>
      </c>
      <c r="DP203" s="6">
        <f>SUMIF('Eredeti fejléccel'!$B:$B,'Felosztás eredménykim'!$B203,'Eredeti fejléccel'!$BP:$BP)</f>
        <v>0</v>
      </c>
      <c r="DQ203" s="6">
        <f>SUMIF('Eredeti fejléccel'!$B:$B,'Felosztás eredménykim'!$B203,'Eredeti fejléccel'!$BQ:$BQ)</f>
        <v>0</v>
      </c>
      <c r="DS203" s="8"/>
      <c r="DU203" s="6">
        <f>SUMIF('Eredeti fejléccel'!$B:$B,'Felosztás eredménykim'!$B203,'Eredeti fejléccel'!$BT:$BT)</f>
        <v>0</v>
      </c>
      <c r="DV203" s="6">
        <f>SUMIF('Eredeti fejléccel'!$B:$B,'Felosztás eredménykim'!$B203,'Eredeti fejléccel'!$BU:$BU)</f>
        <v>0</v>
      </c>
      <c r="DW203" s="6">
        <f>SUMIF('Eredeti fejléccel'!$B:$B,'Felosztás eredménykim'!$B203,'Eredeti fejléccel'!$BV:$BV)</f>
        <v>0</v>
      </c>
      <c r="DX203" s="6">
        <f>SUMIF('Eredeti fejléccel'!$B:$B,'Felosztás eredménykim'!$B203,'Eredeti fejléccel'!$BW:$BW)</f>
        <v>0</v>
      </c>
      <c r="DY203" s="6">
        <f>SUMIF('Eredeti fejléccel'!$B:$B,'Felosztás eredménykim'!$B203,'Eredeti fejléccel'!$BX:$BX)</f>
        <v>0</v>
      </c>
      <c r="EA203" s="6"/>
      <c r="EC203" s="6"/>
      <c r="EE203" s="6">
        <f>SUMIF('Eredeti fejléccel'!$B:$B,'Felosztás eredménykim'!$B203,'Eredeti fejléccel'!$CA:$CA)</f>
        <v>0</v>
      </c>
      <c r="EF203" s="6">
        <f>SUMIF('Eredeti fejléccel'!$B:$B,'Felosztás eredménykim'!$B203,'Eredeti fejléccel'!$CB:$CB)</f>
        <v>0</v>
      </c>
      <c r="EG203" s="6">
        <f>SUMIF('Eredeti fejléccel'!$B:$B,'Felosztás eredménykim'!$B203,'Eredeti fejléccel'!$CC:$CC)</f>
        <v>0</v>
      </c>
      <c r="EH203" s="6">
        <f>SUMIF('Eredeti fejléccel'!$B:$B,'Felosztás eredménykim'!$B203,'Eredeti fejléccel'!$CD:$CD)</f>
        <v>0</v>
      </c>
      <c r="EK203" s="6">
        <f>SUMIF('Eredeti fejléccel'!$B:$B,'Felosztás eredménykim'!$B203,'Eredeti fejléccel'!$CE:$CE)</f>
        <v>0</v>
      </c>
      <c r="EN203" s="6">
        <f>SUMIF('Eredeti fejléccel'!$B:$B,'Felosztás eredménykim'!$B203,'Eredeti fejléccel'!$CF:$CF)</f>
        <v>0</v>
      </c>
      <c r="EP203" s="6">
        <f>SUMIF('Eredeti fejléccel'!$B:$B,'Felosztás eredménykim'!$B203,'Eredeti fejléccel'!$CG:$CG)</f>
        <v>0</v>
      </c>
      <c r="ES203" s="6">
        <f>SUMIF('Eredeti fejléccel'!$B:$B,'Felosztás eredménykim'!$B203,'Eredeti fejléccel'!$CH:$CH)</f>
        <v>0</v>
      </c>
      <c r="ET203" s="6">
        <f>SUMIF('Eredeti fejléccel'!$B:$B,'Felosztás eredménykim'!$B203,'Eredeti fejléccel'!$CI:$CI)</f>
        <v>0</v>
      </c>
      <c r="EW203" s="8">
        <f t="shared" si="288"/>
        <v>0</v>
      </c>
      <c r="EX203" s="8">
        <f t="shared" si="243"/>
        <v>0</v>
      </c>
      <c r="EY203" s="8">
        <f t="shared" si="416"/>
        <v>0</v>
      </c>
      <c r="EZ203" s="8">
        <f t="shared" si="289"/>
        <v>0</v>
      </c>
      <c r="FA203" s="8">
        <f t="shared" si="290"/>
        <v>0</v>
      </c>
      <c r="FC203" s="6">
        <f>SUMIF('Eredeti fejléccel'!$B:$B,'Felosztás eredménykim'!$B203,'Eredeti fejléccel'!$L:$L)</f>
        <v>0</v>
      </c>
      <c r="FD203" s="6">
        <f>SUMIF('Eredeti fejléccel'!$B:$B,'Felosztás eredménykim'!$B203,'Eredeti fejléccel'!$CJ:$CJ)</f>
        <v>0</v>
      </c>
      <c r="FE203" s="6">
        <f>SUMIF('Eredeti fejléccel'!$B:$B,'Felosztás eredménykim'!$B203,'Eredeti fejléccel'!$CL:$CL)</f>
        <v>0</v>
      </c>
      <c r="FG203" s="99">
        <f t="shared" si="245"/>
        <v>0</v>
      </c>
      <c r="FH203" s="6">
        <f>SUMIF('Eredeti fejléccel'!$B:$B,'Felosztás eredménykim'!$B203,'Eredeti fejléccel'!$CK:$CK)</f>
        <v>0</v>
      </c>
      <c r="FI203" s="36">
        <f t="shared" si="346"/>
        <v>0</v>
      </c>
      <c r="FJ203" s="101">
        <f t="shared" si="408"/>
        <v>0</v>
      </c>
      <c r="FK203" s="6">
        <f>SUMIF('Eredeti fejléccel'!$B:$B,'Felosztás eredménykim'!$B203,'Eredeti fejléccel'!$CM:$CM)</f>
        <v>0</v>
      </c>
      <c r="FL203" s="6">
        <f>SUMIF('Eredeti fejléccel'!$B:$B,'Felosztás eredménykim'!$B203,'Eredeti fejléccel'!$CN:$CN)</f>
        <v>0</v>
      </c>
      <c r="FM203" s="8">
        <f t="shared" si="246"/>
        <v>0</v>
      </c>
      <c r="FN203" s="36">
        <f t="shared" si="347"/>
        <v>0</v>
      </c>
      <c r="FO203" s="101">
        <f t="shared" si="409"/>
        <v>0</v>
      </c>
      <c r="FP203" s="6">
        <f>SUMIF('Eredeti fejléccel'!$B:$B,'Felosztás eredménykim'!$B203,'Eredeti fejléccel'!$CO:$CO)</f>
        <v>0</v>
      </c>
      <c r="FQ203" s="6">
        <f>'Eredeti fejléccel'!CP203</f>
        <v>0</v>
      </c>
      <c r="FR203" s="6">
        <f>'Eredeti fejléccel'!CQ203</f>
        <v>0</v>
      </c>
      <c r="FS203" s="103">
        <f t="shared" si="417"/>
        <v>0</v>
      </c>
      <c r="FT203" s="36">
        <f t="shared" si="348"/>
        <v>0</v>
      </c>
      <c r="FU203" s="101">
        <f t="shared" si="410"/>
        <v>0</v>
      </c>
      <c r="FV203" s="101"/>
      <c r="FW203" s="6">
        <f>SUMIF('Eredeti fejléccel'!$B:$B,'Felosztás eredménykim'!$B203,'Eredeti fejléccel'!$CR:$CR)</f>
        <v>0</v>
      </c>
      <c r="FX203" s="6">
        <f>SUMIF('Eredeti fejléccel'!$B:$B,'Felosztás eredménykim'!$B203,'Eredeti fejléccel'!$CS:$CS)</f>
        <v>0</v>
      </c>
      <c r="FY203" s="6">
        <f>SUMIF('Eredeti fejléccel'!$B:$B,'Felosztás eredménykim'!$B203,'Eredeti fejléccel'!$CT:$CT)</f>
        <v>0</v>
      </c>
      <c r="FZ203" s="6">
        <f>SUMIF('Eredeti fejléccel'!$B:$B,'Felosztás eredménykim'!$B203,'Eredeti fejléccel'!$CU:$CU)</f>
        <v>0</v>
      </c>
      <c r="GA203" s="103">
        <f t="shared" si="248"/>
        <v>0</v>
      </c>
      <c r="GB203" s="36">
        <f t="shared" si="349"/>
        <v>0</v>
      </c>
      <c r="GC203" s="101">
        <f t="shared" si="411"/>
        <v>0</v>
      </c>
      <c r="GD203" s="6">
        <f>SUMIF('Eredeti fejléccel'!$B:$B,'Felosztás eredménykim'!$B203,'Eredeti fejléccel'!$CV:$CV)</f>
        <v>0</v>
      </c>
      <c r="GE203" s="6">
        <f>SUMIF('Eredeti fejléccel'!$B:$B,'Felosztás eredménykim'!$B203,'Eredeti fejléccel'!$CW:$CW)</f>
        <v>0</v>
      </c>
      <c r="GF203" s="103">
        <f t="shared" si="249"/>
        <v>0</v>
      </c>
      <c r="GG203" s="36">
        <f t="shared" si="412"/>
        <v>0</v>
      </c>
      <c r="GM203" s="6">
        <f>SUMIF('Eredeti fejléccel'!$B:$B,'Felosztás eredménykim'!$B203,'Eredeti fejléccel'!$CX:$CX)</f>
        <v>0</v>
      </c>
      <c r="GN203" s="6">
        <f>SUMIF('Eredeti fejléccel'!$B:$B,'Felosztás eredménykim'!$B203,'Eredeti fejléccel'!$CY:$CY)</f>
        <v>0</v>
      </c>
      <c r="GO203" s="6">
        <f>SUMIF('Eredeti fejléccel'!$B:$B,'Felosztás eredménykim'!$B203,'Eredeti fejléccel'!$CZ:$CZ)</f>
        <v>0</v>
      </c>
      <c r="GP203" s="6">
        <f>SUMIF('Eredeti fejléccel'!$B:$B,'Felosztás eredménykim'!$B203,'Eredeti fejléccel'!$DA:$DA)</f>
        <v>0</v>
      </c>
      <c r="GQ203" s="6">
        <f>SUMIF('Eredeti fejléccel'!$B:$B,'Felosztás eredménykim'!$B203,'Eredeti fejléccel'!$DB:$DB)</f>
        <v>0</v>
      </c>
      <c r="GR203" s="103">
        <f t="shared" si="250"/>
        <v>0</v>
      </c>
      <c r="GW203" s="36">
        <f t="shared" si="413"/>
        <v>0</v>
      </c>
      <c r="GX203" s="6">
        <f>SUMIF('Eredeti fejléccel'!$B:$B,'Felosztás eredménykim'!$B203,'Eredeti fejléccel'!$M:$M)</f>
        <v>0</v>
      </c>
      <c r="GY203" s="6">
        <f>SUMIF('Eredeti fejléccel'!$B:$B,'Felosztás eredménykim'!$B203,'Eredeti fejléccel'!$DC:$DC)</f>
        <v>0</v>
      </c>
      <c r="GZ203" s="6">
        <f>SUMIF('Eredeti fejléccel'!$B:$B,'Felosztás eredménykim'!$B203,'Eredeti fejléccel'!$DD:$DD)</f>
        <v>0</v>
      </c>
      <c r="HA203" s="6">
        <f>SUMIF('Eredeti fejléccel'!$B:$B,'Felosztás eredménykim'!$B203,'Eredeti fejléccel'!$DE:$DE)</f>
        <v>0</v>
      </c>
      <c r="HB203" s="103">
        <f t="shared" si="251"/>
        <v>0</v>
      </c>
      <c r="HD203" s="9">
        <f t="shared" si="350"/>
        <v>88224</v>
      </c>
      <c r="HE203" s="9">
        <v>88224</v>
      </c>
      <c r="HF203" s="476"/>
      <c r="HH203" s="34">
        <f t="shared" si="252"/>
        <v>0</v>
      </c>
    </row>
    <row r="204" spans="1:218" x14ac:dyDescent="0.25">
      <c r="A204" s="4" t="s">
        <v>888</v>
      </c>
      <c r="B204" s="4" t="s">
        <v>888</v>
      </c>
      <c r="D204" s="6">
        <f>SUMIF('Eredeti fejléccel'!$B:$B,'Felosztás eredménykim'!$B204,'Eredeti fejléccel'!$D:$D)</f>
        <v>0</v>
      </c>
      <c r="E204" s="6">
        <f>SUMIF('Eredeti fejléccel'!$B:$B,'Felosztás eredménykim'!$B204,'Eredeti fejléccel'!$E:$E)</f>
        <v>0</v>
      </c>
      <c r="F204" s="6">
        <f>SUMIF('Eredeti fejléccel'!$B:$B,'Felosztás eredménykim'!$B204,'Eredeti fejléccel'!$F:$F)</f>
        <v>0</v>
      </c>
      <c r="G204" s="6">
        <f>SUMIF('Eredeti fejléccel'!$B:$B,'Felosztás eredménykim'!$B204,'Eredeti fejléccel'!$G:$G)</f>
        <v>0</v>
      </c>
      <c r="H204" s="6"/>
      <c r="I204" s="6">
        <f>SUMIF('Eredeti fejléccel'!$B:$B,'Felosztás eredménykim'!$B204,'Eredeti fejléccel'!$O:$O)</f>
        <v>0</v>
      </c>
      <c r="J204" s="6">
        <f>SUMIF('Eredeti fejléccel'!$B:$B,'Felosztás eredménykim'!$B204,'Eredeti fejléccel'!$P:$P)</f>
        <v>0</v>
      </c>
      <c r="K204" s="6">
        <f>SUMIF('Eredeti fejléccel'!$B:$B,'Felosztás eredménykim'!$B204,'Eredeti fejléccel'!$Q:$Q)</f>
        <v>0</v>
      </c>
      <c r="L204" s="6">
        <f>SUMIF('Eredeti fejléccel'!$B:$B,'Felosztás eredménykim'!$B204,'Eredeti fejléccel'!$R:$R)</f>
        <v>0</v>
      </c>
      <c r="M204" s="6">
        <f>SUMIF('Eredeti fejléccel'!$B:$B,'Felosztás eredménykim'!$B204,'Eredeti fejléccel'!$T:$T)</f>
        <v>0</v>
      </c>
      <c r="N204" s="6">
        <f>SUMIF('Eredeti fejléccel'!$B:$B,'Felosztás eredménykim'!$B204,'Eredeti fejléccel'!$U:$U)</f>
        <v>0</v>
      </c>
      <c r="O204" s="6">
        <f>SUMIF('Eredeti fejléccel'!$B:$B,'Felosztás eredménykim'!$B204,'Eredeti fejléccel'!$V:$V)</f>
        <v>0</v>
      </c>
      <c r="P204" s="6">
        <f>SUMIF('Eredeti fejléccel'!$B:$B,'Felosztás eredménykim'!$B204,'Eredeti fejléccel'!$W:$W)</f>
        <v>0</v>
      </c>
      <c r="Q204" s="6">
        <f>SUMIF('Eredeti fejléccel'!$B:$B,'Felosztás eredménykim'!$B204,'Eredeti fejléccel'!$X:$X)</f>
        <v>0</v>
      </c>
      <c r="R204" s="6">
        <f>SUMIF('Eredeti fejléccel'!$B:$B,'Felosztás eredménykim'!$B204,'Eredeti fejléccel'!$Y:$Y)</f>
        <v>0</v>
      </c>
      <c r="S204" s="6">
        <f>SUMIF('Eredeti fejléccel'!$B:$B,'Felosztás eredménykim'!$B204,'Eredeti fejléccel'!$Z:$Z)</f>
        <v>0</v>
      </c>
      <c r="T204" s="6">
        <f>SUMIF('Eredeti fejléccel'!$B:$B,'Felosztás eredménykim'!$B204,'Eredeti fejléccel'!$AA:$AA)</f>
        <v>0</v>
      </c>
      <c r="U204" s="6">
        <f>SUMIF('Eredeti fejléccel'!$B:$B,'Felosztás eredménykim'!$B204,'Eredeti fejléccel'!$D:$D)</f>
        <v>0</v>
      </c>
      <c r="V204" s="6">
        <f>SUMIF('Eredeti fejléccel'!$B:$B,'Felosztás eredménykim'!$B204,'Eredeti fejléccel'!$AT:$AT)</f>
        <v>501670.93</v>
      </c>
      <c r="W204" s="36">
        <f t="shared" si="368"/>
        <v>-501670.93</v>
      </c>
      <c r="X204" s="36">
        <f t="shared" si="414"/>
        <v>0</v>
      </c>
      <c r="Z204" s="6">
        <f>SUMIF('Eredeti fejléccel'!$B:$B,'Felosztás eredménykim'!$B204,'Eredeti fejléccel'!$K:$K)</f>
        <v>0</v>
      </c>
      <c r="AB204" s="6">
        <f>SUMIF('Eredeti fejléccel'!$B:$B,'Felosztás eredménykim'!$B204,'Eredeti fejléccel'!$AB:$AB)</f>
        <v>0</v>
      </c>
      <c r="AC204" s="6">
        <f>SUMIF('Eredeti fejléccel'!$B:$B,'Felosztás eredménykim'!$B204,'Eredeti fejléccel'!$AQ:$AQ)</f>
        <v>0</v>
      </c>
      <c r="AE204" s="73">
        <f t="shared" si="299"/>
        <v>0</v>
      </c>
      <c r="AF204" s="36">
        <f t="shared" ref="AF204" si="418">$X204/$HD$290*(AG$290+AG$291)</f>
        <v>0</v>
      </c>
      <c r="AG204" s="8">
        <f t="shared" si="399"/>
        <v>0</v>
      </c>
      <c r="AI204" s="6">
        <f>SUMIF('Eredeti fejléccel'!$B:$B,'Felosztás eredménykim'!$B204,'Eredeti fejléccel'!$BB:$BB)</f>
        <v>0</v>
      </c>
      <c r="AJ204" s="6">
        <f>SUMIF('Eredeti fejléccel'!$B:$B,'Felosztás eredménykim'!$B204,'Eredeti fejléccel'!$AF:$AF)</f>
        <v>0</v>
      </c>
      <c r="AK204" s="8">
        <f t="shared" si="177"/>
        <v>0</v>
      </c>
      <c r="AL204" s="36">
        <f t="shared" ref="AL204" si="419">$X204/$HD$290*(AM$290+AM$291)</f>
        <v>0</v>
      </c>
      <c r="AM204" s="8">
        <f t="shared" si="400"/>
        <v>0</v>
      </c>
      <c r="AN204" s="6">
        <f t="shared" si="291"/>
        <v>0</v>
      </c>
      <c r="AO204" s="6">
        <f>SUMIF('Eredeti fejléccel'!$B:$B,'Felosztás eredménykim'!$B204,'Eredeti fejléccel'!$AC:$AC)</f>
        <v>0</v>
      </c>
      <c r="AP204" s="6">
        <f>SUMIF('Eredeti fejléccel'!$B:$B,'Felosztás eredménykim'!$B204,'Eredeti fejléccel'!$AD:$AD)</f>
        <v>0</v>
      </c>
      <c r="AQ204" s="6">
        <f>SUMIF('Eredeti fejléccel'!$B:$B,'Felosztás eredménykim'!$B204,'Eredeti fejléccel'!$AE:$AE)</f>
        <v>0</v>
      </c>
      <c r="AR204" s="6">
        <f>SUMIF('Eredeti fejléccel'!$B:$B,'Felosztás eredménykim'!$B204,'Eredeti fejléccel'!$AG:$AG)</f>
        <v>0</v>
      </c>
      <c r="AS204" s="6">
        <f t="shared" si="292"/>
        <v>0</v>
      </c>
      <c r="AT204" s="36">
        <f t="shared" ref="AT204" si="420">$X204/$HD$290*(AU$290+AU$291)</f>
        <v>0</v>
      </c>
      <c r="AU204" s="8">
        <f t="shared" si="401"/>
        <v>0</v>
      </c>
      <c r="AV204" s="6">
        <f>SUMIF('Eredeti fejléccel'!$B:$B,'Felosztás eredménykim'!$B204,'Eredeti fejléccel'!$AI:$AI)</f>
        <v>0</v>
      </c>
      <c r="AW204" s="6">
        <f>SUMIF('Eredeti fejléccel'!$B:$B,'Felosztás eredménykim'!$B204,'Eredeti fejléccel'!$AJ:$AJ)</f>
        <v>0</v>
      </c>
      <c r="AX204" s="6">
        <f>SUMIF('Eredeti fejléccel'!$B:$B,'Felosztás eredménykim'!$B204,'Eredeti fejléccel'!$AK:$AK)</f>
        <v>0</v>
      </c>
      <c r="AY204" s="6">
        <f>SUMIF('Eredeti fejléccel'!$B:$B,'Felosztás eredménykim'!$B204,'Eredeti fejléccel'!$AL:$AL)</f>
        <v>0</v>
      </c>
      <c r="AZ204" s="6">
        <f>SUMIF('Eredeti fejléccel'!$B:$B,'Felosztás eredménykim'!$B204,'Eredeti fejléccel'!$AM:$AM)</f>
        <v>0</v>
      </c>
      <c r="BA204" s="6">
        <f>SUMIF('Eredeti fejléccel'!$B:$B,'Felosztás eredménykim'!$B204,'Eredeti fejléccel'!$AN:$AN)</f>
        <v>0</v>
      </c>
      <c r="BB204" s="6">
        <f>SUMIF('Eredeti fejléccel'!$B:$B,'Felosztás eredménykim'!$B204,'Eredeti fejléccel'!$AP:$AP)</f>
        <v>0</v>
      </c>
      <c r="BD204" s="6">
        <f>SUMIF('Eredeti fejléccel'!$B:$B,'Felosztás eredménykim'!$B204,'Eredeti fejléccel'!$AS:$AS)</f>
        <v>0</v>
      </c>
      <c r="BE204" s="8">
        <f t="shared" si="238"/>
        <v>0</v>
      </c>
      <c r="BF204" s="36">
        <f t="shared" ref="BF204" si="421">$X204/$HD$290*(BG$290+BG$291)</f>
        <v>0</v>
      </c>
      <c r="BG204" s="8">
        <f t="shared" si="402"/>
        <v>0</v>
      </c>
      <c r="BH204" s="6">
        <f t="shared" si="293"/>
        <v>0</v>
      </c>
      <c r="BI204" s="6">
        <f>SUMIF('Eredeti fejléccel'!$B:$B,'Felosztás eredménykim'!$B204,'Eredeti fejléccel'!$AH:$AH)</f>
        <v>0</v>
      </c>
      <c r="BJ204" s="6">
        <f>SUMIF('Eredeti fejléccel'!$B:$B,'Felosztás eredménykim'!$B204,'Eredeti fejléccel'!$AO:$AO)</f>
        <v>0</v>
      </c>
      <c r="BK204" s="6">
        <f>SUMIF('Eredeti fejléccel'!$B:$B,'Felosztás eredménykim'!$B204,'Eredeti fejléccel'!$BF:$BF)</f>
        <v>0</v>
      </c>
      <c r="BL204" s="8">
        <f t="shared" si="294"/>
        <v>0</v>
      </c>
      <c r="BM204" s="36">
        <f t="shared" ref="BM204" si="422">$X204/$HD$290*(BN$290+BN$291)</f>
        <v>0</v>
      </c>
      <c r="BN204" s="8">
        <f t="shared" si="403"/>
        <v>0</v>
      </c>
      <c r="BP204" s="8">
        <f t="shared" si="295"/>
        <v>0</v>
      </c>
      <c r="BQ204" s="6">
        <f>SUMIF('Eredeti fejléccel'!$B:$B,'Felosztás eredménykim'!$B204,'Eredeti fejléccel'!$N:$N)</f>
        <v>0</v>
      </c>
      <c r="BR204" s="6">
        <f>SUMIF('Eredeti fejléccel'!$B:$B,'Felosztás eredménykim'!$B204,'Eredeti fejléccel'!$S:$S)</f>
        <v>0</v>
      </c>
      <c r="BT204" s="6">
        <f>SUMIF('Eredeti fejléccel'!$B:$B,'Felosztás eredménykim'!$B204,'Eredeti fejléccel'!$AR:$AR)</f>
        <v>0</v>
      </c>
      <c r="BU204" s="6">
        <f>SUMIF('Eredeti fejléccel'!$B:$B,'Felosztás eredménykim'!$B204,'Eredeti fejléccel'!$AU:$AU)</f>
        <v>0</v>
      </c>
      <c r="BV204" s="6">
        <f>SUMIF('Eredeti fejléccel'!$B:$B,'Felosztás eredménykim'!$B204,'Eredeti fejléccel'!$AV:$AV)</f>
        <v>0</v>
      </c>
      <c r="BW204" s="6">
        <f>SUMIF('Eredeti fejléccel'!$B:$B,'Felosztás eredménykim'!$B204,'Eredeti fejléccel'!$AW:$AW)</f>
        <v>0</v>
      </c>
      <c r="BX204" s="6">
        <f>SUMIF('Eredeti fejléccel'!$B:$B,'Felosztás eredménykim'!$B204,'Eredeti fejléccel'!$AX:$AX)</f>
        <v>0</v>
      </c>
      <c r="BY204" s="6">
        <f>SUMIF('Eredeti fejléccel'!$B:$B,'Felosztás eredménykim'!$B204,'Eredeti fejléccel'!$AY:$AY)</f>
        <v>0</v>
      </c>
      <c r="BZ204" s="6">
        <f>SUMIF('Eredeti fejléccel'!$B:$B,'Felosztás eredménykim'!$B204,'Eredeti fejléccel'!$AZ:$AZ)</f>
        <v>0</v>
      </c>
      <c r="CA204" s="6">
        <f>SUMIF('Eredeti fejléccel'!$B:$B,'Felosztás eredménykim'!$B204,'Eredeti fejléccel'!$BA:$BA)</f>
        <v>0</v>
      </c>
      <c r="CB204" s="6">
        <f t="shared" si="253"/>
        <v>0</v>
      </c>
      <c r="CC204" s="36">
        <f t="shared" ref="CC204" si="423">$X204/$HD$290*(CD$290+CD$291)</f>
        <v>0</v>
      </c>
      <c r="CD204" s="8">
        <f t="shared" si="404"/>
        <v>0</v>
      </c>
      <c r="CE204" s="6">
        <f>SUMIF('Eredeti fejléccel'!$B:$B,'Felosztás eredménykim'!$B204,'Eredeti fejléccel'!$BC:$BC)</f>
        <v>0</v>
      </c>
      <c r="CF204" s="8">
        <f t="shared" si="300"/>
        <v>0</v>
      </c>
      <c r="CG204" s="6">
        <f>SUMIF('Eredeti fejléccel'!$B:$B,'Felosztás eredménykim'!$B204,'Eredeti fejléccel'!$H:$H)</f>
        <v>0</v>
      </c>
      <c r="CH204" s="6">
        <f>SUMIF('Eredeti fejléccel'!$B:$B,'Felosztás eredménykim'!$B204,'Eredeti fejléccel'!$BE:$BE)</f>
        <v>0</v>
      </c>
      <c r="CI204" s="6">
        <f t="shared" si="239"/>
        <v>0</v>
      </c>
      <c r="CJ204" s="36">
        <f t="shared" ref="CJ204" si="424">$X204/$HD$290*(CK$290+CK$291)</f>
        <v>0</v>
      </c>
      <c r="CK204" s="8">
        <f t="shared" si="405"/>
        <v>0</v>
      </c>
      <c r="CL204" s="8">
        <f t="shared" si="301"/>
        <v>0</v>
      </c>
      <c r="CM204" s="6">
        <f>SUMIF('Eredeti fejléccel'!$B:$B,'Felosztás eredménykim'!$B204,'Eredeti fejléccel'!$BD:$BD)</f>
        <v>0</v>
      </c>
      <c r="CN204" s="8">
        <f t="shared" si="240"/>
        <v>0</v>
      </c>
      <c r="CO204" s="8">
        <f t="shared" si="254"/>
        <v>0</v>
      </c>
      <c r="CR204" s="36">
        <f t="shared" si="406"/>
        <v>0</v>
      </c>
      <c r="CS204" s="6">
        <f>SUMIF('Eredeti fejléccel'!$B:$B,'Felosztás eredménykim'!$B204,'Eredeti fejléccel'!$I:$I)</f>
        <v>0</v>
      </c>
      <c r="CT204" s="6">
        <f>SUMIF('Eredeti fejléccel'!$B:$B,'Felosztás eredménykim'!$B204,'Eredeti fejléccel'!$BG:$BG)</f>
        <v>0</v>
      </c>
      <c r="CU204" s="6">
        <f>SUMIF('Eredeti fejléccel'!$B:$B,'Felosztás eredménykim'!$B204,'Eredeti fejléccel'!$BH:$BH)</f>
        <v>0</v>
      </c>
      <c r="CV204" s="6">
        <f>SUMIF('Eredeti fejléccel'!$B:$B,'Felosztás eredménykim'!$B204,'Eredeti fejléccel'!$BI:$BI)</f>
        <v>0</v>
      </c>
      <c r="CW204" s="6">
        <f>SUMIF('Eredeti fejléccel'!$B:$B,'Felosztás eredménykim'!$B204,'Eredeti fejléccel'!$BL:$BL)</f>
        <v>0</v>
      </c>
      <c r="CX204" s="6">
        <f t="shared" si="241"/>
        <v>0</v>
      </c>
      <c r="CY204" s="6">
        <f>SUMIF('Eredeti fejléccel'!$B:$B,'Felosztás eredménykim'!$B204,'Eredeti fejléccel'!$BJ:$BJ)</f>
        <v>0</v>
      </c>
      <c r="CZ204" s="6">
        <f>SUMIF('Eredeti fejléccel'!$B:$B,'Felosztás eredménykim'!$B204,'Eredeti fejléccel'!$BK:$BK)</f>
        <v>0</v>
      </c>
      <c r="DA204" s="99">
        <f t="shared" si="415"/>
        <v>0</v>
      </c>
      <c r="DC204" s="36">
        <f t="shared" si="407"/>
        <v>0</v>
      </c>
      <c r="DD204" s="6">
        <f>SUMIF('Eredeti fejléccel'!$B:$B,'Felosztás eredménykim'!$B204,'Eredeti fejléccel'!$J:$J)</f>
        <v>0</v>
      </c>
      <c r="DE204" s="6">
        <f>SUMIF('Eredeti fejléccel'!$B:$B,'Felosztás eredménykim'!$B204,'Eredeti fejléccel'!$BM:$BM)</f>
        <v>0</v>
      </c>
      <c r="DF204" s="6">
        <f t="shared" si="296"/>
        <v>0</v>
      </c>
      <c r="DG204" s="8">
        <f t="shared" si="255"/>
        <v>0</v>
      </c>
      <c r="DH204" s="8">
        <f t="shared" si="297"/>
        <v>0</v>
      </c>
      <c r="DJ204" s="6">
        <f>SUMIF('Eredeti fejléccel'!$B:$B,'Felosztás eredménykim'!$B204,'Eredeti fejléccel'!$BN:$BN)</f>
        <v>0</v>
      </c>
      <c r="DK204" s="6">
        <f>SUMIF('Eredeti fejléccel'!$B:$B,'Felosztás eredménykim'!$B204,'Eredeti fejléccel'!$BZ:$BZ)</f>
        <v>0</v>
      </c>
      <c r="DL204" s="8">
        <f t="shared" si="298"/>
        <v>0</v>
      </c>
      <c r="DM204" s="6">
        <f>SUMIF('Eredeti fejléccel'!$B:$B,'Felosztás eredménykim'!$B204,'Eredeti fejléccel'!$BR:$BR)</f>
        <v>0</v>
      </c>
      <c r="DN204" s="6">
        <f>SUMIF('Eredeti fejléccel'!$B:$B,'Felosztás eredménykim'!$B204,'Eredeti fejléccel'!$BS:$BS)</f>
        <v>0</v>
      </c>
      <c r="DO204" s="6">
        <f>SUMIF('Eredeti fejléccel'!$B:$B,'Felosztás eredménykim'!$B204,'Eredeti fejléccel'!$BO:$BO)</f>
        <v>0</v>
      </c>
      <c r="DP204" s="6">
        <f>SUMIF('Eredeti fejléccel'!$B:$B,'Felosztás eredménykim'!$B204,'Eredeti fejléccel'!$BP:$BP)</f>
        <v>0</v>
      </c>
      <c r="DQ204" s="6">
        <f>SUMIF('Eredeti fejléccel'!$B:$B,'Felosztás eredménykim'!$B204,'Eredeti fejléccel'!$BQ:$BQ)</f>
        <v>0</v>
      </c>
      <c r="DS204" s="8"/>
      <c r="DU204" s="6">
        <f>SUMIF('Eredeti fejléccel'!$B:$B,'Felosztás eredménykim'!$B204,'Eredeti fejléccel'!$BT:$BT)</f>
        <v>0</v>
      </c>
      <c r="DV204" s="6">
        <f>SUMIF('Eredeti fejléccel'!$B:$B,'Felosztás eredménykim'!$B204,'Eredeti fejléccel'!$BU:$BU)</f>
        <v>0</v>
      </c>
      <c r="DW204" s="6">
        <f>SUMIF('Eredeti fejléccel'!$B:$B,'Felosztás eredménykim'!$B204,'Eredeti fejléccel'!$BV:$BV)</f>
        <v>0</v>
      </c>
      <c r="DX204" s="6">
        <f>SUMIF('Eredeti fejléccel'!$B:$B,'Felosztás eredménykim'!$B204,'Eredeti fejléccel'!$BW:$BW)</f>
        <v>0</v>
      </c>
      <c r="DY204" s="6">
        <f>SUMIF('Eredeti fejléccel'!$B:$B,'Felosztás eredménykim'!$B204,'Eredeti fejléccel'!$BX:$BX)</f>
        <v>0</v>
      </c>
      <c r="EA204" s="6"/>
      <c r="EC204" s="6"/>
      <c r="EE204" s="6">
        <f>SUMIF('Eredeti fejléccel'!$B:$B,'Felosztás eredménykim'!$B204,'Eredeti fejléccel'!$CA:$CA)</f>
        <v>0</v>
      </c>
      <c r="EF204" s="6">
        <f>SUMIF('Eredeti fejléccel'!$B:$B,'Felosztás eredménykim'!$B204,'Eredeti fejléccel'!$CB:$CB)</f>
        <v>0</v>
      </c>
      <c r="EG204" s="6">
        <f>SUMIF('Eredeti fejléccel'!$B:$B,'Felosztás eredménykim'!$B204,'Eredeti fejléccel'!$CC:$CC)</f>
        <v>0</v>
      </c>
      <c r="EH204" s="6">
        <f>SUMIF('Eredeti fejléccel'!$B:$B,'Felosztás eredménykim'!$B204,'Eredeti fejléccel'!$CD:$CD)</f>
        <v>0</v>
      </c>
      <c r="EK204" s="6">
        <f>SUMIF('Eredeti fejléccel'!$B:$B,'Felosztás eredménykim'!$B204,'Eredeti fejléccel'!$CE:$CE)</f>
        <v>0</v>
      </c>
      <c r="EN204" s="6">
        <f>SUMIF('Eredeti fejléccel'!$B:$B,'Felosztás eredménykim'!$B204,'Eredeti fejléccel'!$CF:$CF)</f>
        <v>0</v>
      </c>
      <c r="EP204" s="6">
        <f>SUMIF('Eredeti fejléccel'!$B:$B,'Felosztás eredménykim'!$B204,'Eredeti fejléccel'!$CG:$CG)</f>
        <v>0</v>
      </c>
      <c r="ES204" s="6">
        <f>SUMIF('Eredeti fejléccel'!$B:$B,'Felosztás eredménykim'!$B204,'Eredeti fejléccel'!$CH:$CH)</f>
        <v>0</v>
      </c>
      <c r="ET204" s="6">
        <f>SUMIF('Eredeti fejléccel'!$B:$B,'Felosztás eredménykim'!$B204,'Eredeti fejléccel'!$CI:$CI)</f>
        <v>0</v>
      </c>
      <c r="EW204" s="8">
        <f t="shared" si="288"/>
        <v>0</v>
      </c>
      <c r="EX204" s="8">
        <f t="shared" si="243"/>
        <v>0</v>
      </c>
      <c r="EY204" s="8">
        <f t="shared" si="416"/>
        <v>0</v>
      </c>
      <c r="EZ204" s="8">
        <f t="shared" si="289"/>
        <v>0</v>
      </c>
      <c r="FA204" s="8">
        <f t="shared" si="290"/>
        <v>0</v>
      </c>
      <c r="FC204" s="6">
        <f>SUMIF('Eredeti fejléccel'!$B:$B,'Felosztás eredménykim'!$B204,'Eredeti fejléccel'!$L:$L)</f>
        <v>0</v>
      </c>
      <c r="FD204" s="6">
        <f>SUMIF('Eredeti fejléccel'!$B:$B,'Felosztás eredménykim'!$B204,'Eredeti fejléccel'!$CJ:$CJ)</f>
        <v>0</v>
      </c>
      <c r="FE204" s="6">
        <f>SUMIF('Eredeti fejléccel'!$B:$B,'Felosztás eredménykim'!$B204,'Eredeti fejléccel'!$CL:$CL)</f>
        <v>0</v>
      </c>
      <c r="FG204" s="99">
        <f t="shared" si="245"/>
        <v>0</v>
      </c>
      <c r="FH204" s="6">
        <f>SUMIF('Eredeti fejléccel'!$B:$B,'Felosztás eredménykim'!$B204,'Eredeti fejléccel'!$CK:$CK)</f>
        <v>0</v>
      </c>
      <c r="FI204" s="36">
        <f t="shared" ref="FI204" si="425">$X204/$HD$290*(FJ$290+FJ$293)</f>
        <v>0</v>
      </c>
      <c r="FJ204" s="101">
        <f t="shared" si="408"/>
        <v>0</v>
      </c>
      <c r="FK204" s="6">
        <f>SUMIF('Eredeti fejléccel'!$B:$B,'Felosztás eredménykim'!$B204,'Eredeti fejléccel'!$CM:$CM)</f>
        <v>0</v>
      </c>
      <c r="FL204" s="6">
        <f>SUMIF('Eredeti fejléccel'!$B:$B,'Felosztás eredménykim'!$B204,'Eredeti fejléccel'!$CN:$CN)</f>
        <v>0</v>
      </c>
      <c r="FM204" s="8">
        <f t="shared" si="246"/>
        <v>0</v>
      </c>
      <c r="FN204" s="36">
        <f t="shared" ref="FN204" si="426">$X204/$HD$290*(FO$290+FO$293)</f>
        <v>0</v>
      </c>
      <c r="FO204" s="101">
        <f t="shared" si="409"/>
        <v>0</v>
      </c>
      <c r="FP204" s="6">
        <f>SUMIF('Eredeti fejléccel'!$B:$B,'Felosztás eredménykim'!$B204,'Eredeti fejléccel'!$CO:$CO)</f>
        <v>0</v>
      </c>
      <c r="FQ204" s="6">
        <f>'Eredeti fejléccel'!CP204</f>
        <v>0</v>
      </c>
      <c r="FR204" s="6">
        <f>'Eredeti fejléccel'!CQ204</f>
        <v>0</v>
      </c>
      <c r="FS204" s="103">
        <f t="shared" si="417"/>
        <v>0</v>
      </c>
      <c r="FT204" s="36">
        <f t="shared" ref="FT204" si="427">$X204/$HD$290*(FU$290+FU$293)</f>
        <v>0</v>
      </c>
      <c r="FU204" s="101">
        <f t="shared" si="410"/>
        <v>0</v>
      </c>
      <c r="FV204" s="101"/>
      <c r="FW204" s="6">
        <f>SUMIF('Eredeti fejléccel'!$B:$B,'Felosztás eredménykim'!$B204,'Eredeti fejléccel'!$CR:$CR)</f>
        <v>0</v>
      </c>
      <c r="FX204" s="6">
        <f>SUMIF('Eredeti fejléccel'!$B:$B,'Felosztás eredménykim'!$B204,'Eredeti fejléccel'!$CS:$CS)</f>
        <v>0</v>
      </c>
      <c r="FY204" s="6">
        <f>SUMIF('Eredeti fejléccel'!$B:$B,'Felosztás eredménykim'!$B204,'Eredeti fejléccel'!$CT:$CT)</f>
        <v>0</v>
      </c>
      <c r="FZ204" s="6">
        <f>SUMIF('Eredeti fejléccel'!$B:$B,'Felosztás eredménykim'!$B204,'Eredeti fejléccel'!$CU:$CU)</f>
        <v>0</v>
      </c>
      <c r="GA204" s="103">
        <f t="shared" si="248"/>
        <v>0</v>
      </c>
      <c r="GB204" s="36">
        <f t="shared" ref="GB204" si="428">$X204/$HD$290*(GC$290+GC$293)</f>
        <v>0</v>
      </c>
      <c r="GC204" s="101">
        <f t="shared" si="411"/>
        <v>0</v>
      </c>
      <c r="GD204" s="6">
        <f>SUMIF('Eredeti fejléccel'!$B:$B,'Felosztás eredménykim'!$B204,'Eredeti fejléccel'!$CV:$CV)</f>
        <v>0</v>
      </c>
      <c r="GE204" s="6">
        <f>SUMIF('Eredeti fejléccel'!$B:$B,'Felosztás eredménykim'!$B204,'Eredeti fejléccel'!$CW:$CW)</f>
        <v>0</v>
      </c>
      <c r="GF204" s="103">
        <f t="shared" si="249"/>
        <v>0</v>
      </c>
      <c r="GG204" s="36">
        <f t="shared" si="412"/>
        <v>0</v>
      </c>
      <c r="GM204" s="6">
        <f>SUMIF('Eredeti fejléccel'!$B:$B,'Felosztás eredménykim'!$B204,'Eredeti fejléccel'!$CX:$CX)</f>
        <v>0</v>
      </c>
      <c r="GN204" s="6">
        <f>SUMIF('Eredeti fejléccel'!$B:$B,'Felosztás eredménykim'!$B204,'Eredeti fejléccel'!$CY:$CY)</f>
        <v>0</v>
      </c>
      <c r="GO204" s="6">
        <f>SUMIF('Eredeti fejléccel'!$B:$B,'Felosztás eredménykim'!$B204,'Eredeti fejléccel'!$CZ:$CZ)</f>
        <v>0</v>
      </c>
      <c r="GP204" s="6">
        <f>SUMIF('Eredeti fejléccel'!$B:$B,'Felosztás eredménykim'!$B204,'Eredeti fejléccel'!$DA:$DA)</f>
        <v>0</v>
      </c>
      <c r="GQ204" s="6">
        <f>SUMIF('Eredeti fejléccel'!$B:$B,'Felosztás eredménykim'!$B204,'Eredeti fejléccel'!$DB:$DB)</f>
        <v>0</v>
      </c>
      <c r="GR204" s="103">
        <f t="shared" si="250"/>
        <v>0</v>
      </c>
      <c r="GW204" s="36">
        <f t="shared" si="413"/>
        <v>0</v>
      </c>
      <c r="GX204" s="6">
        <f>SUMIF('Eredeti fejléccel'!$B:$B,'Felosztás eredménykim'!$B204,'Eredeti fejléccel'!$M:$M)</f>
        <v>0</v>
      </c>
      <c r="GY204" s="6">
        <f>SUMIF('Eredeti fejléccel'!$B:$B,'Felosztás eredménykim'!$B204,'Eredeti fejléccel'!$DC:$DC)</f>
        <v>0</v>
      </c>
      <c r="GZ204" s="6">
        <f>SUMIF('Eredeti fejléccel'!$B:$B,'Felosztás eredménykim'!$B204,'Eredeti fejléccel'!$DD:$DD)</f>
        <v>0</v>
      </c>
      <c r="HA204" s="6">
        <f>SUMIF('Eredeti fejléccel'!$B:$B,'Felosztás eredménykim'!$B204,'Eredeti fejléccel'!$DE:$DE)</f>
        <v>0</v>
      </c>
      <c r="HB204" s="103">
        <f t="shared" si="251"/>
        <v>0</v>
      </c>
      <c r="HD204" s="9">
        <f t="shared" ref="HD204:HD236" si="429">SUM(D204:HA204)-W204-X204-AD204-AE204-AF204-AG204-AK204-AL204-AM204-AS204-AT204-AU204-BE204-BF204-BG204-BL204-BM204-BN204-CB204-CC204-CD204-CI204-CJ204-CK204-CN204-CO204-CP204-CR204-CX204-DA204-DC204-DG204-DH204-DL204-EW204-EX204-EY204-EZ204-FA204-FF204-FG204-FI204-FJ204-FM204-FN204-FO204-FS204-FT204-FU204-GA204-GB204-GC204-GF204-GG204-GR204-GS204-GT204-GU204-GW204</f>
        <v>501670.93</v>
      </c>
      <c r="HE204" s="9">
        <v>501670.93</v>
      </c>
      <c r="HF204" s="476"/>
      <c r="HH204" s="34">
        <f t="shared" si="252"/>
        <v>0</v>
      </c>
      <c r="HI204" s="31">
        <f>SUM(HD147:HD206)</f>
        <v>712795468.25</v>
      </c>
      <c r="HJ204" s="31">
        <f>SUM(HE147:HE206)</f>
        <v>712795468.25</v>
      </c>
    </row>
    <row r="205" spans="1:218" x14ac:dyDescent="0.25">
      <c r="A205" s="4" t="s">
        <v>1679</v>
      </c>
      <c r="B205" s="4" t="s">
        <v>1679</v>
      </c>
      <c r="C205" s="1" t="s">
        <v>1680</v>
      </c>
      <c r="D205" s="6">
        <f>SUMIF('Eredeti fejléccel'!$B:$B,'Felosztás eredménykim'!$B205,'Eredeti fejléccel'!$D:$D)</f>
        <v>0</v>
      </c>
      <c r="E205" s="6">
        <f>SUMIF('Eredeti fejléccel'!$B:$B,'Felosztás eredménykim'!$B205,'Eredeti fejléccel'!$E:$E)</f>
        <v>0</v>
      </c>
      <c r="F205" s="6">
        <f>SUMIF('Eredeti fejléccel'!$B:$B,'Felosztás eredménykim'!$B205,'Eredeti fejléccel'!$F:$F)</f>
        <v>0</v>
      </c>
      <c r="G205" s="6">
        <f>SUMIF('Eredeti fejléccel'!$B:$B,'Felosztás eredménykim'!$B205,'Eredeti fejléccel'!$G:$G)</f>
        <v>0</v>
      </c>
      <c r="H205" s="6"/>
      <c r="I205" s="6">
        <f>SUMIF('Eredeti fejléccel'!$B:$B,'Felosztás eredménykim'!$B205,'Eredeti fejléccel'!$O:$O)</f>
        <v>0</v>
      </c>
      <c r="J205" s="6">
        <f>SUMIF('Eredeti fejléccel'!$B:$B,'Felosztás eredménykim'!$B205,'Eredeti fejléccel'!$P:$P)</f>
        <v>0</v>
      </c>
      <c r="K205" s="6">
        <f>SUMIF('Eredeti fejléccel'!$B:$B,'Felosztás eredménykim'!$B205,'Eredeti fejléccel'!$Q:$Q)</f>
        <v>0</v>
      </c>
      <c r="L205" s="6">
        <f>SUMIF('Eredeti fejléccel'!$B:$B,'Felosztás eredménykim'!$B205,'Eredeti fejléccel'!$R:$R)</f>
        <v>0</v>
      </c>
      <c r="M205" s="6">
        <f>SUMIF('Eredeti fejléccel'!$B:$B,'Felosztás eredménykim'!$B205,'Eredeti fejléccel'!$T:$T)</f>
        <v>0</v>
      </c>
      <c r="N205" s="6">
        <f>SUMIF('Eredeti fejléccel'!$B:$B,'Felosztás eredménykim'!$B205,'Eredeti fejléccel'!$U:$U)</f>
        <v>0</v>
      </c>
      <c r="O205" s="6">
        <f>SUMIF('Eredeti fejléccel'!$B:$B,'Felosztás eredménykim'!$B205,'Eredeti fejléccel'!$V:$V)</f>
        <v>0</v>
      </c>
      <c r="P205" s="6">
        <f>SUMIF('Eredeti fejléccel'!$B:$B,'Felosztás eredménykim'!$B205,'Eredeti fejléccel'!$W:$W)</f>
        <v>0</v>
      </c>
      <c r="Q205" s="6">
        <f>SUMIF('Eredeti fejléccel'!$B:$B,'Felosztás eredménykim'!$B205,'Eredeti fejléccel'!$X:$X)</f>
        <v>0</v>
      </c>
      <c r="R205" s="6">
        <f>SUMIF('Eredeti fejléccel'!$B:$B,'Felosztás eredménykim'!$B205,'Eredeti fejléccel'!$Y:$Y)</f>
        <v>0</v>
      </c>
      <c r="S205" s="6">
        <f>SUMIF('Eredeti fejléccel'!$B:$B,'Felosztás eredménykim'!$B205,'Eredeti fejléccel'!$Z:$Z)</f>
        <v>0</v>
      </c>
      <c r="T205" s="6">
        <f>SUMIF('Eredeti fejléccel'!$B:$B,'Felosztás eredménykim'!$B205,'Eredeti fejléccel'!$AA:$AA)</f>
        <v>0</v>
      </c>
      <c r="U205" s="6">
        <f>SUMIF('Eredeti fejléccel'!$B:$B,'Felosztás eredménykim'!$B205,'Eredeti fejléccel'!$D:$D)</f>
        <v>0</v>
      </c>
      <c r="V205" s="6">
        <f>SUMIF('Eredeti fejléccel'!$B:$B,'Felosztás eredménykim'!$B205,'Eredeti fejléccel'!$AT:$AT)</f>
        <v>249250</v>
      </c>
      <c r="W205" s="36">
        <f t="shared" si="368"/>
        <v>-249250</v>
      </c>
      <c r="X205" s="36">
        <f t="shared" si="414"/>
        <v>0</v>
      </c>
      <c r="Z205" s="6">
        <f>SUMIF('Eredeti fejléccel'!$B:$B,'Felosztás eredménykim'!$B205,'Eredeti fejléccel'!$K:$K)</f>
        <v>0</v>
      </c>
      <c r="AB205" s="6">
        <f>SUMIF('Eredeti fejléccel'!$B:$B,'Felosztás eredménykim'!$B205,'Eredeti fejléccel'!$AB:$AB)</f>
        <v>0</v>
      </c>
      <c r="AC205" s="6">
        <f>SUMIF('Eredeti fejléccel'!$B:$B,'Felosztás eredménykim'!$B205,'Eredeti fejléccel'!$AQ:$AQ)</f>
        <v>0</v>
      </c>
      <c r="AE205" s="73">
        <f t="shared" ref="AE205:AE206" si="430">SUM(Z205:AD205)</f>
        <v>0</v>
      </c>
      <c r="AF205" s="36">
        <f>$X205/$HD$290*(AG$290+AG$291)</f>
        <v>0</v>
      </c>
      <c r="AG205" s="8">
        <f t="shared" si="399"/>
        <v>0</v>
      </c>
      <c r="AI205" s="6">
        <f>SUMIF('Eredeti fejléccel'!$B:$B,'Felosztás eredménykim'!$B205,'Eredeti fejléccel'!$BB:$BB)</f>
        <v>0</v>
      </c>
      <c r="AJ205" s="6">
        <f>SUMIF('Eredeti fejléccel'!$B:$B,'Felosztás eredménykim'!$B205,'Eredeti fejléccel'!$AF:$AF)</f>
        <v>0</v>
      </c>
      <c r="AK205" s="8">
        <f t="shared" ref="AK205:AK206" si="431">SUM(AG205:AJ205)</f>
        <v>0</v>
      </c>
      <c r="AL205" s="36">
        <f>$X205/$HD$290*(AM$290+AM$291)</f>
        <v>0</v>
      </c>
      <c r="AM205" s="8">
        <f t="shared" si="400"/>
        <v>0</v>
      </c>
      <c r="AN205" s="6">
        <f t="shared" ref="AN205:AN206" si="432">-AO205/2</f>
        <v>0</v>
      </c>
      <c r="AO205" s="6">
        <f>SUMIF('Eredeti fejléccel'!$B:$B,'Felosztás eredménykim'!$B205,'Eredeti fejléccel'!$AC:$AC)</f>
        <v>0</v>
      </c>
      <c r="AP205" s="6">
        <f>SUMIF('Eredeti fejléccel'!$B:$B,'Felosztás eredménykim'!$B205,'Eredeti fejléccel'!$AD:$AD)</f>
        <v>0</v>
      </c>
      <c r="AQ205" s="6">
        <f>SUMIF('Eredeti fejléccel'!$B:$B,'Felosztás eredménykim'!$B205,'Eredeti fejléccel'!$AE:$AE)</f>
        <v>0</v>
      </c>
      <c r="AR205" s="6">
        <f>SUMIF('Eredeti fejléccel'!$B:$B,'Felosztás eredménykim'!$B205,'Eredeti fejléccel'!$AG:$AG)</f>
        <v>0</v>
      </c>
      <c r="AS205" s="6">
        <f t="shared" ref="AS205:AS206" si="433">SUM(AM205:AR205)</f>
        <v>0</v>
      </c>
      <c r="AT205" s="36">
        <f>$X205/$HD$290*(AU$290+AU$291)</f>
        <v>0</v>
      </c>
      <c r="AU205" s="8">
        <f t="shared" si="401"/>
        <v>0</v>
      </c>
      <c r="AV205" s="6">
        <f>SUMIF('Eredeti fejléccel'!$B:$B,'Felosztás eredménykim'!$B205,'Eredeti fejléccel'!$AI:$AI)</f>
        <v>0</v>
      </c>
      <c r="AW205" s="6">
        <f>SUMIF('Eredeti fejléccel'!$B:$B,'Felosztás eredménykim'!$B205,'Eredeti fejléccel'!$AJ:$AJ)</f>
        <v>0</v>
      </c>
      <c r="AX205" s="6">
        <f>SUMIF('Eredeti fejléccel'!$B:$B,'Felosztás eredménykim'!$B205,'Eredeti fejléccel'!$AK:$AK)</f>
        <v>0</v>
      </c>
      <c r="AY205" s="6">
        <f>SUMIF('Eredeti fejléccel'!$B:$B,'Felosztás eredménykim'!$B205,'Eredeti fejléccel'!$AL:$AL)</f>
        <v>0</v>
      </c>
      <c r="AZ205" s="6">
        <f>SUMIF('Eredeti fejléccel'!$B:$B,'Felosztás eredménykim'!$B205,'Eredeti fejléccel'!$AM:$AM)</f>
        <v>0</v>
      </c>
      <c r="BA205" s="6">
        <f>SUMIF('Eredeti fejléccel'!$B:$B,'Felosztás eredménykim'!$B205,'Eredeti fejléccel'!$AN:$AN)</f>
        <v>0</v>
      </c>
      <c r="BB205" s="6">
        <f>SUMIF('Eredeti fejléccel'!$B:$B,'Felosztás eredménykim'!$B205,'Eredeti fejléccel'!$AP:$AP)</f>
        <v>0</v>
      </c>
      <c r="BD205" s="6">
        <f>SUMIF('Eredeti fejléccel'!$B:$B,'Felosztás eredménykim'!$B205,'Eredeti fejléccel'!$AS:$AS)</f>
        <v>0</v>
      </c>
      <c r="BE205" s="8">
        <f t="shared" ref="BE205:BE206" si="434">SUM(AU205:BD205)</f>
        <v>0</v>
      </c>
      <c r="BF205" s="36">
        <f>$X205/$HD$290*(BG$290+BG$291)</f>
        <v>0</v>
      </c>
      <c r="BG205" s="8">
        <f t="shared" si="402"/>
        <v>0</v>
      </c>
      <c r="BH205" s="6">
        <f t="shared" ref="BH205:BH206" si="435">AO205/2</f>
        <v>0</v>
      </c>
      <c r="BI205" s="6">
        <f>SUMIF('Eredeti fejléccel'!$B:$B,'Felosztás eredménykim'!$B205,'Eredeti fejléccel'!$AH:$AH)</f>
        <v>0</v>
      </c>
      <c r="BJ205" s="6">
        <f>SUMIF('Eredeti fejléccel'!$B:$B,'Felosztás eredménykim'!$B205,'Eredeti fejléccel'!$AO:$AO)</f>
        <v>0</v>
      </c>
      <c r="BK205" s="6">
        <f>SUMIF('Eredeti fejléccel'!$B:$B,'Felosztás eredménykim'!$B205,'Eredeti fejléccel'!$BF:$BF)</f>
        <v>0</v>
      </c>
      <c r="BL205" s="8">
        <f t="shared" ref="BL205:BL206" si="436">SUM(BG205:BK205)</f>
        <v>0</v>
      </c>
      <c r="BM205" s="36">
        <f>$X205/$HD$290*(BN$290+BN$291)</f>
        <v>0</v>
      </c>
      <c r="BN205" s="8">
        <f t="shared" si="403"/>
        <v>0</v>
      </c>
      <c r="BP205" s="8">
        <f t="shared" ref="BP205:BP206" si="437">-FV205</f>
        <v>0</v>
      </c>
      <c r="BQ205" s="6">
        <f>SUMIF('Eredeti fejléccel'!$B:$B,'Felosztás eredménykim'!$B205,'Eredeti fejléccel'!$N:$N)</f>
        <v>0</v>
      </c>
      <c r="BR205" s="6">
        <f>SUMIF('Eredeti fejléccel'!$B:$B,'Felosztás eredménykim'!$B205,'Eredeti fejléccel'!$S:$S)</f>
        <v>0</v>
      </c>
      <c r="BT205" s="6">
        <f>SUMIF('Eredeti fejléccel'!$B:$B,'Felosztás eredménykim'!$B205,'Eredeti fejléccel'!$AR:$AR)</f>
        <v>0</v>
      </c>
      <c r="BU205" s="6">
        <f>SUMIF('Eredeti fejléccel'!$B:$B,'Felosztás eredménykim'!$B205,'Eredeti fejléccel'!$AU:$AU)</f>
        <v>0</v>
      </c>
      <c r="BV205" s="6">
        <f>SUMIF('Eredeti fejléccel'!$B:$B,'Felosztás eredménykim'!$B205,'Eredeti fejléccel'!$AV:$AV)</f>
        <v>0</v>
      </c>
      <c r="BW205" s="6">
        <f>SUMIF('Eredeti fejléccel'!$B:$B,'Felosztás eredménykim'!$B205,'Eredeti fejléccel'!$AW:$AW)</f>
        <v>0</v>
      </c>
      <c r="BX205" s="6">
        <f>SUMIF('Eredeti fejléccel'!$B:$B,'Felosztás eredménykim'!$B205,'Eredeti fejléccel'!$AX:$AX)</f>
        <v>0</v>
      </c>
      <c r="BY205" s="6">
        <f>SUMIF('Eredeti fejléccel'!$B:$B,'Felosztás eredménykim'!$B205,'Eredeti fejléccel'!$AY:$AY)</f>
        <v>0</v>
      </c>
      <c r="BZ205" s="6">
        <f>SUMIF('Eredeti fejléccel'!$B:$B,'Felosztás eredménykim'!$B205,'Eredeti fejléccel'!$AZ:$AZ)</f>
        <v>0</v>
      </c>
      <c r="CA205" s="6">
        <f>SUMIF('Eredeti fejléccel'!$B:$B,'Felosztás eredménykim'!$B205,'Eredeti fejléccel'!$BA:$BA)</f>
        <v>0</v>
      </c>
      <c r="CB205" s="6">
        <f t="shared" ref="CB205:CB207" si="438">SUM(BN205:CA205)</f>
        <v>0</v>
      </c>
      <c r="CC205" s="36">
        <f>$X205/$HD$290*(CD$290+CD$291)</f>
        <v>0</v>
      </c>
      <c r="CD205" s="8">
        <f t="shared" si="404"/>
        <v>0</v>
      </c>
      <c r="CE205" s="6">
        <f>SUMIF('Eredeti fejléccel'!$B:$B,'Felosztás eredménykim'!$B205,'Eredeti fejléccel'!$BC:$BC)</f>
        <v>0</v>
      </c>
      <c r="CF205" s="8">
        <f t="shared" ref="CF205:CF206" si="439">-CE205/2</f>
        <v>0</v>
      </c>
      <c r="CG205" s="6">
        <f>SUMIF('Eredeti fejléccel'!$B:$B,'Felosztás eredménykim'!$B205,'Eredeti fejléccel'!$H:$H)</f>
        <v>0</v>
      </c>
      <c r="CH205" s="6">
        <f>SUMIF('Eredeti fejléccel'!$B:$B,'Felosztás eredménykim'!$B205,'Eredeti fejléccel'!$BE:$BE)</f>
        <v>0</v>
      </c>
      <c r="CI205" s="6">
        <f t="shared" ref="CI205:CI206" si="440">SUM(CD205:CH205)</f>
        <v>0</v>
      </c>
      <c r="CJ205" s="36">
        <f>$X205/$HD$290*(CK$290+CK$291)</f>
        <v>0</v>
      </c>
      <c r="CK205" s="8">
        <f t="shared" si="405"/>
        <v>0</v>
      </c>
      <c r="CL205" s="8">
        <f t="shared" ref="CL205:CL206" si="441">CE205/2</f>
        <v>0</v>
      </c>
      <c r="CM205" s="6">
        <f>SUMIF('Eredeti fejléccel'!$B:$B,'Felosztás eredménykim'!$B205,'Eredeti fejléccel'!$BD:$BD)</f>
        <v>0</v>
      </c>
      <c r="CN205" s="8">
        <f t="shared" ref="CN205:CN206" si="442">SUM(CK205:CM205)</f>
        <v>0</v>
      </c>
      <c r="CO205" s="8">
        <f t="shared" ref="CO205:CO207" si="443">+AF205+AK205+AL205+AS205+AT205+BE205+BF205+BL205+BM205+CB205+CC205+CI205+CJ205+CN205</f>
        <v>0</v>
      </c>
      <c r="CR205" s="36">
        <f t="shared" si="406"/>
        <v>0</v>
      </c>
      <c r="CS205" s="6">
        <f>SUMIF('Eredeti fejléccel'!$B:$B,'Felosztás eredménykim'!$B205,'Eredeti fejléccel'!$I:$I)</f>
        <v>0</v>
      </c>
      <c r="CT205" s="6">
        <f>SUMIF('Eredeti fejléccel'!$B:$B,'Felosztás eredménykim'!$B205,'Eredeti fejléccel'!$BG:$BG)</f>
        <v>0</v>
      </c>
      <c r="CU205" s="6">
        <f>SUMIF('Eredeti fejléccel'!$B:$B,'Felosztás eredménykim'!$B205,'Eredeti fejléccel'!$BH:$BH)</f>
        <v>0</v>
      </c>
      <c r="CV205" s="6">
        <f>SUMIF('Eredeti fejléccel'!$B:$B,'Felosztás eredménykim'!$B205,'Eredeti fejléccel'!$BI:$BI)</f>
        <v>0</v>
      </c>
      <c r="CW205" s="6">
        <f>SUMIF('Eredeti fejléccel'!$B:$B,'Felosztás eredménykim'!$B205,'Eredeti fejléccel'!$BL:$BL)</f>
        <v>0</v>
      </c>
      <c r="CX205" s="6">
        <f t="shared" ref="CX205:CX206" si="444">SUM(CS205:CW205)</f>
        <v>0</v>
      </c>
      <c r="CY205" s="6">
        <f>SUMIF('Eredeti fejléccel'!$B:$B,'Felosztás eredménykim'!$B205,'Eredeti fejléccel'!$BJ:$BJ)</f>
        <v>0</v>
      </c>
      <c r="CZ205" s="6">
        <f>SUMIF('Eredeti fejléccel'!$B:$B,'Felosztás eredménykim'!$B205,'Eredeti fejléccel'!$BK:$BK)</f>
        <v>0</v>
      </c>
      <c r="DA205" s="99">
        <f t="shared" si="415"/>
        <v>0</v>
      </c>
      <c r="DC205" s="36">
        <f t="shared" si="407"/>
        <v>0</v>
      </c>
      <c r="DD205" s="6">
        <f>SUMIF('Eredeti fejléccel'!$B:$B,'Felosztás eredménykim'!$B205,'Eredeti fejléccel'!$J:$J)</f>
        <v>0</v>
      </c>
      <c r="DE205" s="6">
        <f>SUMIF('Eredeti fejléccel'!$B:$B,'Felosztás eredménykim'!$B205,'Eredeti fejléccel'!$BM:$BM)</f>
        <v>0</v>
      </c>
      <c r="DF205" s="6">
        <f t="shared" ref="DF205:DF206" si="445">-DI205</f>
        <v>0</v>
      </c>
      <c r="DG205" s="8">
        <f t="shared" ref="DG205:DG207" si="446">-BO205</f>
        <v>0</v>
      </c>
      <c r="DH205" s="8">
        <f t="shared" ref="DH205:DH206" si="447">SUM(DD205:DG205)</f>
        <v>0</v>
      </c>
      <c r="DJ205" s="6">
        <f>SUMIF('Eredeti fejléccel'!$B:$B,'Felosztás eredménykim'!$B205,'Eredeti fejléccel'!$BN:$BN)</f>
        <v>0</v>
      </c>
      <c r="DK205" s="6">
        <f>SUMIF('Eredeti fejléccel'!$B:$B,'Felosztás eredménykim'!$B205,'Eredeti fejléccel'!$BZ:$BZ)</f>
        <v>0</v>
      </c>
      <c r="DL205" s="8">
        <f t="shared" ref="DL205:DL206" si="448">SUM(DI205:DK205)</f>
        <v>0</v>
      </c>
      <c r="DM205" s="6">
        <f>SUMIF('Eredeti fejléccel'!$B:$B,'Felosztás eredménykim'!$B205,'Eredeti fejléccel'!$BR:$BR)</f>
        <v>0</v>
      </c>
      <c r="DN205" s="6">
        <f>SUMIF('Eredeti fejléccel'!$B:$B,'Felosztás eredménykim'!$B205,'Eredeti fejléccel'!$BS:$BS)</f>
        <v>0</v>
      </c>
      <c r="DO205" s="6">
        <f>SUMIF('Eredeti fejléccel'!$B:$B,'Felosztás eredménykim'!$B205,'Eredeti fejléccel'!$BO:$BO)</f>
        <v>0</v>
      </c>
      <c r="DP205" s="6">
        <f>SUMIF('Eredeti fejléccel'!$B:$B,'Felosztás eredménykim'!$B205,'Eredeti fejléccel'!$BP:$BP)</f>
        <v>0</v>
      </c>
      <c r="DQ205" s="6">
        <f>SUMIF('Eredeti fejléccel'!$B:$B,'Felosztás eredménykim'!$B205,'Eredeti fejléccel'!$BQ:$BQ)</f>
        <v>0</v>
      </c>
      <c r="DS205" s="8"/>
      <c r="DU205" s="6">
        <f>SUMIF('Eredeti fejléccel'!$B:$B,'Felosztás eredménykim'!$B205,'Eredeti fejléccel'!$BT:$BT)</f>
        <v>0</v>
      </c>
      <c r="DV205" s="6">
        <f>SUMIF('Eredeti fejléccel'!$B:$B,'Felosztás eredménykim'!$B205,'Eredeti fejléccel'!$BU:$BU)</f>
        <v>0</v>
      </c>
      <c r="DW205" s="6">
        <f>SUMIF('Eredeti fejléccel'!$B:$B,'Felosztás eredménykim'!$B205,'Eredeti fejléccel'!$BV:$BV)</f>
        <v>0</v>
      </c>
      <c r="DX205" s="6">
        <f>SUMIF('Eredeti fejléccel'!$B:$B,'Felosztás eredménykim'!$B205,'Eredeti fejléccel'!$BW:$BW)</f>
        <v>0</v>
      </c>
      <c r="DY205" s="6">
        <f>SUMIF('Eredeti fejléccel'!$B:$B,'Felosztás eredménykim'!$B205,'Eredeti fejléccel'!$BX:$BX)</f>
        <v>0</v>
      </c>
      <c r="EA205" s="6"/>
      <c r="EC205" s="6"/>
      <c r="EE205" s="6">
        <f>SUMIF('Eredeti fejléccel'!$B:$B,'Felosztás eredménykim'!$B205,'Eredeti fejléccel'!$CA:$CA)</f>
        <v>0</v>
      </c>
      <c r="EF205" s="6">
        <f>SUMIF('Eredeti fejléccel'!$B:$B,'Felosztás eredménykim'!$B205,'Eredeti fejléccel'!$CB:$CB)</f>
        <v>0</v>
      </c>
      <c r="EG205" s="6">
        <f>SUMIF('Eredeti fejléccel'!$B:$B,'Felosztás eredménykim'!$B205,'Eredeti fejléccel'!$CC:$CC)</f>
        <v>0</v>
      </c>
      <c r="EH205" s="6">
        <f>SUMIF('Eredeti fejléccel'!$B:$B,'Felosztás eredménykim'!$B205,'Eredeti fejléccel'!$CD:$CD)</f>
        <v>0</v>
      </c>
      <c r="EK205" s="6">
        <f>SUMIF('Eredeti fejléccel'!$B:$B,'Felosztás eredménykim'!$B205,'Eredeti fejléccel'!$CE:$CE)</f>
        <v>0</v>
      </c>
      <c r="EN205" s="6">
        <f>SUMIF('Eredeti fejléccel'!$B:$B,'Felosztás eredménykim'!$B205,'Eredeti fejléccel'!$CF:$CF)</f>
        <v>0</v>
      </c>
      <c r="EP205" s="6">
        <f>SUMIF('Eredeti fejléccel'!$B:$B,'Felosztás eredménykim'!$B205,'Eredeti fejléccel'!$CG:$CG)</f>
        <v>0</v>
      </c>
      <c r="ES205" s="6">
        <f>SUMIF('Eredeti fejléccel'!$B:$B,'Felosztás eredménykim'!$B205,'Eredeti fejléccel'!$CH:$CH)</f>
        <v>0</v>
      </c>
      <c r="ET205" s="6">
        <f>SUMIF('Eredeti fejléccel'!$B:$B,'Felosztás eredménykim'!$B205,'Eredeti fejléccel'!$CI:$CI)</f>
        <v>0</v>
      </c>
      <c r="EW205" s="8">
        <f t="shared" ref="EW205:EW206" si="449">SUM(DR205:ED205)</f>
        <v>0</v>
      </c>
      <c r="EX205" s="8">
        <f t="shared" ref="EX205:EX206" si="450">SUM(EE205:EV205)</f>
        <v>0</v>
      </c>
      <c r="EY205" s="8">
        <f t="shared" si="416"/>
        <v>0</v>
      </c>
      <c r="EZ205" s="8">
        <f t="shared" ref="EZ205:EZ206" si="451">EY205+DL205+DM205+DN205+DO205+DP205+DQ205</f>
        <v>0</v>
      </c>
      <c r="FA205" s="8">
        <f t="shared" ref="FA205:FA206" si="452">EZ205-DL205-DM205</f>
        <v>0</v>
      </c>
      <c r="FC205" s="6">
        <f>SUMIF('Eredeti fejléccel'!$B:$B,'Felosztás eredménykim'!$B205,'Eredeti fejléccel'!$L:$L)</f>
        <v>0</v>
      </c>
      <c r="FD205" s="6">
        <f>SUMIF('Eredeti fejléccel'!$B:$B,'Felosztás eredménykim'!$B205,'Eredeti fejléccel'!$CJ:$CJ)</f>
        <v>0</v>
      </c>
      <c r="FE205" s="6">
        <f>SUMIF('Eredeti fejléccel'!$B:$B,'Felosztás eredménykim'!$B205,'Eredeti fejléccel'!$CL:$CL)</f>
        <v>0</v>
      </c>
      <c r="FG205" s="99">
        <f t="shared" ref="FG205:FG206" si="453">SUM(FC205:FF205)</f>
        <v>0</v>
      </c>
      <c r="FH205" s="6">
        <f>SUMIF('Eredeti fejléccel'!$B:$B,'Felosztás eredménykim'!$B205,'Eredeti fejléccel'!$CK:$CK)</f>
        <v>0</v>
      </c>
      <c r="FI205" s="36">
        <f>$X205/$HD$290*(FJ$290+FJ$293)</f>
        <v>0</v>
      </c>
      <c r="FJ205" s="101">
        <f t="shared" si="408"/>
        <v>0</v>
      </c>
      <c r="FK205" s="6">
        <f>SUMIF('Eredeti fejléccel'!$B:$B,'Felosztás eredménykim'!$B205,'Eredeti fejléccel'!$CM:$CM)</f>
        <v>0</v>
      </c>
      <c r="FL205" s="6">
        <f>SUMIF('Eredeti fejléccel'!$B:$B,'Felosztás eredménykim'!$B205,'Eredeti fejléccel'!$CN:$CN)</f>
        <v>0</v>
      </c>
      <c r="FM205" s="8">
        <f t="shared" ref="FM205:FM206" si="454">SUM(FJ205:FL205)</f>
        <v>0</v>
      </c>
      <c r="FN205" s="36">
        <f>$X205/$HD$290*(FO$290+FO$293)</f>
        <v>0</v>
      </c>
      <c r="FO205" s="101">
        <f t="shared" si="409"/>
        <v>0</v>
      </c>
      <c r="FP205" s="6">
        <f>SUMIF('Eredeti fejléccel'!$B:$B,'Felosztás eredménykim'!$B205,'Eredeti fejléccel'!$CO:$CO)</f>
        <v>0</v>
      </c>
      <c r="FQ205" s="6">
        <f>'Eredeti fejléccel'!CP205</f>
        <v>0</v>
      </c>
      <c r="FR205" s="6">
        <f>'Eredeti fejléccel'!CQ205</f>
        <v>0</v>
      </c>
      <c r="FS205" s="103">
        <f t="shared" si="417"/>
        <v>0</v>
      </c>
      <c r="FT205" s="36">
        <f>$X205/$HD$290*(FU$290+FU$293)</f>
        <v>0</v>
      </c>
      <c r="FU205" s="101">
        <f t="shared" si="410"/>
        <v>0</v>
      </c>
      <c r="FV205" s="101"/>
      <c r="FW205" s="6">
        <f>SUMIF('Eredeti fejléccel'!$B:$B,'Felosztás eredménykim'!$B205,'Eredeti fejléccel'!$CR:$CR)</f>
        <v>0</v>
      </c>
      <c r="FX205" s="6">
        <f>SUMIF('Eredeti fejléccel'!$B:$B,'Felosztás eredménykim'!$B205,'Eredeti fejléccel'!$CS:$CS)</f>
        <v>0</v>
      </c>
      <c r="FY205" s="6">
        <f>SUMIF('Eredeti fejléccel'!$B:$B,'Felosztás eredménykim'!$B205,'Eredeti fejléccel'!$CT:$CT)</f>
        <v>0</v>
      </c>
      <c r="FZ205" s="6">
        <f>SUMIF('Eredeti fejléccel'!$B:$B,'Felosztás eredménykim'!$B205,'Eredeti fejléccel'!$CU:$CU)</f>
        <v>0</v>
      </c>
      <c r="GA205" s="103">
        <f t="shared" ref="GA205:GA206" si="455">SUM(FU205:FZ205)</f>
        <v>0</v>
      </c>
      <c r="GB205" s="36">
        <f>$X205/$HD$290*(GC$290+GC$293)</f>
        <v>0</v>
      </c>
      <c r="GC205" s="101">
        <f t="shared" si="411"/>
        <v>0</v>
      </c>
      <c r="GD205" s="6">
        <f>SUMIF('Eredeti fejléccel'!$B:$B,'Felosztás eredménykim'!$B205,'Eredeti fejléccel'!$CV:$CV)</f>
        <v>0</v>
      </c>
      <c r="GE205" s="6">
        <f>SUMIF('Eredeti fejléccel'!$B:$B,'Felosztás eredménykim'!$B205,'Eredeti fejléccel'!$CW:$CW)</f>
        <v>0</v>
      </c>
      <c r="GF205" s="103">
        <f t="shared" ref="GF205:GF206" si="456">SUM(GC205:GE205)</f>
        <v>0</v>
      </c>
      <c r="GG205" s="36">
        <f t="shared" si="412"/>
        <v>0</v>
      </c>
      <c r="GM205" s="6">
        <f>SUMIF('Eredeti fejléccel'!$B:$B,'Felosztás eredménykim'!$B205,'Eredeti fejléccel'!$CX:$CX)</f>
        <v>0</v>
      </c>
      <c r="GN205" s="6">
        <f>SUMIF('Eredeti fejléccel'!$B:$B,'Felosztás eredménykim'!$B205,'Eredeti fejléccel'!$CY:$CY)</f>
        <v>0</v>
      </c>
      <c r="GO205" s="6">
        <f>SUMIF('Eredeti fejléccel'!$B:$B,'Felosztás eredménykim'!$B205,'Eredeti fejléccel'!$CZ:$CZ)</f>
        <v>0</v>
      </c>
      <c r="GP205" s="6">
        <f>SUMIF('Eredeti fejléccel'!$B:$B,'Felosztás eredménykim'!$B205,'Eredeti fejléccel'!$DA:$DA)</f>
        <v>0</v>
      </c>
      <c r="GQ205" s="6">
        <f>SUMIF('Eredeti fejléccel'!$B:$B,'Felosztás eredménykim'!$B205,'Eredeti fejléccel'!$DB:$DB)</f>
        <v>0</v>
      </c>
      <c r="GR205" s="103">
        <f t="shared" ref="GR205:GR206" si="457">SUM(GH205:GQ205)</f>
        <v>0</v>
      </c>
      <c r="GW205" s="36">
        <f t="shared" si="413"/>
        <v>0</v>
      </c>
      <c r="GX205" s="6">
        <f>SUMIF('Eredeti fejléccel'!$B:$B,'Felosztás eredménykim'!$B205,'Eredeti fejléccel'!$M:$M)</f>
        <v>0</v>
      </c>
      <c r="GY205" s="6">
        <f>SUMIF('Eredeti fejléccel'!$B:$B,'Felosztás eredménykim'!$B205,'Eredeti fejléccel'!$DC:$DC)</f>
        <v>0</v>
      </c>
      <c r="GZ205" s="6">
        <f>SUMIF('Eredeti fejléccel'!$B:$B,'Felosztás eredménykim'!$B205,'Eredeti fejléccel'!$DD:$DD)</f>
        <v>0</v>
      </c>
      <c r="HA205" s="6">
        <f>SUMIF('Eredeti fejléccel'!$B:$B,'Felosztás eredménykim'!$B205,'Eredeti fejléccel'!$DE:$DE)</f>
        <v>0</v>
      </c>
      <c r="HB205" s="103">
        <f t="shared" ref="HB205:HB206" si="458">SUM(GX205:HA205)</f>
        <v>0</v>
      </c>
      <c r="HD205" s="9">
        <f t="shared" si="429"/>
        <v>249250</v>
      </c>
      <c r="HE205" s="9">
        <v>249250</v>
      </c>
      <c r="HF205" s="476"/>
      <c r="HH205" s="34">
        <f t="shared" si="252"/>
        <v>0</v>
      </c>
    </row>
    <row r="206" spans="1:218" x14ac:dyDescent="0.25">
      <c r="A206" s="4" t="s">
        <v>1681</v>
      </c>
      <c r="B206" s="4" t="s">
        <v>1681</v>
      </c>
      <c r="C206" s="1" t="s">
        <v>346</v>
      </c>
      <c r="D206" s="6">
        <f>SUMIF('Eredeti fejléccel'!$B:$B,'Felosztás eredménykim'!$B206,'Eredeti fejléccel'!$D:$D)</f>
        <v>0</v>
      </c>
      <c r="E206" s="6">
        <f>SUMIF('Eredeti fejléccel'!$B:$B,'Felosztás eredménykim'!$B206,'Eredeti fejléccel'!$E:$E)</f>
        <v>0</v>
      </c>
      <c r="F206" s="6">
        <f>SUMIF('Eredeti fejléccel'!$B:$B,'Felosztás eredménykim'!$B206,'Eredeti fejléccel'!$F:$F)</f>
        <v>0</v>
      </c>
      <c r="G206" s="6">
        <f>SUMIF('Eredeti fejléccel'!$B:$B,'Felosztás eredménykim'!$B206,'Eredeti fejléccel'!$G:$G)</f>
        <v>0</v>
      </c>
      <c r="H206" s="6"/>
      <c r="I206" s="6">
        <f>SUMIF('Eredeti fejléccel'!$B:$B,'Felosztás eredménykim'!$B206,'Eredeti fejléccel'!$O:$O)</f>
        <v>0</v>
      </c>
      <c r="J206" s="6">
        <f>SUMIF('Eredeti fejléccel'!$B:$B,'Felosztás eredménykim'!$B206,'Eredeti fejléccel'!$P:$P)</f>
        <v>0</v>
      </c>
      <c r="K206" s="6">
        <f>SUMIF('Eredeti fejléccel'!$B:$B,'Felosztás eredménykim'!$B206,'Eredeti fejléccel'!$Q:$Q)</f>
        <v>0</v>
      </c>
      <c r="L206" s="6">
        <f>SUMIF('Eredeti fejléccel'!$B:$B,'Felosztás eredménykim'!$B206,'Eredeti fejléccel'!$R:$R)</f>
        <v>0</v>
      </c>
      <c r="M206" s="6">
        <f>SUMIF('Eredeti fejléccel'!$B:$B,'Felosztás eredménykim'!$B206,'Eredeti fejléccel'!$T:$T)</f>
        <v>0</v>
      </c>
      <c r="N206" s="6">
        <f>SUMIF('Eredeti fejléccel'!$B:$B,'Felosztás eredménykim'!$B206,'Eredeti fejléccel'!$U:$U)</f>
        <v>0</v>
      </c>
      <c r="O206" s="6">
        <f>SUMIF('Eredeti fejléccel'!$B:$B,'Felosztás eredménykim'!$B206,'Eredeti fejléccel'!$V:$V)</f>
        <v>0</v>
      </c>
      <c r="P206" s="6">
        <f>SUMIF('Eredeti fejléccel'!$B:$B,'Felosztás eredménykim'!$B206,'Eredeti fejléccel'!$W:$W)</f>
        <v>0</v>
      </c>
      <c r="Q206" s="6">
        <f>SUMIF('Eredeti fejléccel'!$B:$B,'Felosztás eredménykim'!$B206,'Eredeti fejléccel'!$X:$X)</f>
        <v>0</v>
      </c>
      <c r="R206" s="6">
        <f>SUMIF('Eredeti fejléccel'!$B:$B,'Felosztás eredménykim'!$B206,'Eredeti fejléccel'!$Y:$Y)</f>
        <v>0</v>
      </c>
      <c r="S206" s="6">
        <f>SUMIF('Eredeti fejléccel'!$B:$B,'Felosztás eredménykim'!$B206,'Eredeti fejléccel'!$Z:$Z)</f>
        <v>0</v>
      </c>
      <c r="T206" s="6">
        <f>SUMIF('Eredeti fejléccel'!$B:$B,'Felosztás eredménykim'!$B206,'Eredeti fejléccel'!$AA:$AA)</f>
        <v>0</v>
      </c>
      <c r="U206" s="6">
        <f>SUMIF('Eredeti fejléccel'!$B:$B,'Felosztás eredménykim'!$B206,'Eredeti fejléccel'!$D:$D)</f>
        <v>0</v>
      </c>
      <c r="V206" s="6">
        <f>SUMIF('Eredeti fejléccel'!$B:$B,'Felosztás eredménykim'!$B206,'Eredeti fejléccel'!$AT:$AT)</f>
        <v>-717176</v>
      </c>
      <c r="W206" s="36">
        <f t="shared" si="368"/>
        <v>717176</v>
      </c>
      <c r="X206" s="36">
        <f t="shared" si="414"/>
        <v>0</v>
      </c>
      <c r="Z206" s="6">
        <f>SUMIF('Eredeti fejléccel'!$B:$B,'Felosztás eredménykim'!$B206,'Eredeti fejléccel'!$K:$K)</f>
        <v>0</v>
      </c>
      <c r="AB206" s="6">
        <f>SUMIF('Eredeti fejléccel'!$B:$B,'Felosztás eredménykim'!$B206,'Eredeti fejléccel'!$AB:$AB)</f>
        <v>0</v>
      </c>
      <c r="AC206" s="6">
        <f>SUMIF('Eredeti fejléccel'!$B:$B,'Felosztás eredménykim'!$B206,'Eredeti fejléccel'!$AQ:$AQ)</f>
        <v>0</v>
      </c>
      <c r="AE206" s="73">
        <f t="shared" si="430"/>
        <v>0</v>
      </c>
      <c r="AF206" s="36">
        <f>$X206/$HD$290*(AG$290+AG$291)</f>
        <v>0</v>
      </c>
      <c r="AG206" s="8">
        <f t="shared" si="399"/>
        <v>0</v>
      </c>
      <c r="AI206" s="6">
        <f>SUMIF('Eredeti fejléccel'!$B:$B,'Felosztás eredménykim'!$B206,'Eredeti fejléccel'!$BB:$BB)</f>
        <v>0</v>
      </c>
      <c r="AJ206" s="6">
        <f>SUMIF('Eredeti fejléccel'!$B:$B,'Felosztás eredménykim'!$B206,'Eredeti fejléccel'!$AF:$AF)</f>
        <v>0</v>
      </c>
      <c r="AK206" s="8">
        <f t="shared" si="431"/>
        <v>0</v>
      </c>
      <c r="AL206" s="36">
        <f>$X206/$HD$290*(AM$290+AM$291)</f>
        <v>0</v>
      </c>
      <c r="AM206" s="8">
        <f t="shared" si="400"/>
        <v>0</v>
      </c>
      <c r="AN206" s="6">
        <f t="shared" si="432"/>
        <v>0</v>
      </c>
      <c r="AO206" s="6">
        <f>SUMIF('Eredeti fejléccel'!$B:$B,'Felosztás eredménykim'!$B206,'Eredeti fejléccel'!$AC:$AC)</f>
        <v>0</v>
      </c>
      <c r="AP206" s="6">
        <f>SUMIF('Eredeti fejléccel'!$B:$B,'Felosztás eredménykim'!$B206,'Eredeti fejléccel'!$AD:$AD)</f>
        <v>0</v>
      </c>
      <c r="AQ206" s="6">
        <f>SUMIF('Eredeti fejléccel'!$B:$B,'Felosztás eredménykim'!$B206,'Eredeti fejléccel'!$AE:$AE)</f>
        <v>0</v>
      </c>
      <c r="AR206" s="6">
        <f>SUMIF('Eredeti fejléccel'!$B:$B,'Felosztás eredménykim'!$B206,'Eredeti fejléccel'!$AG:$AG)</f>
        <v>0</v>
      </c>
      <c r="AS206" s="6">
        <f t="shared" si="433"/>
        <v>0</v>
      </c>
      <c r="AT206" s="36">
        <f>$X206/$HD$290*(AU$290+AU$291)</f>
        <v>0</v>
      </c>
      <c r="AU206" s="8">
        <f t="shared" si="401"/>
        <v>0</v>
      </c>
      <c r="AV206" s="6">
        <f>SUMIF('Eredeti fejléccel'!$B:$B,'Felosztás eredménykim'!$B206,'Eredeti fejléccel'!$AI:$AI)</f>
        <v>0</v>
      </c>
      <c r="AW206" s="6">
        <f>SUMIF('Eredeti fejléccel'!$B:$B,'Felosztás eredménykim'!$B206,'Eredeti fejléccel'!$AJ:$AJ)</f>
        <v>0</v>
      </c>
      <c r="AX206" s="6">
        <f>SUMIF('Eredeti fejléccel'!$B:$B,'Felosztás eredménykim'!$B206,'Eredeti fejléccel'!$AK:$AK)</f>
        <v>0</v>
      </c>
      <c r="AY206" s="6">
        <f>SUMIF('Eredeti fejléccel'!$B:$B,'Felosztás eredménykim'!$B206,'Eredeti fejléccel'!$AL:$AL)</f>
        <v>0</v>
      </c>
      <c r="AZ206" s="6">
        <f>SUMIF('Eredeti fejléccel'!$B:$B,'Felosztás eredménykim'!$B206,'Eredeti fejléccel'!$AM:$AM)</f>
        <v>0</v>
      </c>
      <c r="BA206" s="6">
        <f>SUMIF('Eredeti fejléccel'!$B:$B,'Felosztás eredménykim'!$B206,'Eredeti fejléccel'!$AN:$AN)</f>
        <v>0</v>
      </c>
      <c r="BB206" s="6">
        <f>SUMIF('Eredeti fejléccel'!$B:$B,'Felosztás eredménykim'!$B206,'Eredeti fejléccel'!$AP:$AP)</f>
        <v>0</v>
      </c>
      <c r="BD206" s="6">
        <f>SUMIF('Eredeti fejléccel'!$B:$B,'Felosztás eredménykim'!$B206,'Eredeti fejléccel'!$AS:$AS)</f>
        <v>0</v>
      </c>
      <c r="BE206" s="8">
        <f t="shared" si="434"/>
        <v>0</v>
      </c>
      <c r="BF206" s="36">
        <f>$X206/$HD$290*(BG$290+BG$291)</f>
        <v>0</v>
      </c>
      <c r="BG206" s="8">
        <f t="shared" si="402"/>
        <v>0</v>
      </c>
      <c r="BH206" s="6">
        <f t="shared" si="435"/>
        <v>0</v>
      </c>
      <c r="BI206" s="6">
        <f>SUMIF('Eredeti fejléccel'!$B:$B,'Felosztás eredménykim'!$B206,'Eredeti fejléccel'!$AH:$AH)</f>
        <v>0</v>
      </c>
      <c r="BJ206" s="6">
        <f>SUMIF('Eredeti fejléccel'!$B:$B,'Felosztás eredménykim'!$B206,'Eredeti fejléccel'!$AO:$AO)</f>
        <v>0</v>
      </c>
      <c r="BK206" s="6">
        <f>SUMIF('Eredeti fejléccel'!$B:$B,'Felosztás eredménykim'!$B206,'Eredeti fejléccel'!$BF:$BF)</f>
        <v>0</v>
      </c>
      <c r="BL206" s="8">
        <f t="shared" si="436"/>
        <v>0</v>
      </c>
      <c r="BM206" s="36">
        <f>$X206/$HD$290*(BN$290+BN$291)</f>
        <v>0</v>
      </c>
      <c r="BN206" s="8">
        <f t="shared" si="403"/>
        <v>0</v>
      </c>
      <c r="BP206" s="8">
        <f t="shared" si="437"/>
        <v>0</v>
      </c>
      <c r="BQ206" s="6">
        <f>SUMIF('Eredeti fejléccel'!$B:$B,'Felosztás eredménykim'!$B206,'Eredeti fejléccel'!$N:$N)</f>
        <v>0</v>
      </c>
      <c r="BR206" s="6">
        <f>SUMIF('Eredeti fejléccel'!$B:$B,'Felosztás eredménykim'!$B206,'Eredeti fejléccel'!$S:$S)</f>
        <v>0</v>
      </c>
      <c r="BT206" s="6">
        <f>SUMIF('Eredeti fejléccel'!$B:$B,'Felosztás eredménykim'!$B206,'Eredeti fejléccel'!$AR:$AR)</f>
        <v>0</v>
      </c>
      <c r="BU206" s="6">
        <f>SUMIF('Eredeti fejléccel'!$B:$B,'Felosztás eredménykim'!$B206,'Eredeti fejléccel'!$AU:$AU)</f>
        <v>0</v>
      </c>
      <c r="BV206" s="6">
        <f>SUMIF('Eredeti fejléccel'!$B:$B,'Felosztás eredménykim'!$B206,'Eredeti fejléccel'!$AV:$AV)</f>
        <v>0</v>
      </c>
      <c r="BW206" s="6">
        <f>SUMIF('Eredeti fejléccel'!$B:$B,'Felosztás eredménykim'!$B206,'Eredeti fejléccel'!$AW:$AW)</f>
        <v>0</v>
      </c>
      <c r="BX206" s="6">
        <f>SUMIF('Eredeti fejléccel'!$B:$B,'Felosztás eredménykim'!$B206,'Eredeti fejléccel'!$AX:$AX)</f>
        <v>0</v>
      </c>
      <c r="BY206" s="6">
        <f>SUMIF('Eredeti fejléccel'!$B:$B,'Felosztás eredménykim'!$B206,'Eredeti fejléccel'!$AY:$AY)</f>
        <v>0</v>
      </c>
      <c r="BZ206" s="6">
        <f>SUMIF('Eredeti fejléccel'!$B:$B,'Felosztás eredménykim'!$B206,'Eredeti fejléccel'!$AZ:$AZ)</f>
        <v>0</v>
      </c>
      <c r="CA206" s="6">
        <f>SUMIF('Eredeti fejléccel'!$B:$B,'Felosztás eredménykim'!$B206,'Eredeti fejléccel'!$BA:$BA)</f>
        <v>0</v>
      </c>
      <c r="CB206" s="6">
        <f t="shared" si="438"/>
        <v>0</v>
      </c>
      <c r="CC206" s="36">
        <f>$X206/$HD$290*(CD$290+CD$291)</f>
        <v>0</v>
      </c>
      <c r="CD206" s="8">
        <f t="shared" si="404"/>
        <v>0</v>
      </c>
      <c r="CE206" s="6">
        <f>SUMIF('Eredeti fejléccel'!$B:$B,'Felosztás eredménykim'!$B206,'Eredeti fejléccel'!$BC:$BC)</f>
        <v>0</v>
      </c>
      <c r="CF206" s="8">
        <f t="shared" si="439"/>
        <v>0</v>
      </c>
      <c r="CG206" s="6">
        <f>SUMIF('Eredeti fejléccel'!$B:$B,'Felosztás eredménykim'!$B206,'Eredeti fejléccel'!$H:$H)</f>
        <v>0</v>
      </c>
      <c r="CH206" s="6">
        <f>SUMIF('Eredeti fejléccel'!$B:$B,'Felosztás eredménykim'!$B206,'Eredeti fejléccel'!$BE:$BE)</f>
        <v>0</v>
      </c>
      <c r="CI206" s="6">
        <f t="shared" si="440"/>
        <v>0</v>
      </c>
      <c r="CJ206" s="36">
        <f>$X206/$HD$290*(CK$290+CK$291)</f>
        <v>0</v>
      </c>
      <c r="CK206" s="8">
        <f t="shared" si="405"/>
        <v>0</v>
      </c>
      <c r="CL206" s="8">
        <f t="shared" si="441"/>
        <v>0</v>
      </c>
      <c r="CM206" s="6">
        <f>SUMIF('Eredeti fejléccel'!$B:$B,'Felosztás eredménykim'!$B206,'Eredeti fejléccel'!$BD:$BD)</f>
        <v>0</v>
      </c>
      <c r="CN206" s="8">
        <f t="shared" si="442"/>
        <v>0</v>
      </c>
      <c r="CO206" s="8">
        <f t="shared" si="443"/>
        <v>0</v>
      </c>
      <c r="CR206" s="36">
        <f t="shared" si="406"/>
        <v>0</v>
      </c>
      <c r="CS206" s="6">
        <f>SUMIF('Eredeti fejléccel'!$B:$B,'Felosztás eredménykim'!$B206,'Eredeti fejléccel'!$I:$I)</f>
        <v>0</v>
      </c>
      <c r="CT206" s="6">
        <f>SUMIF('Eredeti fejléccel'!$B:$B,'Felosztás eredménykim'!$B206,'Eredeti fejléccel'!$BG:$BG)</f>
        <v>0</v>
      </c>
      <c r="CU206" s="6">
        <f>SUMIF('Eredeti fejléccel'!$B:$B,'Felosztás eredménykim'!$B206,'Eredeti fejléccel'!$BH:$BH)</f>
        <v>0</v>
      </c>
      <c r="CV206" s="6">
        <f>SUMIF('Eredeti fejléccel'!$B:$B,'Felosztás eredménykim'!$B206,'Eredeti fejléccel'!$BI:$BI)</f>
        <v>0</v>
      </c>
      <c r="CW206" s="6">
        <f>SUMIF('Eredeti fejléccel'!$B:$B,'Felosztás eredménykim'!$B206,'Eredeti fejléccel'!$BL:$BL)</f>
        <v>0</v>
      </c>
      <c r="CX206" s="6">
        <f t="shared" si="444"/>
        <v>0</v>
      </c>
      <c r="CY206" s="6">
        <f>SUMIF('Eredeti fejléccel'!$B:$B,'Felosztás eredménykim'!$B206,'Eredeti fejléccel'!$BJ:$BJ)</f>
        <v>0</v>
      </c>
      <c r="CZ206" s="6">
        <f>SUMIF('Eredeti fejléccel'!$B:$B,'Felosztás eredménykim'!$B206,'Eredeti fejléccel'!$BK:$BK)</f>
        <v>0</v>
      </c>
      <c r="DA206" s="99">
        <f t="shared" si="415"/>
        <v>0</v>
      </c>
      <c r="DC206" s="36">
        <f t="shared" si="407"/>
        <v>0</v>
      </c>
      <c r="DD206" s="6">
        <f>SUMIF('Eredeti fejléccel'!$B:$B,'Felosztás eredménykim'!$B206,'Eredeti fejléccel'!$J:$J)</f>
        <v>0</v>
      </c>
      <c r="DE206" s="6">
        <f>SUMIF('Eredeti fejléccel'!$B:$B,'Felosztás eredménykim'!$B206,'Eredeti fejléccel'!$BM:$BM)</f>
        <v>0</v>
      </c>
      <c r="DF206" s="6">
        <f t="shared" si="445"/>
        <v>0</v>
      </c>
      <c r="DG206" s="8">
        <f t="shared" si="446"/>
        <v>0</v>
      </c>
      <c r="DH206" s="8">
        <f t="shared" si="447"/>
        <v>0</v>
      </c>
      <c r="DJ206" s="6">
        <f>SUMIF('Eredeti fejléccel'!$B:$B,'Felosztás eredménykim'!$B206,'Eredeti fejléccel'!$BN:$BN)</f>
        <v>0</v>
      </c>
      <c r="DK206" s="6">
        <f>SUMIF('Eredeti fejléccel'!$B:$B,'Felosztás eredménykim'!$B206,'Eredeti fejléccel'!$BZ:$BZ)</f>
        <v>0</v>
      </c>
      <c r="DL206" s="8">
        <f t="shared" si="448"/>
        <v>0</v>
      </c>
      <c r="DM206" s="6">
        <f>SUMIF('Eredeti fejléccel'!$B:$B,'Felosztás eredménykim'!$B206,'Eredeti fejléccel'!$BR:$BR)</f>
        <v>0</v>
      </c>
      <c r="DN206" s="6">
        <f>SUMIF('Eredeti fejléccel'!$B:$B,'Felosztás eredménykim'!$B206,'Eredeti fejléccel'!$BS:$BS)</f>
        <v>0</v>
      </c>
      <c r="DO206" s="6">
        <f>SUMIF('Eredeti fejléccel'!$B:$B,'Felosztás eredménykim'!$B206,'Eredeti fejléccel'!$BO:$BO)</f>
        <v>0</v>
      </c>
      <c r="DP206" s="6">
        <f>SUMIF('Eredeti fejléccel'!$B:$B,'Felosztás eredménykim'!$B206,'Eredeti fejléccel'!$BP:$BP)</f>
        <v>0</v>
      </c>
      <c r="DQ206" s="6">
        <f>SUMIF('Eredeti fejléccel'!$B:$B,'Felosztás eredménykim'!$B206,'Eredeti fejléccel'!$BQ:$BQ)</f>
        <v>0</v>
      </c>
      <c r="DS206" s="8"/>
      <c r="DU206" s="6">
        <f>SUMIF('Eredeti fejléccel'!$B:$B,'Felosztás eredménykim'!$B206,'Eredeti fejléccel'!$BT:$BT)</f>
        <v>0</v>
      </c>
      <c r="DV206" s="6">
        <f>SUMIF('Eredeti fejléccel'!$B:$B,'Felosztás eredménykim'!$B206,'Eredeti fejléccel'!$BU:$BU)</f>
        <v>0</v>
      </c>
      <c r="DW206" s="6">
        <f>SUMIF('Eredeti fejléccel'!$B:$B,'Felosztás eredménykim'!$B206,'Eredeti fejléccel'!$BV:$BV)</f>
        <v>0</v>
      </c>
      <c r="DX206" s="6">
        <f>SUMIF('Eredeti fejléccel'!$B:$B,'Felosztás eredménykim'!$B206,'Eredeti fejléccel'!$BW:$BW)</f>
        <v>0</v>
      </c>
      <c r="DY206" s="6">
        <f>SUMIF('Eredeti fejléccel'!$B:$B,'Felosztás eredménykim'!$B206,'Eredeti fejléccel'!$BX:$BX)</f>
        <v>0</v>
      </c>
      <c r="EA206" s="6"/>
      <c r="EC206" s="6"/>
      <c r="EE206" s="6">
        <f>SUMIF('Eredeti fejléccel'!$B:$B,'Felosztás eredménykim'!$B206,'Eredeti fejléccel'!$CA:$CA)</f>
        <v>0</v>
      </c>
      <c r="EF206" s="6">
        <f>SUMIF('Eredeti fejléccel'!$B:$B,'Felosztás eredménykim'!$B206,'Eredeti fejléccel'!$CB:$CB)</f>
        <v>0</v>
      </c>
      <c r="EG206" s="6">
        <f>SUMIF('Eredeti fejléccel'!$B:$B,'Felosztás eredménykim'!$B206,'Eredeti fejléccel'!$CC:$CC)</f>
        <v>0</v>
      </c>
      <c r="EH206" s="6">
        <f>SUMIF('Eredeti fejléccel'!$B:$B,'Felosztás eredménykim'!$B206,'Eredeti fejléccel'!$CD:$CD)</f>
        <v>0</v>
      </c>
      <c r="EK206" s="6">
        <f>SUMIF('Eredeti fejléccel'!$B:$B,'Felosztás eredménykim'!$B206,'Eredeti fejléccel'!$CE:$CE)</f>
        <v>0</v>
      </c>
      <c r="EN206" s="6">
        <f>SUMIF('Eredeti fejléccel'!$B:$B,'Felosztás eredménykim'!$B206,'Eredeti fejléccel'!$CF:$CF)</f>
        <v>0</v>
      </c>
      <c r="EP206" s="6">
        <f>SUMIF('Eredeti fejléccel'!$B:$B,'Felosztás eredménykim'!$B206,'Eredeti fejléccel'!$CG:$CG)</f>
        <v>0</v>
      </c>
      <c r="ES206" s="6">
        <f>SUMIF('Eredeti fejléccel'!$B:$B,'Felosztás eredménykim'!$B206,'Eredeti fejléccel'!$CH:$CH)</f>
        <v>0</v>
      </c>
      <c r="ET206" s="6">
        <f>SUMIF('Eredeti fejléccel'!$B:$B,'Felosztás eredménykim'!$B206,'Eredeti fejléccel'!$CI:$CI)</f>
        <v>0</v>
      </c>
      <c r="EW206" s="8">
        <f t="shared" si="449"/>
        <v>0</v>
      </c>
      <c r="EX206" s="8">
        <f t="shared" si="450"/>
        <v>0</v>
      </c>
      <c r="EY206" s="8">
        <f t="shared" si="416"/>
        <v>0</v>
      </c>
      <c r="EZ206" s="8">
        <f t="shared" si="451"/>
        <v>0</v>
      </c>
      <c r="FA206" s="8">
        <f t="shared" si="452"/>
        <v>0</v>
      </c>
      <c r="FC206" s="6">
        <f>SUMIF('Eredeti fejléccel'!$B:$B,'Felosztás eredménykim'!$B206,'Eredeti fejléccel'!$L:$L)</f>
        <v>0</v>
      </c>
      <c r="FD206" s="6">
        <f>SUMIF('Eredeti fejléccel'!$B:$B,'Felosztás eredménykim'!$B206,'Eredeti fejléccel'!$CJ:$CJ)</f>
        <v>0</v>
      </c>
      <c r="FE206" s="6">
        <f>SUMIF('Eredeti fejléccel'!$B:$B,'Felosztás eredménykim'!$B206,'Eredeti fejléccel'!$CL:$CL)</f>
        <v>0</v>
      </c>
      <c r="FG206" s="99">
        <f t="shared" si="453"/>
        <v>0</v>
      </c>
      <c r="FH206" s="6">
        <f>SUMIF('Eredeti fejléccel'!$B:$B,'Felosztás eredménykim'!$B206,'Eredeti fejléccel'!$CK:$CK)</f>
        <v>0</v>
      </c>
      <c r="FI206" s="36">
        <f>$X206/$HD$290*(FJ$290+FJ$293)</f>
        <v>0</v>
      </c>
      <c r="FJ206" s="101">
        <f t="shared" si="408"/>
        <v>0</v>
      </c>
      <c r="FK206" s="6">
        <f>SUMIF('Eredeti fejléccel'!$B:$B,'Felosztás eredménykim'!$B206,'Eredeti fejléccel'!$CM:$CM)</f>
        <v>0</v>
      </c>
      <c r="FL206" s="6">
        <f>SUMIF('Eredeti fejléccel'!$B:$B,'Felosztás eredménykim'!$B206,'Eredeti fejléccel'!$CN:$CN)</f>
        <v>0</v>
      </c>
      <c r="FM206" s="8">
        <f t="shared" si="454"/>
        <v>0</v>
      </c>
      <c r="FN206" s="36">
        <f>$X206/$HD$290*(FO$290+FO$293)</f>
        <v>0</v>
      </c>
      <c r="FO206" s="101">
        <f t="shared" si="409"/>
        <v>0</v>
      </c>
      <c r="FP206" s="6">
        <f>SUMIF('Eredeti fejléccel'!$B:$B,'Felosztás eredménykim'!$B206,'Eredeti fejléccel'!$CO:$CO)</f>
        <v>0</v>
      </c>
      <c r="FQ206" s="6">
        <f>'Eredeti fejléccel'!CP206</f>
        <v>0</v>
      </c>
      <c r="FR206" s="6">
        <f>'Eredeti fejléccel'!CQ206</f>
        <v>0</v>
      </c>
      <c r="FS206" s="103">
        <f t="shared" si="417"/>
        <v>0</v>
      </c>
      <c r="FT206" s="36">
        <f>$X206/$HD$290*(FU$290+FU$293)</f>
        <v>0</v>
      </c>
      <c r="FU206" s="101">
        <f t="shared" si="410"/>
        <v>0</v>
      </c>
      <c r="FV206" s="101"/>
      <c r="FW206" s="6">
        <f>SUMIF('Eredeti fejléccel'!$B:$B,'Felosztás eredménykim'!$B206,'Eredeti fejléccel'!$CR:$CR)</f>
        <v>0</v>
      </c>
      <c r="FX206" s="6">
        <f>SUMIF('Eredeti fejléccel'!$B:$B,'Felosztás eredménykim'!$B206,'Eredeti fejléccel'!$CS:$CS)</f>
        <v>0</v>
      </c>
      <c r="FY206" s="6">
        <f>SUMIF('Eredeti fejléccel'!$B:$B,'Felosztás eredménykim'!$B206,'Eredeti fejléccel'!$CT:$CT)</f>
        <v>0</v>
      </c>
      <c r="FZ206" s="6">
        <f>SUMIF('Eredeti fejléccel'!$B:$B,'Felosztás eredménykim'!$B206,'Eredeti fejléccel'!$CU:$CU)</f>
        <v>0</v>
      </c>
      <c r="GA206" s="103">
        <f t="shared" si="455"/>
        <v>0</v>
      </c>
      <c r="GB206" s="36">
        <f>$X206/$HD$290*(GC$290+GC$293)</f>
        <v>0</v>
      </c>
      <c r="GC206" s="101">
        <f t="shared" si="411"/>
        <v>0</v>
      </c>
      <c r="GD206" s="6">
        <f>SUMIF('Eredeti fejléccel'!$B:$B,'Felosztás eredménykim'!$B206,'Eredeti fejléccel'!$CV:$CV)</f>
        <v>0</v>
      </c>
      <c r="GE206" s="6">
        <f>SUMIF('Eredeti fejléccel'!$B:$B,'Felosztás eredménykim'!$B206,'Eredeti fejléccel'!$CW:$CW)</f>
        <v>0</v>
      </c>
      <c r="GF206" s="103">
        <f t="shared" si="456"/>
        <v>0</v>
      </c>
      <c r="GG206" s="36">
        <f t="shared" si="412"/>
        <v>0</v>
      </c>
      <c r="GM206" s="6">
        <f>SUMIF('Eredeti fejléccel'!$B:$B,'Felosztás eredménykim'!$B206,'Eredeti fejléccel'!$CX:$CX)</f>
        <v>0</v>
      </c>
      <c r="GN206" s="6">
        <f>SUMIF('Eredeti fejléccel'!$B:$B,'Felosztás eredménykim'!$B206,'Eredeti fejléccel'!$CY:$CY)</f>
        <v>0</v>
      </c>
      <c r="GO206" s="6">
        <f>SUMIF('Eredeti fejléccel'!$B:$B,'Felosztás eredménykim'!$B206,'Eredeti fejléccel'!$CZ:$CZ)</f>
        <v>0</v>
      </c>
      <c r="GP206" s="6">
        <f>SUMIF('Eredeti fejléccel'!$B:$B,'Felosztás eredménykim'!$B206,'Eredeti fejléccel'!$DA:$DA)</f>
        <v>0</v>
      </c>
      <c r="GQ206" s="6">
        <f>SUMIF('Eredeti fejléccel'!$B:$B,'Felosztás eredménykim'!$B206,'Eredeti fejléccel'!$DB:$DB)</f>
        <v>0</v>
      </c>
      <c r="GR206" s="103">
        <f t="shared" si="457"/>
        <v>0</v>
      </c>
      <c r="GW206" s="36">
        <f t="shared" si="413"/>
        <v>0</v>
      </c>
      <c r="GX206" s="6">
        <f>SUMIF('Eredeti fejléccel'!$B:$B,'Felosztás eredménykim'!$B206,'Eredeti fejléccel'!$M:$M)</f>
        <v>0</v>
      </c>
      <c r="GY206" s="6">
        <f>SUMIF('Eredeti fejléccel'!$B:$B,'Felosztás eredménykim'!$B206,'Eredeti fejléccel'!$DC:$DC)</f>
        <v>0</v>
      </c>
      <c r="GZ206" s="6">
        <f>SUMIF('Eredeti fejléccel'!$B:$B,'Felosztás eredménykim'!$B206,'Eredeti fejléccel'!$DD:$DD)</f>
        <v>0</v>
      </c>
      <c r="HA206" s="6">
        <f>SUMIF('Eredeti fejléccel'!$B:$B,'Felosztás eredménykim'!$B206,'Eredeti fejléccel'!$DE:$DE)</f>
        <v>0</v>
      </c>
      <c r="HB206" s="103">
        <f t="shared" si="458"/>
        <v>0</v>
      </c>
      <c r="HD206" s="9">
        <f t="shared" si="429"/>
        <v>-717176</v>
      </c>
      <c r="HE206" s="9">
        <v>-717176</v>
      </c>
      <c r="HF206" s="476"/>
      <c r="HH206" s="34">
        <f t="shared" si="252"/>
        <v>0</v>
      </c>
    </row>
    <row r="207" spans="1:218" x14ac:dyDescent="0.25">
      <c r="A207" s="208" t="s">
        <v>1762</v>
      </c>
      <c r="B207" s="208" t="s">
        <v>1762</v>
      </c>
      <c r="C207" s="209" t="s">
        <v>1763</v>
      </c>
      <c r="D207" s="6">
        <f>SUMIF('Eredeti fejléccel'!$B:$B,'Felosztás eredménykim'!$B207,'Eredeti fejléccel'!$D:$D)</f>
        <v>0</v>
      </c>
      <c r="E207" s="6">
        <f>SUMIF('Eredeti fejléccel'!$B:$B,'Felosztás eredménykim'!$B207,'Eredeti fejléccel'!$E:$E)</f>
        <v>0</v>
      </c>
      <c r="F207" s="6">
        <f>SUMIF('Eredeti fejléccel'!$B:$B,'Felosztás eredménykim'!$B207,'Eredeti fejléccel'!$F:$F)</f>
        <v>0</v>
      </c>
      <c r="G207" s="6">
        <f>SUMIF('Eredeti fejléccel'!$B:$B,'Felosztás eredménykim'!$B207,'Eredeti fejléccel'!$G:$G)</f>
        <v>0</v>
      </c>
      <c r="H207" s="6"/>
      <c r="I207" s="6">
        <f>SUMIF('Eredeti fejléccel'!$B:$B,'Felosztás eredménykim'!$B207,'Eredeti fejléccel'!$O:$O)</f>
        <v>0</v>
      </c>
      <c r="J207" s="6">
        <f>SUMIF('Eredeti fejléccel'!$B:$B,'Felosztás eredménykim'!$B207,'Eredeti fejléccel'!$P:$P)</f>
        <v>0</v>
      </c>
      <c r="K207" s="6">
        <f>SUMIF('Eredeti fejléccel'!$B:$B,'Felosztás eredménykim'!$B207,'Eredeti fejléccel'!$Q:$Q)</f>
        <v>0</v>
      </c>
      <c r="L207" s="6">
        <f>SUMIF('Eredeti fejléccel'!$B:$B,'Felosztás eredménykim'!$B207,'Eredeti fejléccel'!$R:$R)</f>
        <v>0</v>
      </c>
      <c r="M207" s="6">
        <f>SUMIF('Eredeti fejléccel'!$B:$B,'Felosztás eredménykim'!$B207,'Eredeti fejléccel'!$T:$T)</f>
        <v>0</v>
      </c>
      <c r="N207" s="6">
        <f>SUMIF('Eredeti fejléccel'!$B:$B,'Felosztás eredménykim'!$B207,'Eredeti fejléccel'!$U:$U)</f>
        <v>0</v>
      </c>
      <c r="O207" s="6">
        <f>SUMIF('Eredeti fejléccel'!$B:$B,'Felosztás eredménykim'!$B207,'Eredeti fejléccel'!$V:$V)</f>
        <v>0</v>
      </c>
      <c r="P207" s="6">
        <f>SUMIF('Eredeti fejléccel'!$B:$B,'Felosztás eredménykim'!$B207,'Eredeti fejléccel'!$W:$W)</f>
        <v>0</v>
      </c>
      <c r="Q207" s="6">
        <f>SUMIF('Eredeti fejléccel'!$B:$B,'Felosztás eredménykim'!$B207,'Eredeti fejléccel'!$X:$X)</f>
        <v>0</v>
      </c>
      <c r="R207" s="6">
        <f>SUMIF('Eredeti fejléccel'!$B:$B,'Felosztás eredménykim'!$B207,'Eredeti fejléccel'!$Y:$Y)</f>
        <v>0</v>
      </c>
      <c r="S207" s="6">
        <f>SUMIF('Eredeti fejléccel'!$B:$B,'Felosztás eredménykim'!$B207,'Eredeti fejléccel'!$Z:$Z)</f>
        <v>0</v>
      </c>
      <c r="T207" s="6">
        <f>SUMIF('Eredeti fejléccel'!$B:$B,'Felosztás eredménykim'!$B207,'Eredeti fejléccel'!$AA:$AA)</f>
        <v>0</v>
      </c>
      <c r="U207" s="6">
        <f>SUMIF('Eredeti fejléccel'!$B:$B,'Felosztás eredménykim'!$B207,'Eredeti fejléccel'!$D:$D)</f>
        <v>0</v>
      </c>
      <c r="V207" s="6">
        <f>SUMIF('Eredeti fejléccel'!$B:$B,'Felosztás eredménykim'!$B207,'Eredeti fejléccel'!$AT:$AT)</f>
        <v>0</v>
      </c>
      <c r="X207" s="212">
        <f t="shared" si="414"/>
        <v>0</v>
      </c>
      <c r="Z207" s="6">
        <f>SUMIF('Eredeti fejléccel'!$B:$B,'Felosztás eredménykim'!$B207,'Eredeti fejléccel'!$K:$K)</f>
        <v>0</v>
      </c>
      <c r="AB207" s="6">
        <f>SUMIF('Eredeti fejléccel'!$B:$B,'Felosztás eredménykim'!$B207,'Eredeti fejléccel'!$AB:$AB)</f>
        <v>0</v>
      </c>
      <c r="AC207" s="6">
        <f>SUMIF('Eredeti fejléccel'!$B:$B,'Felosztás eredménykim'!$B207,'Eredeti fejléccel'!$AQ:$AQ)</f>
        <v>0</v>
      </c>
      <c r="AE207" s="73">
        <f>SUM(Z207:AD207)</f>
        <v>0</v>
      </c>
      <c r="AF207" s="36">
        <f t="shared" ref="AF207" si="459">$X207/$HD$290*(AG$290+AG$291)</f>
        <v>0</v>
      </c>
      <c r="AG207" s="8">
        <f t="shared" si="399"/>
        <v>0</v>
      </c>
      <c r="AI207" s="6">
        <f>SUMIF('Eredeti fejléccel'!$B:$B,'Felosztás eredménykim'!$B207,'Eredeti fejléccel'!$BB:$BB)</f>
        <v>0</v>
      </c>
      <c r="AJ207" s="6">
        <f>SUMIF('Eredeti fejléccel'!$B:$B,'Felosztás eredménykim'!$B207,'Eredeti fejléccel'!$AF:$AF)</f>
        <v>0</v>
      </c>
      <c r="AK207" s="8">
        <f>SUM(AG207:AJ207)</f>
        <v>0</v>
      </c>
      <c r="AL207" s="36">
        <f t="shared" ref="AL207" si="460">$X207/$HD$290*(AM$290+AM$291)</f>
        <v>0</v>
      </c>
      <c r="AM207" s="8">
        <f t="shared" si="400"/>
        <v>0</v>
      </c>
      <c r="AN207" s="6">
        <f>-AO207/2</f>
        <v>0</v>
      </c>
      <c r="AO207" s="6">
        <f>SUMIF('Eredeti fejléccel'!$B:$B,'Felosztás eredménykim'!$B207,'Eredeti fejléccel'!$AC:$AC)</f>
        <v>0</v>
      </c>
      <c r="AP207" s="6">
        <f>SUMIF('Eredeti fejléccel'!$B:$B,'Felosztás eredménykim'!$B207,'Eredeti fejléccel'!$AD:$AD)</f>
        <v>0</v>
      </c>
      <c r="AQ207" s="6">
        <f>SUMIF('Eredeti fejléccel'!$B:$B,'Felosztás eredménykim'!$B207,'Eredeti fejléccel'!$AE:$AE)</f>
        <v>0</v>
      </c>
      <c r="AR207" s="6">
        <f>SUMIF('Eredeti fejléccel'!$B:$B,'Felosztás eredménykim'!$B207,'Eredeti fejléccel'!$AG:$AG)</f>
        <v>0</v>
      </c>
      <c r="AS207" s="6">
        <f>SUM(AM207:AR207)</f>
        <v>0</v>
      </c>
      <c r="AT207" s="36">
        <f t="shared" ref="AT207" si="461">$X207/$HD$290*(AU$290+AU$291)</f>
        <v>0</v>
      </c>
      <c r="AU207" s="8">
        <f t="shared" si="401"/>
        <v>0</v>
      </c>
      <c r="AV207" s="6">
        <f>SUMIF('Eredeti fejléccel'!$B:$B,'Felosztás eredménykim'!$B207,'Eredeti fejléccel'!$AI:$AI)</f>
        <v>0</v>
      </c>
      <c r="AW207" s="6">
        <f>SUMIF('Eredeti fejléccel'!$B:$B,'Felosztás eredménykim'!$B207,'Eredeti fejléccel'!$AJ:$AJ)</f>
        <v>0</v>
      </c>
      <c r="AX207" s="6">
        <f>SUMIF('Eredeti fejléccel'!$B:$B,'Felosztás eredménykim'!$B207,'Eredeti fejléccel'!$AK:$AK)</f>
        <v>0</v>
      </c>
      <c r="AY207" s="6">
        <f>SUMIF('Eredeti fejléccel'!$B:$B,'Felosztás eredménykim'!$B207,'Eredeti fejléccel'!$AL:$AL)</f>
        <v>0</v>
      </c>
      <c r="AZ207" s="6">
        <f>SUMIF('Eredeti fejléccel'!$B:$B,'Felosztás eredménykim'!$B207,'Eredeti fejléccel'!$AM:$AM)</f>
        <v>0</v>
      </c>
      <c r="BA207" s="6">
        <f>SUMIF('Eredeti fejléccel'!$B:$B,'Felosztás eredménykim'!$B207,'Eredeti fejléccel'!$AN:$AN)</f>
        <v>0</v>
      </c>
      <c r="BB207" s="6">
        <f>SUMIF('Eredeti fejléccel'!$B:$B,'Felosztás eredménykim'!$B207,'Eredeti fejléccel'!$AP:$AP)</f>
        <v>0</v>
      </c>
      <c r="BD207" s="6">
        <f>SUMIF('Eredeti fejléccel'!$B:$B,'Felosztás eredménykim'!$B207,'Eredeti fejléccel'!$AS:$AS)</f>
        <v>0</v>
      </c>
      <c r="BE207" s="8">
        <f>SUM(AU207:BD207)</f>
        <v>0</v>
      </c>
      <c r="BF207" s="36">
        <f t="shared" ref="BF207" si="462">$X207/$HD$290*(BG$290+BG$291)</f>
        <v>0</v>
      </c>
      <c r="BG207" s="8">
        <f t="shared" si="402"/>
        <v>0</v>
      </c>
      <c r="BH207" s="6">
        <f>AO207/2</f>
        <v>0</v>
      </c>
      <c r="BI207" s="6">
        <f>SUMIF('Eredeti fejléccel'!$B:$B,'Felosztás eredménykim'!$B207,'Eredeti fejléccel'!$AH:$AH)</f>
        <v>0</v>
      </c>
      <c r="BJ207" s="6">
        <f>SUMIF('Eredeti fejléccel'!$B:$B,'Felosztás eredménykim'!$B207,'Eredeti fejléccel'!$AO:$AO)</f>
        <v>0</v>
      </c>
      <c r="BK207" s="6">
        <f>SUMIF('Eredeti fejléccel'!$B:$B,'Felosztás eredménykim'!$B207,'Eredeti fejléccel'!$BF:$BF)</f>
        <v>0</v>
      </c>
      <c r="BL207" s="8">
        <f>SUM(BG207:BK207)</f>
        <v>0</v>
      </c>
      <c r="BM207" s="36">
        <f t="shared" ref="BM207" si="463">$X207/$HD$290*(BN$290+BN$291)</f>
        <v>0</v>
      </c>
      <c r="BN207" s="8">
        <f t="shared" si="403"/>
        <v>0</v>
      </c>
      <c r="BP207" s="8">
        <f>-FV207</f>
        <v>0</v>
      </c>
      <c r="BQ207" s="6">
        <f>SUMIF('Eredeti fejléccel'!$B:$B,'Felosztás eredménykim'!$B207,'Eredeti fejléccel'!$N:$N)</f>
        <v>0</v>
      </c>
      <c r="BR207" s="6">
        <f>SUMIF('Eredeti fejléccel'!$B:$B,'Felosztás eredménykim'!$B207,'Eredeti fejléccel'!$S:$S)</f>
        <v>0</v>
      </c>
      <c r="BT207" s="6">
        <f>SUMIF('Eredeti fejléccel'!$B:$B,'Felosztás eredménykim'!$B207,'Eredeti fejléccel'!$AR:$AR)</f>
        <v>0</v>
      </c>
      <c r="BU207" s="6">
        <f>SUMIF('Eredeti fejléccel'!$B:$B,'Felosztás eredménykim'!$B207,'Eredeti fejléccel'!$AU:$AU)</f>
        <v>0</v>
      </c>
      <c r="BV207" s="6">
        <f>SUMIF('Eredeti fejléccel'!$B:$B,'Felosztás eredménykim'!$B207,'Eredeti fejléccel'!$AV:$AV)</f>
        <v>0</v>
      </c>
      <c r="BW207" s="6">
        <f>SUMIF('Eredeti fejléccel'!$B:$B,'Felosztás eredménykim'!$B207,'Eredeti fejléccel'!$AW:$AW)</f>
        <v>0</v>
      </c>
      <c r="BX207" s="6">
        <f>SUMIF('Eredeti fejléccel'!$B:$B,'Felosztás eredménykim'!$B207,'Eredeti fejléccel'!$AX:$AX)</f>
        <v>0</v>
      </c>
      <c r="BY207" s="6">
        <f>SUMIF('Eredeti fejléccel'!$B:$B,'Felosztás eredménykim'!$B207,'Eredeti fejléccel'!$AY:$AY)</f>
        <v>0</v>
      </c>
      <c r="BZ207" s="6">
        <f>SUMIF('Eredeti fejléccel'!$B:$B,'Felosztás eredménykim'!$B207,'Eredeti fejléccel'!$AZ:$AZ)</f>
        <v>0</v>
      </c>
      <c r="CA207" s="6">
        <f>SUMIF('Eredeti fejléccel'!$B:$B,'Felosztás eredménykim'!$B207,'Eredeti fejléccel'!$BA:$BA)</f>
        <v>0</v>
      </c>
      <c r="CB207" s="6">
        <f t="shared" si="438"/>
        <v>0</v>
      </c>
      <c r="CC207" s="36">
        <f t="shared" ref="CC207" si="464">$X207/$HD$290*(CD$290+CD$291)</f>
        <v>0</v>
      </c>
      <c r="CD207" s="8">
        <f t="shared" si="404"/>
        <v>0</v>
      </c>
      <c r="CE207" s="6">
        <f>SUMIF('Eredeti fejléccel'!$B:$B,'Felosztás eredménykim'!$B207,'Eredeti fejléccel'!$BC:$BC)</f>
        <v>0</v>
      </c>
      <c r="CF207" s="8">
        <f>-CE207/2</f>
        <v>0</v>
      </c>
      <c r="CG207" s="6">
        <f>SUMIF('Eredeti fejléccel'!$B:$B,'Felosztás eredménykim'!$B207,'Eredeti fejléccel'!$H:$H)</f>
        <v>0</v>
      </c>
      <c r="CH207" s="6">
        <f>SUMIF('Eredeti fejléccel'!$B:$B,'Felosztás eredménykim'!$B207,'Eredeti fejléccel'!$BE:$BE)</f>
        <v>0</v>
      </c>
      <c r="CI207" s="6">
        <f>SUM(CD207:CH207)</f>
        <v>0</v>
      </c>
      <c r="CJ207" s="36">
        <f t="shared" ref="CJ207" si="465">$X207/$HD$290*(CK$290+CK$291)</f>
        <v>0</v>
      </c>
      <c r="CK207" s="8">
        <f t="shared" si="405"/>
        <v>0</v>
      </c>
      <c r="CL207" s="8">
        <f>CE207/2</f>
        <v>0</v>
      </c>
      <c r="CM207" s="6">
        <f>SUMIF('Eredeti fejléccel'!$B:$B,'Felosztás eredménykim'!$B207,'Eredeti fejléccel'!$BD:$BD)</f>
        <v>0</v>
      </c>
      <c r="CN207" s="8">
        <f>SUM(CK207:CM207)</f>
        <v>0</v>
      </c>
      <c r="CO207" s="8">
        <f t="shared" si="443"/>
        <v>0</v>
      </c>
      <c r="CR207" s="36">
        <f t="shared" si="406"/>
        <v>0</v>
      </c>
      <c r="CS207" s="6">
        <f>SUMIF('Eredeti fejléccel'!$B:$B,'Felosztás eredménykim'!$B207,'Eredeti fejléccel'!$I:$I)</f>
        <v>0</v>
      </c>
      <c r="CT207" s="6">
        <f>SUMIF('Eredeti fejléccel'!$B:$B,'Felosztás eredménykim'!$B207,'Eredeti fejléccel'!$BG:$BG)</f>
        <v>0</v>
      </c>
      <c r="CU207" s="6">
        <f>SUMIF('Eredeti fejléccel'!$B:$B,'Felosztás eredménykim'!$B207,'Eredeti fejléccel'!$BH:$BH)</f>
        <v>0</v>
      </c>
      <c r="CV207" s="6">
        <f>SUMIF('Eredeti fejléccel'!$B:$B,'Felosztás eredménykim'!$B207,'Eredeti fejléccel'!$BI:$BI)</f>
        <v>0</v>
      </c>
      <c r="CW207" s="6">
        <f>SUMIF('Eredeti fejléccel'!$B:$B,'Felosztás eredménykim'!$B207,'Eredeti fejléccel'!$BL:$BL)</f>
        <v>0</v>
      </c>
      <c r="CX207" s="6">
        <f>SUM(CS207:CW207)</f>
        <v>0</v>
      </c>
      <c r="CY207" s="6">
        <f>SUMIF('Eredeti fejléccel'!$B:$B,'Felosztás eredménykim'!$B207,'Eredeti fejléccel'!$BJ:$BJ)</f>
        <v>0</v>
      </c>
      <c r="CZ207" s="6">
        <f>SUMIF('Eredeti fejléccel'!$B:$B,'Felosztás eredménykim'!$B207,'Eredeti fejléccel'!$BK:$BK)</f>
        <v>0</v>
      </c>
      <c r="DA207" s="99">
        <f t="shared" si="415"/>
        <v>0</v>
      </c>
      <c r="DC207" s="36">
        <f t="shared" si="407"/>
        <v>0</v>
      </c>
      <c r="DD207" s="6">
        <f>SUMIF('Eredeti fejléccel'!$B:$B,'Felosztás eredménykim'!$B207,'Eredeti fejléccel'!$J:$J)</f>
        <v>0</v>
      </c>
      <c r="DE207" s="6">
        <f>SUMIF('Eredeti fejléccel'!$B:$B,'Felosztás eredménykim'!$B207,'Eredeti fejléccel'!$BM:$BM)</f>
        <v>0</v>
      </c>
      <c r="DF207" s="6">
        <f>-DI207</f>
        <v>0</v>
      </c>
      <c r="DG207" s="8">
        <f t="shared" si="446"/>
        <v>0</v>
      </c>
      <c r="DH207" s="8">
        <f>SUM(DD207:DG207)</f>
        <v>0</v>
      </c>
      <c r="DJ207" s="6">
        <f>SUMIF('Eredeti fejléccel'!$B:$B,'Felosztás eredménykim'!$B207,'Eredeti fejléccel'!$BN:$BN)</f>
        <v>0</v>
      </c>
      <c r="DK207" s="6">
        <f>SUMIF('Eredeti fejléccel'!$B:$B,'Felosztás eredménykim'!$B207,'Eredeti fejléccel'!$BZ:$BZ)</f>
        <v>0</v>
      </c>
      <c r="DL207" s="8">
        <f>SUM(DI207:DK207)</f>
        <v>0</v>
      </c>
      <c r="DM207" s="6">
        <f>SUMIF('Eredeti fejléccel'!$B:$B,'Felosztás eredménykim'!$B207,'Eredeti fejléccel'!$BR:$BR)</f>
        <v>0</v>
      </c>
      <c r="DN207" s="6">
        <f>SUMIF('Eredeti fejléccel'!$B:$B,'Felosztás eredménykim'!$B207,'Eredeti fejléccel'!$BS:$BS)</f>
        <v>0</v>
      </c>
      <c r="DO207" s="6">
        <f>SUMIF('Eredeti fejléccel'!$B:$B,'Felosztás eredménykim'!$B207,'Eredeti fejléccel'!$BO:$BO)</f>
        <v>0</v>
      </c>
      <c r="DP207" s="6">
        <f>SUMIF('Eredeti fejléccel'!$B:$B,'Felosztás eredménykim'!$B207,'Eredeti fejléccel'!$BP:$BP)</f>
        <v>0</v>
      </c>
      <c r="DQ207" s="6">
        <f>SUMIF('Eredeti fejléccel'!$B:$B,'Felosztás eredménykim'!$B207,'Eredeti fejléccel'!$BQ:$BQ)</f>
        <v>0</v>
      </c>
      <c r="DS207" s="8"/>
      <c r="DU207" s="6">
        <f>SUMIF('Eredeti fejléccel'!$B:$B,'Felosztás eredménykim'!$B207,'Eredeti fejléccel'!$BT:$BT)</f>
        <v>0</v>
      </c>
      <c r="DV207" s="6">
        <f>SUMIF('Eredeti fejléccel'!$B:$B,'Felosztás eredménykim'!$B207,'Eredeti fejléccel'!$BU:$BU)</f>
        <v>0</v>
      </c>
      <c r="DW207" s="6">
        <f>SUMIF('Eredeti fejléccel'!$B:$B,'Felosztás eredménykim'!$B207,'Eredeti fejléccel'!$BV:$BV)</f>
        <v>0</v>
      </c>
      <c r="DX207" s="6">
        <f>SUMIF('Eredeti fejléccel'!$B:$B,'Felosztás eredménykim'!$B207,'Eredeti fejléccel'!$BW:$BW)</f>
        <v>0</v>
      </c>
      <c r="DY207" s="6">
        <f>SUMIF('Eredeti fejléccel'!$B:$B,'Felosztás eredménykim'!$B207,'Eredeti fejléccel'!$BX:$BX)</f>
        <v>0</v>
      </c>
      <c r="EA207" s="6"/>
      <c r="EC207" s="6"/>
      <c r="EE207" s="6">
        <f>SUMIF('Eredeti fejléccel'!$B:$B,'Felosztás eredménykim'!$B207,'Eredeti fejléccel'!$CA:$CA)</f>
        <v>0</v>
      </c>
      <c r="EF207" s="6">
        <f>SUMIF('Eredeti fejléccel'!$B:$B,'Felosztás eredménykim'!$B207,'Eredeti fejléccel'!$CB:$CB)</f>
        <v>0</v>
      </c>
      <c r="EG207" s="6">
        <f>SUMIF('Eredeti fejléccel'!$B:$B,'Felosztás eredménykim'!$B207,'Eredeti fejléccel'!$CC:$CC)</f>
        <v>0</v>
      </c>
      <c r="EH207" s="6">
        <f>SUMIF('Eredeti fejléccel'!$B:$B,'Felosztás eredménykim'!$B207,'Eredeti fejléccel'!$CD:$CD)</f>
        <v>0</v>
      </c>
      <c r="EK207" s="6">
        <f>SUMIF('Eredeti fejléccel'!$B:$B,'Felosztás eredménykim'!$B207,'Eredeti fejléccel'!$CE:$CE)</f>
        <v>0</v>
      </c>
      <c r="EN207" s="6">
        <f>SUMIF('Eredeti fejléccel'!$B:$B,'Felosztás eredménykim'!$B207,'Eredeti fejléccel'!$CF:$CF)</f>
        <v>0</v>
      </c>
      <c r="EP207" s="6">
        <f>SUMIF('Eredeti fejléccel'!$B:$B,'Felosztás eredménykim'!$B207,'Eredeti fejléccel'!$CG:$CG)</f>
        <v>0</v>
      </c>
      <c r="ES207" s="6">
        <f>SUMIF('Eredeti fejléccel'!$B:$B,'Felosztás eredménykim'!$B207,'Eredeti fejléccel'!$CH:$CH)</f>
        <v>0</v>
      </c>
      <c r="ET207" s="6">
        <f>SUMIF('Eredeti fejléccel'!$B:$B,'Felosztás eredménykim'!$B207,'Eredeti fejléccel'!$CI:$CI)</f>
        <v>0</v>
      </c>
      <c r="EW207" s="8">
        <f>SUM(DR207:ED207)</f>
        <v>0</v>
      </c>
      <c r="EX207" s="8">
        <f>SUM(EE207:EV207)</f>
        <v>0</v>
      </c>
      <c r="EY207" s="8">
        <f t="shared" si="416"/>
        <v>0</v>
      </c>
      <c r="EZ207" s="8">
        <f>EY207+DL207+DM207+DN207+DO207+DP207+DQ207</f>
        <v>0</v>
      </c>
      <c r="FA207" s="8">
        <f>EZ207-DL207-DM207</f>
        <v>0</v>
      </c>
      <c r="FC207" s="6">
        <f>SUMIF('Eredeti fejléccel'!$B:$B,'Felosztás eredménykim'!$B207,'Eredeti fejléccel'!$L:$L)</f>
        <v>0</v>
      </c>
      <c r="FD207" s="6">
        <f>SUMIF('Eredeti fejléccel'!$B:$B,'Felosztás eredménykim'!$B207,'Eredeti fejléccel'!$CJ:$CJ)</f>
        <v>0</v>
      </c>
      <c r="FE207" s="6">
        <f>SUMIF('Eredeti fejléccel'!$B:$B,'Felosztás eredménykim'!$B207,'Eredeti fejléccel'!$CL:$CL)</f>
        <v>0</v>
      </c>
      <c r="FG207" s="99">
        <f>SUM(FC207:FF207)</f>
        <v>0</v>
      </c>
      <c r="FH207" s="6">
        <f>SUMIF('Eredeti fejléccel'!$B:$B,'Felosztás eredménykim'!$B207,'Eredeti fejléccel'!$CK:$CK)</f>
        <v>0</v>
      </c>
      <c r="FI207" s="36">
        <f t="shared" ref="FI207" si="466">$X207/$HD$290*(FJ$290+FJ$293)</f>
        <v>0</v>
      </c>
      <c r="FJ207" s="101">
        <f t="shared" si="408"/>
        <v>0</v>
      </c>
      <c r="FK207" s="6">
        <f>SUMIF('Eredeti fejléccel'!$B:$B,'Felosztás eredménykim'!$B207,'Eredeti fejléccel'!$CM:$CM)</f>
        <v>0</v>
      </c>
      <c r="FL207" s="6">
        <f>SUMIF('Eredeti fejléccel'!$B:$B,'Felosztás eredménykim'!$B207,'Eredeti fejléccel'!$CN:$CN)</f>
        <v>0</v>
      </c>
      <c r="FM207" s="8">
        <f>SUM(FJ207:FL207)</f>
        <v>0</v>
      </c>
      <c r="FN207" s="36">
        <f t="shared" ref="FN207" si="467">$X207/$HD$290*(FO$290+FO$293)</f>
        <v>0</v>
      </c>
      <c r="FO207" s="101">
        <f t="shared" si="409"/>
        <v>0</v>
      </c>
      <c r="FP207" s="6">
        <f>SUMIF('Eredeti fejléccel'!$B:$B,'Felosztás eredménykim'!$B207,'Eredeti fejléccel'!$CO:$CO)</f>
        <v>0</v>
      </c>
      <c r="FQ207" s="6">
        <f>'Eredeti fejléccel'!CP207</f>
        <v>0</v>
      </c>
      <c r="FR207" s="6">
        <f>'Eredeti fejléccel'!CQ207</f>
        <v>0</v>
      </c>
      <c r="FS207" s="103">
        <f t="shared" si="417"/>
        <v>0</v>
      </c>
      <c r="FT207" s="36">
        <f t="shared" ref="FT207" si="468">$X207/$HD$290*(FU$290+FU$293)</f>
        <v>0</v>
      </c>
      <c r="FU207" s="101">
        <f t="shared" si="410"/>
        <v>0</v>
      </c>
      <c r="FV207" s="101"/>
      <c r="FW207" s="6">
        <f>SUMIF('Eredeti fejléccel'!$B:$B,'Felosztás eredménykim'!$B207,'Eredeti fejléccel'!$CR:$CR)</f>
        <v>0</v>
      </c>
      <c r="FX207" s="6">
        <f>SUMIF('Eredeti fejléccel'!$B:$B,'Felosztás eredménykim'!$B207,'Eredeti fejléccel'!$CS:$CS)</f>
        <v>0</v>
      </c>
      <c r="FY207" s="6">
        <f>SUMIF('Eredeti fejléccel'!$B:$B,'Felosztás eredménykim'!$B207,'Eredeti fejléccel'!$CT:$CT)</f>
        <v>0</v>
      </c>
      <c r="FZ207" s="6">
        <f>SUMIF('Eredeti fejléccel'!$B:$B,'Felosztás eredménykim'!$B207,'Eredeti fejléccel'!$CU:$CU)</f>
        <v>0</v>
      </c>
      <c r="GA207" s="103">
        <f>SUM(FU207:FZ207)</f>
        <v>0</v>
      </c>
      <c r="GB207" s="36">
        <f t="shared" ref="GB207" si="469">$X207/$HD$290*(GC$290+GC$293)</f>
        <v>0</v>
      </c>
      <c r="GC207" s="101">
        <f t="shared" si="411"/>
        <v>0</v>
      </c>
      <c r="GD207" s="6">
        <f>SUMIF('Eredeti fejléccel'!$B:$B,'Felosztás eredménykim'!$B207,'Eredeti fejléccel'!$CV:$CV)</f>
        <v>0</v>
      </c>
      <c r="GE207" s="6">
        <f>SUMIF('Eredeti fejléccel'!$B:$B,'Felosztás eredménykim'!$B207,'Eredeti fejléccel'!$CW:$CW)</f>
        <v>0</v>
      </c>
      <c r="GF207" s="103">
        <f>SUM(GC207:GE207)</f>
        <v>0</v>
      </c>
      <c r="GG207" s="36">
        <f t="shared" si="412"/>
        <v>0</v>
      </c>
      <c r="GM207" s="6">
        <f>SUMIF('Eredeti fejléccel'!$B:$B,'Felosztás eredménykim'!$B207,'Eredeti fejléccel'!$CX:$CX)</f>
        <v>0</v>
      </c>
      <c r="GN207" s="6">
        <f>SUMIF('Eredeti fejléccel'!$B:$B,'Felosztás eredménykim'!$B207,'Eredeti fejléccel'!$CY:$CY)</f>
        <v>0</v>
      </c>
      <c r="GO207" s="6">
        <f>SUMIF('Eredeti fejléccel'!$B:$B,'Felosztás eredménykim'!$B207,'Eredeti fejléccel'!$CZ:$CZ)</f>
        <v>0</v>
      </c>
      <c r="GP207" s="6">
        <f>SUMIF('Eredeti fejléccel'!$B:$B,'Felosztás eredménykim'!$B207,'Eredeti fejléccel'!$DA:$DA)</f>
        <v>0</v>
      </c>
      <c r="GQ207" s="6">
        <f>SUMIF('Eredeti fejléccel'!$B:$B,'Felosztás eredménykim'!$B207,'Eredeti fejléccel'!$DB:$DB)</f>
        <v>0</v>
      </c>
      <c r="GR207" s="103">
        <f>SUM(GH207:GQ207)</f>
        <v>0</v>
      </c>
      <c r="GW207" s="36">
        <f t="shared" si="413"/>
        <v>0</v>
      </c>
      <c r="GX207" s="6">
        <f>SUMIF('Eredeti fejléccel'!$B:$B,'Felosztás eredménykim'!$B207,'Eredeti fejléccel'!$M:$M)</f>
        <v>0</v>
      </c>
      <c r="GY207" s="6">
        <f>SUMIF('Eredeti fejléccel'!$B:$B,'Felosztás eredménykim'!$B207,'Eredeti fejléccel'!$DC:$DC)</f>
        <v>0</v>
      </c>
      <c r="GZ207" s="6">
        <f>SUMIF('Eredeti fejléccel'!$B:$B,'Felosztás eredménykim'!$B207,'Eredeti fejléccel'!$DD:$DD)</f>
        <v>0</v>
      </c>
      <c r="HA207" s="6">
        <f>SUMIF('Eredeti fejléccel'!$B:$B,'Felosztás eredménykim'!$B207,'Eredeti fejléccel'!$DE:$DE)</f>
        <v>0</v>
      </c>
      <c r="HB207" s="103">
        <f>SUM(GX207:HA207)</f>
        <v>0</v>
      </c>
      <c r="HD207" s="9">
        <f t="shared" si="429"/>
        <v>0</v>
      </c>
      <c r="HE207" s="9"/>
      <c r="HF207" s="476"/>
      <c r="HH207" s="34">
        <f>+HD207-HE207</f>
        <v>0</v>
      </c>
    </row>
    <row r="208" spans="1:218" x14ac:dyDescent="0.25">
      <c r="A208" s="4" t="s">
        <v>1503</v>
      </c>
      <c r="B208" s="4" t="s">
        <v>1503</v>
      </c>
      <c r="C208" s="1" t="s">
        <v>1504</v>
      </c>
      <c r="D208" s="6">
        <f>SUMIF('Eredeti fejléccel'!$B:$B,'Felosztás eredménykim'!$B208,'Eredeti fejléccel'!$D:$D)</f>
        <v>0</v>
      </c>
      <c r="E208" s="6">
        <f>SUMIF('Eredeti fejléccel'!$B:$B,'Felosztás eredménykim'!$B208,'Eredeti fejléccel'!$E:$E)</f>
        <v>0</v>
      </c>
      <c r="F208" s="6">
        <f>SUMIF('Eredeti fejléccel'!$B:$B,'Felosztás eredménykim'!$B208,'Eredeti fejléccel'!$F:$F)</f>
        <v>0</v>
      </c>
      <c r="G208" s="6">
        <f>SUMIF('Eredeti fejléccel'!$B:$B,'Felosztás eredménykim'!$B208,'Eredeti fejléccel'!$G:$G)</f>
        <v>0</v>
      </c>
      <c r="H208" s="6"/>
      <c r="I208" s="6">
        <f>SUMIF('Eredeti fejléccel'!$B:$B,'Felosztás eredménykim'!$B208,'Eredeti fejléccel'!$O:$O)</f>
        <v>0</v>
      </c>
      <c r="J208" s="6">
        <f>SUMIF('Eredeti fejléccel'!$B:$B,'Felosztás eredménykim'!$B208,'Eredeti fejléccel'!$P:$P)</f>
        <v>0</v>
      </c>
      <c r="K208" s="6">
        <f>SUMIF('Eredeti fejléccel'!$B:$B,'Felosztás eredménykim'!$B208,'Eredeti fejléccel'!$Q:$Q)</f>
        <v>0</v>
      </c>
      <c r="L208" s="6">
        <f>SUMIF('Eredeti fejléccel'!$B:$B,'Felosztás eredménykim'!$B208,'Eredeti fejléccel'!$R:$R)</f>
        <v>0</v>
      </c>
      <c r="M208" s="6">
        <f>SUMIF('Eredeti fejléccel'!$B:$B,'Felosztás eredménykim'!$B208,'Eredeti fejléccel'!$T:$T)</f>
        <v>0</v>
      </c>
      <c r="N208" s="6">
        <f>SUMIF('Eredeti fejléccel'!$B:$B,'Felosztás eredménykim'!$B208,'Eredeti fejléccel'!$U:$U)</f>
        <v>0</v>
      </c>
      <c r="O208" s="6">
        <f>SUMIF('Eredeti fejléccel'!$B:$B,'Felosztás eredménykim'!$B208,'Eredeti fejléccel'!$V:$V)</f>
        <v>0</v>
      </c>
      <c r="P208" s="6">
        <f>SUMIF('Eredeti fejléccel'!$B:$B,'Felosztás eredménykim'!$B208,'Eredeti fejléccel'!$W:$W)</f>
        <v>0</v>
      </c>
      <c r="Q208" s="6">
        <f>SUMIF('Eredeti fejléccel'!$B:$B,'Felosztás eredménykim'!$B208,'Eredeti fejléccel'!$X:$X)</f>
        <v>0</v>
      </c>
      <c r="R208" s="6">
        <f>SUMIF('Eredeti fejléccel'!$B:$B,'Felosztás eredménykim'!$B208,'Eredeti fejléccel'!$Y:$Y)</f>
        <v>0</v>
      </c>
      <c r="S208" s="6">
        <f>SUMIF('Eredeti fejléccel'!$B:$B,'Felosztás eredménykim'!$B208,'Eredeti fejléccel'!$Z:$Z)</f>
        <v>0</v>
      </c>
      <c r="T208" s="6">
        <f>SUMIF('Eredeti fejléccel'!$B:$B,'Felosztás eredménykim'!$B208,'Eredeti fejléccel'!$AA:$AA)</f>
        <v>0</v>
      </c>
      <c r="U208" s="6">
        <f>SUMIF('Eredeti fejléccel'!$B:$B,'Felosztás eredménykim'!$B208,'Eredeti fejléccel'!$D:$D)</f>
        <v>0</v>
      </c>
      <c r="V208" s="6">
        <f>SUMIF('Eredeti fejléccel'!$B:$B,'Felosztás eredménykim'!$B208,'Eredeti fejléccel'!$AT:$AT)</f>
        <v>0</v>
      </c>
      <c r="X208" s="36">
        <f t="shared" si="414"/>
        <v>0</v>
      </c>
      <c r="Z208" s="6">
        <f>SUMIF('Eredeti fejléccel'!$B:$B,'Felosztás eredménykim'!$B208,'Eredeti fejléccel'!$K:$K)</f>
        <v>0</v>
      </c>
      <c r="AB208" s="6">
        <f>SUMIF('Eredeti fejléccel'!$B:$B,'Felosztás eredménykim'!$B208,'Eredeti fejléccel'!$AB:$AB)</f>
        <v>0</v>
      </c>
      <c r="AC208" s="6">
        <f>SUMIF('Eredeti fejléccel'!$B:$B,'Felosztás eredménykim'!$B208,'Eredeti fejléccel'!$AQ:$AQ)</f>
        <v>0</v>
      </c>
      <c r="AE208" s="73">
        <f>SUM(Z208:AD208)</f>
        <v>0</v>
      </c>
      <c r="AF208" s="36">
        <f t="shared" ref="AF208:AF240" si="470">$X208/$HD$290*(AG$290+AG$291)</f>
        <v>0</v>
      </c>
      <c r="AG208" s="8">
        <f t="shared" si="399"/>
        <v>0</v>
      </c>
      <c r="AI208" s="6">
        <f>SUMIF('Eredeti fejléccel'!$B:$B,'Felosztás eredménykim'!$B208,'Eredeti fejléccel'!$BB:$BB)</f>
        <v>0</v>
      </c>
      <c r="AJ208" s="6">
        <f>SUMIF('Eredeti fejléccel'!$B:$B,'Felosztás eredménykim'!$B208,'Eredeti fejléccel'!$AF:$AF)</f>
        <v>0</v>
      </c>
      <c r="AK208" s="8">
        <f>SUM(AG208:AJ208)</f>
        <v>0</v>
      </c>
      <c r="AL208" s="36">
        <f t="shared" ref="AL208:AL240" si="471">$X208/$HD$290*(AM$290+AM$291)</f>
        <v>0</v>
      </c>
      <c r="AM208" s="8">
        <f t="shared" si="400"/>
        <v>0</v>
      </c>
      <c r="AN208" s="6">
        <f>-AO208/2</f>
        <v>0</v>
      </c>
      <c r="AO208" s="6">
        <f>SUMIF('Eredeti fejléccel'!$B:$B,'Felosztás eredménykim'!$B208,'Eredeti fejléccel'!$AC:$AC)</f>
        <v>0</v>
      </c>
      <c r="AP208" s="6">
        <f>SUMIF('Eredeti fejléccel'!$B:$B,'Felosztás eredménykim'!$B208,'Eredeti fejléccel'!$AD:$AD)</f>
        <v>0</v>
      </c>
      <c r="AQ208" s="6">
        <f>SUMIF('Eredeti fejléccel'!$B:$B,'Felosztás eredménykim'!$B208,'Eredeti fejléccel'!$AE:$AE)</f>
        <v>0</v>
      </c>
      <c r="AR208" s="6">
        <f>SUMIF('Eredeti fejléccel'!$B:$B,'Felosztás eredménykim'!$B208,'Eredeti fejléccel'!$AG:$AG)</f>
        <v>0</v>
      </c>
      <c r="AS208" s="6">
        <f>SUM(AM208:AR208)</f>
        <v>0</v>
      </c>
      <c r="AT208" s="36">
        <f t="shared" ref="AT208:AT240" si="472">$X208/$HD$290*(AU$290+AU$291)</f>
        <v>0</v>
      </c>
      <c r="AU208" s="8">
        <f t="shared" si="401"/>
        <v>0</v>
      </c>
      <c r="AV208" s="6">
        <f>SUMIF('Eredeti fejléccel'!$B:$B,'Felosztás eredménykim'!$B208,'Eredeti fejléccel'!$AI:$AI)</f>
        <v>0</v>
      </c>
      <c r="AW208" s="6">
        <f>SUMIF('Eredeti fejléccel'!$B:$B,'Felosztás eredménykim'!$B208,'Eredeti fejléccel'!$AJ:$AJ)</f>
        <v>0</v>
      </c>
      <c r="AX208" s="6">
        <f>SUMIF('Eredeti fejléccel'!$B:$B,'Felosztás eredménykim'!$B208,'Eredeti fejléccel'!$AK:$AK)</f>
        <v>0</v>
      </c>
      <c r="AY208" s="6">
        <f>SUMIF('Eredeti fejléccel'!$B:$B,'Felosztás eredménykim'!$B208,'Eredeti fejléccel'!$AL:$AL)</f>
        <v>0</v>
      </c>
      <c r="AZ208" s="6">
        <f>SUMIF('Eredeti fejléccel'!$B:$B,'Felosztás eredménykim'!$B208,'Eredeti fejléccel'!$AM:$AM)</f>
        <v>0</v>
      </c>
      <c r="BA208" s="6">
        <f>SUMIF('Eredeti fejléccel'!$B:$B,'Felosztás eredménykim'!$B208,'Eredeti fejléccel'!$AN:$AN)</f>
        <v>0</v>
      </c>
      <c r="BB208" s="6">
        <f>SUMIF('Eredeti fejléccel'!$B:$B,'Felosztás eredménykim'!$B208,'Eredeti fejléccel'!$AP:$AP)</f>
        <v>0</v>
      </c>
      <c r="BD208" s="6">
        <f>SUMIF('Eredeti fejléccel'!$B:$B,'Felosztás eredménykim'!$B208,'Eredeti fejléccel'!$AS:$AS)</f>
        <v>0</v>
      </c>
      <c r="BE208" s="8">
        <f>SUM(AU208:BD208)</f>
        <v>0</v>
      </c>
      <c r="BF208" s="36">
        <f t="shared" ref="BF208:BF240" si="473">$X208/$HD$290*(BG$290+BG$291)</f>
        <v>0</v>
      </c>
      <c r="BG208" s="8">
        <f t="shared" si="402"/>
        <v>0</v>
      </c>
      <c r="BH208" s="6">
        <f>AO208/2</f>
        <v>0</v>
      </c>
      <c r="BI208" s="6">
        <f>SUMIF('Eredeti fejléccel'!$B:$B,'Felosztás eredménykim'!$B208,'Eredeti fejléccel'!$AH:$AH)</f>
        <v>0</v>
      </c>
      <c r="BJ208" s="6">
        <f>SUMIF('Eredeti fejléccel'!$B:$B,'Felosztás eredménykim'!$B208,'Eredeti fejléccel'!$AO:$AO)</f>
        <v>0</v>
      </c>
      <c r="BK208" s="6">
        <f>SUMIF('Eredeti fejléccel'!$B:$B,'Felosztás eredménykim'!$B208,'Eredeti fejléccel'!$BF:$BF)</f>
        <v>0</v>
      </c>
      <c r="BL208" s="8">
        <f>SUM(BG208:BK208)</f>
        <v>0</v>
      </c>
      <c r="BM208" s="36">
        <f t="shared" ref="BM208:BM240" si="474">$X208/$HD$290*(BN$290+BN$291)</f>
        <v>0</v>
      </c>
      <c r="BN208" s="8">
        <f t="shared" si="403"/>
        <v>0</v>
      </c>
      <c r="BP208" s="8">
        <f>-FV208</f>
        <v>0</v>
      </c>
      <c r="BQ208" s="6">
        <f>SUMIF('Eredeti fejléccel'!$B:$B,'Felosztás eredménykim'!$B208,'Eredeti fejléccel'!$N:$N)</f>
        <v>0</v>
      </c>
      <c r="BR208" s="6">
        <f>SUMIF('Eredeti fejléccel'!$B:$B,'Felosztás eredménykim'!$B208,'Eredeti fejléccel'!$S:$S)</f>
        <v>0</v>
      </c>
      <c r="BT208" s="6">
        <f>SUMIF('Eredeti fejléccel'!$B:$B,'Felosztás eredménykim'!$B208,'Eredeti fejléccel'!$AR:$AR)</f>
        <v>0</v>
      </c>
      <c r="BU208" s="6">
        <f>SUMIF('Eredeti fejléccel'!$B:$B,'Felosztás eredménykim'!$B208,'Eredeti fejléccel'!$AU:$AU)</f>
        <v>0</v>
      </c>
      <c r="BV208" s="6">
        <f>SUMIF('Eredeti fejléccel'!$B:$B,'Felosztás eredménykim'!$B208,'Eredeti fejléccel'!$AV:$AV)</f>
        <v>0</v>
      </c>
      <c r="BW208" s="6">
        <f>SUMIF('Eredeti fejléccel'!$B:$B,'Felosztás eredménykim'!$B208,'Eredeti fejléccel'!$AW:$AW)</f>
        <v>0</v>
      </c>
      <c r="BX208" s="6">
        <f>SUMIF('Eredeti fejléccel'!$B:$B,'Felosztás eredménykim'!$B208,'Eredeti fejléccel'!$AX:$AX)</f>
        <v>0</v>
      </c>
      <c r="BY208" s="6">
        <f>SUMIF('Eredeti fejléccel'!$B:$B,'Felosztás eredménykim'!$B208,'Eredeti fejléccel'!$AY:$AY)</f>
        <v>0</v>
      </c>
      <c r="BZ208" s="6">
        <f>SUMIF('Eredeti fejléccel'!$B:$B,'Felosztás eredménykim'!$B208,'Eredeti fejléccel'!$AZ:$AZ)</f>
        <v>0</v>
      </c>
      <c r="CA208" s="6">
        <f>SUMIF('Eredeti fejléccel'!$B:$B,'Felosztás eredménykim'!$B208,'Eredeti fejléccel'!$BA:$BA)</f>
        <v>0</v>
      </c>
      <c r="CB208" s="6">
        <f t="shared" si="253"/>
        <v>0</v>
      </c>
      <c r="CC208" s="36">
        <f t="shared" ref="CC208:CC240" si="475">$X208/$HD$290*(CD$290+CD$291)</f>
        <v>0</v>
      </c>
      <c r="CD208" s="8">
        <f t="shared" si="404"/>
        <v>0</v>
      </c>
      <c r="CE208" s="6">
        <f>SUMIF('Eredeti fejléccel'!$B:$B,'Felosztás eredménykim'!$B208,'Eredeti fejléccel'!$BC:$BC)</f>
        <v>0</v>
      </c>
      <c r="CF208" s="8">
        <f>-CE208/2</f>
        <v>0</v>
      </c>
      <c r="CG208" s="6">
        <f>SUMIF('Eredeti fejléccel'!$B:$B,'Felosztás eredménykim'!$B208,'Eredeti fejléccel'!$H:$H)</f>
        <v>0</v>
      </c>
      <c r="CH208" s="6">
        <f>SUMIF('Eredeti fejléccel'!$B:$B,'Felosztás eredménykim'!$B208,'Eredeti fejléccel'!$BE:$BE)</f>
        <v>0</v>
      </c>
      <c r="CI208" s="6">
        <f>SUM(CD208:CH208)</f>
        <v>0</v>
      </c>
      <c r="CJ208" s="36">
        <f t="shared" ref="CJ208:CJ240" si="476">$X208/$HD$290*(CK$290+CK$291)</f>
        <v>0</v>
      </c>
      <c r="CK208" s="8">
        <f t="shared" si="405"/>
        <v>0</v>
      </c>
      <c r="CL208" s="8">
        <f>CE208/2</f>
        <v>0</v>
      </c>
      <c r="CM208" s="6">
        <f>SUMIF('Eredeti fejléccel'!$B:$B,'Felosztás eredménykim'!$B208,'Eredeti fejléccel'!$BD:$BD)</f>
        <v>0</v>
      </c>
      <c r="CN208" s="8">
        <f>SUM(CK208:CM208)</f>
        <v>0</v>
      </c>
      <c r="CO208" s="8">
        <f t="shared" si="254"/>
        <v>0</v>
      </c>
      <c r="CR208" s="36">
        <f t="shared" si="406"/>
        <v>0</v>
      </c>
      <c r="CS208" s="6">
        <f>SUMIF('Eredeti fejléccel'!$B:$B,'Felosztás eredménykim'!$B208,'Eredeti fejléccel'!$I:$I)</f>
        <v>0</v>
      </c>
      <c r="CT208" s="6">
        <f>SUMIF('Eredeti fejléccel'!$B:$B,'Felosztás eredménykim'!$B208,'Eredeti fejléccel'!$BG:$BG)</f>
        <v>0</v>
      </c>
      <c r="CU208" s="6">
        <f>SUMIF('Eredeti fejléccel'!$B:$B,'Felosztás eredménykim'!$B208,'Eredeti fejléccel'!$BH:$BH)</f>
        <v>0</v>
      </c>
      <c r="CV208" s="6">
        <f>SUMIF('Eredeti fejléccel'!$B:$B,'Felosztás eredménykim'!$B208,'Eredeti fejléccel'!$BI:$BI)</f>
        <v>0</v>
      </c>
      <c r="CW208" s="6">
        <f>SUMIF('Eredeti fejléccel'!$B:$B,'Felosztás eredménykim'!$B208,'Eredeti fejléccel'!$BL:$BL)</f>
        <v>0</v>
      </c>
      <c r="CX208" s="6">
        <f>SUM(CS208:CW208)</f>
        <v>0</v>
      </c>
      <c r="CY208" s="6">
        <f>SUMIF('Eredeti fejléccel'!$B:$B,'Felosztás eredménykim'!$B208,'Eredeti fejléccel'!$BJ:$BJ)</f>
        <v>0</v>
      </c>
      <c r="CZ208" s="6">
        <f>SUMIF('Eredeti fejléccel'!$B:$B,'Felosztás eredménykim'!$B208,'Eredeti fejléccel'!$BK:$BK)</f>
        <v>0</v>
      </c>
      <c r="DA208" s="99">
        <f t="shared" si="415"/>
        <v>0</v>
      </c>
      <c r="DC208" s="36">
        <f t="shared" si="407"/>
        <v>0</v>
      </c>
      <c r="DD208" s="6">
        <f>SUMIF('Eredeti fejléccel'!$B:$B,'Felosztás eredménykim'!$B208,'Eredeti fejléccel'!$J:$J)</f>
        <v>0</v>
      </c>
      <c r="DE208" s="6">
        <f>SUMIF('Eredeti fejléccel'!$B:$B,'Felosztás eredménykim'!$B208,'Eredeti fejléccel'!$BM:$BM)</f>
        <v>0</v>
      </c>
      <c r="DF208" s="6">
        <f>-DI208</f>
        <v>0</v>
      </c>
      <c r="DG208" s="8">
        <f t="shared" si="255"/>
        <v>0</v>
      </c>
      <c r="DH208" s="8">
        <f>SUM(DD208:DG208)</f>
        <v>0</v>
      </c>
      <c r="DJ208" s="6">
        <f>SUMIF('Eredeti fejléccel'!$B:$B,'Felosztás eredménykim'!$B208,'Eredeti fejléccel'!$BN:$BN)</f>
        <v>0</v>
      </c>
      <c r="DK208" s="6">
        <f>SUMIF('Eredeti fejléccel'!$B:$B,'Felosztás eredménykim'!$B208,'Eredeti fejléccel'!$BZ:$BZ)</f>
        <v>0</v>
      </c>
      <c r="DL208" s="8">
        <f>SUM(DI208:DK208)</f>
        <v>0</v>
      </c>
      <c r="DM208" s="6">
        <f>SUMIF('Eredeti fejléccel'!$B:$B,'Felosztás eredménykim'!$B208,'Eredeti fejléccel'!$BR:$BR)</f>
        <v>0</v>
      </c>
      <c r="DN208" s="6">
        <f>SUMIF('Eredeti fejléccel'!$B:$B,'Felosztás eredménykim'!$B208,'Eredeti fejléccel'!$BS:$BS)</f>
        <v>0</v>
      </c>
      <c r="DO208" s="6">
        <f>SUMIF('Eredeti fejléccel'!$B:$B,'Felosztás eredménykim'!$B208,'Eredeti fejléccel'!$BO:$BO)</f>
        <v>0</v>
      </c>
      <c r="DP208" s="6">
        <f>SUMIF('Eredeti fejléccel'!$B:$B,'Felosztás eredménykim'!$B208,'Eredeti fejléccel'!$BP:$BP)</f>
        <v>0</v>
      </c>
      <c r="DQ208" s="6">
        <f>SUMIF('Eredeti fejléccel'!$B:$B,'Felosztás eredménykim'!$B208,'Eredeti fejléccel'!$BQ:$BQ)</f>
        <v>0</v>
      </c>
      <c r="DS208" s="8"/>
      <c r="DU208" s="6">
        <f>SUMIF('Eredeti fejléccel'!$B:$B,'Felosztás eredménykim'!$B208,'Eredeti fejléccel'!$BT:$BT)</f>
        <v>0</v>
      </c>
      <c r="DV208" s="6">
        <f>SUMIF('Eredeti fejléccel'!$B:$B,'Felosztás eredménykim'!$B208,'Eredeti fejléccel'!$BU:$BU)</f>
        <v>0</v>
      </c>
      <c r="DW208" s="6">
        <f>SUMIF('Eredeti fejléccel'!$B:$B,'Felosztás eredménykim'!$B208,'Eredeti fejléccel'!$BV:$BV)</f>
        <v>0</v>
      </c>
      <c r="DX208" s="6">
        <f>SUMIF('Eredeti fejléccel'!$B:$B,'Felosztás eredménykim'!$B208,'Eredeti fejléccel'!$BW:$BW)</f>
        <v>0</v>
      </c>
      <c r="DY208" s="6">
        <f>SUMIF('Eredeti fejléccel'!$B:$B,'Felosztás eredménykim'!$B208,'Eredeti fejléccel'!$BX:$BX)</f>
        <v>0</v>
      </c>
      <c r="EA208" s="6"/>
      <c r="EC208" s="6"/>
      <c r="EE208" s="6">
        <f>SUMIF('Eredeti fejléccel'!$B:$B,'Felosztás eredménykim'!$B208,'Eredeti fejléccel'!$CA:$CA)</f>
        <v>0</v>
      </c>
      <c r="EF208" s="6">
        <f>SUMIF('Eredeti fejléccel'!$B:$B,'Felosztás eredménykim'!$B208,'Eredeti fejléccel'!$CB:$CB)</f>
        <v>0</v>
      </c>
      <c r="EG208" s="6">
        <f>SUMIF('Eredeti fejléccel'!$B:$B,'Felosztás eredménykim'!$B208,'Eredeti fejléccel'!$CC:$CC)</f>
        <v>0</v>
      </c>
      <c r="EH208" s="6">
        <f>SUMIF('Eredeti fejléccel'!$B:$B,'Felosztás eredménykim'!$B208,'Eredeti fejléccel'!$CD:$CD)</f>
        <v>0</v>
      </c>
      <c r="EK208" s="6">
        <f>SUMIF('Eredeti fejléccel'!$B:$B,'Felosztás eredménykim'!$B208,'Eredeti fejléccel'!$CE:$CE)</f>
        <v>0</v>
      </c>
      <c r="EN208" s="6">
        <f>SUMIF('Eredeti fejléccel'!$B:$B,'Felosztás eredménykim'!$B208,'Eredeti fejléccel'!$CF:$CF)</f>
        <v>0</v>
      </c>
      <c r="EP208" s="6">
        <f>SUMIF('Eredeti fejléccel'!$B:$B,'Felosztás eredménykim'!$B208,'Eredeti fejléccel'!$CG:$CG)</f>
        <v>0</v>
      </c>
      <c r="ES208" s="6">
        <f>SUMIF('Eredeti fejléccel'!$B:$B,'Felosztás eredménykim'!$B208,'Eredeti fejléccel'!$CH:$CH)</f>
        <v>0</v>
      </c>
      <c r="ET208" s="6">
        <f>SUMIF('Eredeti fejléccel'!$B:$B,'Felosztás eredménykim'!$B208,'Eredeti fejléccel'!$CI:$CI)</f>
        <v>0</v>
      </c>
      <c r="EW208" s="8">
        <f>SUM(DR208:ED208)</f>
        <v>0</v>
      </c>
      <c r="EX208" s="8">
        <f>SUM(EE208:EV208)</f>
        <v>0</v>
      </c>
      <c r="EY208" s="8">
        <f t="shared" si="416"/>
        <v>0</v>
      </c>
      <c r="EZ208" s="8">
        <f>EY208+DL208+DM208+DN208+DO208+DP208+DQ208</f>
        <v>0</v>
      </c>
      <c r="FA208" s="8">
        <f>EZ208-DL208-DM208</f>
        <v>0</v>
      </c>
      <c r="FC208" s="6">
        <f>SUMIF('Eredeti fejléccel'!$B:$B,'Felosztás eredménykim'!$B208,'Eredeti fejléccel'!$L:$L)</f>
        <v>0</v>
      </c>
      <c r="FD208" s="6">
        <f>SUMIF('Eredeti fejléccel'!$B:$B,'Felosztás eredménykim'!$B208,'Eredeti fejléccel'!$CJ:$CJ)</f>
        <v>0</v>
      </c>
      <c r="FE208" s="6">
        <f>SUMIF('Eredeti fejléccel'!$B:$B,'Felosztás eredménykim'!$B208,'Eredeti fejléccel'!$CL:$CL)</f>
        <v>0</v>
      </c>
      <c r="FG208" s="99">
        <f>SUM(FC208:FF208)</f>
        <v>0</v>
      </c>
      <c r="FH208" s="6">
        <f>SUMIF('Eredeti fejléccel'!$B:$B,'Felosztás eredménykim'!$B208,'Eredeti fejléccel'!$CK:$CK)</f>
        <v>0</v>
      </c>
      <c r="FI208" s="36">
        <f t="shared" ref="FI208:FI240" si="477">$X208/$HD$290*(FJ$290+FJ$293)</f>
        <v>0</v>
      </c>
      <c r="FJ208" s="101">
        <f t="shared" si="408"/>
        <v>0</v>
      </c>
      <c r="FK208" s="6">
        <f>SUMIF('Eredeti fejléccel'!$B:$B,'Felosztás eredménykim'!$B208,'Eredeti fejléccel'!$CM:$CM)</f>
        <v>0</v>
      </c>
      <c r="FL208" s="6">
        <f>SUMIF('Eredeti fejléccel'!$B:$B,'Felosztás eredménykim'!$B208,'Eredeti fejléccel'!$CN:$CN)</f>
        <v>0</v>
      </c>
      <c r="FM208" s="8">
        <f>SUM(FJ208:FL208)</f>
        <v>0</v>
      </c>
      <c r="FN208" s="36">
        <f t="shared" ref="FN208:FN240" si="478">$X208/$HD$290*(FO$290+FO$293)</f>
        <v>0</v>
      </c>
      <c r="FO208" s="101">
        <f t="shared" si="409"/>
        <v>0</v>
      </c>
      <c r="FP208" s="6">
        <f>SUMIF('Eredeti fejléccel'!$B:$B,'Felosztás eredménykim'!$B208,'Eredeti fejléccel'!$CO:$CO)</f>
        <v>0</v>
      </c>
      <c r="FQ208" s="6">
        <f>'Eredeti fejléccel'!CP208</f>
        <v>0</v>
      </c>
      <c r="FR208" s="6">
        <f>'Eredeti fejléccel'!CQ208</f>
        <v>0</v>
      </c>
      <c r="FS208" s="103">
        <f t="shared" si="417"/>
        <v>0</v>
      </c>
      <c r="FT208" s="36">
        <f t="shared" ref="FT208:FT240" si="479">$X208/$HD$290*(FU$290+FU$293)</f>
        <v>0</v>
      </c>
      <c r="FU208" s="101">
        <f t="shared" si="410"/>
        <v>0</v>
      </c>
      <c r="FV208" s="101"/>
      <c r="FW208" s="6">
        <f>SUMIF('Eredeti fejléccel'!$B:$B,'Felosztás eredménykim'!$B208,'Eredeti fejléccel'!$CR:$CR)</f>
        <v>0</v>
      </c>
      <c r="FX208" s="6">
        <f>SUMIF('Eredeti fejléccel'!$B:$B,'Felosztás eredménykim'!$B208,'Eredeti fejléccel'!$CS:$CS)</f>
        <v>0</v>
      </c>
      <c r="FY208" s="6">
        <f>SUMIF('Eredeti fejléccel'!$B:$B,'Felosztás eredménykim'!$B208,'Eredeti fejléccel'!$CT:$CT)</f>
        <v>0</v>
      </c>
      <c r="FZ208" s="6">
        <f>SUMIF('Eredeti fejléccel'!$B:$B,'Felosztás eredménykim'!$B208,'Eredeti fejléccel'!$CU:$CU)</f>
        <v>0</v>
      </c>
      <c r="GA208" s="103">
        <f>SUM(FU208:FZ208)</f>
        <v>0</v>
      </c>
      <c r="GB208" s="36">
        <f t="shared" ref="GB208:GB240" si="480">$X208/$HD$290*(GC$290+GC$293)</f>
        <v>0</v>
      </c>
      <c r="GC208" s="101">
        <f t="shared" si="411"/>
        <v>0</v>
      </c>
      <c r="GD208" s="6">
        <f>SUMIF('Eredeti fejléccel'!$B:$B,'Felosztás eredménykim'!$B208,'Eredeti fejléccel'!$CV:$CV)</f>
        <v>0</v>
      </c>
      <c r="GE208" s="6">
        <f>SUMIF('Eredeti fejléccel'!$B:$B,'Felosztás eredménykim'!$B208,'Eredeti fejléccel'!$CW:$CW)</f>
        <v>0</v>
      </c>
      <c r="GF208" s="103">
        <f>SUM(GC208:GE208)</f>
        <v>0</v>
      </c>
      <c r="GG208" s="36">
        <f t="shared" si="412"/>
        <v>0</v>
      </c>
      <c r="GM208" s="6">
        <f>SUMIF('Eredeti fejléccel'!$B:$B,'Felosztás eredménykim'!$B208,'Eredeti fejléccel'!$CX:$CX)</f>
        <v>0</v>
      </c>
      <c r="GN208" s="6">
        <f>SUMIF('Eredeti fejléccel'!$B:$B,'Felosztás eredménykim'!$B208,'Eredeti fejléccel'!$CY:$CY)</f>
        <v>0</v>
      </c>
      <c r="GO208" s="6">
        <f>SUMIF('Eredeti fejléccel'!$B:$B,'Felosztás eredménykim'!$B208,'Eredeti fejléccel'!$CZ:$CZ)</f>
        <v>0</v>
      </c>
      <c r="GP208" s="6">
        <f>SUMIF('Eredeti fejléccel'!$B:$B,'Felosztás eredménykim'!$B208,'Eredeti fejléccel'!$DA:$DA)</f>
        <v>0</v>
      </c>
      <c r="GQ208" s="6">
        <f>SUMIF('Eredeti fejléccel'!$B:$B,'Felosztás eredménykim'!$B208,'Eredeti fejléccel'!$DB:$DB)</f>
        <v>0</v>
      </c>
      <c r="GR208" s="103">
        <f>SUM(GH208:GQ208)</f>
        <v>0</v>
      </c>
      <c r="GW208" s="36">
        <f t="shared" si="413"/>
        <v>0</v>
      </c>
      <c r="GX208" s="6">
        <f>SUMIF('Eredeti fejléccel'!$B:$B,'Felosztás eredménykim'!$B208,'Eredeti fejléccel'!$M:$M)</f>
        <v>0</v>
      </c>
      <c r="GY208" s="6">
        <f>SUMIF('Eredeti fejléccel'!$B:$B,'Felosztás eredménykim'!$B208,'Eredeti fejléccel'!$DC:$DC)</f>
        <v>0</v>
      </c>
      <c r="GZ208" s="6">
        <f>SUMIF('Eredeti fejléccel'!$B:$B,'Felosztás eredménykim'!$B208,'Eredeti fejléccel'!$DD:$DD)</f>
        <v>0</v>
      </c>
      <c r="HA208" s="6">
        <f>SUMIF('Eredeti fejléccel'!$B:$B,'Felosztás eredménykim'!$B208,'Eredeti fejléccel'!$DE:$DE)</f>
        <v>0</v>
      </c>
      <c r="HB208" s="103">
        <f>SUM(GX208:HA208)</f>
        <v>0</v>
      </c>
      <c r="HD208" s="9">
        <f t="shared" si="429"/>
        <v>0</v>
      </c>
      <c r="HE208" s="9">
        <v>0</v>
      </c>
      <c r="HF208" s="476"/>
      <c r="HH208" s="34">
        <f>+HD208-HE208</f>
        <v>0</v>
      </c>
    </row>
    <row r="209" spans="1:218" x14ac:dyDescent="0.25">
      <c r="A209" s="4" t="s">
        <v>283</v>
      </c>
      <c r="B209" s="4" t="s">
        <v>283</v>
      </c>
      <c r="C209" s="1" t="s">
        <v>284</v>
      </c>
      <c r="D209" s="6">
        <f>SUMIF('Eredeti fejléccel'!$B:$B,'Felosztás eredménykim'!$B209,'Eredeti fejléccel'!$D:$D)</f>
        <v>0</v>
      </c>
      <c r="E209" s="6">
        <f>SUMIF('Eredeti fejléccel'!$B:$B,'Felosztás eredménykim'!$B209,'Eredeti fejléccel'!$E:$E)</f>
        <v>68328</v>
      </c>
      <c r="F209" s="6">
        <f>SUMIF('Eredeti fejléccel'!$B:$B,'Felosztás eredménykim'!$B209,'Eredeti fejléccel'!$F:$F)</f>
        <v>0</v>
      </c>
      <c r="G209" s="6">
        <f>SUMIF('Eredeti fejléccel'!$B:$B,'Felosztás eredménykim'!$B209,'Eredeti fejléccel'!$G:$G)</f>
        <v>0</v>
      </c>
      <c r="H209" s="6"/>
      <c r="I209" s="6">
        <f>SUMIF('Eredeti fejléccel'!$B:$B,'Felosztás eredménykim'!$B209,'Eredeti fejléccel'!$O:$O)</f>
        <v>0</v>
      </c>
      <c r="J209" s="6">
        <f>SUMIF('Eredeti fejléccel'!$B:$B,'Felosztás eredménykim'!$B209,'Eredeti fejléccel'!$P:$P)</f>
        <v>0</v>
      </c>
      <c r="K209" s="6">
        <f>SUMIF('Eredeti fejléccel'!$B:$B,'Felosztás eredménykim'!$B209,'Eredeti fejléccel'!$Q:$Q)</f>
        <v>0</v>
      </c>
      <c r="L209" s="6">
        <f>SUMIF('Eredeti fejléccel'!$B:$B,'Felosztás eredménykim'!$B209,'Eredeti fejléccel'!$R:$R)</f>
        <v>0</v>
      </c>
      <c r="M209" s="6">
        <f>SUMIF('Eredeti fejléccel'!$B:$B,'Felosztás eredménykim'!$B209,'Eredeti fejléccel'!$T:$T)</f>
        <v>0</v>
      </c>
      <c r="N209" s="6">
        <f>SUMIF('Eredeti fejléccel'!$B:$B,'Felosztás eredménykim'!$B209,'Eredeti fejléccel'!$U:$U)</f>
        <v>0</v>
      </c>
      <c r="O209" s="6">
        <f>SUMIF('Eredeti fejléccel'!$B:$B,'Felosztás eredménykim'!$B209,'Eredeti fejléccel'!$V:$V)</f>
        <v>0</v>
      </c>
      <c r="P209" s="6">
        <f>SUMIF('Eredeti fejléccel'!$B:$B,'Felosztás eredménykim'!$B209,'Eredeti fejléccel'!$W:$W)</f>
        <v>0</v>
      </c>
      <c r="Q209" s="6">
        <f>SUMIF('Eredeti fejléccel'!$B:$B,'Felosztás eredménykim'!$B209,'Eredeti fejléccel'!$X:$X)</f>
        <v>0</v>
      </c>
      <c r="R209" s="6">
        <f>SUMIF('Eredeti fejléccel'!$B:$B,'Felosztás eredménykim'!$B209,'Eredeti fejléccel'!$Y:$Y)</f>
        <v>0</v>
      </c>
      <c r="S209" s="6">
        <f>SUMIF('Eredeti fejléccel'!$B:$B,'Felosztás eredménykim'!$B209,'Eredeti fejléccel'!$Z:$Z)</f>
        <v>0</v>
      </c>
      <c r="T209" s="6">
        <f>SUMIF('Eredeti fejléccel'!$B:$B,'Felosztás eredménykim'!$B209,'Eredeti fejléccel'!$AA:$AA)</f>
        <v>0</v>
      </c>
      <c r="U209" s="6">
        <f>SUMIF('Eredeti fejléccel'!$B:$B,'Felosztás eredménykim'!$B209,'Eredeti fejléccel'!$D:$D)</f>
        <v>0</v>
      </c>
      <c r="V209" s="6">
        <f>SUMIF('Eredeti fejléccel'!$B:$B,'Felosztás eredménykim'!$B209,'Eredeti fejléccel'!$AT:$AT)</f>
        <v>0</v>
      </c>
      <c r="X209" s="36">
        <f t="shared" si="414"/>
        <v>68328</v>
      </c>
      <c r="Z209" s="6">
        <f>SUMIF('Eredeti fejléccel'!$B:$B,'Felosztás eredménykim'!$B209,'Eredeti fejléccel'!$K:$K)</f>
        <v>0</v>
      </c>
      <c r="AB209" s="6">
        <f>SUMIF('Eredeti fejléccel'!$B:$B,'Felosztás eredménykim'!$B209,'Eredeti fejléccel'!$AB:$AB)</f>
        <v>0</v>
      </c>
      <c r="AC209" s="6">
        <f>SUMIF('Eredeti fejléccel'!$B:$B,'Felosztás eredménykim'!$B209,'Eredeti fejléccel'!$AQ:$AQ)</f>
        <v>0</v>
      </c>
      <c r="AE209" s="73">
        <f t="shared" si="299"/>
        <v>0</v>
      </c>
      <c r="AF209" s="36">
        <f t="shared" si="470"/>
        <v>8151.1642667428705</v>
      </c>
      <c r="AG209" s="8">
        <f t="shared" si="399"/>
        <v>0</v>
      </c>
      <c r="AI209" s="6">
        <f>SUMIF('Eredeti fejléccel'!$B:$B,'Felosztás eredménykim'!$B209,'Eredeti fejléccel'!$BB:$BB)</f>
        <v>0</v>
      </c>
      <c r="AJ209" s="6">
        <f>SUMIF('Eredeti fejléccel'!$B:$B,'Felosztás eredménykim'!$B209,'Eredeti fejléccel'!$AF:$AF)</f>
        <v>0</v>
      </c>
      <c r="AK209" s="8">
        <f t="shared" si="177"/>
        <v>0</v>
      </c>
      <c r="AL209" s="36">
        <f t="shared" si="471"/>
        <v>3237.6012908016569</v>
      </c>
      <c r="AM209" s="8">
        <f t="shared" si="400"/>
        <v>0</v>
      </c>
      <c r="AN209" s="6">
        <f t="shared" si="291"/>
        <v>0</v>
      </c>
      <c r="AO209" s="6">
        <f>SUMIF('Eredeti fejléccel'!$B:$B,'Felosztás eredménykim'!$B209,'Eredeti fejléccel'!$AC:$AC)</f>
        <v>0</v>
      </c>
      <c r="AP209" s="6">
        <f>SUMIF('Eredeti fejléccel'!$B:$B,'Felosztás eredménykim'!$B209,'Eredeti fejléccel'!$AD:$AD)</f>
        <v>0</v>
      </c>
      <c r="AQ209" s="6">
        <f>SUMIF('Eredeti fejléccel'!$B:$B,'Felosztás eredménykim'!$B209,'Eredeti fejléccel'!$AE:$AE)</f>
        <v>0</v>
      </c>
      <c r="AR209" s="6">
        <f>SUMIF('Eredeti fejléccel'!$B:$B,'Felosztás eredménykim'!$B209,'Eredeti fejléccel'!$AG:$AG)</f>
        <v>0</v>
      </c>
      <c r="AS209" s="6">
        <f t="shared" si="292"/>
        <v>0</v>
      </c>
      <c r="AT209" s="36">
        <f t="shared" si="472"/>
        <v>5258.8156559631425</v>
      </c>
      <c r="AU209" s="8">
        <f t="shared" si="401"/>
        <v>0</v>
      </c>
      <c r="AV209" s="6">
        <f>SUMIF('Eredeti fejléccel'!$B:$B,'Felosztás eredménykim'!$B209,'Eredeti fejléccel'!$AI:$AI)</f>
        <v>0</v>
      </c>
      <c r="AW209" s="6">
        <f>SUMIF('Eredeti fejléccel'!$B:$B,'Felosztás eredménykim'!$B209,'Eredeti fejléccel'!$AJ:$AJ)</f>
        <v>0</v>
      </c>
      <c r="AX209" s="6">
        <f>SUMIF('Eredeti fejléccel'!$B:$B,'Felosztás eredménykim'!$B209,'Eredeti fejléccel'!$AK:$AK)</f>
        <v>0</v>
      </c>
      <c r="AY209" s="6">
        <f>SUMIF('Eredeti fejléccel'!$B:$B,'Felosztás eredménykim'!$B209,'Eredeti fejléccel'!$AL:$AL)</f>
        <v>0</v>
      </c>
      <c r="AZ209" s="6">
        <f>SUMIF('Eredeti fejléccel'!$B:$B,'Felosztás eredménykim'!$B209,'Eredeti fejléccel'!$AM:$AM)</f>
        <v>0</v>
      </c>
      <c r="BA209" s="6">
        <f>SUMIF('Eredeti fejléccel'!$B:$B,'Felosztás eredménykim'!$B209,'Eredeti fejléccel'!$AN:$AN)</f>
        <v>0</v>
      </c>
      <c r="BB209" s="6">
        <f>SUMIF('Eredeti fejléccel'!$B:$B,'Felosztás eredménykim'!$B209,'Eredeti fejléccel'!$AP:$AP)</f>
        <v>0</v>
      </c>
      <c r="BD209" s="6">
        <f>SUMIF('Eredeti fejléccel'!$B:$B,'Felosztás eredménykim'!$B209,'Eredeti fejléccel'!$AS:$AS)</f>
        <v>0</v>
      </c>
      <c r="BE209" s="8">
        <f t="shared" si="238"/>
        <v>0</v>
      </c>
      <c r="BF209" s="36">
        <f t="shared" si="473"/>
        <v>1371.8649537295155</v>
      </c>
      <c r="BG209" s="8">
        <f t="shared" si="402"/>
        <v>0</v>
      </c>
      <c r="BH209" s="6">
        <f t="shared" si="293"/>
        <v>0</v>
      </c>
      <c r="BI209" s="6">
        <f>SUMIF('Eredeti fejléccel'!$B:$B,'Felosztás eredménykim'!$B209,'Eredeti fejléccel'!$AH:$AH)</f>
        <v>0</v>
      </c>
      <c r="BJ209" s="6">
        <f>SUMIF('Eredeti fejléccel'!$B:$B,'Felosztás eredménykim'!$B209,'Eredeti fejléccel'!$AO:$AO)</f>
        <v>0</v>
      </c>
      <c r="BK209" s="6">
        <f>SUMIF('Eredeti fejléccel'!$B:$B,'Felosztás eredménykim'!$B209,'Eredeti fejléccel'!$BF:$BF)</f>
        <v>0</v>
      </c>
      <c r="BL209" s="8">
        <f t="shared" si="294"/>
        <v>0</v>
      </c>
      <c r="BM209" s="36">
        <f t="shared" si="474"/>
        <v>5139.9206933065852</v>
      </c>
      <c r="BN209" s="8">
        <f t="shared" si="403"/>
        <v>0</v>
      </c>
      <c r="BP209" s="8">
        <f t="shared" si="295"/>
        <v>0</v>
      </c>
      <c r="BQ209" s="6">
        <f>SUMIF('Eredeti fejléccel'!$B:$B,'Felosztás eredménykim'!$B209,'Eredeti fejléccel'!$N:$N)</f>
        <v>0</v>
      </c>
      <c r="BR209" s="6">
        <f>SUMIF('Eredeti fejléccel'!$B:$B,'Felosztás eredménykim'!$B209,'Eredeti fejléccel'!$S:$S)</f>
        <v>0</v>
      </c>
      <c r="BT209" s="6">
        <f>SUMIF('Eredeti fejléccel'!$B:$B,'Felosztás eredménykim'!$B209,'Eredeti fejléccel'!$AR:$AR)</f>
        <v>0</v>
      </c>
      <c r="BU209" s="6">
        <f>SUMIF('Eredeti fejléccel'!$B:$B,'Felosztás eredménykim'!$B209,'Eredeti fejléccel'!$AU:$AU)</f>
        <v>0</v>
      </c>
      <c r="BV209" s="6">
        <f>SUMIF('Eredeti fejléccel'!$B:$B,'Felosztás eredménykim'!$B209,'Eredeti fejléccel'!$AV:$AV)</f>
        <v>0</v>
      </c>
      <c r="BW209" s="6">
        <f>SUMIF('Eredeti fejléccel'!$B:$B,'Felosztás eredménykim'!$B209,'Eredeti fejléccel'!$AW:$AW)</f>
        <v>0</v>
      </c>
      <c r="BX209" s="6">
        <f>SUMIF('Eredeti fejléccel'!$B:$B,'Felosztás eredménykim'!$B209,'Eredeti fejléccel'!$AX:$AX)</f>
        <v>0</v>
      </c>
      <c r="BY209" s="6">
        <f>SUMIF('Eredeti fejléccel'!$B:$B,'Felosztás eredménykim'!$B209,'Eredeti fejléccel'!$AY:$AY)</f>
        <v>0</v>
      </c>
      <c r="BZ209" s="6">
        <f>SUMIF('Eredeti fejléccel'!$B:$B,'Felosztás eredménykim'!$B209,'Eredeti fejléccel'!$AZ:$AZ)</f>
        <v>0</v>
      </c>
      <c r="CA209" s="6">
        <f>SUMIF('Eredeti fejléccel'!$B:$B,'Felosztás eredménykim'!$B209,'Eredeti fejléccel'!$BA:$BA)</f>
        <v>0</v>
      </c>
      <c r="CB209" s="6">
        <f t="shared" si="253"/>
        <v>0</v>
      </c>
      <c r="CC209" s="36">
        <f t="shared" si="475"/>
        <v>1399.3022528041058</v>
      </c>
      <c r="CD209" s="8">
        <f t="shared" si="404"/>
        <v>0</v>
      </c>
      <c r="CE209" s="6">
        <f>SUMIF('Eredeti fejléccel'!$B:$B,'Felosztás eredménykim'!$B209,'Eredeti fejléccel'!$BC:$BC)</f>
        <v>0</v>
      </c>
      <c r="CF209" s="8">
        <f t="shared" si="300"/>
        <v>0</v>
      </c>
      <c r="CG209" s="6">
        <f>SUMIF('Eredeti fejléccel'!$B:$B,'Felosztás eredménykim'!$B209,'Eredeti fejléccel'!$H:$H)</f>
        <v>0</v>
      </c>
      <c r="CH209" s="6">
        <f>SUMIF('Eredeti fejléccel'!$B:$B,'Felosztás eredménykim'!$B209,'Eredeti fejléccel'!$BE:$BE)</f>
        <v>0</v>
      </c>
      <c r="CI209" s="6">
        <f t="shared" si="239"/>
        <v>0</v>
      </c>
      <c r="CJ209" s="36">
        <f t="shared" si="476"/>
        <v>1006.0342994016448</v>
      </c>
      <c r="CK209" s="8">
        <f t="shared" si="405"/>
        <v>0</v>
      </c>
      <c r="CL209" s="8">
        <f t="shared" si="301"/>
        <v>0</v>
      </c>
      <c r="CM209" s="6">
        <f>SUMIF('Eredeti fejléccel'!$B:$B,'Felosztás eredménykim'!$B209,'Eredeti fejléccel'!$BD:$BD)</f>
        <v>0</v>
      </c>
      <c r="CN209" s="8">
        <f t="shared" si="240"/>
        <v>0</v>
      </c>
      <c r="CO209" s="8">
        <f t="shared" si="254"/>
        <v>25564.703412749524</v>
      </c>
      <c r="CR209" s="36">
        <f t="shared" si="406"/>
        <v>6043.0462330972323</v>
      </c>
      <c r="CS209" s="6">
        <f>SUMIF('Eredeti fejléccel'!$B:$B,'Felosztás eredménykim'!$B209,'Eredeti fejléccel'!$I:$I)</f>
        <v>0</v>
      </c>
      <c r="CT209" s="6">
        <f>SUMIF('Eredeti fejléccel'!$B:$B,'Felosztás eredménykim'!$B209,'Eredeti fejléccel'!$BG:$BG)</f>
        <v>0</v>
      </c>
      <c r="CU209" s="6">
        <f>SUMIF('Eredeti fejléccel'!$B:$B,'Felosztás eredménykim'!$B209,'Eredeti fejléccel'!$BH:$BH)</f>
        <v>0</v>
      </c>
      <c r="CV209" s="6">
        <f>SUMIF('Eredeti fejléccel'!$B:$B,'Felosztás eredménykim'!$B209,'Eredeti fejléccel'!$BI:$BI)</f>
        <v>0</v>
      </c>
      <c r="CW209" s="6">
        <f>SUMIF('Eredeti fejléccel'!$B:$B,'Felosztás eredménykim'!$B209,'Eredeti fejléccel'!$BL:$BL)</f>
        <v>0</v>
      </c>
      <c r="CX209" s="6">
        <f t="shared" si="241"/>
        <v>0</v>
      </c>
      <c r="CY209" s="6">
        <f>SUMIF('Eredeti fejléccel'!$B:$B,'Felosztás eredménykim'!$B209,'Eredeti fejléccel'!$BJ:$BJ)</f>
        <v>0</v>
      </c>
      <c r="CZ209" s="6">
        <f>SUMIF('Eredeti fejléccel'!$B:$B,'Felosztás eredménykim'!$B209,'Eredeti fejléccel'!$BK:$BK)</f>
        <v>0</v>
      </c>
      <c r="DA209" s="99">
        <f t="shared" si="415"/>
        <v>0</v>
      </c>
      <c r="DC209" s="36">
        <f t="shared" si="407"/>
        <v>5292.8901481004523</v>
      </c>
      <c r="DD209" s="6">
        <f>SUMIF('Eredeti fejléccel'!$B:$B,'Felosztás eredménykim'!$B209,'Eredeti fejléccel'!$J:$J)</f>
        <v>0</v>
      </c>
      <c r="DE209" s="6">
        <f>SUMIF('Eredeti fejléccel'!$B:$B,'Felosztás eredménykim'!$B209,'Eredeti fejléccel'!$BM:$BM)</f>
        <v>0</v>
      </c>
      <c r="DF209" s="6">
        <f t="shared" si="296"/>
        <v>0</v>
      </c>
      <c r="DG209" s="8">
        <f t="shared" si="255"/>
        <v>0</v>
      </c>
      <c r="DH209" s="8">
        <f t="shared" si="297"/>
        <v>0</v>
      </c>
      <c r="DJ209" s="6">
        <f>SUMIF('Eredeti fejléccel'!$B:$B,'Felosztás eredménykim'!$B209,'Eredeti fejléccel'!$BN:$BN)</f>
        <v>0</v>
      </c>
      <c r="DK209" s="6">
        <f>SUMIF('Eredeti fejléccel'!$B:$B,'Felosztás eredménykim'!$B209,'Eredeti fejléccel'!$BZ:$BZ)</f>
        <v>0</v>
      </c>
      <c r="DL209" s="8">
        <f t="shared" si="298"/>
        <v>0</v>
      </c>
      <c r="DM209" s="6">
        <f>SUMIF('Eredeti fejléccel'!$B:$B,'Felosztás eredménykim'!$B209,'Eredeti fejléccel'!$BR:$BR)</f>
        <v>0</v>
      </c>
      <c r="DN209" s="6">
        <f>SUMIF('Eredeti fejléccel'!$B:$B,'Felosztás eredménykim'!$B209,'Eredeti fejléccel'!$BS:$BS)</f>
        <v>0</v>
      </c>
      <c r="DO209" s="6">
        <f>SUMIF('Eredeti fejléccel'!$B:$B,'Felosztás eredménykim'!$B209,'Eredeti fejléccel'!$BO:$BO)</f>
        <v>0</v>
      </c>
      <c r="DP209" s="6">
        <f>SUMIF('Eredeti fejléccel'!$B:$B,'Felosztás eredménykim'!$B209,'Eredeti fejléccel'!$BP:$BP)</f>
        <v>0</v>
      </c>
      <c r="DQ209" s="6">
        <f>SUMIF('Eredeti fejléccel'!$B:$B,'Felosztás eredménykim'!$B209,'Eredeti fejléccel'!$BQ:$BQ)</f>
        <v>0</v>
      </c>
      <c r="DS209" s="8"/>
      <c r="DU209" s="6">
        <f>SUMIF('Eredeti fejléccel'!$B:$B,'Felosztás eredménykim'!$B209,'Eredeti fejléccel'!$BT:$BT)</f>
        <v>0</v>
      </c>
      <c r="DV209" s="6">
        <f>SUMIF('Eredeti fejléccel'!$B:$B,'Felosztás eredménykim'!$B209,'Eredeti fejléccel'!$BU:$BU)</f>
        <v>0</v>
      </c>
      <c r="DW209" s="6">
        <f>SUMIF('Eredeti fejléccel'!$B:$B,'Felosztás eredménykim'!$B209,'Eredeti fejléccel'!$BV:$BV)</f>
        <v>0</v>
      </c>
      <c r="DX209" s="6">
        <f>SUMIF('Eredeti fejléccel'!$B:$B,'Felosztás eredménykim'!$B209,'Eredeti fejléccel'!$BW:$BW)</f>
        <v>0</v>
      </c>
      <c r="DY209" s="6">
        <f>SUMIF('Eredeti fejléccel'!$B:$B,'Felosztás eredménykim'!$B209,'Eredeti fejléccel'!$BX:$BX)</f>
        <v>0</v>
      </c>
      <c r="EA209" s="6"/>
      <c r="EC209" s="6"/>
      <c r="EE209" s="6">
        <f>SUMIF('Eredeti fejléccel'!$B:$B,'Felosztás eredménykim'!$B209,'Eredeti fejléccel'!$CA:$CA)</f>
        <v>0</v>
      </c>
      <c r="EF209" s="6">
        <f>SUMIF('Eredeti fejléccel'!$B:$B,'Felosztás eredménykim'!$B209,'Eredeti fejléccel'!$CB:$CB)</f>
        <v>0</v>
      </c>
      <c r="EG209" s="6">
        <f>SUMIF('Eredeti fejléccel'!$B:$B,'Felosztás eredménykim'!$B209,'Eredeti fejléccel'!$CC:$CC)</f>
        <v>0</v>
      </c>
      <c r="EH209" s="6">
        <f>SUMIF('Eredeti fejléccel'!$B:$B,'Felosztás eredménykim'!$B209,'Eredeti fejléccel'!$CD:$CD)</f>
        <v>0</v>
      </c>
      <c r="EK209" s="6">
        <f>SUMIF('Eredeti fejléccel'!$B:$B,'Felosztás eredménykim'!$B209,'Eredeti fejléccel'!$CE:$CE)</f>
        <v>0</v>
      </c>
      <c r="EN209" s="6">
        <f>SUMIF('Eredeti fejléccel'!$B:$B,'Felosztás eredménykim'!$B209,'Eredeti fejléccel'!$CF:$CF)</f>
        <v>0</v>
      </c>
      <c r="EP209" s="6">
        <f>SUMIF('Eredeti fejléccel'!$B:$B,'Felosztás eredménykim'!$B209,'Eredeti fejléccel'!$CG:$CG)</f>
        <v>0</v>
      </c>
      <c r="ES209" s="6">
        <f>SUMIF('Eredeti fejléccel'!$B:$B,'Felosztás eredménykim'!$B209,'Eredeti fejléccel'!$CH:$CH)</f>
        <v>0</v>
      </c>
      <c r="ET209" s="6">
        <f>SUMIF('Eredeti fejléccel'!$B:$B,'Felosztás eredménykim'!$B209,'Eredeti fejléccel'!$CI:$CI)</f>
        <v>0</v>
      </c>
      <c r="EW209" s="8">
        <f t="shared" si="288"/>
        <v>0</v>
      </c>
      <c r="EX209" s="8">
        <f t="shared" si="243"/>
        <v>0</v>
      </c>
      <c r="EY209" s="8">
        <f t="shared" si="416"/>
        <v>0</v>
      </c>
      <c r="EZ209" s="8">
        <f t="shared" si="289"/>
        <v>0</v>
      </c>
      <c r="FA209" s="8">
        <f t="shared" si="290"/>
        <v>0</v>
      </c>
      <c r="FC209" s="6">
        <f>SUMIF('Eredeti fejléccel'!$B:$B,'Felosztás eredménykim'!$B209,'Eredeti fejléccel'!$L:$L)</f>
        <v>0</v>
      </c>
      <c r="FD209" s="6">
        <f>SUMIF('Eredeti fejléccel'!$B:$B,'Felosztás eredménykim'!$B209,'Eredeti fejléccel'!$CJ:$CJ)</f>
        <v>0</v>
      </c>
      <c r="FE209" s="6">
        <f>SUMIF('Eredeti fejléccel'!$B:$B,'Felosztás eredménykim'!$B209,'Eredeti fejléccel'!$CL:$CL)</f>
        <v>0</v>
      </c>
      <c r="FG209" s="99">
        <f t="shared" si="245"/>
        <v>0</v>
      </c>
      <c r="FH209" s="6">
        <f>SUMIF('Eredeti fejléccel'!$B:$B,'Felosztás eredménykim'!$B209,'Eredeti fejléccel'!$CK:$CK)</f>
        <v>0</v>
      </c>
      <c r="FI209" s="36">
        <f t="shared" si="477"/>
        <v>6227.4206942517712</v>
      </c>
      <c r="FJ209" s="101">
        <f t="shared" si="408"/>
        <v>0</v>
      </c>
      <c r="FK209" s="6">
        <f>SUMIF('Eredeti fejléccel'!$B:$B,'Felosztás eredménykim'!$B209,'Eredeti fejléccel'!$CM:$CM)</f>
        <v>0</v>
      </c>
      <c r="FL209" s="6">
        <f>SUMIF('Eredeti fejléccel'!$B:$B,'Felosztás eredménykim'!$B209,'Eredeti fejléccel'!$CN:$CN)</f>
        <v>0</v>
      </c>
      <c r="FM209" s="8">
        <f t="shared" si="246"/>
        <v>0</v>
      </c>
      <c r="FN209" s="36">
        <f t="shared" si="478"/>
        <v>5294.3292231116047</v>
      </c>
      <c r="FO209" s="101">
        <f t="shared" si="409"/>
        <v>0</v>
      </c>
      <c r="FP209" s="6">
        <f>SUMIF('Eredeti fejléccel'!$B:$B,'Felosztás eredménykim'!$B209,'Eredeti fejléccel'!$CO:$CO)</f>
        <v>0</v>
      </c>
      <c r="FQ209" s="6">
        <f>'Eredeti fejléccel'!CP209</f>
        <v>0</v>
      </c>
      <c r="FR209" s="6">
        <f>'Eredeti fejléccel'!CQ209</f>
        <v>0</v>
      </c>
      <c r="FS209" s="103">
        <f t="shared" si="417"/>
        <v>0</v>
      </c>
      <c r="FT209" s="36">
        <f t="shared" si="479"/>
        <v>14613.892456762178</v>
      </c>
      <c r="FU209" s="101">
        <f t="shared" si="410"/>
        <v>0</v>
      </c>
      <c r="FV209" s="101"/>
      <c r="FW209" s="6">
        <f>SUMIF('Eredeti fejléccel'!$B:$B,'Felosztás eredménykim'!$B209,'Eredeti fejléccel'!$CR:$CR)</f>
        <v>0</v>
      </c>
      <c r="FX209" s="6">
        <f>SUMIF('Eredeti fejléccel'!$B:$B,'Felosztás eredménykim'!$B209,'Eredeti fejléccel'!$CS:$CS)</f>
        <v>0</v>
      </c>
      <c r="FY209" s="6">
        <f>SUMIF('Eredeti fejléccel'!$B:$B,'Felosztás eredménykim'!$B209,'Eredeti fejléccel'!$CT:$CT)</f>
        <v>0</v>
      </c>
      <c r="FZ209" s="6">
        <f>SUMIF('Eredeti fejléccel'!$B:$B,'Felosztás eredménykim'!$B209,'Eredeti fejléccel'!$CU:$CU)</f>
        <v>0</v>
      </c>
      <c r="GA209" s="103">
        <f t="shared" si="248"/>
        <v>0</v>
      </c>
      <c r="GB209" s="36">
        <f t="shared" si="480"/>
        <v>1947.9135820882318</v>
      </c>
      <c r="GC209" s="101">
        <f t="shared" si="411"/>
        <v>0</v>
      </c>
      <c r="GD209" s="6">
        <f>SUMIF('Eredeti fejléccel'!$B:$B,'Felosztás eredménykim'!$B209,'Eredeti fejléccel'!$CV:$CV)</f>
        <v>0</v>
      </c>
      <c r="GE209" s="6">
        <f>SUMIF('Eredeti fejléccel'!$B:$B,'Felosztás eredménykim'!$B209,'Eredeti fejléccel'!$CW:$CW)</f>
        <v>0</v>
      </c>
      <c r="GF209" s="103">
        <f t="shared" si="249"/>
        <v>0</v>
      </c>
      <c r="GG209" s="36">
        <f t="shared" si="412"/>
        <v>0</v>
      </c>
      <c r="GM209" s="6">
        <f>SUMIF('Eredeti fejléccel'!$B:$B,'Felosztás eredménykim'!$B209,'Eredeti fejléccel'!$CX:$CX)</f>
        <v>0</v>
      </c>
      <c r="GN209" s="6">
        <f>SUMIF('Eredeti fejléccel'!$B:$B,'Felosztás eredménykim'!$B209,'Eredeti fejléccel'!$CY:$CY)</f>
        <v>0</v>
      </c>
      <c r="GO209" s="6">
        <f>SUMIF('Eredeti fejléccel'!$B:$B,'Felosztás eredménykim'!$B209,'Eredeti fejléccel'!$CZ:$CZ)</f>
        <v>0</v>
      </c>
      <c r="GP209" s="6">
        <f>SUMIF('Eredeti fejléccel'!$B:$B,'Felosztás eredménykim'!$B209,'Eredeti fejléccel'!$DA:$DA)</f>
        <v>0</v>
      </c>
      <c r="GQ209" s="6">
        <f>SUMIF('Eredeti fejléccel'!$B:$B,'Felosztás eredménykim'!$B209,'Eredeti fejléccel'!$DB:$DB)</f>
        <v>0</v>
      </c>
      <c r="GR209" s="103">
        <f t="shared" si="250"/>
        <v>0</v>
      </c>
      <c r="GW209" s="36">
        <f t="shared" si="413"/>
        <v>3343.8042498390214</v>
      </c>
      <c r="GX209" s="6">
        <f>SUMIF('Eredeti fejléccel'!$B:$B,'Felosztás eredménykim'!$B209,'Eredeti fejléccel'!$M:$M)</f>
        <v>0</v>
      </c>
      <c r="GY209" s="6">
        <f>SUMIF('Eredeti fejléccel'!$B:$B,'Felosztás eredménykim'!$B209,'Eredeti fejléccel'!$DC:$DC)</f>
        <v>0</v>
      </c>
      <c r="GZ209" s="6">
        <f>SUMIF('Eredeti fejléccel'!$B:$B,'Felosztás eredménykim'!$B209,'Eredeti fejléccel'!$DD:$DD)</f>
        <v>0</v>
      </c>
      <c r="HA209" s="6">
        <f>SUMIF('Eredeti fejléccel'!$B:$B,'Felosztás eredménykim'!$B209,'Eredeti fejléccel'!$DE:$DE)</f>
        <v>0</v>
      </c>
      <c r="HB209" s="103">
        <f t="shared" si="251"/>
        <v>0</v>
      </c>
      <c r="HD209" s="9">
        <f t="shared" si="429"/>
        <v>68327.999999999927</v>
      </c>
      <c r="HE209" s="9">
        <v>68328</v>
      </c>
      <c r="HF209" s="476"/>
      <c r="HH209" s="34">
        <f t="shared" si="252"/>
        <v>0</v>
      </c>
    </row>
    <row r="210" spans="1:218" x14ac:dyDescent="0.25">
      <c r="A210" s="4" t="s">
        <v>285</v>
      </c>
      <c r="B210" s="4" t="s">
        <v>285</v>
      </c>
      <c r="C210" s="1" t="s">
        <v>286</v>
      </c>
      <c r="D210" s="6">
        <f>SUMIF('Eredeti fejléccel'!$B:$B,'Felosztás eredménykim'!$B210,'Eredeti fejléccel'!$D:$D)</f>
        <v>0</v>
      </c>
      <c r="E210" s="6">
        <f>SUMIF('Eredeti fejléccel'!$B:$B,'Felosztás eredménykim'!$B210,'Eredeti fejléccel'!$E:$E)</f>
        <v>17046</v>
      </c>
      <c r="F210" s="6">
        <f>SUMIF('Eredeti fejléccel'!$B:$B,'Felosztás eredménykim'!$B210,'Eredeti fejléccel'!$F:$F)</f>
        <v>0</v>
      </c>
      <c r="G210" s="6">
        <f>SUMIF('Eredeti fejléccel'!$B:$B,'Felosztás eredménykim'!$B210,'Eredeti fejléccel'!$G:$G)</f>
        <v>0</v>
      </c>
      <c r="H210" s="6"/>
      <c r="I210" s="6">
        <f>SUMIF('Eredeti fejléccel'!$B:$B,'Felosztás eredménykim'!$B210,'Eredeti fejléccel'!$O:$O)</f>
        <v>0</v>
      </c>
      <c r="J210" s="6">
        <f>SUMIF('Eredeti fejléccel'!$B:$B,'Felosztás eredménykim'!$B210,'Eredeti fejléccel'!$P:$P)</f>
        <v>0</v>
      </c>
      <c r="K210" s="6">
        <f>SUMIF('Eredeti fejléccel'!$B:$B,'Felosztás eredménykim'!$B210,'Eredeti fejléccel'!$Q:$Q)</f>
        <v>0</v>
      </c>
      <c r="L210" s="6">
        <f>SUMIF('Eredeti fejléccel'!$B:$B,'Felosztás eredménykim'!$B210,'Eredeti fejléccel'!$R:$R)</f>
        <v>0</v>
      </c>
      <c r="M210" s="6">
        <f>SUMIF('Eredeti fejléccel'!$B:$B,'Felosztás eredménykim'!$B210,'Eredeti fejléccel'!$T:$T)</f>
        <v>0</v>
      </c>
      <c r="N210" s="6">
        <f>SUMIF('Eredeti fejléccel'!$B:$B,'Felosztás eredménykim'!$B210,'Eredeti fejléccel'!$U:$U)</f>
        <v>0</v>
      </c>
      <c r="O210" s="6">
        <f>SUMIF('Eredeti fejléccel'!$B:$B,'Felosztás eredménykim'!$B210,'Eredeti fejléccel'!$V:$V)</f>
        <v>0</v>
      </c>
      <c r="P210" s="6">
        <f>SUMIF('Eredeti fejléccel'!$B:$B,'Felosztás eredménykim'!$B210,'Eredeti fejléccel'!$W:$W)</f>
        <v>0</v>
      </c>
      <c r="Q210" s="6">
        <f>SUMIF('Eredeti fejléccel'!$B:$B,'Felosztás eredménykim'!$B210,'Eredeti fejléccel'!$X:$X)</f>
        <v>0</v>
      </c>
      <c r="R210" s="6">
        <f>SUMIF('Eredeti fejléccel'!$B:$B,'Felosztás eredménykim'!$B210,'Eredeti fejléccel'!$Y:$Y)</f>
        <v>0</v>
      </c>
      <c r="S210" s="6">
        <f>SUMIF('Eredeti fejléccel'!$B:$B,'Felosztás eredménykim'!$B210,'Eredeti fejléccel'!$Z:$Z)</f>
        <v>0</v>
      </c>
      <c r="T210" s="6">
        <f>SUMIF('Eredeti fejléccel'!$B:$B,'Felosztás eredménykim'!$B210,'Eredeti fejléccel'!$AA:$AA)</f>
        <v>0</v>
      </c>
      <c r="U210" s="6">
        <f>SUMIF('Eredeti fejléccel'!$B:$B,'Felosztás eredménykim'!$B210,'Eredeti fejléccel'!$D:$D)</f>
        <v>0</v>
      </c>
      <c r="V210" s="6">
        <f>SUMIF('Eredeti fejléccel'!$B:$B,'Felosztás eredménykim'!$B210,'Eredeti fejléccel'!$AT:$AT)</f>
        <v>0</v>
      </c>
      <c r="W210" s="555">
        <v>-17046</v>
      </c>
      <c r="X210" s="36">
        <f t="shared" si="414"/>
        <v>0</v>
      </c>
      <c r="Z210" s="6">
        <f>SUMIF('Eredeti fejléccel'!$B:$B,'Felosztás eredménykim'!$B210,'Eredeti fejléccel'!$K:$K)</f>
        <v>0</v>
      </c>
      <c r="AB210" s="6">
        <f>SUMIF('Eredeti fejléccel'!$B:$B,'Felosztás eredménykim'!$B210,'Eredeti fejléccel'!$AB:$AB)</f>
        <v>0</v>
      </c>
      <c r="AC210" s="6">
        <f>SUMIF('Eredeti fejléccel'!$B:$B,'Felosztás eredménykim'!$B210,'Eredeti fejléccel'!$AQ:$AQ)</f>
        <v>0</v>
      </c>
      <c r="AE210" s="73">
        <f t="shared" si="299"/>
        <v>0</v>
      </c>
      <c r="AF210" s="36">
        <f t="shared" si="470"/>
        <v>0</v>
      </c>
      <c r="AG210" s="8">
        <f t="shared" si="399"/>
        <v>0</v>
      </c>
      <c r="AI210" s="6">
        <f>SUMIF('Eredeti fejléccel'!$B:$B,'Felosztás eredménykim'!$B210,'Eredeti fejléccel'!$BB:$BB)</f>
        <v>0</v>
      </c>
      <c r="AJ210" s="6">
        <f>SUMIF('Eredeti fejléccel'!$B:$B,'Felosztás eredménykim'!$B210,'Eredeti fejléccel'!$AF:$AF)</f>
        <v>0</v>
      </c>
      <c r="AK210" s="8">
        <f t="shared" si="177"/>
        <v>0</v>
      </c>
      <c r="AL210" s="36">
        <f t="shared" si="471"/>
        <v>0</v>
      </c>
      <c r="AM210" s="8">
        <f t="shared" si="400"/>
        <v>0</v>
      </c>
      <c r="AN210" s="6">
        <f t="shared" si="291"/>
        <v>0</v>
      </c>
      <c r="AO210" s="6">
        <f>SUMIF('Eredeti fejléccel'!$B:$B,'Felosztás eredménykim'!$B210,'Eredeti fejléccel'!$AC:$AC)</f>
        <v>0</v>
      </c>
      <c r="AP210" s="6">
        <f>SUMIF('Eredeti fejléccel'!$B:$B,'Felosztás eredménykim'!$B210,'Eredeti fejléccel'!$AD:$AD)</f>
        <v>0</v>
      </c>
      <c r="AQ210" s="6">
        <f>SUMIF('Eredeti fejléccel'!$B:$B,'Felosztás eredménykim'!$B210,'Eredeti fejléccel'!$AE:$AE)</f>
        <v>0</v>
      </c>
      <c r="AR210" s="6">
        <f>SUMIF('Eredeti fejléccel'!$B:$B,'Felosztás eredménykim'!$B210,'Eredeti fejléccel'!$AG:$AG)</f>
        <v>0</v>
      </c>
      <c r="AS210" s="6">
        <f t="shared" si="292"/>
        <v>0</v>
      </c>
      <c r="AT210" s="36">
        <f t="shared" si="472"/>
        <v>0</v>
      </c>
      <c r="AU210" s="8">
        <f t="shared" si="401"/>
        <v>0</v>
      </c>
      <c r="AV210" s="6">
        <f>SUMIF('Eredeti fejléccel'!$B:$B,'Felosztás eredménykim'!$B210,'Eredeti fejléccel'!$AI:$AI)</f>
        <v>0</v>
      </c>
      <c r="AW210" s="6">
        <f>SUMIF('Eredeti fejléccel'!$B:$B,'Felosztás eredménykim'!$B210,'Eredeti fejléccel'!$AJ:$AJ)</f>
        <v>0</v>
      </c>
      <c r="AX210" s="6">
        <f>SUMIF('Eredeti fejléccel'!$B:$B,'Felosztás eredménykim'!$B210,'Eredeti fejléccel'!$AK:$AK)</f>
        <v>17793</v>
      </c>
      <c r="AY210" s="6">
        <f>SUMIF('Eredeti fejléccel'!$B:$B,'Felosztás eredménykim'!$B210,'Eredeti fejléccel'!$AL:$AL)</f>
        <v>0</v>
      </c>
      <c r="AZ210" s="6">
        <f>SUMIF('Eredeti fejléccel'!$B:$B,'Felosztás eredménykim'!$B210,'Eredeti fejléccel'!$AM:$AM)</f>
        <v>0</v>
      </c>
      <c r="BA210" s="6">
        <f>SUMIF('Eredeti fejléccel'!$B:$B,'Felosztás eredménykim'!$B210,'Eredeti fejléccel'!$AN:$AN)</f>
        <v>0</v>
      </c>
      <c r="BB210" s="6">
        <f>SUMIF('Eredeti fejléccel'!$B:$B,'Felosztás eredménykim'!$B210,'Eredeti fejléccel'!$AP:$AP)</f>
        <v>0</v>
      </c>
      <c r="BD210" s="6">
        <f>SUMIF('Eredeti fejléccel'!$B:$B,'Felosztás eredménykim'!$B210,'Eredeti fejléccel'!$AS:$AS)</f>
        <v>0</v>
      </c>
      <c r="BE210" s="8">
        <f t="shared" si="238"/>
        <v>17793</v>
      </c>
      <c r="BF210" s="36">
        <f t="shared" si="473"/>
        <v>0</v>
      </c>
      <c r="BG210" s="8">
        <f t="shared" si="402"/>
        <v>0</v>
      </c>
      <c r="BH210" s="6">
        <f t="shared" si="293"/>
        <v>0</v>
      </c>
      <c r="BI210" s="6">
        <f>SUMIF('Eredeti fejléccel'!$B:$B,'Felosztás eredménykim'!$B210,'Eredeti fejléccel'!$AH:$AH)</f>
        <v>0</v>
      </c>
      <c r="BJ210" s="6">
        <f>SUMIF('Eredeti fejléccel'!$B:$B,'Felosztás eredménykim'!$B210,'Eredeti fejléccel'!$AO:$AO)</f>
        <v>0</v>
      </c>
      <c r="BK210" s="6">
        <f>SUMIF('Eredeti fejléccel'!$B:$B,'Felosztás eredménykim'!$B210,'Eredeti fejléccel'!$BF:$BF)</f>
        <v>0</v>
      </c>
      <c r="BL210" s="8">
        <f t="shared" si="294"/>
        <v>0</v>
      </c>
      <c r="BM210" s="36">
        <f t="shared" si="474"/>
        <v>0</v>
      </c>
      <c r="BN210" s="8">
        <f t="shared" si="403"/>
        <v>0</v>
      </c>
      <c r="BP210" s="8">
        <f t="shared" si="295"/>
        <v>0</v>
      </c>
      <c r="BQ210" s="6">
        <f>SUMIF('Eredeti fejléccel'!$B:$B,'Felosztás eredménykim'!$B210,'Eredeti fejléccel'!$N:$N)</f>
        <v>0</v>
      </c>
      <c r="BR210" s="6">
        <f>SUMIF('Eredeti fejléccel'!$B:$B,'Felosztás eredménykim'!$B210,'Eredeti fejléccel'!$S:$S)</f>
        <v>0</v>
      </c>
      <c r="BT210" s="6">
        <f>SUMIF('Eredeti fejléccel'!$B:$B,'Felosztás eredménykim'!$B210,'Eredeti fejléccel'!$AR:$AR)</f>
        <v>0</v>
      </c>
      <c r="BU210" s="6">
        <f>SUMIF('Eredeti fejléccel'!$B:$B,'Felosztás eredménykim'!$B210,'Eredeti fejléccel'!$AU:$AU)</f>
        <v>0</v>
      </c>
      <c r="BV210" s="6">
        <f>SUMIF('Eredeti fejléccel'!$B:$B,'Felosztás eredménykim'!$B210,'Eredeti fejléccel'!$AV:$AV)</f>
        <v>0</v>
      </c>
      <c r="BW210" s="6">
        <f>SUMIF('Eredeti fejléccel'!$B:$B,'Felosztás eredménykim'!$B210,'Eredeti fejléccel'!$AW:$AW)</f>
        <v>0</v>
      </c>
      <c r="BX210" s="6">
        <f>SUMIF('Eredeti fejléccel'!$B:$B,'Felosztás eredménykim'!$B210,'Eredeti fejléccel'!$AX:$AX)</f>
        <v>0</v>
      </c>
      <c r="BY210" s="6">
        <f>SUMIF('Eredeti fejléccel'!$B:$B,'Felosztás eredménykim'!$B210,'Eredeti fejléccel'!$AY:$AY)</f>
        <v>0</v>
      </c>
      <c r="BZ210" s="6">
        <f>SUMIF('Eredeti fejléccel'!$B:$B,'Felosztás eredménykim'!$B210,'Eredeti fejléccel'!$AZ:$AZ)</f>
        <v>0</v>
      </c>
      <c r="CA210" s="6">
        <f>SUMIF('Eredeti fejléccel'!$B:$B,'Felosztás eredménykim'!$B210,'Eredeti fejléccel'!$BA:$BA)</f>
        <v>0</v>
      </c>
      <c r="CB210" s="6">
        <f t="shared" ref="CB210:CB279" si="481">SUM(BN210:CA210)</f>
        <v>0</v>
      </c>
      <c r="CC210" s="36">
        <f t="shared" si="475"/>
        <v>0</v>
      </c>
      <c r="CD210" s="8">
        <f t="shared" si="404"/>
        <v>0</v>
      </c>
      <c r="CE210" s="6">
        <f>SUMIF('Eredeti fejléccel'!$B:$B,'Felosztás eredménykim'!$B210,'Eredeti fejléccel'!$BC:$BC)</f>
        <v>0</v>
      </c>
      <c r="CF210" s="8">
        <f t="shared" si="300"/>
        <v>0</v>
      </c>
      <c r="CG210" s="6">
        <f>SUMIF('Eredeti fejléccel'!$B:$B,'Felosztás eredménykim'!$B210,'Eredeti fejléccel'!$H:$H)</f>
        <v>0</v>
      </c>
      <c r="CH210" s="6">
        <f>SUMIF('Eredeti fejléccel'!$B:$B,'Felosztás eredménykim'!$B210,'Eredeti fejléccel'!$BE:$BE)</f>
        <v>0</v>
      </c>
      <c r="CI210" s="6">
        <f t="shared" si="239"/>
        <v>0</v>
      </c>
      <c r="CJ210" s="36">
        <f t="shared" si="476"/>
        <v>0</v>
      </c>
      <c r="CK210" s="8">
        <f t="shared" si="405"/>
        <v>0</v>
      </c>
      <c r="CL210" s="8">
        <f t="shared" si="301"/>
        <v>0</v>
      </c>
      <c r="CM210" s="6">
        <f>SUMIF('Eredeti fejléccel'!$B:$B,'Felosztás eredménykim'!$B210,'Eredeti fejléccel'!$BD:$BD)</f>
        <v>0</v>
      </c>
      <c r="CN210" s="8">
        <f t="shared" si="240"/>
        <v>0</v>
      </c>
      <c r="CO210" s="8">
        <f t="shared" ref="CO210:CO279" si="482">+AF210+AK210+AL210+AS210+AT210+BE210+BF210+BL210+BM210+CB210+CC210+CI210+CJ210+CN210</f>
        <v>17793</v>
      </c>
      <c r="CR210" s="36">
        <f t="shared" si="406"/>
        <v>0</v>
      </c>
      <c r="CS210" s="6">
        <f>SUMIF('Eredeti fejléccel'!$B:$B,'Felosztás eredménykim'!$B210,'Eredeti fejléccel'!$I:$I)</f>
        <v>0</v>
      </c>
      <c r="CT210" s="6">
        <f>SUMIF('Eredeti fejléccel'!$B:$B,'Felosztás eredménykim'!$B210,'Eredeti fejléccel'!$BG:$BG)</f>
        <v>0</v>
      </c>
      <c r="CU210" s="6">
        <f>SUMIF('Eredeti fejléccel'!$B:$B,'Felosztás eredménykim'!$B210,'Eredeti fejléccel'!$BH:$BH)</f>
        <v>2237</v>
      </c>
      <c r="CV210" s="6">
        <f>SUMIF('Eredeti fejléccel'!$B:$B,'Felosztás eredménykim'!$B210,'Eredeti fejléccel'!$BI:$BI)</f>
        <v>0</v>
      </c>
      <c r="CW210" s="6">
        <f>SUMIF('Eredeti fejléccel'!$B:$B,'Felosztás eredménykim'!$B210,'Eredeti fejléccel'!$BL:$BL)</f>
        <v>934.19</v>
      </c>
      <c r="CX210" s="6">
        <f t="shared" si="241"/>
        <v>3171.19</v>
      </c>
      <c r="CY210" s="6">
        <f>SUMIF('Eredeti fejléccel'!$B:$B,'Felosztás eredménykim'!$B210,'Eredeti fejléccel'!$BJ:$BJ)</f>
        <v>0</v>
      </c>
      <c r="CZ210" s="6">
        <f>SUMIF('Eredeti fejléccel'!$B:$B,'Felosztás eredménykim'!$B210,'Eredeti fejléccel'!$BK:$BK)</f>
        <v>0</v>
      </c>
      <c r="DA210" s="99">
        <f t="shared" si="415"/>
        <v>3171.19</v>
      </c>
      <c r="DC210" s="36">
        <f t="shared" si="407"/>
        <v>0</v>
      </c>
      <c r="DD210" s="6">
        <f>SUMIF('Eredeti fejléccel'!$B:$B,'Felosztás eredménykim'!$B210,'Eredeti fejléccel'!$J:$J)</f>
        <v>0</v>
      </c>
      <c r="DE210" s="6">
        <f>SUMIF('Eredeti fejléccel'!$B:$B,'Felosztás eredménykim'!$B210,'Eredeti fejléccel'!$BM:$BM)</f>
        <v>220</v>
      </c>
      <c r="DF210" s="6">
        <f t="shared" si="296"/>
        <v>0</v>
      </c>
      <c r="DG210" s="8">
        <f t="shared" ref="DG210:DG262" si="483">-BO210</f>
        <v>0</v>
      </c>
      <c r="DH210" s="8">
        <f t="shared" si="297"/>
        <v>220</v>
      </c>
      <c r="DJ210" s="6">
        <f>SUMIF('Eredeti fejléccel'!$B:$B,'Felosztás eredménykim'!$B210,'Eredeti fejléccel'!$BN:$BN)</f>
        <v>0</v>
      </c>
      <c r="DK210" s="6">
        <f>SUMIF('Eredeti fejléccel'!$B:$B,'Felosztás eredménykim'!$B210,'Eredeti fejléccel'!$BZ:$BZ)</f>
        <v>0</v>
      </c>
      <c r="DL210" s="8">
        <f t="shared" si="298"/>
        <v>0</v>
      </c>
      <c r="DM210" s="6">
        <f>SUMIF('Eredeti fejléccel'!$B:$B,'Felosztás eredménykim'!$B210,'Eredeti fejléccel'!$BR:$BR)</f>
        <v>0</v>
      </c>
      <c r="DN210" s="6">
        <f>SUMIF('Eredeti fejléccel'!$B:$B,'Felosztás eredménykim'!$B210,'Eredeti fejléccel'!$BS:$BS)</f>
        <v>0</v>
      </c>
      <c r="DO210" s="6">
        <f>SUMIF('Eredeti fejléccel'!$B:$B,'Felosztás eredménykim'!$B210,'Eredeti fejléccel'!$BO:$BO)</f>
        <v>0</v>
      </c>
      <c r="DP210" s="6">
        <f>SUMIF('Eredeti fejléccel'!$B:$B,'Felosztás eredménykim'!$B210,'Eredeti fejléccel'!$BP:$BP)</f>
        <v>0</v>
      </c>
      <c r="DQ210" s="6">
        <f>SUMIF('Eredeti fejléccel'!$B:$B,'Felosztás eredménykim'!$B210,'Eredeti fejléccel'!$BQ:$BQ)</f>
        <v>0</v>
      </c>
      <c r="DS210" s="8"/>
      <c r="DU210" s="6">
        <f>SUMIF('Eredeti fejléccel'!$B:$B,'Felosztás eredménykim'!$B210,'Eredeti fejléccel'!$BT:$BT)</f>
        <v>0</v>
      </c>
      <c r="DV210" s="6">
        <f>SUMIF('Eredeti fejléccel'!$B:$B,'Felosztás eredménykim'!$B210,'Eredeti fejléccel'!$BU:$BU)</f>
        <v>0</v>
      </c>
      <c r="DW210" s="6">
        <f>SUMIF('Eredeti fejléccel'!$B:$B,'Felosztás eredménykim'!$B210,'Eredeti fejléccel'!$BV:$BV)</f>
        <v>0</v>
      </c>
      <c r="DX210" s="6">
        <f>SUMIF('Eredeti fejléccel'!$B:$B,'Felosztás eredménykim'!$B210,'Eredeti fejléccel'!$BW:$BW)</f>
        <v>0</v>
      </c>
      <c r="DY210" s="6">
        <f>SUMIF('Eredeti fejléccel'!$B:$B,'Felosztás eredménykim'!$B210,'Eredeti fejléccel'!$BX:$BX)</f>
        <v>0</v>
      </c>
      <c r="EA210" s="6"/>
      <c r="EC210" s="6"/>
      <c r="EE210" s="6">
        <f>SUMIF('Eredeti fejléccel'!$B:$B,'Felosztás eredménykim'!$B210,'Eredeti fejléccel'!$CA:$CA)</f>
        <v>0</v>
      </c>
      <c r="EF210" s="6">
        <f>SUMIF('Eredeti fejléccel'!$B:$B,'Felosztás eredménykim'!$B210,'Eredeti fejléccel'!$CB:$CB)</f>
        <v>0</v>
      </c>
      <c r="EG210" s="6">
        <f>SUMIF('Eredeti fejléccel'!$B:$B,'Felosztás eredménykim'!$B210,'Eredeti fejléccel'!$CC:$CC)</f>
        <v>0</v>
      </c>
      <c r="EH210" s="6">
        <f>SUMIF('Eredeti fejléccel'!$B:$B,'Felosztás eredménykim'!$B210,'Eredeti fejléccel'!$CD:$CD)</f>
        <v>0</v>
      </c>
      <c r="EK210" s="6">
        <f>SUMIF('Eredeti fejléccel'!$B:$B,'Felosztás eredménykim'!$B210,'Eredeti fejléccel'!$CE:$CE)</f>
        <v>0</v>
      </c>
      <c r="EN210" s="6">
        <f>SUMIF('Eredeti fejléccel'!$B:$B,'Felosztás eredménykim'!$B210,'Eredeti fejléccel'!$CF:$CF)</f>
        <v>0</v>
      </c>
      <c r="EP210" s="6">
        <f>SUMIF('Eredeti fejléccel'!$B:$B,'Felosztás eredménykim'!$B210,'Eredeti fejléccel'!$CG:$CG)</f>
        <v>0</v>
      </c>
      <c r="ES210" s="6">
        <f>SUMIF('Eredeti fejléccel'!$B:$B,'Felosztás eredménykim'!$B210,'Eredeti fejléccel'!$CH:$CH)</f>
        <v>0</v>
      </c>
      <c r="ET210" s="6">
        <f>SUMIF('Eredeti fejléccel'!$B:$B,'Felosztás eredménykim'!$B210,'Eredeti fejléccel'!$CI:$CI)</f>
        <v>0</v>
      </c>
      <c r="EW210" s="8">
        <f t="shared" si="288"/>
        <v>0</v>
      </c>
      <c r="EX210" s="8">
        <f t="shared" si="243"/>
        <v>0</v>
      </c>
      <c r="EY210" s="8">
        <f t="shared" si="416"/>
        <v>220</v>
      </c>
      <c r="EZ210" s="8">
        <f t="shared" si="289"/>
        <v>220</v>
      </c>
      <c r="FA210" s="8">
        <f t="shared" si="290"/>
        <v>220</v>
      </c>
      <c r="FC210" s="6">
        <f>SUMIF('Eredeti fejléccel'!$B:$B,'Felosztás eredménykim'!$B210,'Eredeti fejléccel'!$L:$L)</f>
        <v>0</v>
      </c>
      <c r="FD210" s="6">
        <f>SUMIF('Eredeti fejléccel'!$B:$B,'Felosztás eredménykim'!$B210,'Eredeti fejléccel'!$CJ:$CJ)</f>
        <v>474</v>
      </c>
      <c r="FE210" s="6">
        <f>SUMIF('Eredeti fejléccel'!$B:$B,'Felosztás eredménykim'!$B210,'Eredeti fejléccel'!$CL:$CL)</f>
        <v>0</v>
      </c>
      <c r="FG210" s="99">
        <f t="shared" si="245"/>
        <v>474</v>
      </c>
      <c r="FH210" s="6">
        <f>SUMIF('Eredeti fejléccel'!$B:$B,'Felosztás eredménykim'!$B210,'Eredeti fejléccel'!$CK:$CK)</f>
        <v>0</v>
      </c>
      <c r="FI210" s="36">
        <f t="shared" si="477"/>
        <v>0</v>
      </c>
      <c r="FJ210" s="101">
        <f t="shared" si="408"/>
        <v>105.10767987065481</v>
      </c>
      <c r="FK210" s="6">
        <f>SUMIF('Eredeti fejléccel'!$B:$B,'Felosztás eredménykim'!$B210,'Eredeti fejléccel'!$CM:$CM)</f>
        <v>0</v>
      </c>
      <c r="FL210" s="6">
        <f>SUMIF('Eredeti fejléccel'!$B:$B,'Felosztás eredménykim'!$B210,'Eredeti fejléccel'!$CN:$CN)</f>
        <v>0</v>
      </c>
      <c r="FM210" s="8">
        <f t="shared" si="246"/>
        <v>105.10767987065481</v>
      </c>
      <c r="FN210" s="36">
        <f t="shared" si="478"/>
        <v>0</v>
      </c>
      <c r="FO210" s="101">
        <f t="shared" si="409"/>
        <v>89.358771220695232</v>
      </c>
      <c r="FP210" s="6">
        <f>SUMIF('Eredeti fejléccel'!$B:$B,'Felosztás eredménykim'!$B210,'Eredeti fejléccel'!$CO:$CO)</f>
        <v>0</v>
      </c>
      <c r="FQ210" s="6">
        <f>'Eredeti fejléccel'!CP210</f>
        <v>0</v>
      </c>
      <c r="FR210" s="6">
        <f>'Eredeti fejléccel'!CQ210</f>
        <v>0</v>
      </c>
      <c r="FS210" s="103">
        <f t="shared" si="417"/>
        <v>89.358771220695232</v>
      </c>
      <c r="FT210" s="36">
        <f t="shared" si="479"/>
        <v>0</v>
      </c>
      <c r="FU210" s="101">
        <f t="shared" si="410"/>
        <v>246.65626515763944</v>
      </c>
      <c r="FV210" s="101"/>
      <c r="FW210" s="6">
        <f>SUMIF('Eredeti fejléccel'!$B:$B,'Felosztás eredménykim'!$B210,'Eredeti fejléccel'!$CR:$CR)</f>
        <v>405</v>
      </c>
      <c r="FX210" s="6">
        <f>SUMIF('Eredeti fejléccel'!$B:$B,'Felosztás eredménykim'!$B210,'Eredeti fejléccel'!$CS:$CS)</f>
        <v>0</v>
      </c>
      <c r="FY210" s="6">
        <f>SUMIF('Eredeti fejléccel'!$B:$B,'Felosztás eredménykim'!$B210,'Eredeti fejléccel'!$CT:$CT)</f>
        <v>0</v>
      </c>
      <c r="FZ210" s="6">
        <f>SUMIF('Eredeti fejléccel'!$B:$B,'Felosztás eredménykim'!$B210,'Eredeti fejléccel'!$CU:$CU)</f>
        <v>0</v>
      </c>
      <c r="GA210" s="103">
        <f t="shared" si="248"/>
        <v>651.65626515763938</v>
      </c>
      <c r="GB210" s="36">
        <f t="shared" si="480"/>
        <v>0</v>
      </c>
      <c r="GC210" s="101">
        <f t="shared" si="411"/>
        <v>32.877283751010509</v>
      </c>
      <c r="GD210" s="6">
        <f>SUMIF('Eredeti fejléccel'!$B:$B,'Felosztás eredménykim'!$B210,'Eredeti fejléccel'!$CV:$CV)</f>
        <v>287831</v>
      </c>
      <c r="GE210" s="6">
        <f>SUMIF('Eredeti fejléccel'!$B:$B,'Felosztás eredménykim'!$B210,'Eredeti fejléccel'!$CW:$CW)</f>
        <v>0</v>
      </c>
      <c r="GF210" s="103">
        <f t="shared" si="249"/>
        <v>287863.87728375103</v>
      </c>
      <c r="GG210" s="36">
        <f t="shared" si="412"/>
        <v>0</v>
      </c>
      <c r="GM210" s="6">
        <f>SUMIF('Eredeti fejléccel'!$B:$B,'Felosztás eredménykim'!$B210,'Eredeti fejléccel'!$CX:$CX)</f>
        <v>0</v>
      </c>
      <c r="GN210" s="6">
        <f>SUMIF('Eredeti fejléccel'!$B:$B,'Felosztás eredménykim'!$B210,'Eredeti fejléccel'!$CY:$CY)</f>
        <v>0</v>
      </c>
      <c r="GO210" s="6">
        <f>SUMIF('Eredeti fejléccel'!$B:$B,'Felosztás eredménykim'!$B210,'Eredeti fejléccel'!$CZ:$CZ)</f>
        <v>0</v>
      </c>
      <c r="GP210" s="6">
        <f>SUMIF('Eredeti fejléccel'!$B:$B,'Felosztás eredménykim'!$B210,'Eredeti fejléccel'!$DA:$DA)</f>
        <v>0</v>
      </c>
      <c r="GQ210" s="6">
        <f>SUMIF('Eredeti fejléccel'!$B:$B,'Felosztás eredménykim'!$B210,'Eredeti fejléccel'!$DB:$DB)</f>
        <v>0</v>
      </c>
      <c r="GR210" s="103">
        <f t="shared" si="250"/>
        <v>0</v>
      </c>
      <c r="GW210" s="36">
        <f t="shared" si="413"/>
        <v>0</v>
      </c>
      <c r="GX210" s="6">
        <f>SUMIF('Eredeti fejléccel'!$B:$B,'Felosztás eredménykim'!$B210,'Eredeti fejléccel'!$M:$M)</f>
        <v>0</v>
      </c>
      <c r="GY210" s="6">
        <f>SUMIF('Eredeti fejléccel'!$B:$B,'Felosztás eredménykim'!$B210,'Eredeti fejléccel'!$DC:$DC)</f>
        <v>798.67</v>
      </c>
      <c r="GZ210" s="6">
        <f>SUMIF('Eredeti fejléccel'!$B:$B,'Felosztás eredménykim'!$B210,'Eredeti fejléccel'!$DD:$DD)</f>
        <v>0</v>
      </c>
      <c r="HA210" s="6">
        <f>SUMIF('Eredeti fejléccel'!$B:$B,'Felosztás eredménykim'!$B210,'Eredeti fejléccel'!$DE:$DE)</f>
        <v>0</v>
      </c>
      <c r="HB210" s="103">
        <f t="shared" si="251"/>
        <v>798.67</v>
      </c>
      <c r="HD210" s="9">
        <f t="shared" si="429"/>
        <v>327738.86000000022</v>
      </c>
      <c r="HE210" s="9">
        <v>327738.86</v>
      </c>
      <c r="HF210" s="476"/>
      <c r="HH210" s="557">
        <f t="shared" si="252"/>
        <v>0</v>
      </c>
    </row>
    <row r="211" spans="1:218" x14ac:dyDescent="0.25">
      <c r="A211" s="4" t="s">
        <v>1484</v>
      </c>
      <c r="B211" s="4" t="s">
        <v>1484</v>
      </c>
      <c r="C211" s="1" t="s">
        <v>1485</v>
      </c>
      <c r="D211" s="6">
        <f>SUMIF('Eredeti fejléccel'!$B:$B,'Felosztás eredménykim'!$B211,'Eredeti fejléccel'!$D:$D)</f>
        <v>0</v>
      </c>
      <c r="E211" s="6">
        <f>SUMIF('Eredeti fejléccel'!$B:$B,'Felosztás eredménykim'!$B211,'Eredeti fejléccel'!$E:$E)</f>
        <v>0</v>
      </c>
      <c r="F211" s="6">
        <f>SUMIF('Eredeti fejléccel'!$B:$B,'Felosztás eredménykim'!$B211,'Eredeti fejléccel'!$F:$F)</f>
        <v>0</v>
      </c>
      <c r="G211" s="6">
        <f>SUMIF('Eredeti fejléccel'!$B:$B,'Felosztás eredménykim'!$B211,'Eredeti fejléccel'!$G:$G)</f>
        <v>0</v>
      </c>
      <c r="H211" s="6"/>
      <c r="I211" s="6">
        <f>SUMIF('Eredeti fejléccel'!$B:$B,'Felosztás eredménykim'!$B211,'Eredeti fejléccel'!$O:$O)</f>
        <v>0</v>
      </c>
      <c r="J211" s="6">
        <f>SUMIF('Eredeti fejléccel'!$B:$B,'Felosztás eredménykim'!$B211,'Eredeti fejléccel'!$P:$P)</f>
        <v>0</v>
      </c>
      <c r="K211" s="6">
        <f>SUMIF('Eredeti fejléccel'!$B:$B,'Felosztás eredménykim'!$B211,'Eredeti fejléccel'!$Q:$Q)</f>
        <v>0</v>
      </c>
      <c r="L211" s="6">
        <f>SUMIF('Eredeti fejléccel'!$B:$B,'Felosztás eredménykim'!$B211,'Eredeti fejléccel'!$R:$R)</f>
        <v>0</v>
      </c>
      <c r="M211" s="6">
        <f>SUMIF('Eredeti fejléccel'!$B:$B,'Felosztás eredménykim'!$B211,'Eredeti fejléccel'!$T:$T)</f>
        <v>0</v>
      </c>
      <c r="N211" s="6">
        <f>SUMIF('Eredeti fejléccel'!$B:$B,'Felosztás eredménykim'!$B211,'Eredeti fejléccel'!$U:$U)</f>
        <v>0</v>
      </c>
      <c r="O211" s="6">
        <f>SUMIF('Eredeti fejléccel'!$B:$B,'Felosztás eredménykim'!$B211,'Eredeti fejléccel'!$V:$V)</f>
        <v>0</v>
      </c>
      <c r="P211" s="6">
        <f>SUMIF('Eredeti fejléccel'!$B:$B,'Felosztás eredménykim'!$B211,'Eredeti fejléccel'!$W:$W)</f>
        <v>0</v>
      </c>
      <c r="Q211" s="6">
        <f>SUMIF('Eredeti fejléccel'!$B:$B,'Felosztás eredménykim'!$B211,'Eredeti fejléccel'!$X:$X)</f>
        <v>0</v>
      </c>
      <c r="R211" s="6">
        <f>SUMIF('Eredeti fejléccel'!$B:$B,'Felosztás eredménykim'!$B211,'Eredeti fejléccel'!$Y:$Y)</f>
        <v>0</v>
      </c>
      <c r="S211" s="6">
        <f>SUMIF('Eredeti fejléccel'!$B:$B,'Felosztás eredménykim'!$B211,'Eredeti fejléccel'!$Z:$Z)</f>
        <v>0</v>
      </c>
      <c r="T211" s="6">
        <f>SUMIF('Eredeti fejléccel'!$B:$B,'Felosztás eredménykim'!$B211,'Eredeti fejléccel'!$AA:$AA)</f>
        <v>0</v>
      </c>
      <c r="U211" s="6">
        <f>SUMIF('Eredeti fejléccel'!$B:$B,'Felosztás eredménykim'!$B211,'Eredeti fejléccel'!$D:$D)</f>
        <v>0</v>
      </c>
      <c r="V211" s="6">
        <f>SUMIF('Eredeti fejléccel'!$B:$B,'Felosztás eredménykim'!$B211,'Eredeti fejléccel'!$AT:$AT)</f>
        <v>0</v>
      </c>
      <c r="X211" s="36">
        <f t="shared" si="414"/>
        <v>0</v>
      </c>
      <c r="Z211" s="6">
        <f>SUMIF('Eredeti fejléccel'!$B:$B,'Felosztás eredménykim'!$B211,'Eredeti fejléccel'!$K:$K)</f>
        <v>0</v>
      </c>
      <c r="AB211" s="6">
        <f>SUMIF('Eredeti fejléccel'!$B:$B,'Felosztás eredménykim'!$B211,'Eredeti fejléccel'!$AB:$AB)</f>
        <v>0</v>
      </c>
      <c r="AC211" s="6">
        <f>SUMIF('Eredeti fejléccel'!$B:$B,'Felosztás eredménykim'!$B211,'Eredeti fejléccel'!$AQ:$AQ)</f>
        <v>0</v>
      </c>
      <c r="AE211" s="73">
        <f>SUM(Z211:AD211)</f>
        <v>0</v>
      </c>
      <c r="AF211" s="36">
        <f t="shared" si="470"/>
        <v>0</v>
      </c>
      <c r="AG211" s="8">
        <f t="shared" si="399"/>
        <v>0</v>
      </c>
      <c r="AI211" s="6">
        <f>SUMIF('Eredeti fejléccel'!$B:$B,'Felosztás eredménykim'!$B211,'Eredeti fejléccel'!$BB:$BB)</f>
        <v>0</v>
      </c>
      <c r="AJ211" s="6">
        <f>SUMIF('Eredeti fejléccel'!$B:$B,'Felosztás eredménykim'!$B211,'Eredeti fejléccel'!$AF:$AF)</f>
        <v>0</v>
      </c>
      <c r="AK211" s="8">
        <f>SUM(AG211:AJ211)</f>
        <v>0</v>
      </c>
      <c r="AL211" s="36">
        <f t="shared" si="471"/>
        <v>0</v>
      </c>
      <c r="AM211" s="8">
        <f t="shared" si="400"/>
        <v>0</v>
      </c>
      <c r="AN211" s="6">
        <f>-AO211/2</f>
        <v>0</v>
      </c>
      <c r="AO211" s="6">
        <f>SUMIF('Eredeti fejléccel'!$B:$B,'Felosztás eredménykim'!$B211,'Eredeti fejléccel'!$AC:$AC)</f>
        <v>0</v>
      </c>
      <c r="AP211" s="6">
        <f>SUMIF('Eredeti fejléccel'!$B:$B,'Felosztás eredménykim'!$B211,'Eredeti fejléccel'!$AD:$AD)</f>
        <v>0</v>
      </c>
      <c r="AQ211" s="6">
        <f>SUMIF('Eredeti fejléccel'!$B:$B,'Felosztás eredménykim'!$B211,'Eredeti fejléccel'!$AE:$AE)</f>
        <v>0</v>
      </c>
      <c r="AR211" s="6">
        <f>SUMIF('Eredeti fejléccel'!$B:$B,'Felosztás eredménykim'!$B211,'Eredeti fejléccel'!$AG:$AG)</f>
        <v>0</v>
      </c>
      <c r="AS211" s="6">
        <f>SUM(AM211:AR211)</f>
        <v>0</v>
      </c>
      <c r="AT211" s="36">
        <f t="shared" si="472"/>
        <v>0</v>
      </c>
      <c r="AU211" s="8">
        <f t="shared" si="401"/>
        <v>0</v>
      </c>
      <c r="AV211" s="6">
        <f>SUMIF('Eredeti fejléccel'!$B:$B,'Felosztás eredménykim'!$B211,'Eredeti fejléccel'!$AI:$AI)</f>
        <v>0</v>
      </c>
      <c r="AW211" s="6">
        <f>SUMIF('Eredeti fejléccel'!$B:$B,'Felosztás eredménykim'!$B211,'Eredeti fejléccel'!$AJ:$AJ)</f>
        <v>0</v>
      </c>
      <c r="AX211" s="6">
        <f>SUMIF('Eredeti fejléccel'!$B:$B,'Felosztás eredménykim'!$B211,'Eredeti fejléccel'!$AK:$AK)</f>
        <v>0</v>
      </c>
      <c r="AY211" s="6">
        <f>SUMIF('Eredeti fejléccel'!$B:$B,'Felosztás eredménykim'!$B211,'Eredeti fejléccel'!$AL:$AL)</f>
        <v>0</v>
      </c>
      <c r="AZ211" s="6">
        <f>SUMIF('Eredeti fejléccel'!$B:$B,'Felosztás eredménykim'!$B211,'Eredeti fejléccel'!$AM:$AM)</f>
        <v>0</v>
      </c>
      <c r="BA211" s="6">
        <f>SUMIF('Eredeti fejléccel'!$B:$B,'Felosztás eredménykim'!$B211,'Eredeti fejléccel'!$AN:$AN)</f>
        <v>0</v>
      </c>
      <c r="BB211" s="6">
        <f>SUMIF('Eredeti fejléccel'!$B:$B,'Felosztás eredménykim'!$B211,'Eredeti fejléccel'!$AP:$AP)</f>
        <v>0</v>
      </c>
      <c r="BD211" s="6">
        <f>SUMIF('Eredeti fejléccel'!$B:$B,'Felosztás eredménykim'!$B211,'Eredeti fejléccel'!$AS:$AS)</f>
        <v>0</v>
      </c>
      <c r="BE211" s="8">
        <f>SUM(AU211:BD211)</f>
        <v>0</v>
      </c>
      <c r="BF211" s="36">
        <f t="shared" si="473"/>
        <v>0</v>
      </c>
      <c r="BG211" s="8">
        <f t="shared" si="402"/>
        <v>0</v>
      </c>
      <c r="BH211" s="6">
        <f>AO211/2</f>
        <v>0</v>
      </c>
      <c r="BI211" s="6">
        <f>SUMIF('Eredeti fejléccel'!$B:$B,'Felosztás eredménykim'!$B211,'Eredeti fejléccel'!$AH:$AH)</f>
        <v>0</v>
      </c>
      <c r="BJ211" s="6">
        <f>SUMIF('Eredeti fejléccel'!$B:$B,'Felosztás eredménykim'!$B211,'Eredeti fejléccel'!$AO:$AO)</f>
        <v>0</v>
      </c>
      <c r="BK211" s="6">
        <f>SUMIF('Eredeti fejléccel'!$B:$B,'Felosztás eredménykim'!$B211,'Eredeti fejléccel'!$BF:$BF)</f>
        <v>0</v>
      </c>
      <c r="BL211" s="8">
        <f>SUM(BG211:BK211)</f>
        <v>0</v>
      </c>
      <c r="BM211" s="36">
        <f t="shared" si="474"/>
        <v>0</v>
      </c>
      <c r="BN211" s="8">
        <f t="shared" si="403"/>
        <v>0</v>
      </c>
      <c r="BP211" s="8">
        <f>-FV211</f>
        <v>0</v>
      </c>
      <c r="BQ211" s="6">
        <f>SUMIF('Eredeti fejléccel'!$B:$B,'Felosztás eredménykim'!$B211,'Eredeti fejléccel'!$N:$N)</f>
        <v>0</v>
      </c>
      <c r="BR211" s="6">
        <f>SUMIF('Eredeti fejléccel'!$B:$B,'Felosztás eredménykim'!$B211,'Eredeti fejléccel'!$S:$S)</f>
        <v>0</v>
      </c>
      <c r="BT211" s="6">
        <f>SUMIF('Eredeti fejléccel'!$B:$B,'Felosztás eredménykim'!$B211,'Eredeti fejléccel'!$AR:$AR)</f>
        <v>0</v>
      </c>
      <c r="BU211" s="6">
        <f>SUMIF('Eredeti fejléccel'!$B:$B,'Felosztás eredménykim'!$B211,'Eredeti fejléccel'!$AU:$AU)</f>
        <v>0</v>
      </c>
      <c r="BV211" s="6">
        <f>SUMIF('Eredeti fejléccel'!$B:$B,'Felosztás eredménykim'!$B211,'Eredeti fejléccel'!$AV:$AV)</f>
        <v>0</v>
      </c>
      <c r="BW211" s="6">
        <f>SUMIF('Eredeti fejléccel'!$B:$B,'Felosztás eredménykim'!$B211,'Eredeti fejléccel'!$AW:$AW)</f>
        <v>0</v>
      </c>
      <c r="BX211" s="6">
        <f>SUMIF('Eredeti fejléccel'!$B:$B,'Felosztás eredménykim'!$B211,'Eredeti fejléccel'!$AX:$AX)</f>
        <v>0</v>
      </c>
      <c r="BY211" s="6">
        <f>SUMIF('Eredeti fejléccel'!$B:$B,'Felosztás eredménykim'!$B211,'Eredeti fejléccel'!$AY:$AY)</f>
        <v>0</v>
      </c>
      <c r="BZ211" s="6">
        <f>SUMIF('Eredeti fejléccel'!$B:$B,'Felosztás eredménykim'!$B211,'Eredeti fejléccel'!$AZ:$AZ)</f>
        <v>0</v>
      </c>
      <c r="CA211" s="6">
        <f>SUMIF('Eredeti fejléccel'!$B:$B,'Felosztás eredménykim'!$B211,'Eredeti fejléccel'!$BA:$BA)</f>
        <v>0</v>
      </c>
      <c r="CB211" s="6">
        <f t="shared" si="481"/>
        <v>0</v>
      </c>
      <c r="CC211" s="36">
        <f t="shared" si="475"/>
        <v>0</v>
      </c>
      <c r="CD211" s="8">
        <f t="shared" si="404"/>
        <v>0</v>
      </c>
      <c r="CE211" s="6">
        <f>SUMIF('Eredeti fejléccel'!$B:$B,'Felosztás eredménykim'!$B211,'Eredeti fejléccel'!$BC:$BC)</f>
        <v>0</v>
      </c>
      <c r="CF211" s="8">
        <f>-CE211/2</f>
        <v>0</v>
      </c>
      <c r="CG211" s="6">
        <f>SUMIF('Eredeti fejléccel'!$B:$B,'Felosztás eredménykim'!$B211,'Eredeti fejléccel'!$H:$H)</f>
        <v>0</v>
      </c>
      <c r="CH211" s="6">
        <f>SUMIF('Eredeti fejléccel'!$B:$B,'Felosztás eredménykim'!$B211,'Eredeti fejléccel'!$BE:$BE)</f>
        <v>0</v>
      </c>
      <c r="CI211" s="6">
        <f>SUM(CD211:CH211)</f>
        <v>0</v>
      </c>
      <c r="CJ211" s="36">
        <f t="shared" si="476"/>
        <v>0</v>
      </c>
      <c r="CK211" s="8">
        <f t="shared" si="405"/>
        <v>0</v>
      </c>
      <c r="CL211" s="8">
        <f>CE211/2</f>
        <v>0</v>
      </c>
      <c r="CM211" s="6">
        <f>SUMIF('Eredeti fejléccel'!$B:$B,'Felosztás eredménykim'!$B211,'Eredeti fejléccel'!$BD:$BD)</f>
        <v>0</v>
      </c>
      <c r="CN211" s="8">
        <f>SUM(CK211:CM211)</f>
        <v>0</v>
      </c>
      <c r="CO211" s="8">
        <f t="shared" si="482"/>
        <v>0</v>
      </c>
      <c r="CR211" s="36">
        <f t="shared" si="406"/>
        <v>0</v>
      </c>
      <c r="CS211" s="6">
        <f>SUMIF('Eredeti fejléccel'!$B:$B,'Felosztás eredménykim'!$B211,'Eredeti fejléccel'!$I:$I)</f>
        <v>0</v>
      </c>
      <c r="CT211" s="6">
        <f>SUMIF('Eredeti fejléccel'!$B:$B,'Felosztás eredménykim'!$B211,'Eredeti fejléccel'!$BG:$BG)</f>
        <v>0</v>
      </c>
      <c r="CU211" s="6">
        <f>SUMIF('Eredeti fejléccel'!$B:$B,'Felosztás eredménykim'!$B211,'Eredeti fejléccel'!$BH:$BH)</f>
        <v>0</v>
      </c>
      <c r="CV211" s="6">
        <f>SUMIF('Eredeti fejléccel'!$B:$B,'Felosztás eredménykim'!$B211,'Eredeti fejléccel'!$BI:$BI)</f>
        <v>0</v>
      </c>
      <c r="CW211" s="6">
        <f>SUMIF('Eredeti fejléccel'!$B:$B,'Felosztás eredménykim'!$B211,'Eredeti fejléccel'!$BL:$BL)</f>
        <v>0</v>
      </c>
      <c r="CX211" s="6">
        <f>SUM(CS211:CW211)</f>
        <v>0</v>
      </c>
      <c r="CY211" s="6">
        <f>SUMIF('Eredeti fejléccel'!$B:$B,'Felosztás eredménykim'!$B211,'Eredeti fejléccel'!$BJ:$BJ)</f>
        <v>0</v>
      </c>
      <c r="CZ211" s="6">
        <f>SUMIF('Eredeti fejléccel'!$B:$B,'Felosztás eredménykim'!$B211,'Eredeti fejléccel'!$BK:$BK)</f>
        <v>0</v>
      </c>
      <c r="DA211" s="99">
        <f t="shared" si="415"/>
        <v>0</v>
      </c>
      <c r="DC211" s="36">
        <f t="shared" si="407"/>
        <v>0</v>
      </c>
      <c r="DD211" s="6">
        <f>SUMIF('Eredeti fejléccel'!$B:$B,'Felosztás eredménykim'!$B211,'Eredeti fejléccel'!$J:$J)</f>
        <v>0</v>
      </c>
      <c r="DE211" s="6">
        <f>SUMIF('Eredeti fejléccel'!$B:$B,'Felosztás eredménykim'!$B211,'Eredeti fejléccel'!$BM:$BM)</f>
        <v>0</v>
      </c>
      <c r="DF211" s="6">
        <f>-DI211</f>
        <v>0</v>
      </c>
      <c r="DG211" s="8">
        <f t="shared" si="483"/>
        <v>0</v>
      </c>
      <c r="DH211" s="8">
        <f>SUM(DD211:DG211)</f>
        <v>0</v>
      </c>
      <c r="DJ211" s="6">
        <f>SUMIF('Eredeti fejléccel'!$B:$B,'Felosztás eredménykim'!$B211,'Eredeti fejléccel'!$BN:$BN)</f>
        <v>0</v>
      </c>
      <c r="DK211" s="6">
        <f>SUMIF('Eredeti fejléccel'!$B:$B,'Felosztás eredménykim'!$B211,'Eredeti fejléccel'!$BZ:$BZ)</f>
        <v>0</v>
      </c>
      <c r="DL211" s="8">
        <f>SUM(DI211:DK211)</f>
        <v>0</v>
      </c>
      <c r="DM211" s="6">
        <f>SUMIF('Eredeti fejléccel'!$B:$B,'Felosztás eredménykim'!$B211,'Eredeti fejléccel'!$BR:$BR)</f>
        <v>0</v>
      </c>
      <c r="DN211" s="6">
        <f>SUMIF('Eredeti fejléccel'!$B:$B,'Felosztás eredménykim'!$B211,'Eredeti fejléccel'!$BS:$BS)</f>
        <v>0</v>
      </c>
      <c r="DO211" s="6">
        <f>SUMIF('Eredeti fejléccel'!$B:$B,'Felosztás eredménykim'!$B211,'Eredeti fejléccel'!$BO:$BO)</f>
        <v>0</v>
      </c>
      <c r="DP211" s="6">
        <f>SUMIF('Eredeti fejléccel'!$B:$B,'Felosztás eredménykim'!$B211,'Eredeti fejléccel'!$BP:$BP)</f>
        <v>0</v>
      </c>
      <c r="DQ211" s="6">
        <f>SUMIF('Eredeti fejléccel'!$B:$B,'Felosztás eredménykim'!$B211,'Eredeti fejléccel'!$BQ:$BQ)</f>
        <v>0</v>
      </c>
      <c r="DS211" s="8"/>
      <c r="DU211" s="6">
        <f>SUMIF('Eredeti fejléccel'!$B:$B,'Felosztás eredménykim'!$B211,'Eredeti fejléccel'!$BT:$BT)</f>
        <v>0</v>
      </c>
      <c r="DV211" s="6">
        <f>SUMIF('Eredeti fejléccel'!$B:$B,'Felosztás eredménykim'!$B211,'Eredeti fejléccel'!$BU:$BU)</f>
        <v>0</v>
      </c>
      <c r="DW211" s="6">
        <f>SUMIF('Eredeti fejléccel'!$B:$B,'Felosztás eredménykim'!$B211,'Eredeti fejléccel'!$BV:$BV)</f>
        <v>0</v>
      </c>
      <c r="DX211" s="6">
        <f>SUMIF('Eredeti fejléccel'!$B:$B,'Felosztás eredménykim'!$B211,'Eredeti fejléccel'!$BW:$BW)</f>
        <v>0</v>
      </c>
      <c r="DY211" s="6">
        <f>SUMIF('Eredeti fejléccel'!$B:$B,'Felosztás eredménykim'!$B211,'Eredeti fejléccel'!$BX:$BX)</f>
        <v>0</v>
      </c>
      <c r="EA211" s="6"/>
      <c r="EC211" s="6"/>
      <c r="EE211" s="6">
        <f>SUMIF('Eredeti fejléccel'!$B:$B,'Felosztás eredménykim'!$B211,'Eredeti fejléccel'!$CA:$CA)</f>
        <v>0</v>
      </c>
      <c r="EF211" s="6">
        <f>SUMIF('Eredeti fejléccel'!$B:$B,'Felosztás eredménykim'!$B211,'Eredeti fejléccel'!$CB:$CB)</f>
        <v>0</v>
      </c>
      <c r="EG211" s="6">
        <f>SUMIF('Eredeti fejléccel'!$B:$B,'Felosztás eredménykim'!$B211,'Eredeti fejléccel'!$CC:$CC)</f>
        <v>0</v>
      </c>
      <c r="EH211" s="6">
        <f>SUMIF('Eredeti fejléccel'!$B:$B,'Felosztás eredménykim'!$B211,'Eredeti fejléccel'!$CD:$CD)</f>
        <v>0</v>
      </c>
      <c r="EK211" s="6">
        <f>SUMIF('Eredeti fejléccel'!$B:$B,'Felosztás eredménykim'!$B211,'Eredeti fejléccel'!$CE:$CE)</f>
        <v>0</v>
      </c>
      <c r="EN211" s="6">
        <f>SUMIF('Eredeti fejléccel'!$B:$B,'Felosztás eredménykim'!$B211,'Eredeti fejléccel'!$CF:$CF)</f>
        <v>0</v>
      </c>
      <c r="EP211" s="6">
        <f>SUMIF('Eredeti fejléccel'!$B:$B,'Felosztás eredménykim'!$B211,'Eredeti fejléccel'!$CG:$CG)</f>
        <v>0</v>
      </c>
      <c r="ES211" s="6">
        <f>SUMIF('Eredeti fejléccel'!$B:$B,'Felosztás eredménykim'!$B211,'Eredeti fejléccel'!$CH:$CH)</f>
        <v>0</v>
      </c>
      <c r="ET211" s="6">
        <f>SUMIF('Eredeti fejléccel'!$B:$B,'Felosztás eredménykim'!$B211,'Eredeti fejléccel'!$CI:$CI)</f>
        <v>0</v>
      </c>
      <c r="EW211" s="8">
        <f>SUM(DR211:ED211)</f>
        <v>0</v>
      </c>
      <c r="EX211" s="8">
        <f>SUM(EE211:EV211)</f>
        <v>0</v>
      </c>
      <c r="EY211" s="8">
        <f t="shared" si="416"/>
        <v>0</v>
      </c>
      <c r="EZ211" s="8">
        <f>EY211+DL211+DM211+DN211+DO211+DP211+DQ211</f>
        <v>0</v>
      </c>
      <c r="FA211" s="8">
        <f>EZ211-DL211-DM211</f>
        <v>0</v>
      </c>
      <c r="FC211" s="6">
        <f>SUMIF('Eredeti fejléccel'!$B:$B,'Felosztás eredménykim'!$B211,'Eredeti fejléccel'!$L:$L)</f>
        <v>0</v>
      </c>
      <c r="FD211" s="6">
        <f>SUMIF('Eredeti fejléccel'!$B:$B,'Felosztás eredménykim'!$B211,'Eredeti fejléccel'!$CJ:$CJ)</f>
        <v>0</v>
      </c>
      <c r="FE211" s="6">
        <f>SUMIF('Eredeti fejléccel'!$B:$B,'Felosztás eredménykim'!$B211,'Eredeti fejléccel'!$CL:$CL)</f>
        <v>0</v>
      </c>
      <c r="FG211" s="99">
        <f>SUM(FC211:FF211)</f>
        <v>0</v>
      </c>
      <c r="FH211" s="6">
        <f>SUMIF('Eredeti fejléccel'!$B:$B,'Felosztás eredménykim'!$B211,'Eredeti fejléccel'!$CK:$CK)</f>
        <v>0</v>
      </c>
      <c r="FI211" s="36">
        <f t="shared" si="477"/>
        <v>0</v>
      </c>
      <c r="FJ211" s="101">
        <f t="shared" si="408"/>
        <v>0</v>
      </c>
      <c r="FK211" s="6">
        <f>SUMIF('Eredeti fejléccel'!$B:$B,'Felosztás eredménykim'!$B211,'Eredeti fejléccel'!$CM:$CM)</f>
        <v>0</v>
      </c>
      <c r="FL211" s="6">
        <f>SUMIF('Eredeti fejléccel'!$B:$B,'Felosztás eredménykim'!$B211,'Eredeti fejléccel'!$CN:$CN)</f>
        <v>0</v>
      </c>
      <c r="FM211" s="8">
        <f>SUM(FJ211:FL211)</f>
        <v>0</v>
      </c>
      <c r="FN211" s="36">
        <f t="shared" si="478"/>
        <v>0</v>
      </c>
      <c r="FO211" s="101">
        <f t="shared" si="409"/>
        <v>0</v>
      </c>
      <c r="FP211" s="6">
        <f>SUMIF('Eredeti fejléccel'!$B:$B,'Felosztás eredménykim'!$B211,'Eredeti fejléccel'!$CO:$CO)</f>
        <v>0</v>
      </c>
      <c r="FQ211" s="6">
        <f>'Eredeti fejléccel'!CP211</f>
        <v>0</v>
      </c>
      <c r="FR211" s="6">
        <f>'Eredeti fejléccel'!CQ211</f>
        <v>0</v>
      </c>
      <c r="FS211" s="103">
        <f t="shared" si="417"/>
        <v>0</v>
      </c>
      <c r="FT211" s="36">
        <f t="shared" si="479"/>
        <v>0</v>
      </c>
      <c r="FU211" s="101">
        <f t="shared" si="410"/>
        <v>0</v>
      </c>
      <c r="FV211" s="101"/>
      <c r="FW211" s="6">
        <f>SUMIF('Eredeti fejléccel'!$B:$B,'Felosztás eredménykim'!$B211,'Eredeti fejléccel'!$CR:$CR)</f>
        <v>0</v>
      </c>
      <c r="FX211" s="6">
        <f>SUMIF('Eredeti fejléccel'!$B:$B,'Felosztás eredménykim'!$B211,'Eredeti fejléccel'!$CS:$CS)</f>
        <v>0</v>
      </c>
      <c r="FY211" s="6">
        <f>SUMIF('Eredeti fejléccel'!$B:$B,'Felosztás eredménykim'!$B211,'Eredeti fejléccel'!$CT:$CT)</f>
        <v>0</v>
      </c>
      <c r="FZ211" s="6">
        <f>SUMIF('Eredeti fejléccel'!$B:$B,'Felosztás eredménykim'!$B211,'Eredeti fejléccel'!$CU:$CU)</f>
        <v>0</v>
      </c>
      <c r="GA211" s="103">
        <f>SUM(FU211:FZ211)</f>
        <v>0</v>
      </c>
      <c r="GB211" s="36">
        <f t="shared" si="480"/>
        <v>0</v>
      </c>
      <c r="GC211" s="101">
        <f t="shared" si="411"/>
        <v>0</v>
      </c>
      <c r="GD211" s="6">
        <f>SUMIF('Eredeti fejléccel'!$B:$B,'Felosztás eredménykim'!$B211,'Eredeti fejléccel'!$CV:$CV)</f>
        <v>0</v>
      </c>
      <c r="GE211" s="6">
        <f>SUMIF('Eredeti fejléccel'!$B:$B,'Felosztás eredménykim'!$B211,'Eredeti fejléccel'!$CW:$CW)</f>
        <v>0</v>
      </c>
      <c r="GF211" s="103">
        <f>SUM(GC211:GE211)</f>
        <v>0</v>
      </c>
      <c r="GG211" s="36">
        <f t="shared" si="412"/>
        <v>0</v>
      </c>
      <c r="GM211" s="6">
        <f>SUMIF('Eredeti fejléccel'!$B:$B,'Felosztás eredménykim'!$B211,'Eredeti fejléccel'!$CX:$CX)</f>
        <v>0</v>
      </c>
      <c r="GN211" s="6">
        <f>SUMIF('Eredeti fejléccel'!$B:$B,'Felosztás eredménykim'!$B211,'Eredeti fejléccel'!$CY:$CY)</f>
        <v>0</v>
      </c>
      <c r="GO211" s="6">
        <f>SUMIF('Eredeti fejléccel'!$B:$B,'Felosztás eredménykim'!$B211,'Eredeti fejléccel'!$CZ:$CZ)</f>
        <v>0</v>
      </c>
      <c r="GP211" s="6">
        <f>SUMIF('Eredeti fejléccel'!$B:$B,'Felosztás eredménykim'!$B211,'Eredeti fejléccel'!$DA:$DA)</f>
        <v>0</v>
      </c>
      <c r="GQ211" s="6">
        <f>SUMIF('Eredeti fejléccel'!$B:$B,'Felosztás eredménykim'!$B211,'Eredeti fejléccel'!$DB:$DB)</f>
        <v>0</v>
      </c>
      <c r="GR211" s="103">
        <f>SUM(GH211:GQ211)</f>
        <v>0</v>
      </c>
      <c r="GW211" s="36">
        <f t="shared" si="413"/>
        <v>0</v>
      </c>
      <c r="GX211" s="6">
        <f>SUMIF('Eredeti fejléccel'!$B:$B,'Felosztás eredménykim'!$B211,'Eredeti fejléccel'!$M:$M)</f>
        <v>0</v>
      </c>
      <c r="GY211" s="6">
        <f>SUMIF('Eredeti fejléccel'!$B:$B,'Felosztás eredménykim'!$B211,'Eredeti fejléccel'!$DC:$DC)</f>
        <v>0</v>
      </c>
      <c r="GZ211" s="6">
        <f>SUMIF('Eredeti fejléccel'!$B:$B,'Felosztás eredménykim'!$B211,'Eredeti fejléccel'!$DD:$DD)</f>
        <v>0</v>
      </c>
      <c r="HA211" s="6">
        <f>SUMIF('Eredeti fejléccel'!$B:$B,'Felosztás eredménykim'!$B211,'Eredeti fejléccel'!$DE:$DE)</f>
        <v>0</v>
      </c>
      <c r="HB211" s="103">
        <f>SUM(GX211:HA211)</f>
        <v>0</v>
      </c>
      <c r="HD211" s="9">
        <f t="shared" si="429"/>
        <v>0</v>
      </c>
      <c r="HE211" s="9"/>
      <c r="HF211" s="476"/>
      <c r="HH211" s="34">
        <f>+HD211-HE211</f>
        <v>0</v>
      </c>
    </row>
    <row r="212" spans="1:218" x14ac:dyDescent="0.25">
      <c r="A212" s="325" t="s">
        <v>287</v>
      </c>
      <c r="B212" s="4" t="s">
        <v>287</v>
      </c>
      <c r="C212" s="1" t="s">
        <v>288</v>
      </c>
      <c r="D212" s="6">
        <f>SUMIF('Eredeti fejléccel'!$B:$B,'Felosztás eredménykim'!$B212,'Eredeti fejléccel'!$D:$D)</f>
        <v>0</v>
      </c>
      <c r="E212" s="6">
        <f>SUMIF('Eredeti fejléccel'!$B:$B,'Felosztás eredménykim'!$B212,'Eredeti fejléccel'!$E:$E)</f>
        <v>17000</v>
      </c>
      <c r="F212" s="6">
        <f>SUMIF('Eredeti fejléccel'!$B:$B,'Felosztás eredménykim'!$B212,'Eredeti fejléccel'!$F:$F)</f>
        <v>0</v>
      </c>
      <c r="G212" s="6">
        <f>SUMIF('Eredeti fejléccel'!$B:$B,'Felosztás eredménykim'!$B212,'Eredeti fejléccel'!$G:$G)</f>
        <v>0</v>
      </c>
      <c r="H212" s="6"/>
      <c r="I212" s="6">
        <f>SUMIF('Eredeti fejléccel'!$B:$B,'Felosztás eredménykim'!$B212,'Eredeti fejléccel'!$O:$O)</f>
        <v>0</v>
      </c>
      <c r="J212" s="6">
        <f>SUMIF('Eredeti fejléccel'!$B:$B,'Felosztás eredménykim'!$B212,'Eredeti fejléccel'!$P:$P)</f>
        <v>0</v>
      </c>
      <c r="K212" s="6">
        <f>SUMIF('Eredeti fejléccel'!$B:$B,'Felosztás eredménykim'!$B212,'Eredeti fejléccel'!$Q:$Q)</f>
        <v>0</v>
      </c>
      <c r="L212" s="6">
        <f>SUMIF('Eredeti fejléccel'!$B:$B,'Felosztás eredménykim'!$B212,'Eredeti fejléccel'!$R:$R)</f>
        <v>0</v>
      </c>
      <c r="M212" s="6">
        <f>SUMIF('Eredeti fejléccel'!$B:$B,'Felosztás eredménykim'!$B212,'Eredeti fejléccel'!$T:$T)</f>
        <v>0</v>
      </c>
      <c r="N212" s="6">
        <f>SUMIF('Eredeti fejléccel'!$B:$B,'Felosztás eredménykim'!$B212,'Eredeti fejléccel'!$U:$U)</f>
        <v>0</v>
      </c>
      <c r="O212" s="6">
        <f>SUMIF('Eredeti fejléccel'!$B:$B,'Felosztás eredménykim'!$B212,'Eredeti fejléccel'!$V:$V)</f>
        <v>0</v>
      </c>
      <c r="P212" s="6">
        <f>SUMIF('Eredeti fejléccel'!$B:$B,'Felosztás eredménykim'!$B212,'Eredeti fejléccel'!$W:$W)</f>
        <v>0</v>
      </c>
      <c r="Q212" s="6">
        <f>SUMIF('Eredeti fejléccel'!$B:$B,'Felosztás eredménykim'!$B212,'Eredeti fejléccel'!$X:$X)</f>
        <v>0</v>
      </c>
      <c r="R212" s="6">
        <f>SUMIF('Eredeti fejléccel'!$B:$B,'Felosztás eredménykim'!$B212,'Eredeti fejléccel'!$Y:$Y)</f>
        <v>0</v>
      </c>
      <c r="S212" s="6">
        <f>SUMIF('Eredeti fejléccel'!$B:$B,'Felosztás eredménykim'!$B212,'Eredeti fejléccel'!$Z:$Z)</f>
        <v>0</v>
      </c>
      <c r="T212" s="6">
        <f>SUMIF('Eredeti fejléccel'!$B:$B,'Felosztás eredménykim'!$B212,'Eredeti fejléccel'!$AA:$AA)</f>
        <v>0</v>
      </c>
      <c r="U212" s="6">
        <f>SUMIF('Eredeti fejléccel'!$B:$B,'Felosztás eredménykim'!$B212,'Eredeti fejléccel'!$D:$D)</f>
        <v>0</v>
      </c>
      <c r="V212" s="6">
        <f>SUMIF('Eredeti fejléccel'!$B:$B,'Felosztás eredménykim'!$B212,'Eredeti fejléccel'!$AT:$AT)</f>
        <v>0</v>
      </c>
      <c r="W212" s="36">
        <v>-17000</v>
      </c>
      <c r="X212" s="36">
        <f t="shared" si="414"/>
        <v>0</v>
      </c>
      <c r="Z212" s="6">
        <f>SUMIF('Eredeti fejléccel'!$B:$B,'Felosztás eredménykim'!$B212,'Eredeti fejléccel'!$K:$K)</f>
        <v>0</v>
      </c>
      <c r="AB212" s="6">
        <f>SUMIF('Eredeti fejléccel'!$B:$B,'Felosztás eredménykim'!$B212,'Eredeti fejléccel'!$AB:$AB)</f>
        <v>0</v>
      </c>
      <c r="AC212" s="6">
        <f>SUMIF('Eredeti fejléccel'!$B:$B,'Felosztás eredménykim'!$B212,'Eredeti fejléccel'!$AQ:$AQ)</f>
        <v>0</v>
      </c>
      <c r="AE212" s="73">
        <f t="shared" si="299"/>
        <v>0</v>
      </c>
      <c r="AF212" s="36">
        <f t="shared" si="470"/>
        <v>0</v>
      </c>
      <c r="AG212" s="8">
        <f t="shared" si="399"/>
        <v>0</v>
      </c>
      <c r="AI212" s="6">
        <f>SUMIF('Eredeti fejléccel'!$B:$B,'Felosztás eredménykim'!$B212,'Eredeti fejléccel'!$BB:$BB)</f>
        <v>0</v>
      </c>
      <c r="AJ212" s="6">
        <f>SUMIF('Eredeti fejléccel'!$B:$B,'Felosztás eredménykim'!$B212,'Eredeti fejléccel'!$AF:$AF)</f>
        <v>0</v>
      </c>
      <c r="AK212" s="8">
        <f t="shared" si="177"/>
        <v>0</v>
      </c>
      <c r="AL212" s="36">
        <f t="shared" si="471"/>
        <v>0</v>
      </c>
      <c r="AM212" s="8">
        <f t="shared" si="400"/>
        <v>0</v>
      </c>
      <c r="AN212" s="6">
        <f t="shared" si="291"/>
        <v>0</v>
      </c>
      <c r="AO212" s="6">
        <f>SUMIF('Eredeti fejléccel'!$B:$B,'Felosztás eredménykim'!$B212,'Eredeti fejléccel'!$AC:$AC)</f>
        <v>0</v>
      </c>
      <c r="AP212" s="6">
        <f>SUMIF('Eredeti fejléccel'!$B:$B,'Felosztás eredménykim'!$B212,'Eredeti fejléccel'!$AD:$AD)</f>
        <v>0</v>
      </c>
      <c r="AQ212" s="6">
        <f>SUMIF('Eredeti fejléccel'!$B:$B,'Felosztás eredménykim'!$B212,'Eredeti fejléccel'!$AE:$AE)</f>
        <v>0</v>
      </c>
      <c r="AR212" s="6">
        <f>SUMIF('Eredeti fejléccel'!$B:$B,'Felosztás eredménykim'!$B212,'Eredeti fejléccel'!$AG:$AG)</f>
        <v>0</v>
      </c>
      <c r="AS212" s="6">
        <f t="shared" si="292"/>
        <v>0</v>
      </c>
      <c r="AT212" s="36">
        <f t="shared" si="472"/>
        <v>0</v>
      </c>
      <c r="AU212" s="8">
        <f t="shared" si="401"/>
        <v>0</v>
      </c>
      <c r="AV212" s="6">
        <f>SUMIF('Eredeti fejléccel'!$B:$B,'Felosztás eredménykim'!$B212,'Eredeti fejléccel'!$AI:$AI)</f>
        <v>0</v>
      </c>
      <c r="AW212" s="6">
        <f>SUMIF('Eredeti fejléccel'!$B:$B,'Felosztás eredménykim'!$B212,'Eredeti fejléccel'!$AJ:$AJ)</f>
        <v>0</v>
      </c>
      <c r="AX212" s="6">
        <f>SUMIF('Eredeti fejléccel'!$B:$B,'Felosztás eredménykim'!$B212,'Eredeti fejléccel'!$AK:$AK)</f>
        <v>0</v>
      </c>
      <c r="AY212" s="6">
        <f>SUMIF('Eredeti fejléccel'!$B:$B,'Felosztás eredménykim'!$B212,'Eredeti fejléccel'!$AL:$AL)</f>
        <v>0</v>
      </c>
      <c r="AZ212" s="6">
        <f>SUMIF('Eredeti fejléccel'!$B:$B,'Felosztás eredménykim'!$B212,'Eredeti fejléccel'!$AM:$AM)</f>
        <v>0</v>
      </c>
      <c r="BA212" s="6">
        <f>SUMIF('Eredeti fejléccel'!$B:$B,'Felosztás eredménykim'!$B212,'Eredeti fejléccel'!$AN:$AN)</f>
        <v>0</v>
      </c>
      <c r="BB212" s="6">
        <f>SUMIF('Eredeti fejléccel'!$B:$B,'Felosztás eredménykim'!$B212,'Eredeti fejléccel'!$AP:$AP)</f>
        <v>0</v>
      </c>
      <c r="BD212" s="6">
        <f>SUMIF('Eredeti fejléccel'!$B:$B,'Felosztás eredménykim'!$B212,'Eredeti fejléccel'!$AS:$AS)</f>
        <v>0</v>
      </c>
      <c r="BE212" s="8">
        <f t="shared" si="238"/>
        <v>0</v>
      </c>
      <c r="BF212" s="36">
        <f t="shared" si="473"/>
        <v>0</v>
      </c>
      <c r="BG212" s="8">
        <f t="shared" si="402"/>
        <v>0</v>
      </c>
      <c r="BH212" s="6">
        <f t="shared" si="293"/>
        <v>0</v>
      </c>
      <c r="BI212" s="6">
        <f>SUMIF('Eredeti fejléccel'!$B:$B,'Felosztás eredménykim'!$B212,'Eredeti fejléccel'!$AH:$AH)</f>
        <v>0</v>
      </c>
      <c r="BJ212" s="6">
        <f>SUMIF('Eredeti fejléccel'!$B:$B,'Felosztás eredménykim'!$B212,'Eredeti fejléccel'!$AO:$AO)</f>
        <v>0</v>
      </c>
      <c r="BK212" s="6">
        <f>SUMIF('Eredeti fejléccel'!$B:$B,'Felosztás eredménykim'!$B212,'Eredeti fejléccel'!$BF:$BF)</f>
        <v>0</v>
      </c>
      <c r="BL212" s="8">
        <f t="shared" si="294"/>
        <v>0</v>
      </c>
      <c r="BM212" s="36">
        <f t="shared" si="474"/>
        <v>0</v>
      </c>
      <c r="BN212" s="8">
        <f t="shared" si="403"/>
        <v>0</v>
      </c>
      <c r="BP212" s="8">
        <f t="shared" si="295"/>
        <v>0</v>
      </c>
      <c r="BQ212" s="6">
        <f>SUMIF('Eredeti fejléccel'!$B:$B,'Felosztás eredménykim'!$B212,'Eredeti fejléccel'!$N:$N)</f>
        <v>0</v>
      </c>
      <c r="BR212" s="6">
        <f>SUMIF('Eredeti fejléccel'!$B:$B,'Felosztás eredménykim'!$B212,'Eredeti fejléccel'!$S:$S)</f>
        <v>0</v>
      </c>
      <c r="BT212" s="6">
        <f>SUMIF('Eredeti fejléccel'!$B:$B,'Felosztás eredménykim'!$B212,'Eredeti fejléccel'!$AR:$AR)</f>
        <v>0</v>
      </c>
      <c r="BU212" s="6">
        <f>SUMIF('Eredeti fejléccel'!$B:$B,'Felosztás eredménykim'!$B212,'Eredeti fejléccel'!$AU:$AU)</f>
        <v>0</v>
      </c>
      <c r="BV212" s="6">
        <f>SUMIF('Eredeti fejléccel'!$B:$B,'Felosztás eredménykim'!$B212,'Eredeti fejléccel'!$AV:$AV)</f>
        <v>0</v>
      </c>
      <c r="BW212" s="6">
        <f>SUMIF('Eredeti fejléccel'!$B:$B,'Felosztás eredménykim'!$B212,'Eredeti fejléccel'!$AW:$AW)</f>
        <v>0</v>
      </c>
      <c r="BX212" s="6">
        <f>SUMIF('Eredeti fejléccel'!$B:$B,'Felosztás eredménykim'!$B212,'Eredeti fejléccel'!$AX:$AX)</f>
        <v>0</v>
      </c>
      <c r="BY212" s="6">
        <f>SUMIF('Eredeti fejléccel'!$B:$B,'Felosztás eredménykim'!$B212,'Eredeti fejléccel'!$AY:$AY)</f>
        <v>0</v>
      </c>
      <c r="BZ212" s="6">
        <f>SUMIF('Eredeti fejléccel'!$B:$B,'Felosztás eredménykim'!$B212,'Eredeti fejléccel'!$AZ:$AZ)</f>
        <v>0</v>
      </c>
      <c r="CA212" s="6">
        <f>SUMIF('Eredeti fejléccel'!$B:$B,'Felosztás eredménykim'!$B212,'Eredeti fejléccel'!$BA:$BA)</f>
        <v>0</v>
      </c>
      <c r="CB212" s="6">
        <f t="shared" si="481"/>
        <v>0</v>
      </c>
      <c r="CC212" s="36">
        <f t="shared" si="475"/>
        <v>0</v>
      </c>
      <c r="CD212" s="8">
        <f t="shared" si="404"/>
        <v>0</v>
      </c>
      <c r="CE212" s="6">
        <f>SUMIF('Eredeti fejléccel'!$B:$B,'Felosztás eredménykim'!$B212,'Eredeti fejléccel'!$BC:$BC)</f>
        <v>0</v>
      </c>
      <c r="CF212" s="8">
        <f t="shared" si="300"/>
        <v>0</v>
      </c>
      <c r="CG212" s="6">
        <f>SUMIF('Eredeti fejléccel'!$B:$B,'Felosztás eredménykim'!$B212,'Eredeti fejléccel'!$H:$H)</f>
        <v>0</v>
      </c>
      <c r="CH212" s="6">
        <f>SUMIF('Eredeti fejléccel'!$B:$B,'Felosztás eredménykim'!$B212,'Eredeti fejléccel'!$BE:$BE)</f>
        <v>0</v>
      </c>
      <c r="CI212" s="6">
        <f t="shared" si="239"/>
        <v>0</v>
      </c>
      <c r="CJ212" s="36">
        <f t="shared" si="476"/>
        <v>0</v>
      </c>
      <c r="CK212" s="8">
        <f t="shared" si="405"/>
        <v>0</v>
      </c>
      <c r="CL212" s="8">
        <f t="shared" si="301"/>
        <v>0</v>
      </c>
      <c r="CM212" s="6">
        <f>SUMIF('Eredeti fejléccel'!$B:$B,'Felosztás eredménykim'!$B212,'Eredeti fejléccel'!$BD:$BD)</f>
        <v>0</v>
      </c>
      <c r="CN212" s="8">
        <f t="shared" si="240"/>
        <v>0</v>
      </c>
      <c r="CO212" s="8">
        <f t="shared" si="482"/>
        <v>0</v>
      </c>
      <c r="CR212" s="36">
        <f t="shared" si="406"/>
        <v>0</v>
      </c>
      <c r="CS212" s="6">
        <f>SUMIF('Eredeti fejléccel'!$B:$B,'Felosztás eredménykim'!$B212,'Eredeti fejléccel'!$I:$I)</f>
        <v>0</v>
      </c>
      <c r="CT212" s="6">
        <f>SUMIF('Eredeti fejléccel'!$B:$B,'Felosztás eredménykim'!$B212,'Eredeti fejléccel'!$BG:$BG)</f>
        <v>0</v>
      </c>
      <c r="CU212" s="6">
        <f>SUMIF('Eredeti fejléccel'!$B:$B,'Felosztás eredménykim'!$B212,'Eredeti fejléccel'!$BH:$BH)</f>
        <v>0</v>
      </c>
      <c r="CV212" s="6">
        <f>SUMIF('Eredeti fejléccel'!$B:$B,'Felosztás eredménykim'!$B212,'Eredeti fejléccel'!$BI:$BI)</f>
        <v>0</v>
      </c>
      <c r="CW212" s="6">
        <f>SUMIF('Eredeti fejléccel'!$B:$B,'Felosztás eredménykim'!$B212,'Eredeti fejléccel'!$BL:$BL)</f>
        <v>0</v>
      </c>
      <c r="CX212" s="6">
        <f t="shared" si="241"/>
        <v>0</v>
      </c>
      <c r="CY212" s="6">
        <f>SUMIF('Eredeti fejléccel'!$B:$B,'Felosztás eredménykim'!$B212,'Eredeti fejléccel'!$BJ:$BJ)</f>
        <v>0</v>
      </c>
      <c r="CZ212" s="6">
        <f>SUMIF('Eredeti fejléccel'!$B:$B,'Felosztás eredménykim'!$B212,'Eredeti fejléccel'!$BK:$BK)</f>
        <v>0</v>
      </c>
      <c r="DA212" s="99">
        <f t="shared" si="415"/>
        <v>0</v>
      </c>
      <c r="DC212" s="36">
        <f t="shared" si="407"/>
        <v>0</v>
      </c>
      <c r="DD212" s="6">
        <f>SUMIF('Eredeti fejléccel'!$B:$B,'Felosztás eredménykim'!$B212,'Eredeti fejléccel'!$J:$J)</f>
        <v>0</v>
      </c>
      <c r="DE212" s="6">
        <f>SUMIF('Eredeti fejléccel'!$B:$B,'Felosztás eredménykim'!$B212,'Eredeti fejléccel'!$BM:$BM)</f>
        <v>0</v>
      </c>
      <c r="DF212" s="6">
        <f t="shared" si="296"/>
        <v>0</v>
      </c>
      <c r="DG212" s="8">
        <f t="shared" si="483"/>
        <v>0</v>
      </c>
      <c r="DH212" s="8">
        <f t="shared" si="297"/>
        <v>0</v>
      </c>
      <c r="DJ212" s="6">
        <f>SUMIF('Eredeti fejléccel'!$B:$B,'Felosztás eredménykim'!$B212,'Eredeti fejléccel'!$BN:$BN)</f>
        <v>0</v>
      </c>
      <c r="DK212" s="6">
        <f>SUMIF('Eredeti fejléccel'!$B:$B,'Felosztás eredménykim'!$B212,'Eredeti fejléccel'!$BZ:$BZ)</f>
        <v>0</v>
      </c>
      <c r="DL212" s="8">
        <f t="shared" si="298"/>
        <v>0</v>
      </c>
      <c r="DM212" s="6">
        <f>SUMIF('Eredeti fejléccel'!$B:$B,'Felosztás eredménykim'!$B212,'Eredeti fejléccel'!$BR:$BR)</f>
        <v>0</v>
      </c>
      <c r="DN212" s="6">
        <f>SUMIF('Eredeti fejléccel'!$B:$B,'Felosztás eredménykim'!$B212,'Eredeti fejléccel'!$BS:$BS)</f>
        <v>0</v>
      </c>
      <c r="DO212" s="6">
        <f>SUMIF('Eredeti fejléccel'!$B:$B,'Felosztás eredménykim'!$B212,'Eredeti fejléccel'!$BO:$BO)</f>
        <v>0</v>
      </c>
      <c r="DP212" s="6">
        <f>SUMIF('Eredeti fejléccel'!$B:$B,'Felosztás eredménykim'!$B212,'Eredeti fejléccel'!$BP:$BP)</f>
        <v>0</v>
      </c>
      <c r="DQ212" s="6">
        <f>SUMIF('Eredeti fejléccel'!$B:$B,'Felosztás eredménykim'!$B212,'Eredeti fejléccel'!$BQ:$BQ)</f>
        <v>0</v>
      </c>
      <c r="DS212" s="8"/>
      <c r="DU212" s="6">
        <f>SUMIF('Eredeti fejléccel'!$B:$B,'Felosztás eredménykim'!$B212,'Eredeti fejléccel'!$BT:$BT)</f>
        <v>0</v>
      </c>
      <c r="DV212" s="6">
        <f>SUMIF('Eredeti fejléccel'!$B:$B,'Felosztás eredménykim'!$B212,'Eredeti fejléccel'!$BU:$BU)</f>
        <v>0</v>
      </c>
      <c r="DW212" s="6">
        <f>SUMIF('Eredeti fejléccel'!$B:$B,'Felosztás eredménykim'!$B212,'Eredeti fejléccel'!$BV:$BV)</f>
        <v>0</v>
      </c>
      <c r="DX212" s="6">
        <f>SUMIF('Eredeti fejléccel'!$B:$B,'Felosztás eredménykim'!$B212,'Eredeti fejléccel'!$BW:$BW)</f>
        <v>0</v>
      </c>
      <c r="DY212" s="6">
        <f>SUMIF('Eredeti fejléccel'!$B:$B,'Felosztás eredménykim'!$B212,'Eredeti fejléccel'!$BX:$BX)</f>
        <v>0</v>
      </c>
      <c r="EA212" s="6"/>
      <c r="EC212" s="6"/>
      <c r="EE212" s="6">
        <f>SUMIF('Eredeti fejléccel'!$B:$B,'Felosztás eredménykim'!$B212,'Eredeti fejléccel'!$CA:$CA)</f>
        <v>0</v>
      </c>
      <c r="EF212" s="6">
        <f>SUMIF('Eredeti fejléccel'!$B:$B,'Felosztás eredménykim'!$B212,'Eredeti fejléccel'!$CB:$CB)</f>
        <v>0</v>
      </c>
      <c r="EG212" s="6">
        <f>SUMIF('Eredeti fejléccel'!$B:$B,'Felosztás eredménykim'!$B212,'Eredeti fejléccel'!$CC:$CC)</f>
        <v>0</v>
      </c>
      <c r="EH212" s="6">
        <f>SUMIF('Eredeti fejléccel'!$B:$B,'Felosztás eredménykim'!$B212,'Eredeti fejléccel'!$CD:$CD)</f>
        <v>0</v>
      </c>
      <c r="EK212" s="6">
        <f>SUMIF('Eredeti fejléccel'!$B:$B,'Felosztás eredménykim'!$B212,'Eredeti fejléccel'!$CE:$CE)</f>
        <v>0</v>
      </c>
      <c r="EN212" s="6">
        <f>SUMIF('Eredeti fejléccel'!$B:$B,'Felosztás eredménykim'!$B212,'Eredeti fejléccel'!$CF:$CF)</f>
        <v>0</v>
      </c>
      <c r="EP212" s="6">
        <f>SUMIF('Eredeti fejléccel'!$B:$B,'Felosztás eredménykim'!$B212,'Eredeti fejléccel'!$CG:$CG)</f>
        <v>0</v>
      </c>
      <c r="ES212" s="6">
        <f>SUMIF('Eredeti fejléccel'!$B:$B,'Felosztás eredménykim'!$B212,'Eredeti fejléccel'!$CH:$CH)</f>
        <v>0</v>
      </c>
      <c r="ET212" s="6">
        <f>SUMIF('Eredeti fejléccel'!$B:$B,'Felosztás eredménykim'!$B212,'Eredeti fejléccel'!$CI:$CI)</f>
        <v>0</v>
      </c>
      <c r="EW212" s="8">
        <f t="shared" si="288"/>
        <v>0</v>
      </c>
      <c r="EX212" s="8">
        <f t="shared" si="243"/>
        <v>0</v>
      </c>
      <c r="EY212" s="8">
        <f t="shared" si="416"/>
        <v>0</v>
      </c>
      <c r="EZ212" s="8">
        <f t="shared" si="289"/>
        <v>0</v>
      </c>
      <c r="FA212" s="8">
        <f t="shared" si="290"/>
        <v>0</v>
      </c>
      <c r="FC212" s="6">
        <f>SUMIF('Eredeti fejléccel'!$B:$B,'Felosztás eredménykim'!$B212,'Eredeti fejléccel'!$L:$L)</f>
        <v>0</v>
      </c>
      <c r="FD212" s="6">
        <f>SUMIF('Eredeti fejléccel'!$B:$B,'Felosztás eredménykim'!$B212,'Eredeti fejléccel'!$CJ:$CJ)</f>
        <v>0</v>
      </c>
      <c r="FE212" s="6">
        <f>SUMIF('Eredeti fejléccel'!$B:$B,'Felosztás eredménykim'!$B212,'Eredeti fejléccel'!$CL:$CL)</f>
        <v>0</v>
      </c>
      <c r="FG212" s="99">
        <f t="shared" si="245"/>
        <v>0</v>
      </c>
      <c r="FH212" s="6">
        <f>SUMIF('Eredeti fejléccel'!$B:$B,'Felosztás eredménykim'!$B212,'Eredeti fejléccel'!$CK:$CK)</f>
        <v>0</v>
      </c>
      <c r="FI212" s="36">
        <f t="shared" si="477"/>
        <v>0</v>
      </c>
      <c r="FJ212" s="101">
        <f t="shared" si="408"/>
        <v>0</v>
      </c>
      <c r="FK212" s="6">
        <f>SUMIF('Eredeti fejléccel'!$B:$B,'Felosztás eredménykim'!$B212,'Eredeti fejléccel'!$CM:$CM)</f>
        <v>0</v>
      </c>
      <c r="FL212" s="6">
        <f>SUMIF('Eredeti fejléccel'!$B:$B,'Felosztás eredménykim'!$B212,'Eredeti fejléccel'!$CN:$CN)</f>
        <v>0</v>
      </c>
      <c r="FM212" s="8">
        <f t="shared" si="246"/>
        <v>0</v>
      </c>
      <c r="FN212" s="36">
        <f t="shared" si="478"/>
        <v>0</v>
      </c>
      <c r="FO212" s="101">
        <f t="shared" si="409"/>
        <v>0</v>
      </c>
      <c r="FP212" s="6">
        <f>SUMIF('Eredeti fejléccel'!$B:$B,'Felosztás eredménykim'!$B212,'Eredeti fejléccel'!$CO:$CO)</f>
        <v>0</v>
      </c>
      <c r="FQ212" s="6">
        <f>'Eredeti fejléccel'!CP212</f>
        <v>0</v>
      </c>
      <c r="FR212" s="6">
        <f>'Eredeti fejléccel'!CQ212</f>
        <v>0</v>
      </c>
      <c r="FS212" s="103">
        <f t="shared" si="417"/>
        <v>0</v>
      </c>
      <c r="FT212" s="36">
        <f t="shared" si="479"/>
        <v>0</v>
      </c>
      <c r="FU212" s="101">
        <f t="shared" si="410"/>
        <v>0</v>
      </c>
      <c r="FV212" s="101"/>
      <c r="FW212" s="6">
        <f>SUMIF('Eredeti fejléccel'!$B:$B,'Felosztás eredménykim'!$B212,'Eredeti fejléccel'!$CR:$CR)</f>
        <v>0</v>
      </c>
      <c r="FX212" s="6">
        <f>SUMIF('Eredeti fejléccel'!$B:$B,'Felosztás eredménykim'!$B212,'Eredeti fejléccel'!$CS:$CS)</f>
        <v>0</v>
      </c>
      <c r="FY212" s="6">
        <f>SUMIF('Eredeti fejléccel'!$B:$B,'Felosztás eredménykim'!$B212,'Eredeti fejléccel'!$CT:$CT)</f>
        <v>0</v>
      </c>
      <c r="FZ212" s="6">
        <f>SUMIF('Eredeti fejléccel'!$B:$B,'Felosztás eredménykim'!$B212,'Eredeti fejléccel'!$CU:$CU)</f>
        <v>0</v>
      </c>
      <c r="GA212" s="103">
        <f t="shared" si="248"/>
        <v>0</v>
      </c>
      <c r="GB212" s="36">
        <f t="shared" si="480"/>
        <v>0</v>
      </c>
      <c r="GC212" s="101">
        <f t="shared" si="411"/>
        <v>0</v>
      </c>
      <c r="GD212" s="6">
        <f>SUMIF('Eredeti fejléccel'!$B:$B,'Felosztás eredménykim'!$B212,'Eredeti fejléccel'!$CV:$CV)</f>
        <v>0</v>
      </c>
      <c r="GE212" s="6">
        <f>SUMIF('Eredeti fejléccel'!$B:$B,'Felosztás eredménykim'!$B212,'Eredeti fejléccel'!$CW:$CW)</f>
        <v>0</v>
      </c>
      <c r="GF212" s="103">
        <f t="shared" si="249"/>
        <v>0</v>
      </c>
      <c r="GG212" s="36">
        <f t="shared" si="412"/>
        <v>0</v>
      </c>
      <c r="GM212" s="6">
        <f>SUMIF('Eredeti fejléccel'!$B:$B,'Felosztás eredménykim'!$B212,'Eredeti fejléccel'!$CX:$CX)</f>
        <v>0</v>
      </c>
      <c r="GN212" s="6">
        <f>SUMIF('Eredeti fejléccel'!$B:$B,'Felosztás eredménykim'!$B212,'Eredeti fejléccel'!$CY:$CY)</f>
        <v>0</v>
      </c>
      <c r="GO212" s="6">
        <f>SUMIF('Eredeti fejléccel'!$B:$B,'Felosztás eredménykim'!$B212,'Eredeti fejléccel'!$CZ:$CZ)</f>
        <v>0</v>
      </c>
      <c r="GP212" s="6">
        <f>SUMIF('Eredeti fejléccel'!$B:$B,'Felosztás eredménykim'!$B212,'Eredeti fejléccel'!$DA:$DA)</f>
        <v>0</v>
      </c>
      <c r="GQ212" s="6">
        <f>SUMIF('Eredeti fejléccel'!$B:$B,'Felosztás eredménykim'!$B212,'Eredeti fejléccel'!$DB:$DB)</f>
        <v>0</v>
      </c>
      <c r="GR212" s="103">
        <f t="shared" si="250"/>
        <v>0</v>
      </c>
      <c r="GW212" s="36">
        <f t="shared" si="413"/>
        <v>0</v>
      </c>
      <c r="GX212" s="6">
        <f>SUMIF('Eredeti fejléccel'!$B:$B,'Felosztás eredménykim'!$B212,'Eredeti fejléccel'!$M:$M)</f>
        <v>0</v>
      </c>
      <c r="GY212" s="6">
        <f>SUMIF('Eredeti fejléccel'!$B:$B,'Felosztás eredménykim'!$B212,'Eredeti fejléccel'!$DC:$DC)</f>
        <v>0</v>
      </c>
      <c r="GZ212" s="6">
        <f>SUMIF('Eredeti fejléccel'!$B:$B,'Felosztás eredménykim'!$B212,'Eredeti fejléccel'!$DD:$DD)</f>
        <v>0</v>
      </c>
      <c r="HA212" s="6">
        <f>SUMIF('Eredeti fejléccel'!$B:$B,'Felosztás eredménykim'!$B212,'Eredeti fejléccel'!$DE:$DE)</f>
        <v>0</v>
      </c>
      <c r="HB212" s="103">
        <f t="shared" si="251"/>
        <v>0</v>
      </c>
      <c r="HD212" s="9">
        <f t="shared" si="429"/>
        <v>17000</v>
      </c>
      <c r="HE212" s="9">
        <v>17000</v>
      </c>
      <c r="HF212" s="476"/>
      <c r="HH212" s="220">
        <f t="shared" si="252"/>
        <v>0</v>
      </c>
    </row>
    <row r="213" spans="1:218" x14ac:dyDescent="0.25">
      <c r="A213" s="4" t="s">
        <v>289</v>
      </c>
      <c r="B213" s="4" t="s">
        <v>289</v>
      </c>
      <c r="C213" s="1" t="s">
        <v>290</v>
      </c>
      <c r="D213" s="6">
        <f>SUMIF('Eredeti fejléccel'!$B:$B,'Felosztás eredménykim'!$B213,'Eredeti fejléccel'!$D:$D)</f>
        <v>0</v>
      </c>
      <c r="E213" s="503">
        <f>SUMIF('Eredeti fejléccel'!$B:$B,'Felosztás eredménykim'!$B213,'Eredeti fejléccel'!$E:$E)</f>
        <v>180255</v>
      </c>
      <c r="F213" s="6">
        <f>SUMIF('Eredeti fejléccel'!$B:$B,'Felosztás eredménykim'!$B213,'Eredeti fejléccel'!$F:$F)</f>
        <v>0</v>
      </c>
      <c r="G213" s="6">
        <f>SUMIF('Eredeti fejléccel'!$B:$B,'Felosztás eredménykim'!$B213,'Eredeti fejléccel'!$G:$G)</f>
        <v>0</v>
      </c>
      <c r="H213" s="6"/>
      <c r="I213" s="6">
        <f>SUMIF('Eredeti fejléccel'!$B:$B,'Felosztás eredménykim'!$B213,'Eredeti fejléccel'!$O:$O)</f>
        <v>0</v>
      </c>
      <c r="J213" s="6">
        <f>SUMIF('Eredeti fejléccel'!$B:$B,'Felosztás eredménykim'!$B213,'Eredeti fejléccel'!$P:$P)</f>
        <v>0</v>
      </c>
      <c r="K213" s="6">
        <f>SUMIF('Eredeti fejléccel'!$B:$B,'Felosztás eredménykim'!$B213,'Eredeti fejléccel'!$Q:$Q)</f>
        <v>0</v>
      </c>
      <c r="L213" s="6">
        <f>SUMIF('Eredeti fejléccel'!$B:$B,'Felosztás eredménykim'!$B213,'Eredeti fejléccel'!$R:$R)</f>
        <v>0</v>
      </c>
      <c r="M213" s="6">
        <f>SUMIF('Eredeti fejléccel'!$B:$B,'Felosztás eredménykim'!$B213,'Eredeti fejléccel'!$T:$T)</f>
        <v>0</v>
      </c>
      <c r="N213" s="6">
        <f>SUMIF('Eredeti fejléccel'!$B:$B,'Felosztás eredménykim'!$B213,'Eredeti fejléccel'!$U:$U)</f>
        <v>0</v>
      </c>
      <c r="O213" s="6">
        <f>SUMIF('Eredeti fejléccel'!$B:$B,'Felosztás eredménykim'!$B213,'Eredeti fejléccel'!$V:$V)</f>
        <v>0</v>
      </c>
      <c r="P213" s="6">
        <f>SUMIF('Eredeti fejléccel'!$B:$B,'Felosztás eredménykim'!$B213,'Eredeti fejléccel'!$W:$W)</f>
        <v>0</v>
      </c>
      <c r="Q213" s="6">
        <f>SUMIF('Eredeti fejléccel'!$B:$B,'Felosztás eredménykim'!$B213,'Eredeti fejléccel'!$X:$X)</f>
        <v>0</v>
      </c>
      <c r="R213" s="6">
        <f>SUMIF('Eredeti fejléccel'!$B:$B,'Felosztás eredménykim'!$B213,'Eredeti fejléccel'!$Y:$Y)</f>
        <v>0</v>
      </c>
      <c r="S213" s="6">
        <f>SUMIF('Eredeti fejléccel'!$B:$B,'Felosztás eredménykim'!$B213,'Eredeti fejléccel'!$Z:$Z)</f>
        <v>0</v>
      </c>
      <c r="T213" s="6">
        <f>SUMIF('Eredeti fejléccel'!$B:$B,'Felosztás eredménykim'!$B213,'Eredeti fejléccel'!$AA:$AA)</f>
        <v>0</v>
      </c>
      <c r="U213" s="6">
        <v>0</v>
      </c>
      <c r="V213" s="6">
        <f>SUMIF('Eredeti fejléccel'!$B:$B,'Felosztás eredménykim'!$B213,'Eredeti fejléccel'!$AT:$AT)</f>
        <v>16</v>
      </c>
      <c r="W213" s="555">
        <v>0</v>
      </c>
      <c r="X213" s="36">
        <f t="shared" si="414"/>
        <v>180271</v>
      </c>
      <c r="Z213" s="6">
        <f>SUMIF('Eredeti fejléccel'!$B:$B,'Felosztás eredménykim'!$B213,'Eredeti fejléccel'!$K:$K)</f>
        <v>0</v>
      </c>
      <c r="AB213" s="6">
        <f>SUMIF('Eredeti fejléccel'!$B:$B,'Felosztás eredménykim'!$B213,'Eredeti fejléccel'!$AB:$AB)</f>
        <v>0</v>
      </c>
      <c r="AC213" s="6">
        <f>SUMIF('Eredeti fejléccel'!$B:$B,'Felosztás eredménykim'!$B213,'Eredeti fejléccel'!$AQ:$AQ)</f>
        <v>0</v>
      </c>
      <c r="AE213" s="73">
        <f t="shared" si="299"/>
        <v>0</v>
      </c>
      <c r="AF213" s="36">
        <f t="shared" si="470"/>
        <v>21505.364323996077</v>
      </c>
      <c r="AG213" s="8">
        <f t="shared" si="399"/>
        <v>0</v>
      </c>
      <c r="AI213" s="6">
        <f>SUMIF('Eredeti fejléccel'!$B:$B,'Felosztás eredménykim'!$B213,'Eredeti fejléccel'!$BB:$BB)</f>
        <v>0</v>
      </c>
      <c r="AJ213" s="6">
        <f>SUMIF('Eredeti fejléccel'!$B:$B,'Felosztás eredménykim'!$B213,'Eredeti fejléccel'!$AF:$AF)</f>
        <v>0</v>
      </c>
      <c r="AK213" s="8">
        <f t="shared" si="177"/>
        <v>0</v>
      </c>
      <c r="AL213" s="36">
        <f t="shared" si="471"/>
        <v>8541.8221270065769</v>
      </c>
      <c r="AM213" s="8">
        <f t="shared" si="400"/>
        <v>0</v>
      </c>
      <c r="AN213" s="6">
        <f t="shared" si="291"/>
        <v>0</v>
      </c>
      <c r="AO213" s="6">
        <f>SUMIF('Eredeti fejléccel'!$B:$B,'Felosztás eredménykim'!$B213,'Eredeti fejléccel'!$AC:$AC)</f>
        <v>0</v>
      </c>
      <c r="AP213" s="6">
        <f>SUMIF('Eredeti fejléccel'!$B:$B,'Felosztás eredménykim'!$B213,'Eredeti fejléccel'!$AD:$AD)</f>
        <v>0</v>
      </c>
      <c r="AQ213" s="6">
        <f>SUMIF('Eredeti fejléccel'!$B:$B,'Felosztás eredménykim'!$B213,'Eredeti fejléccel'!$AE:$AE)</f>
        <v>1</v>
      </c>
      <c r="AR213" s="6">
        <f>SUMIF('Eredeti fejléccel'!$B:$B,'Felosztás eredménykim'!$B213,'Eredeti fejléccel'!$AG:$AG)</f>
        <v>0</v>
      </c>
      <c r="AS213" s="6">
        <f t="shared" si="292"/>
        <v>1</v>
      </c>
      <c r="AT213" s="36">
        <f t="shared" si="472"/>
        <v>13874.428596126503</v>
      </c>
      <c r="AU213" s="8">
        <f t="shared" si="401"/>
        <v>0</v>
      </c>
      <c r="AV213" s="6">
        <f>SUMIF('Eredeti fejléccel'!$B:$B,'Felosztás eredménykim'!$B213,'Eredeti fejléccel'!$AI:$AI)</f>
        <v>0</v>
      </c>
      <c r="AW213" s="6">
        <f>SUMIF('Eredeti fejléccel'!$B:$B,'Felosztás eredménykim'!$B213,'Eredeti fejléccel'!$AJ:$AJ)</f>
        <v>0</v>
      </c>
      <c r="AX213" s="6">
        <f>SUMIF('Eredeti fejléccel'!$B:$B,'Felosztás eredménykim'!$B213,'Eredeti fejléccel'!$AK:$AK)</f>
        <v>0</v>
      </c>
      <c r="AY213" s="6">
        <f>SUMIF('Eredeti fejléccel'!$B:$B,'Felosztás eredménykim'!$B213,'Eredeti fejléccel'!$AL:$AL)</f>
        <v>0</v>
      </c>
      <c r="AZ213" s="6">
        <f>SUMIF('Eredeti fejléccel'!$B:$B,'Felosztás eredménykim'!$B213,'Eredeti fejléccel'!$AM:$AM)</f>
        <v>0</v>
      </c>
      <c r="BA213" s="6">
        <f>SUMIF('Eredeti fejléccel'!$B:$B,'Felosztás eredménykim'!$B213,'Eredeti fejléccel'!$AN:$AN)</f>
        <v>0</v>
      </c>
      <c r="BB213" s="6">
        <f>SUMIF('Eredeti fejléccel'!$B:$B,'Felosztás eredménykim'!$B213,'Eredeti fejléccel'!$AP:$AP)</f>
        <v>0</v>
      </c>
      <c r="BD213" s="6">
        <f>SUMIF('Eredeti fejléccel'!$B:$B,'Felosztás eredménykim'!$B213,'Eredeti fejléccel'!$AS:$AS)</f>
        <v>0</v>
      </c>
      <c r="BE213" s="8">
        <f t="shared" si="238"/>
        <v>0</v>
      </c>
      <c r="BF213" s="36">
        <f t="shared" si="473"/>
        <v>3619.416155511261</v>
      </c>
      <c r="BG213" s="8">
        <f t="shared" si="402"/>
        <v>0</v>
      </c>
      <c r="BH213" s="6">
        <f t="shared" si="293"/>
        <v>0</v>
      </c>
      <c r="BI213" s="6">
        <f>SUMIF('Eredeti fejléccel'!$B:$B,'Felosztás eredménykim'!$B213,'Eredeti fejléccel'!$AH:$AH)</f>
        <v>0</v>
      </c>
      <c r="BJ213" s="6">
        <f>SUMIF('Eredeti fejléccel'!$B:$B,'Felosztás eredménykim'!$B213,'Eredeti fejléccel'!$AO:$AO)</f>
        <v>0</v>
      </c>
      <c r="BK213" s="6">
        <f>SUMIF('Eredeti fejléccel'!$B:$B,'Felosztás eredménykim'!$B213,'Eredeti fejléccel'!$BF:$BF)</f>
        <v>0</v>
      </c>
      <c r="BL213" s="8">
        <f t="shared" si="294"/>
        <v>0</v>
      </c>
      <c r="BM213" s="36">
        <f t="shared" si="474"/>
        <v>13560.745862648861</v>
      </c>
      <c r="BN213" s="8">
        <f t="shared" si="403"/>
        <v>0</v>
      </c>
      <c r="BP213" s="8">
        <f t="shared" si="295"/>
        <v>0</v>
      </c>
      <c r="BQ213" s="6">
        <f>SUMIF('Eredeti fejléccel'!$B:$B,'Felosztás eredménykim'!$B213,'Eredeti fejléccel'!$N:$N)</f>
        <v>0</v>
      </c>
      <c r="BR213" s="6">
        <f>SUMIF('Eredeti fejléccel'!$B:$B,'Felosztás eredménykim'!$B213,'Eredeti fejléccel'!$S:$S)</f>
        <v>0</v>
      </c>
      <c r="BT213" s="6">
        <f>SUMIF('Eredeti fejléccel'!$B:$B,'Felosztás eredménykim'!$B213,'Eredeti fejléccel'!$AR:$AR)</f>
        <v>0</v>
      </c>
      <c r="BU213" s="6">
        <f>SUMIF('Eredeti fejléccel'!$B:$B,'Felosztás eredménykim'!$B213,'Eredeti fejléccel'!$AU:$AU)</f>
        <v>0</v>
      </c>
      <c r="BV213" s="6">
        <f>SUMIF('Eredeti fejléccel'!$B:$B,'Felosztás eredménykim'!$B213,'Eredeti fejléccel'!$AV:$AV)</f>
        <v>0</v>
      </c>
      <c r="BW213" s="6">
        <f>SUMIF('Eredeti fejléccel'!$B:$B,'Felosztás eredménykim'!$B213,'Eredeti fejléccel'!$AW:$AW)</f>
        <v>0</v>
      </c>
      <c r="BX213" s="6">
        <f>SUMIF('Eredeti fejléccel'!$B:$B,'Felosztás eredménykim'!$B213,'Eredeti fejléccel'!$AX:$AX)</f>
        <v>0</v>
      </c>
      <c r="BY213" s="6">
        <f>SUMIF('Eredeti fejléccel'!$B:$B,'Felosztás eredménykim'!$B213,'Eredeti fejléccel'!$AY:$AY)</f>
        <v>0</v>
      </c>
      <c r="BZ213" s="6">
        <f>SUMIF('Eredeti fejléccel'!$B:$B,'Felosztás eredménykim'!$B213,'Eredeti fejléccel'!$AZ:$AZ)</f>
        <v>0</v>
      </c>
      <c r="CA213" s="6">
        <f>SUMIF('Eredeti fejléccel'!$B:$B,'Felosztás eredménykim'!$B213,'Eredeti fejléccel'!$BA:$BA)</f>
        <v>1</v>
      </c>
      <c r="CB213" s="6">
        <f t="shared" si="481"/>
        <v>1</v>
      </c>
      <c r="CC213" s="36">
        <f t="shared" si="475"/>
        <v>3691.8044786214864</v>
      </c>
      <c r="CD213" s="8">
        <f t="shared" si="404"/>
        <v>0</v>
      </c>
      <c r="CE213" s="6">
        <f>SUMIF('Eredeti fejléccel'!$B:$B,'Felosztás eredménykim'!$B213,'Eredeti fejléccel'!$BC:$BC)</f>
        <v>0</v>
      </c>
      <c r="CF213" s="8">
        <f t="shared" si="300"/>
        <v>0</v>
      </c>
      <c r="CG213" s="6">
        <f>SUMIF('Eredeti fejléccel'!$B:$B,'Felosztás eredménykim'!$B213,'Eredeti fejléccel'!$H:$H)</f>
        <v>0</v>
      </c>
      <c r="CH213" s="6">
        <f>SUMIF('Eredeti fejléccel'!$B:$B,'Felosztás eredménykim'!$B213,'Eredeti fejléccel'!$BE:$BE)</f>
        <v>0</v>
      </c>
      <c r="CI213" s="6">
        <f t="shared" si="239"/>
        <v>0</v>
      </c>
      <c r="CJ213" s="36">
        <f t="shared" si="476"/>
        <v>2654.2385140415922</v>
      </c>
      <c r="CK213" s="8">
        <f t="shared" si="405"/>
        <v>0</v>
      </c>
      <c r="CL213" s="8">
        <f t="shared" si="301"/>
        <v>0</v>
      </c>
      <c r="CM213" s="6">
        <f>SUMIF('Eredeti fejléccel'!$B:$B,'Felosztás eredménykim'!$B213,'Eredeti fejléccel'!$BD:$BD)</f>
        <v>0</v>
      </c>
      <c r="CN213" s="8">
        <f t="shared" si="240"/>
        <v>0</v>
      </c>
      <c r="CO213" s="8">
        <f t="shared" si="482"/>
        <v>67449.820057952355</v>
      </c>
      <c r="CR213" s="36">
        <f t="shared" si="406"/>
        <v>15943.478332260142</v>
      </c>
      <c r="CS213" s="6">
        <f>SUMIF('Eredeti fejléccel'!$B:$B,'Felosztás eredménykim'!$B213,'Eredeti fejléccel'!$I:$I)</f>
        <v>0</v>
      </c>
      <c r="CT213" s="6">
        <f>SUMIF('Eredeti fejléccel'!$B:$B,'Felosztás eredménykim'!$B213,'Eredeti fejléccel'!$BG:$BG)</f>
        <v>0</v>
      </c>
      <c r="CU213" s="6">
        <f>SUMIF('Eredeti fejléccel'!$B:$B,'Felosztás eredménykim'!$B213,'Eredeti fejléccel'!$BH:$BH)</f>
        <v>0</v>
      </c>
      <c r="CV213" s="6">
        <f>SUMIF('Eredeti fejléccel'!$B:$B,'Felosztás eredménykim'!$B213,'Eredeti fejléccel'!$BI:$BI)</f>
        <v>0</v>
      </c>
      <c r="CW213" s="6">
        <f>SUMIF('Eredeti fejléccel'!$B:$B,'Felosztás eredménykim'!$B213,'Eredeti fejléccel'!$BL:$BL)</f>
        <v>0</v>
      </c>
      <c r="CX213" s="6">
        <f t="shared" si="241"/>
        <v>0</v>
      </c>
      <c r="CY213" s="6">
        <f>SUMIF('Eredeti fejléccel'!$B:$B,'Felosztás eredménykim'!$B213,'Eredeti fejléccel'!$BJ:$BJ)</f>
        <v>0</v>
      </c>
      <c r="CZ213" s="6">
        <f>SUMIF('Eredeti fejléccel'!$B:$B,'Felosztás eredménykim'!$B213,'Eredeti fejléccel'!$BK:$BK)</f>
        <v>0</v>
      </c>
      <c r="DA213" s="99">
        <f t="shared" si="415"/>
        <v>0</v>
      </c>
      <c r="DC213" s="36">
        <f t="shared" si="407"/>
        <v>13964.327945911142</v>
      </c>
      <c r="DD213" s="6">
        <f>SUMIF('Eredeti fejléccel'!$B:$B,'Felosztás eredménykim'!$B213,'Eredeti fejléccel'!$J:$J)</f>
        <v>0</v>
      </c>
      <c r="DE213" s="6">
        <f>SUMIF('Eredeti fejléccel'!$B:$B,'Felosztás eredménykim'!$B213,'Eredeti fejléccel'!$BM:$BM)</f>
        <v>0</v>
      </c>
      <c r="DF213" s="6">
        <f t="shared" si="296"/>
        <v>0</v>
      </c>
      <c r="DG213" s="8">
        <f t="shared" si="483"/>
        <v>0</v>
      </c>
      <c r="DH213" s="8">
        <f t="shared" si="297"/>
        <v>0</v>
      </c>
      <c r="DJ213" s="6">
        <f>SUMIF('Eredeti fejléccel'!$B:$B,'Felosztás eredménykim'!$B213,'Eredeti fejléccel'!$BN:$BN)</f>
        <v>0</v>
      </c>
      <c r="DK213" s="6">
        <f>SUMIF('Eredeti fejléccel'!$B:$B,'Felosztás eredménykim'!$B213,'Eredeti fejléccel'!$BZ:$BZ)</f>
        <v>0</v>
      </c>
      <c r="DL213" s="8">
        <f t="shared" si="298"/>
        <v>0</v>
      </c>
      <c r="DM213" s="6">
        <f>SUMIF('Eredeti fejléccel'!$B:$B,'Felosztás eredménykim'!$B213,'Eredeti fejléccel'!$BR:$BR)</f>
        <v>0</v>
      </c>
      <c r="DN213" s="6">
        <f>SUMIF('Eredeti fejléccel'!$B:$B,'Felosztás eredménykim'!$B213,'Eredeti fejléccel'!$BS:$BS)</f>
        <v>0</v>
      </c>
      <c r="DO213" s="6">
        <f>SUMIF('Eredeti fejléccel'!$B:$B,'Felosztás eredménykim'!$B213,'Eredeti fejléccel'!$BO:$BO)</f>
        <v>0</v>
      </c>
      <c r="DP213" s="6">
        <f>SUMIF('Eredeti fejléccel'!$B:$B,'Felosztás eredménykim'!$B213,'Eredeti fejléccel'!$BP:$BP)</f>
        <v>0</v>
      </c>
      <c r="DQ213" s="6">
        <f>SUMIF('Eredeti fejléccel'!$B:$B,'Felosztás eredménykim'!$B213,'Eredeti fejléccel'!$BQ:$BQ)</f>
        <v>0</v>
      </c>
      <c r="DS213" s="8"/>
      <c r="DU213" s="6">
        <f>SUMIF('Eredeti fejléccel'!$B:$B,'Felosztás eredménykim'!$B213,'Eredeti fejléccel'!$BT:$BT)</f>
        <v>0</v>
      </c>
      <c r="DV213" s="6">
        <f>SUMIF('Eredeti fejléccel'!$B:$B,'Felosztás eredménykim'!$B213,'Eredeti fejléccel'!$BU:$BU)</f>
        <v>0</v>
      </c>
      <c r="DW213" s="6">
        <f>SUMIF('Eredeti fejléccel'!$B:$B,'Felosztás eredménykim'!$B213,'Eredeti fejléccel'!$BV:$BV)</f>
        <v>0</v>
      </c>
      <c r="DX213" s="6">
        <f>SUMIF('Eredeti fejléccel'!$B:$B,'Felosztás eredménykim'!$B213,'Eredeti fejléccel'!$BW:$BW)</f>
        <v>0</v>
      </c>
      <c r="DY213" s="6">
        <f>SUMIF('Eredeti fejléccel'!$B:$B,'Felosztás eredménykim'!$B213,'Eredeti fejléccel'!$BX:$BX)</f>
        <v>0</v>
      </c>
      <c r="EA213" s="6"/>
      <c r="EC213" s="6"/>
      <c r="EE213" s="6">
        <f>SUMIF('Eredeti fejléccel'!$B:$B,'Felosztás eredménykim'!$B213,'Eredeti fejléccel'!$CA:$CA)</f>
        <v>0</v>
      </c>
      <c r="EF213" s="6">
        <f>SUMIF('Eredeti fejléccel'!$B:$B,'Felosztás eredménykim'!$B213,'Eredeti fejléccel'!$CB:$CB)</f>
        <v>0</v>
      </c>
      <c r="EG213" s="6">
        <f>SUMIF('Eredeti fejléccel'!$B:$B,'Felosztás eredménykim'!$B213,'Eredeti fejléccel'!$CC:$CC)</f>
        <v>0</v>
      </c>
      <c r="EH213" s="6">
        <f>SUMIF('Eredeti fejléccel'!$B:$B,'Felosztás eredménykim'!$B213,'Eredeti fejléccel'!$CD:$CD)</f>
        <v>0</v>
      </c>
      <c r="EK213" s="6">
        <f>SUMIF('Eredeti fejléccel'!$B:$B,'Felosztás eredménykim'!$B213,'Eredeti fejléccel'!$CE:$CE)</f>
        <v>0</v>
      </c>
      <c r="EN213" s="6">
        <f>SUMIF('Eredeti fejléccel'!$B:$B,'Felosztás eredménykim'!$B213,'Eredeti fejléccel'!$CF:$CF)</f>
        <v>0</v>
      </c>
      <c r="EP213" s="6">
        <f>SUMIF('Eredeti fejléccel'!$B:$B,'Felosztás eredménykim'!$B213,'Eredeti fejléccel'!$CG:$CG)</f>
        <v>0</v>
      </c>
      <c r="ES213" s="6">
        <f>SUMIF('Eredeti fejléccel'!$B:$B,'Felosztás eredménykim'!$B213,'Eredeti fejléccel'!$CH:$CH)</f>
        <v>0</v>
      </c>
      <c r="ET213" s="6">
        <f>SUMIF('Eredeti fejléccel'!$B:$B,'Felosztás eredménykim'!$B213,'Eredeti fejléccel'!$CI:$CI)</f>
        <v>0</v>
      </c>
      <c r="EW213" s="8">
        <f t="shared" si="288"/>
        <v>0</v>
      </c>
      <c r="EX213" s="8">
        <f t="shared" si="243"/>
        <v>0</v>
      </c>
      <c r="EY213" s="8">
        <f t="shared" si="416"/>
        <v>0</v>
      </c>
      <c r="EZ213" s="8">
        <f t="shared" si="289"/>
        <v>0</v>
      </c>
      <c r="FA213" s="8">
        <f t="shared" si="290"/>
        <v>0</v>
      </c>
      <c r="FC213" s="6">
        <f>SUMIF('Eredeti fejléccel'!$B:$B,'Felosztás eredménykim'!$B213,'Eredeti fejléccel'!$L:$L)</f>
        <v>0</v>
      </c>
      <c r="FD213" s="6">
        <f>SUMIF('Eredeti fejléccel'!$B:$B,'Felosztás eredménykim'!$B213,'Eredeti fejléccel'!$CJ:$CJ)</f>
        <v>0</v>
      </c>
      <c r="FE213" s="6">
        <f>SUMIF('Eredeti fejléccel'!$B:$B,'Felosztás eredménykim'!$B213,'Eredeti fejléccel'!$CL:$CL)</f>
        <v>0</v>
      </c>
      <c r="FG213" s="99">
        <f t="shared" si="245"/>
        <v>0</v>
      </c>
      <c r="FH213" s="6">
        <f>SUMIF('Eredeti fejléccel'!$B:$B,'Felosztás eredménykim'!$B213,'Eredeti fejléccel'!$CK:$CK)</f>
        <v>0</v>
      </c>
      <c r="FI213" s="36">
        <f t="shared" si="477"/>
        <v>16429.916812631145</v>
      </c>
      <c r="FJ213" s="101">
        <f t="shared" si="408"/>
        <v>0</v>
      </c>
      <c r="FK213" s="6">
        <f>SUMIF('Eredeti fejléccel'!$B:$B,'Felosztás eredménykim'!$B213,'Eredeti fejléccel'!$CM:$CM)</f>
        <v>1612</v>
      </c>
      <c r="FL213" s="6">
        <f>SUMIF('Eredeti fejléccel'!$B:$B,'Felosztás eredménykim'!$B213,'Eredeti fejléccel'!$CN:$CN)</f>
        <v>0</v>
      </c>
      <c r="FM213" s="8">
        <f t="shared" si="246"/>
        <v>1612</v>
      </c>
      <c r="FN213" s="36">
        <f t="shared" si="478"/>
        <v>13968.124683578504</v>
      </c>
      <c r="FO213" s="101">
        <f t="shared" si="409"/>
        <v>0</v>
      </c>
      <c r="FP213" s="6">
        <f>SUMIF('Eredeti fejléccel'!$B:$B,'Felosztás eredménykim'!$B213,'Eredeti fejléccel'!$CO:$CO)</f>
        <v>0.47</v>
      </c>
      <c r="FQ213" s="6">
        <f>'Eredeti fejléccel'!CP213</f>
        <v>0</v>
      </c>
      <c r="FR213" s="6">
        <f>'Eredeti fejléccel'!CQ213</f>
        <v>0</v>
      </c>
      <c r="FS213" s="103">
        <f t="shared" si="417"/>
        <v>0.47</v>
      </c>
      <c r="FT213" s="36">
        <f t="shared" si="479"/>
        <v>38556.097164749073</v>
      </c>
      <c r="FU213" s="101">
        <f t="shared" si="410"/>
        <v>0</v>
      </c>
      <c r="FV213" s="101"/>
      <c r="FW213" s="6">
        <f>SUMIF('Eredeti fejléccel'!$B:$B,'Felosztás eredménykim'!$B213,'Eredeti fejléccel'!$CR:$CR)</f>
        <v>0</v>
      </c>
      <c r="FX213" s="6">
        <f>SUMIF('Eredeti fejléccel'!$B:$B,'Felosztás eredménykim'!$B213,'Eredeti fejléccel'!$CS:$CS)</f>
        <v>0</v>
      </c>
      <c r="FY213" s="6">
        <f>SUMIF('Eredeti fejléccel'!$B:$B,'Felosztás eredménykim'!$B213,'Eredeti fejléccel'!$CT:$CT)</f>
        <v>0</v>
      </c>
      <c r="FZ213" s="6">
        <f>SUMIF('Eredeti fejléccel'!$B:$B,'Felosztás eredménykim'!$B213,'Eredeti fejléccel'!$CU:$CU)</f>
        <v>0</v>
      </c>
      <c r="GA213" s="103">
        <f t="shared" si="248"/>
        <v>0</v>
      </c>
      <c r="GB213" s="36">
        <f t="shared" si="480"/>
        <v>5139.2156854675623</v>
      </c>
      <c r="GC213" s="101">
        <f t="shared" si="411"/>
        <v>0</v>
      </c>
      <c r="GD213" s="6">
        <f>SUMIF('Eredeti fejléccel'!$B:$B,'Felosztás eredménykim'!$B213,'Eredeti fejléccel'!$CV:$CV)</f>
        <v>0</v>
      </c>
      <c r="GE213" s="6">
        <f>SUMIF('Eredeti fejléccel'!$B:$B,'Felosztás eredménykim'!$B213,'Eredeti fejléccel'!$CW:$CW)</f>
        <v>0</v>
      </c>
      <c r="GF213" s="103">
        <f t="shared" si="249"/>
        <v>0</v>
      </c>
      <c r="GG213" s="36">
        <f t="shared" si="412"/>
        <v>0</v>
      </c>
      <c r="GM213" s="6">
        <f>SUMIF('Eredeti fejléccel'!$B:$B,'Felosztás eredménykim'!$B213,'Eredeti fejléccel'!$CX:$CX)</f>
        <v>0</v>
      </c>
      <c r="GN213" s="6">
        <f>SUMIF('Eredeti fejléccel'!$B:$B,'Felosztás eredménykim'!$B213,'Eredeti fejléccel'!$CY:$CY)</f>
        <v>0</v>
      </c>
      <c r="GO213" s="6">
        <f>SUMIF('Eredeti fejléccel'!$B:$B,'Felosztás eredménykim'!$B213,'Eredeti fejléccel'!$CZ:$CZ)</f>
        <v>0</v>
      </c>
      <c r="GP213" s="6">
        <f>SUMIF('Eredeti fejléccel'!$B:$B,'Felosztás eredménykim'!$B213,'Eredeti fejléccel'!$DA:$DA)</f>
        <v>0</v>
      </c>
      <c r="GQ213" s="6">
        <f>SUMIF('Eredeti fejléccel'!$B:$B,'Felosztás eredménykim'!$B213,'Eredeti fejléccel'!$DB:$DB)</f>
        <v>0</v>
      </c>
      <c r="GR213" s="103">
        <f t="shared" si="250"/>
        <v>0</v>
      </c>
      <c r="GW213" s="36">
        <f t="shared" si="413"/>
        <v>8822.0193174500964</v>
      </c>
      <c r="GX213" s="6">
        <f>SUMIF('Eredeti fejléccel'!$B:$B,'Felosztás eredménykim'!$B213,'Eredeti fejléccel'!$M:$M)</f>
        <v>0</v>
      </c>
      <c r="GY213" s="6">
        <f>SUMIF('Eredeti fejléccel'!$B:$B,'Felosztás eredménykim'!$B213,'Eredeti fejléccel'!$DC:$DC)</f>
        <v>0</v>
      </c>
      <c r="GZ213" s="6">
        <f>SUMIF('Eredeti fejléccel'!$B:$B,'Felosztás eredménykim'!$B213,'Eredeti fejléccel'!$DD:$DD)</f>
        <v>0</v>
      </c>
      <c r="HA213" s="6">
        <f>SUMIF('Eredeti fejléccel'!$B:$B,'Felosztás eredménykim'!$B213,'Eredeti fejléccel'!$DE:$DE)</f>
        <v>0</v>
      </c>
      <c r="HB213" s="103">
        <f t="shared" si="251"/>
        <v>0</v>
      </c>
      <c r="HD213" s="9">
        <f t="shared" si="429"/>
        <v>181885.46999999994</v>
      </c>
      <c r="HE213" s="9">
        <v>181885.41</v>
      </c>
      <c r="HF213" s="476"/>
      <c r="HH213" s="557">
        <f t="shared" si="252"/>
        <v>5.9999999939464033E-2</v>
      </c>
    </row>
    <row r="214" spans="1:218" x14ac:dyDescent="0.25">
      <c r="A214" s="4" t="s">
        <v>1857</v>
      </c>
      <c r="B214" s="4" t="s">
        <v>1857</v>
      </c>
      <c r="C214" s="1" t="s">
        <v>1858</v>
      </c>
      <c r="D214" s="6">
        <f>SUMIF('Eredeti fejléccel'!$B:$B,'Felosztás eredménykim'!$B214,'Eredeti fejléccel'!$D:$D)</f>
        <v>0</v>
      </c>
      <c r="E214" s="6">
        <f>SUMIF('Eredeti fejléccel'!$B:$B,'Felosztás eredménykim'!$B214,'Eredeti fejléccel'!$E:$E)</f>
        <v>0</v>
      </c>
      <c r="F214" s="6">
        <f>SUMIF('Eredeti fejléccel'!$B:$B,'Felosztás eredménykim'!$B214,'Eredeti fejléccel'!$F:$F)</f>
        <v>0</v>
      </c>
      <c r="G214" s="6">
        <f>SUMIF('Eredeti fejléccel'!$B:$B,'Felosztás eredménykim'!$B214,'Eredeti fejléccel'!$G:$G)</f>
        <v>0</v>
      </c>
      <c r="H214" s="6"/>
      <c r="I214" s="6">
        <f>SUMIF('Eredeti fejléccel'!$B:$B,'Felosztás eredménykim'!$B214,'Eredeti fejléccel'!$O:$O)</f>
        <v>0</v>
      </c>
      <c r="J214" s="6">
        <f>SUMIF('Eredeti fejléccel'!$B:$B,'Felosztás eredménykim'!$B214,'Eredeti fejléccel'!$P:$P)</f>
        <v>0</v>
      </c>
      <c r="K214" s="6">
        <f>SUMIF('Eredeti fejléccel'!$B:$B,'Felosztás eredménykim'!$B214,'Eredeti fejléccel'!$Q:$Q)</f>
        <v>0</v>
      </c>
      <c r="L214" s="6">
        <f>SUMIF('Eredeti fejléccel'!$B:$B,'Felosztás eredménykim'!$B214,'Eredeti fejléccel'!$R:$R)</f>
        <v>0</v>
      </c>
      <c r="M214" s="6">
        <f>SUMIF('Eredeti fejléccel'!$B:$B,'Felosztás eredménykim'!$B214,'Eredeti fejléccel'!$T:$T)</f>
        <v>0</v>
      </c>
      <c r="N214" s="6">
        <f>SUMIF('Eredeti fejléccel'!$B:$B,'Felosztás eredménykim'!$B214,'Eredeti fejléccel'!$U:$U)</f>
        <v>0</v>
      </c>
      <c r="O214" s="6">
        <f>SUMIF('Eredeti fejléccel'!$B:$B,'Felosztás eredménykim'!$B214,'Eredeti fejléccel'!$V:$V)</f>
        <v>0</v>
      </c>
      <c r="P214" s="6">
        <f>SUMIF('Eredeti fejléccel'!$B:$B,'Felosztás eredménykim'!$B214,'Eredeti fejléccel'!$W:$W)</f>
        <v>0</v>
      </c>
      <c r="Q214" s="6">
        <f>SUMIF('Eredeti fejléccel'!$B:$B,'Felosztás eredménykim'!$B214,'Eredeti fejléccel'!$X:$X)</f>
        <v>0</v>
      </c>
      <c r="R214" s="6">
        <f>SUMIF('Eredeti fejléccel'!$B:$B,'Felosztás eredménykim'!$B214,'Eredeti fejléccel'!$Y:$Y)</f>
        <v>0</v>
      </c>
      <c r="S214" s="6">
        <f>SUMIF('Eredeti fejléccel'!$B:$B,'Felosztás eredménykim'!$B214,'Eredeti fejléccel'!$Z:$Z)</f>
        <v>0</v>
      </c>
      <c r="T214" s="6">
        <f>SUMIF('Eredeti fejléccel'!$B:$B,'Felosztás eredménykim'!$B214,'Eredeti fejléccel'!$AA:$AA)</f>
        <v>0</v>
      </c>
      <c r="U214" s="6">
        <f>SUMIF('Eredeti fejléccel'!$B:$B,'Felosztás eredménykim'!$B214,'Eredeti fejléccel'!$D:$D)</f>
        <v>0</v>
      </c>
      <c r="V214" s="6">
        <f>SUMIF('Eredeti fejléccel'!$B:$B,'Felosztás eredménykim'!$B214,'Eredeti fejléccel'!$AT:$AT)</f>
        <v>0</v>
      </c>
      <c r="X214" s="36">
        <f t="shared" ref="X214" si="484">SUM(D214:W214)</f>
        <v>0</v>
      </c>
      <c r="Z214" s="6">
        <f>SUMIF('Eredeti fejléccel'!$B:$B,'Felosztás eredménykim'!$B214,'Eredeti fejléccel'!$K:$K)</f>
        <v>0</v>
      </c>
      <c r="AB214" s="6">
        <f>SUMIF('Eredeti fejléccel'!$B:$B,'Felosztás eredménykim'!$B214,'Eredeti fejléccel'!$AB:$AB)</f>
        <v>0</v>
      </c>
      <c r="AC214" s="6">
        <f>SUMIF('Eredeti fejléccel'!$B:$B,'Felosztás eredménykim'!$B214,'Eredeti fejléccel'!$AQ:$AQ)</f>
        <v>0</v>
      </c>
      <c r="AE214" s="73">
        <f>SUM(Z214:AD214)</f>
        <v>0</v>
      </c>
      <c r="AF214" s="36">
        <f t="shared" si="470"/>
        <v>0</v>
      </c>
      <c r="AG214" s="8">
        <f t="shared" si="399"/>
        <v>0</v>
      </c>
      <c r="AI214" s="6">
        <f>SUMIF('Eredeti fejléccel'!$B:$B,'Felosztás eredménykim'!$B214,'Eredeti fejléccel'!$BB:$BB)</f>
        <v>0</v>
      </c>
      <c r="AJ214" s="6">
        <f>SUMIF('Eredeti fejléccel'!$B:$B,'Felosztás eredménykim'!$B214,'Eredeti fejléccel'!$AF:$AF)</f>
        <v>0</v>
      </c>
      <c r="AK214" s="8">
        <f>SUM(AG214:AJ214)</f>
        <v>0</v>
      </c>
      <c r="AL214" s="36">
        <f t="shared" si="471"/>
        <v>0</v>
      </c>
      <c r="AM214" s="8">
        <f t="shared" si="400"/>
        <v>0</v>
      </c>
      <c r="AN214" s="6">
        <f>-AO214/2</f>
        <v>0</v>
      </c>
      <c r="AO214" s="6">
        <f>SUMIF('Eredeti fejléccel'!$B:$B,'Felosztás eredménykim'!$B214,'Eredeti fejléccel'!$AC:$AC)</f>
        <v>0</v>
      </c>
      <c r="AP214" s="6">
        <f>SUMIF('Eredeti fejléccel'!$B:$B,'Felosztás eredménykim'!$B214,'Eredeti fejléccel'!$AD:$AD)</f>
        <v>0</v>
      </c>
      <c r="AQ214" s="6">
        <f>SUMIF('Eredeti fejléccel'!$B:$B,'Felosztás eredménykim'!$B214,'Eredeti fejléccel'!$AE:$AE)</f>
        <v>0</v>
      </c>
      <c r="AR214" s="6">
        <f>SUMIF('Eredeti fejléccel'!$B:$B,'Felosztás eredménykim'!$B214,'Eredeti fejléccel'!$AG:$AG)</f>
        <v>0</v>
      </c>
      <c r="AS214" s="6">
        <f>SUM(AM214:AR214)</f>
        <v>0</v>
      </c>
      <c r="AT214" s="36">
        <f t="shared" si="472"/>
        <v>0</v>
      </c>
      <c r="AU214" s="8">
        <f t="shared" si="401"/>
        <v>0</v>
      </c>
      <c r="AV214" s="6">
        <f>SUMIF('Eredeti fejléccel'!$B:$B,'Felosztás eredménykim'!$B214,'Eredeti fejléccel'!$AI:$AI)</f>
        <v>0</v>
      </c>
      <c r="AW214" s="6">
        <f>SUMIF('Eredeti fejléccel'!$B:$B,'Felosztás eredménykim'!$B214,'Eredeti fejléccel'!$AJ:$AJ)</f>
        <v>0</v>
      </c>
      <c r="AX214" s="6">
        <f>SUMIF('Eredeti fejléccel'!$B:$B,'Felosztás eredménykim'!$B214,'Eredeti fejléccel'!$AK:$AK)</f>
        <v>0</v>
      </c>
      <c r="AY214" s="6">
        <f>SUMIF('Eredeti fejléccel'!$B:$B,'Felosztás eredménykim'!$B214,'Eredeti fejléccel'!$AL:$AL)</f>
        <v>0</v>
      </c>
      <c r="AZ214" s="6">
        <f>SUMIF('Eredeti fejléccel'!$B:$B,'Felosztás eredménykim'!$B214,'Eredeti fejléccel'!$AM:$AM)</f>
        <v>0</v>
      </c>
      <c r="BA214" s="6">
        <f>SUMIF('Eredeti fejléccel'!$B:$B,'Felosztás eredménykim'!$B214,'Eredeti fejléccel'!$AN:$AN)</f>
        <v>0</v>
      </c>
      <c r="BB214" s="6">
        <f>SUMIF('Eredeti fejléccel'!$B:$B,'Felosztás eredménykim'!$B214,'Eredeti fejléccel'!$AP:$AP)</f>
        <v>0</v>
      </c>
      <c r="BD214" s="6">
        <f>SUMIF('Eredeti fejléccel'!$B:$B,'Felosztás eredménykim'!$B214,'Eredeti fejléccel'!$AS:$AS)</f>
        <v>0</v>
      </c>
      <c r="BE214" s="8">
        <f>SUM(AU214:BD214)</f>
        <v>0</v>
      </c>
      <c r="BF214" s="36">
        <f t="shared" si="473"/>
        <v>0</v>
      </c>
      <c r="BG214" s="8">
        <f t="shared" si="402"/>
        <v>0</v>
      </c>
      <c r="BH214" s="6">
        <f>AO214/2</f>
        <v>0</v>
      </c>
      <c r="BI214" s="6">
        <f>SUMIF('Eredeti fejléccel'!$B:$B,'Felosztás eredménykim'!$B214,'Eredeti fejléccel'!$AH:$AH)</f>
        <v>0</v>
      </c>
      <c r="BJ214" s="6">
        <f>SUMIF('Eredeti fejléccel'!$B:$B,'Felosztás eredménykim'!$B214,'Eredeti fejléccel'!$AO:$AO)</f>
        <v>0</v>
      </c>
      <c r="BK214" s="6">
        <f>SUMIF('Eredeti fejléccel'!$B:$B,'Felosztás eredménykim'!$B214,'Eredeti fejléccel'!$BF:$BF)</f>
        <v>0</v>
      </c>
      <c r="BL214" s="8">
        <f>SUM(BG214:BK214)</f>
        <v>0</v>
      </c>
      <c r="BM214" s="36">
        <f t="shared" si="474"/>
        <v>0</v>
      </c>
      <c r="BN214" s="8">
        <f t="shared" si="403"/>
        <v>0</v>
      </c>
      <c r="BP214" s="8">
        <f>-FV214</f>
        <v>0</v>
      </c>
      <c r="BQ214" s="6">
        <f>SUMIF('Eredeti fejléccel'!$B:$B,'Felosztás eredménykim'!$B214,'Eredeti fejléccel'!$N:$N)</f>
        <v>0</v>
      </c>
      <c r="BR214" s="6">
        <f>SUMIF('Eredeti fejléccel'!$B:$B,'Felosztás eredménykim'!$B214,'Eredeti fejléccel'!$S:$S)</f>
        <v>0</v>
      </c>
      <c r="BT214" s="6">
        <f>SUMIF('Eredeti fejléccel'!$B:$B,'Felosztás eredménykim'!$B214,'Eredeti fejléccel'!$AR:$AR)</f>
        <v>0</v>
      </c>
      <c r="BU214" s="6">
        <f>SUMIF('Eredeti fejléccel'!$B:$B,'Felosztás eredménykim'!$B214,'Eredeti fejléccel'!$AU:$AU)</f>
        <v>0</v>
      </c>
      <c r="BV214" s="6">
        <f>SUMIF('Eredeti fejléccel'!$B:$B,'Felosztás eredménykim'!$B214,'Eredeti fejléccel'!$AV:$AV)</f>
        <v>0</v>
      </c>
      <c r="BW214" s="6">
        <f>SUMIF('Eredeti fejléccel'!$B:$B,'Felosztás eredménykim'!$B214,'Eredeti fejléccel'!$AW:$AW)</f>
        <v>0</v>
      </c>
      <c r="BX214" s="6">
        <f>SUMIF('Eredeti fejléccel'!$B:$B,'Felosztás eredménykim'!$B214,'Eredeti fejléccel'!$AX:$AX)</f>
        <v>0</v>
      </c>
      <c r="BY214" s="6">
        <f>SUMIF('Eredeti fejléccel'!$B:$B,'Felosztás eredménykim'!$B214,'Eredeti fejléccel'!$AY:$AY)</f>
        <v>0</v>
      </c>
      <c r="BZ214" s="6">
        <f>SUMIF('Eredeti fejléccel'!$B:$B,'Felosztás eredménykim'!$B214,'Eredeti fejléccel'!$AZ:$AZ)</f>
        <v>0</v>
      </c>
      <c r="CA214" s="6">
        <f>SUMIF('Eredeti fejléccel'!$B:$B,'Felosztás eredménykim'!$B214,'Eredeti fejléccel'!$BA:$BA)</f>
        <v>0</v>
      </c>
      <c r="CB214" s="6">
        <f t="shared" ref="CB214" si="485">SUM(BN214:CA214)</f>
        <v>0</v>
      </c>
      <c r="CC214" s="36">
        <f t="shared" si="475"/>
        <v>0</v>
      </c>
      <c r="CD214" s="8">
        <f t="shared" si="404"/>
        <v>0</v>
      </c>
      <c r="CE214" s="6">
        <f>SUMIF('Eredeti fejléccel'!$B:$B,'Felosztás eredménykim'!$B214,'Eredeti fejléccel'!$BC:$BC)</f>
        <v>0</v>
      </c>
      <c r="CF214" s="8">
        <f>-CE214/2</f>
        <v>0</v>
      </c>
      <c r="CG214" s="6">
        <f>SUMIF('Eredeti fejléccel'!$B:$B,'Felosztás eredménykim'!$B214,'Eredeti fejléccel'!$H:$H)</f>
        <v>0</v>
      </c>
      <c r="CH214" s="6">
        <f>SUMIF('Eredeti fejléccel'!$B:$B,'Felosztás eredménykim'!$B214,'Eredeti fejléccel'!$BE:$BE)</f>
        <v>0</v>
      </c>
      <c r="CI214" s="6">
        <f>SUM(CD214:CH214)</f>
        <v>0</v>
      </c>
      <c r="CJ214" s="36">
        <f t="shared" si="476"/>
        <v>0</v>
      </c>
      <c r="CK214" s="8">
        <f t="shared" si="405"/>
        <v>0</v>
      </c>
      <c r="CL214" s="8">
        <f>CE214/2</f>
        <v>0</v>
      </c>
      <c r="CM214" s="6">
        <f>SUMIF('Eredeti fejléccel'!$B:$B,'Felosztás eredménykim'!$B214,'Eredeti fejléccel'!$BD:$BD)</f>
        <v>0</v>
      </c>
      <c r="CN214" s="8">
        <f>SUM(CK214:CM214)</f>
        <v>0</v>
      </c>
      <c r="CO214" s="8">
        <f t="shared" ref="CO214" si="486">+AF214+AK214+AL214+AS214+AT214+BE214+BF214+BL214+BM214+CB214+CC214+CI214+CJ214+CN214</f>
        <v>0</v>
      </c>
      <c r="CR214" s="36">
        <f t="shared" si="406"/>
        <v>0</v>
      </c>
      <c r="CS214" s="6">
        <f>SUMIF('Eredeti fejléccel'!$B:$B,'Felosztás eredménykim'!$B214,'Eredeti fejléccel'!$I:$I)</f>
        <v>0</v>
      </c>
      <c r="CT214" s="6">
        <f>SUMIF('Eredeti fejléccel'!$B:$B,'Felosztás eredménykim'!$B214,'Eredeti fejléccel'!$BG:$BG)</f>
        <v>0</v>
      </c>
      <c r="CU214" s="6">
        <f>SUMIF('Eredeti fejléccel'!$B:$B,'Felosztás eredménykim'!$B214,'Eredeti fejléccel'!$BH:$BH)</f>
        <v>0</v>
      </c>
      <c r="CV214" s="6">
        <f>SUMIF('Eredeti fejléccel'!$B:$B,'Felosztás eredménykim'!$B214,'Eredeti fejléccel'!$BI:$BI)</f>
        <v>0</v>
      </c>
      <c r="CW214" s="6">
        <f>SUMIF('Eredeti fejléccel'!$B:$B,'Felosztás eredménykim'!$B214,'Eredeti fejléccel'!$BL:$BL)</f>
        <v>0</v>
      </c>
      <c r="CX214" s="6">
        <f>SUM(CS214:CW214)</f>
        <v>0</v>
      </c>
      <c r="CY214" s="6">
        <f>SUMIF('Eredeti fejléccel'!$B:$B,'Felosztás eredménykim'!$B214,'Eredeti fejléccel'!$BJ:$BJ)</f>
        <v>0</v>
      </c>
      <c r="CZ214" s="6">
        <f>SUMIF('Eredeti fejléccel'!$B:$B,'Felosztás eredménykim'!$B214,'Eredeti fejléccel'!$BK:$BK)</f>
        <v>0</v>
      </c>
      <c r="DA214" s="99">
        <f t="shared" ref="DA214" si="487">SUM(CX214:CZ214)</f>
        <v>0</v>
      </c>
      <c r="DC214" s="36">
        <f t="shared" si="407"/>
        <v>0</v>
      </c>
      <c r="DD214" s="6">
        <f>SUMIF('Eredeti fejléccel'!$B:$B,'Felosztás eredménykim'!$B214,'Eredeti fejléccel'!$J:$J)</f>
        <v>0</v>
      </c>
      <c r="DE214" s="6">
        <f>SUMIF('Eredeti fejléccel'!$B:$B,'Felosztás eredménykim'!$B214,'Eredeti fejléccel'!$BM:$BM)</f>
        <v>0</v>
      </c>
      <c r="DF214" s="6">
        <f>-DI214</f>
        <v>0</v>
      </c>
      <c r="DG214" s="8">
        <f t="shared" ref="DG214" si="488">-BO214</f>
        <v>0</v>
      </c>
      <c r="DH214" s="8">
        <f>SUM(DD214:DG214)</f>
        <v>0</v>
      </c>
      <c r="DJ214" s="6">
        <f>SUMIF('Eredeti fejléccel'!$B:$B,'Felosztás eredménykim'!$B214,'Eredeti fejléccel'!$BN:$BN)</f>
        <v>0</v>
      </c>
      <c r="DK214" s="6">
        <f>SUMIF('Eredeti fejléccel'!$B:$B,'Felosztás eredménykim'!$B214,'Eredeti fejléccel'!$BZ:$BZ)</f>
        <v>0</v>
      </c>
      <c r="DL214" s="8">
        <f>SUM(DI214:DK214)</f>
        <v>0</v>
      </c>
      <c r="DM214" s="6">
        <f>SUMIF('Eredeti fejléccel'!$B:$B,'Felosztás eredménykim'!$B214,'Eredeti fejléccel'!$BR:$BR)</f>
        <v>0</v>
      </c>
      <c r="DN214" s="6">
        <f>SUMIF('Eredeti fejléccel'!$B:$B,'Felosztás eredménykim'!$B214,'Eredeti fejléccel'!$BS:$BS)</f>
        <v>0</v>
      </c>
      <c r="DO214" s="6">
        <f>SUMIF('Eredeti fejléccel'!$B:$B,'Felosztás eredménykim'!$B214,'Eredeti fejléccel'!$BO:$BO)</f>
        <v>0</v>
      </c>
      <c r="DP214" s="6">
        <f>SUMIF('Eredeti fejléccel'!$B:$B,'Felosztás eredménykim'!$B214,'Eredeti fejléccel'!$BP:$BP)</f>
        <v>0</v>
      </c>
      <c r="DQ214" s="6">
        <f>SUMIF('Eredeti fejléccel'!$B:$B,'Felosztás eredménykim'!$B214,'Eredeti fejléccel'!$BQ:$BQ)</f>
        <v>0</v>
      </c>
      <c r="DS214" s="8"/>
      <c r="DU214" s="6">
        <f>SUMIF('Eredeti fejléccel'!$B:$B,'Felosztás eredménykim'!$B214,'Eredeti fejléccel'!$BT:$BT)</f>
        <v>0</v>
      </c>
      <c r="DV214" s="6">
        <f>SUMIF('Eredeti fejléccel'!$B:$B,'Felosztás eredménykim'!$B214,'Eredeti fejléccel'!$BU:$BU)</f>
        <v>0</v>
      </c>
      <c r="DW214" s="6">
        <f>SUMIF('Eredeti fejléccel'!$B:$B,'Felosztás eredménykim'!$B214,'Eredeti fejléccel'!$BV:$BV)</f>
        <v>0</v>
      </c>
      <c r="DX214" s="6">
        <f>SUMIF('Eredeti fejléccel'!$B:$B,'Felosztás eredménykim'!$B214,'Eredeti fejléccel'!$BW:$BW)</f>
        <v>0</v>
      </c>
      <c r="DY214" s="6">
        <f>SUMIF('Eredeti fejléccel'!$B:$B,'Felosztás eredménykim'!$B214,'Eredeti fejléccel'!$BX:$BX)</f>
        <v>0</v>
      </c>
      <c r="EA214" s="6"/>
      <c r="EC214" s="6"/>
      <c r="EE214" s="6">
        <f>SUMIF('Eredeti fejléccel'!$B:$B,'Felosztás eredménykim'!$B214,'Eredeti fejléccel'!$CA:$CA)</f>
        <v>0</v>
      </c>
      <c r="EF214" s="6">
        <f>SUMIF('Eredeti fejléccel'!$B:$B,'Felosztás eredménykim'!$B214,'Eredeti fejléccel'!$CB:$CB)</f>
        <v>0</v>
      </c>
      <c r="EG214" s="6">
        <f>SUMIF('Eredeti fejléccel'!$B:$B,'Felosztás eredménykim'!$B214,'Eredeti fejléccel'!$CC:$CC)</f>
        <v>0</v>
      </c>
      <c r="EH214" s="6">
        <f>SUMIF('Eredeti fejléccel'!$B:$B,'Felosztás eredménykim'!$B214,'Eredeti fejléccel'!$CD:$CD)</f>
        <v>0</v>
      </c>
      <c r="EK214" s="6">
        <f>SUMIF('Eredeti fejléccel'!$B:$B,'Felosztás eredménykim'!$B214,'Eredeti fejléccel'!$CE:$CE)</f>
        <v>0</v>
      </c>
      <c r="EN214" s="6">
        <f>SUMIF('Eredeti fejléccel'!$B:$B,'Felosztás eredménykim'!$B214,'Eredeti fejléccel'!$CF:$CF)</f>
        <v>0</v>
      </c>
      <c r="EP214" s="6">
        <f>SUMIF('Eredeti fejléccel'!$B:$B,'Felosztás eredménykim'!$B214,'Eredeti fejléccel'!$CG:$CG)</f>
        <v>0</v>
      </c>
      <c r="ES214" s="6">
        <f>SUMIF('Eredeti fejléccel'!$B:$B,'Felosztás eredménykim'!$B214,'Eredeti fejléccel'!$CH:$CH)</f>
        <v>0</v>
      </c>
      <c r="ET214" s="6">
        <f>SUMIF('Eredeti fejléccel'!$B:$B,'Felosztás eredménykim'!$B214,'Eredeti fejléccel'!$CI:$CI)</f>
        <v>0</v>
      </c>
      <c r="EW214" s="8">
        <f>SUM(DR214:ED214)</f>
        <v>0</v>
      </c>
      <c r="EX214" s="8">
        <f>SUM(EE214:EV214)</f>
        <v>0</v>
      </c>
      <c r="EY214" s="8">
        <f t="shared" ref="EY214" si="489">SUM(DR214:EV214)+DH214+DN214+DP214-DS214-DT214</f>
        <v>0</v>
      </c>
      <c r="EZ214" s="8">
        <f>EY214+DL214+DM214+DN214+DO214+DP214+DQ214</f>
        <v>0</v>
      </c>
      <c r="FA214" s="8">
        <f>EZ214-DL214-DM214</f>
        <v>0</v>
      </c>
      <c r="FC214" s="6">
        <f>SUMIF('Eredeti fejléccel'!$B:$B,'Felosztás eredménykim'!$B214,'Eredeti fejléccel'!$L:$L)</f>
        <v>0</v>
      </c>
      <c r="FD214" s="6">
        <f>SUMIF('Eredeti fejléccel'!$B:$B,'Felosztás eredménykim'!$B214,'Eredeti fejléccel'!$CJ:$CJ)</f>
        <v>0</v>
      </c>
      <c r="FE214" s="6">
        <f>SUMIF('Eredeti fejléccel'!$B:$B,'Felosztás eredménykim'!$B214,'Eredeti fejléccel'!$CL:$CL)</f>
        <v>0</v>
      </c>
      <c r="FG214" s="99">
        <f>SUM(FC214:FF214)</f>
        <v>0</v>
      </c>
      <c r="FH214" s="6">
        <f>SUMIF('Eredeti fejléccel'!$B:$B,'Felosztás eredménykim'!$B214,'Eredeti fejléccel'!$CK:$CK)</f>
        <v>0</v>
      </c>
      <c r="FI214" s="36">
        <f t="shared" si="477"/>
        <v>0</v>
      </c>
      <c r="FJ214" s="101">
        <f t="shared" si="408"/>
        <v>0</v>
      </c>
      <c r="FK214" s="6">
        <f>SUMIF('Eredeti fejléccel'!$B:$B,'Felosztás eredménykim'!$B214,'Eredeti fejléccel'!$CM:$CM)</f>
        <v>0</v>
      </c>
      <c r="FL214" s="6">
        <f>SUMIF('Eredeti fejléccel'!$B:$B,'Felosztás eredménykim'!$B214,'Eredeti fejléccel'!$CN:$CN)</f>
        <v>0</v>
      </c>
      <c r="FM214" s="8">
        <f>SUM(FJ214:FL214)</f>
        <v>0</v>
      </c>
      <c r="FN214" s="36">
        <f t="shared" si="478"/>
        <v>0</v>
      </c>
      <c r="FO214" s="101">
        <f t="shared" si="409"/>
        <v>0</v>
      </c>
      <c r="FP214" s="6">
        <f>SUMIF('Eredeti fejléccel'!$B:$B,'Felosztás eredménykim'!$B214,'Eredeti fejléccel'!$CO:$CO)</f>
        <v>0</v>
      </c>
      <c r="FQ214" s="6">
        <f>'Eredeti fejléccel'!CP214</f>
        <v>0</v>
      </c>
      <c r="FR214" s="6">
        <f>'Eredeti fejléccel'!CQ214</f>
        <v>0</v>
      </c>
      <c r="FS214" s="103">
        <f t="shared" ref="FS214" si="490">SUM(FO214:FR214)</f>
        <v>0</v>
      </c>
      <c r="FT214" s="36">
        <f t="shared" si="479"/>
        <v>0</v>
      </c>
      <c r="FU214" s="101">
        <f t="shared" si="410"/>
        <v>0</v>
      </c>
      <c r="FV214" s="101"/>
      <c r="FW214" s="6">
        <f>SUMIF('Eredeti fejléccel'!$B:$B,'Felosztás eredménykim'!$B214,'Eredeti fejléccel'!$CR:$CR)</f>
        <v>77640</v>
      </c>
      <c r="FX214" s="6">
        <f>SUMIF('Eredeti fejléccel'!$B:$B,'Felosztás eredménykim'!$B214,'Eredeti fejléccel'!$CS:$CS)</f>
        <v>0</v>
      </c>
      <c r="FY214" s="6">
        <f>SUMIF('Eredeti fejléccel'!$B:$B,'Felosztás eredménykim'!$B214,'Eredeti fejléccel'!$CT:$CT)</f>
        <v>0</v>
      </c>
      <c r="FZ214" s="6">
        <f>SUMIF('Eredeti fejléccel'!$B:$B,'Felosztás eredménykim'!$B214,'Eredeti fejléccel'!$CU:$CU)</f>
        <v>0</v>
      </c>
      <c r="GA214" s="103">
        <f>SUM(FU214:FZ214)</f>
        <v>77640</v>
      </c>
      <c r="GB214" s="36">
        <f t="shared" si="480"/>
        <v>0</v>
      </c>
      <c r="GC214" s="101">
        <f t="shared" si="411"/>
        <v>0</v>
      </c>
      <c r="GD214" s="6">
        <f>SUMIF('Eredeti fejléccel'!$B:$B,'Felosztás eredménykim'!$B214,'Eredeti fejléccel'!$CV:$CV)</f>
        <v>0</v>
      </c>
      <c r="GE214" s="6">
        <f>SUMIF('Eredeti fejléccel'!$B:$B,'Felosztás eredménykim'!$B214,'Eredeti fejléccel'!$CW:$CW)</f>
        <v>0</v>
      </c>
      <c r="GF214" s="103">
        <f>SUM(GC214:GE214)</f>
        <v>0</v>
      </c>
      <c r="GG214" s="36">
        <f t="shared" si="412"/>
        <v>0</v>
      </c>
      <c r="GM214" s="6">
        <f>SUMIF('Eredeti fejléccel'!$B:$B,'Felosztás eredménykim'!$B214,'Eredeti fejléccel'!$CX:$CX)</f>
        <v>0</v>
      </c>
      <c r="GN214" s="6">
        <f>SUMIF('Eredeti fejléccel'!$B:$B,'Felosztás eredménykim'!$B214,'Eredeti fejléccel'!$CY:$CY)</f>
        <v>0</v>
      </c>
      <c r="GO214" s="6">
        <f>SUMIF('Eredeti fejléccel'!$B:$B,'Felosztás eredménykim'!$B214,'Eredeti fejléccel'!$CZ:$CZ)</f>
        <v>0</v>
      </c>
      <c r="GP214" s="6">
        <f>SUMIF('Eredeti fejléccel'!$B:$B,'Felosztás eredménykim'!$B214,'Eredeti fejléccel'!$DA:$DA)</f>
        <v>0</v>
      </c>
      <c r="GQ214" s="6">
        <f>SUMIF('Eredeti fejléccel'!$B:$B,'Felosztás eredménykim'!$B214,'Eredeti fejléccel'!$DB:$DB)</f>
        <v>0</v>
      </c>
      <c r="GR214" s="103">
        <f>SUM(GH214:GQ214)</f>
        <v>0</v>
      </c>
      <c r="GW214" s="36">
        <f t="shared" si="413"/>
        <v>0</v>
      </c>
      <c r="GX214" s="6">
        <f>SUMIF('Eredeti fejléccel'!$B:$B,'Felosztás eredménykim'!$B214,'Eredeti fejléccel'!$M:$M)</f>
        <v>0</v>
      </c>
      <c r="GY214" s="6">
        <f>SUMIF('Eredeti fejléccel'!$B:$B,'Felosztás eredménykim'!$B214,'Eredeti fejléccel'!$DC:$DC)</f>
        <v>0</v>
      </c>
      <c r="GZ214" s="6">
        <f>SUMIF('Eredeti fejléccel'!$B:$B,'Felosztás eredménykim'!$B214,'Eredeti fejléccel'!$DD:$DD)</f>
        <v>0</v>
      </c>
      <c r="HA214" s="6">
        <f>SUMIF('Eredeti fejléccel'!$B:$B,'Felosztás eredménykim'!$B214,'Eredeti fejléccel'!$DE:$DE)</f>
        <v>0</v>
      </c>
      <c r="HB214" s="103">
        <f>SUM(GX214:HA214)</f>
        <v>0</v>
      </c>
      <c r="HD214" s="9">
        <f t="shared" ref="HD214" si="491">SUM(D214:HA214)-W214-X214-AD214-AE214-AF214-AG214-AK214-AL214-AM214-AS214-AT214-AU214-BE214-BF214-BG214-BL214-BM214-BN214-CB214-CC214-CD214-CI214-CJ214-CK214-CN214-CO214-CP214-CR214-CX214-DA214-DC214-DG214-DH214-DL214-EW214-EX214-EY214-EZ214-FA214-FF214-FG214-FI214-FJ214-FM214-FN214-FO214-FS214-FT214-FU214-GA214-GB214-GC214-GF214-GG214-GR214-GS214-GT214-GU214-GW214</f>
        <v>77640</v>
      </c>
      <c r="HE214" s="9">
        <v>77640</v>
      </c>
      <c r="HF214" s="476"/>
      <c r="HH214" s="34">
        <f>+HD214-HE214</f>
        <v>0</v>
      </c>
    </row>
    <row r="215" spans="1:218" x14ac:dyDescent="0.25">
      <c r="A215" s="4" t="s">
        <v>716</v>
      </c>
      <c r="B215" s="4" t="s">
        <v>716</v>
      </c>
      <c r="C215" s="1" t="s">
        <v>717</v>
      </c>
      <c r="D215" s="6">
        <f>SUMIF('Eredeti fejléccel'!$B:$B,'Felosztás eredménykim'!$B215,'Eredeti fejléccel'!$D:$D)</f>
        <v>0</v>
      </c>
      <c r="E215" s="503">
        <f>SUMIF('Eredeti fejléccel'!$B:$B,'Felosztás eredménykim'!$B215,'Eredeti fejléccel'!$E:$E)+2200000+15346-17722+532752+11701+59500</f>
        <v>4999201</v>
      </c>
      <c r="F215" s="6">
        <f>SUMIF('Eredeti fejléccel'!$B:$B,'Felosztás eredménykim'!$B215,'Eredeti fejléccel'!$F:$F)</f>
        <v>0</v>
      </c>
      <c r="G215" s="6">
        <f>SUMIF('Eredeti fejléccel'!$B:$B,'Felosztás eredménykim'!$B215,'Eredeti fejléccel'!$G:$G)</f>
        <v>0</v>
      </c>
      <c r="H215" s="6"/>
      <c r="I215" s="6">
        <f>SUMIF('Eredeti fejléccel'!$B:$B,'Felosztás eredménykim'!$B215,'Eredeti fejléccel'!$O:$O)</f>
        <v>0</v>
      </c>
      <c r="J215" s="6">
        <f>SUMIF('Eredeti fejléccel'!$B:$B,'Felosztás eredménykim'!$B215,'Eredeti fejléccel'!$P:$P)</f>
        <v>0</v>
      </c>
      <c r="K215" s="6">
        <f>SUMIF('Eredeti fejléccel'!$B:$B,'Felosztás eredménykim'!$B215,'Eredeti fejléccel'!$Q:$Q)</f>
        <v>0</v>
      </c>
      <c r="L215" s="6">
        <f>SUMIF('Eredeti fejléccel'!$B:$B,'Felosztás eredménykim'!$B215,'Eredeti fejléccel'!$R:$R)</f>
        <v>0</v>
      </c>
      <c r="M215" s="6">
        <f>SUMIF('Eredeti fejléccel'!$B:$B,'Felosztás eredménykim'!$B215,'Eredeti fejléccel'!$T:$T)</f>
        <v>0</v>
      </c>
      <c r="N215" s="6">
        <f>SUMIF('Eredeti fejléccel'!$B:$B,'Felosztás eredménykim'!$B215,'Eredeti fejléccel'!$U:$U)</f>
        <v>0</v>
      </c>
      <c r="O215" s="6">
        <f>SUMIF('Eredeti fejléccel'!$B:$B,'Felosztás eredménykim'!$B215,'Eredeti fejléccel'!$V:$V)</f>
        <v>0</v>
      </c>
      <c r="P215" s="6">
        <f>SUMIF('Eredeti fejléccel'!$B:$B,'Felosztás eredménykim'!$B215,'Eredeti fejléccel'!$W:$W)</f>
        <v>0</v>
      </c>
      <c r="Q215" s="6">
        <f>SUMIF('Eredeti fejléccel'!$B:$B,'Felosztás eredménykim'!$B215,'Eredeti fejléccel'!$X:$X)</f>
        <v>0</v>
      </c>
      <c r="R215" s="6">
        <f>SUMIF('Eredeti fejléccel'!$B:$B,'Felosztás eredménykim'!$B215,'Eredeti fejléccel'!$Y:$Y)</f>
        <v>0</v>
      </c>
      <c r="S215" s="6">
        <f>SUMIF('Eredeti fejléccel'!$B:$B,'Felosztás eredménykim'!$B215,'Eredeti fejléccel'!$Z:$Z)</f>
        <v>0</v>
      </c>
      <c r="T215" s="6">
        <f>SUMIF('Eredeti fejléccel'!$B:$B,'Felosztás eredménykim'!$B215,'Eredeti fejléccel'!$AA:$AA)</f>
        <v>0</v>
      </c>
      <c r="U215" s="6">
        <f>SUMIF('Eredeti fejléccel'!$B:$B,'Felosztás eredménykim'!$B215,'Eredeti fejléccel'!$D:$D)</f>
        <v>0</v>
      </c>
      <c r="V215" s="6">
        <f>SUMIF('Eredeti fejléccel'!$B:$B,'Felosztás eredménykim'!$B215,'Eredeti fejléccel'!$AT:$AT)</f>
        <v>0</v>
      </c>
      <c r="W215" s="36">
        <v>-71201</v>
      </c>
      <c r="X215" s="36">
        <f t="shared" si="414"/>
        <v>4928000</v>
      </c>
      <c r="Z215" s="6">
        <f>SUMIF('Eredeti fejléccel'!$B:$B,'Felosztás eredménykim'!$B215,'Eredeti fejléccel'!$K:$K)</f>
        <v>0</v>
      </c>
      <c r="AB215" s="6">
        <f>SUMIF('Eredeti fejléccel'!$B:$B,'Felosztás eredménykim'!$B215,'Eredeti fejléccel'!$AB:$AB)</f>
        <v>0</v>
      </c>
      <c r="AC215" s="6">
        <f>SUMIF('Eredeti fejléccel'!$B:$B,'Felosztás eredménykim'!$B215,'Eredeti fejléccel'!$AQ:$AQ)</f>
        <v>0</v>
      </c>
      <c r="AE215" s="73">
        <f t="shared" si="299"/>
        <v>0</v>
      </c>
      <c r="AF215" s="36">
        <f t="shared" si="470"/>
        <v>587883.99348010856</v>
      </c>
      <c r="AG215" s="8">
        <f t="shared" si="399"/>
        <v>0</v>
      </c>
      <c r="AI215" s="6">
        <f>SUMIF('Eredeti fejléccel'!$B:$B,'Felosztás eredménykim'!$B215,'Eredeti fejléccel'!$BB:$BB)</f>
        <v>0</v>
      </c>
      <c r="AJ215" s="6">
        <f>SUMIF('Eredeti fejléccel'!$B:$B,'Felosztás eredménykim'!$B215,'Eredeti fejléccel'!$AF:$AF)</f>
        <v>0</v>
      </c>
      <c r="AK215" s="8">
        <f t="shared" si="177"/>
        <v>0</v>
      </c>
      <c r="AL215" s="36">
        <f t="shared" si="471"/>
        <v>233504.55393207123</v>
      </c>
      <c r="AM215" s="8">
        <f t="shared" si="400"/>
        <v>0</v>
      </c>
      <c r="AN215" s="6">
        <f t="shared" si="291"/>
        <v>0</v>
      </c>
      <c r="AO215" s="6">
        <f>SUMIF('Eredeti fejléccel'!$B:$B,'Felosztás eredménykim'!$B215,'Eredeti fejléccel'!$AC:$AC)</f>
        <v>0</v>
      </c>
      <c r="AP215" s="6">
        <f>SUMIF('Eredeti fejléccel'!$B:$B,'Felosztás eredménykim'!$B215,'Eredeti fejléccel'!$AD:$AD)</f>
        <v>0</v>
      </c>
      <c r="AQ215" s="6">
        <f>SUMIF('Eredeti fejléccel'!$B:$B,'Felosztás eredménykim'!$B215,'Eredeti fejléccel'!$AE:$AE)</f>
        <v>0</v>
      </c>
      <c r="AR215" s="6">
        <f>SUMIF('Eredeti fejléccel'!$B:$B,'Felosztás eredménykim'!$B215,'Eredeti fejléccel'!$AG:$AG)</f>
        <v>0</v>
      </c>
      <c r="AS215" s="6">
        <f t="shared" si="292"/>
        <v>0</v>
      </c>
      <c r="AT215" s="36">
        <f t="shared" si="472"/>
        <v>379279.99579361855</v>
      </c>
      <c r="AU215" s="8">
        <f t="shared" si="401"/>
        <v>0</v>
      </c>
      <c r="AV215" s="6">
        <f>SUMIF('Eredeti fejléccel'!$B:$B,'Felosztás eredménykim'!$B215,'Eredeti fejléccel'!$AI:$AI)</f>
        <v>0</v>
      </c>
      <c r="AW215" s="6">
        <f>SUMIF('Eredeti fejléccel'!$B:$B,'Felosztás eredménykim'!$B215,'Eredeti fejléccel'!$AJ:$AJ)</f>
        <v>0</v>
      </c>
      <c r="AX215" s="6">
        <f>SUMIF('Eredeti fejléccel'!$B:$B,'Felosztás eredménykim'!$B215,'Eredeti fejléccel'!$AK:$AK)</f>
        <v>0</v>
      </c>
      <c r="AY215" s="6">
        <f>SUMIF('Eredeti fejléccel'!$B:$B,'Felosztás eredménykim'!$B215,'Eredeti fejléccel'!$AL:$AL)</f>
        <v>0</v>
      </c>
      <c r="AZ215" s="6">
        <f>SUMIF('Eredeti fejléccel'!$B:$B,'Felosztás eredménykim'!$B215,'Eredeti fejléccel'!$AM:$AM)</f>
        <v>0</v>
      </c>
      <c r="BA215" s="6">
        <f>SUMIF('Eredeti fejléccel'!$B:$B,'Felosztás eredménykim'!$B215,'Eredeti fejléccel'!$AN:$AN)</f>
        <v>0</v>
      </c>
      <c r="BB215" s="6">
        <f>SUMIF('Eredeti fejléccel'!$B:$B,'Felosztás eredménykim'!$B215,'Eredeti fejléccel'!$AP:$AP)</f>
        <v>0</v>
      </c>
      <c r="BD215" s="6">
        <f>SUMIF('Eredeti fejléccel'!$B:$B,'Felosztás eredménykim'!$B215,'Eredeti fejléccel'!$AS:$AS)</f>
        <v>0</v>
      </c>
      <c r="BE215" s="8">
        <f t="shared" si="238"/>
        <v>0</v>
      </c>
      <c r="BF215" s="36">
        <f t="shared" si="473"/>
        <v>98942.607598335249</v>
      </c>
      <c r="BG215" s="8">
        <f t="shared" si="402"/>
        <v>0</v>
      </c>
      <c r="BH215" s="6">
        <f t="shared" si="293"/>
        <v>0</v>
      </c>
      <c r="BI215" s="6">
        <f>SUMIF('Eredeti fejléccel'!$B:$B,'Felosztás eredménykim'!$B215,'Eredeti fejléccel'!$AH:$AH)</f>
        <v>0</v>
      </c>
      <c r="BJ215" s="6">
        <f>SUMIF('Eredeti fejléccel'!$B:$B,'Felosztás eredménykim'!$B215,'Eredeti fejléccel'!$AO:$AO)</f>
        <v>0</v>
      </c>
      <c r="BK215" s="6">
        <f>SUMIF('Eredeti fejléccel'!$B:$B,'Felosztás eredménykim'!$B215,'Eredeti fejléccel'!$BF:$BF)</f>
        <v>0</v>
      </c>
      <c r="BL215" s="8">
        <f t="shared" si="294"/>
        <v>0</v>
      </c>
      <c r="BM215" s="36">
        <f t="shared" si="474"/>
        <v>370704.96980176278</v>
      </c>
      <c r="BN215" s="8">
        <f t="shared" si="403"/>
        <v>0</v>
      </c>
      <c r="BP215" s="8">
        <f t="shared" si="295"/>
        <v>0</v>
      </c>
      <c r="BQ215" s="6">
        <f>SUMIF('Eredeti fejléccel'!$B:$B,'Felosztás eredménykim'!$B215,'Eredeti fejléccel'!$N:$N)</f>
        <v>0</v>
      </c>
      <c r="BR215" s="6">
        <f>SUMIF('Eredeti fejléccel'!$B:$B,'Felosztás eredménykim'!$B215,'Eredeti fejléccel'!$S:$S)</f>
        <v>0</v>
      </c>
      <c r="BT215" s="6">
        <f>SUMIF('Eredeti fejléccel'!$B:$B,'Felosztás eredménykim'!$B215,'Eredeti fejléccel'!$AR:$AR)</f>
        <v>0</v>
      </c>
      <c r="BU215" s="6">
        <f>SUMIF('Eredeti fejléccel'!$B:$B,'Felosztás eredménykim'!$B215,'Eredeti fejléccel'!$AU:$AU)</f>
        <v>0</v>
      </c>
      <c r="BV215" s="6">
        <f>SUMIF('Eredeti fejléccel'!$B:$B,'Felosztás eredménykim'!$B215,'Eredeti fejléccel'!$AV:$AV)</f>
        <v>0</v>
      </c>
      <c r="BW215" s="6">
        <f>SUMIF('Eredeti fejléccel'!$B:$B,'Felosztás eredménykim'!$B215,'Eredeti fejléccel'!$AW:$AW)</f>
        <v>0</v>
      </c>
      <c r="BX215" s="6">
        <f>SUMIF('Eredeti fejléccel'!$B:$B,'Felosztás eredménykim'!$B215,'Eredeti fejléccel'!$AX:$AX)</f>
        <v>0</v>
      </c>
      <c r="BY215" s="6">
        <f>SUMIF('Eredeti fejléccel'!$B:$B,'Felosztás eredménykim'!$B215,'Eredeti fejléccel'!$AY:$AY)</f>
        <v>0</v>
      </c>
      <c r="BZ215" s="6">
        <f>SUMIF('Eredeti fejléccel'!$B:$B,'Felosztás eredménykim'!$B215,'Eredeti fejléccel'!$AZ:$AZ)</f>
        <v>0</v>
      </c>
      <c r="CA215" s="6">
        <f>SUMIF('Eredeti fejléccel'!$B:$B,'Felosztás eredménykim'!$B215,'Eredeti fejléccel'!$BA:$BA)</f>
        <v>0</v>
      </c>
      <c r="CB215" s="6">
        <f t="shared" si="481"/>
        <v>0</v>
      </c>
      <c r="CC215" s="36">
        <f t="shared" si="475"/>
        <v>100921.45975030196</v>
      </c>
      <c r="CD215" s="8">
        <f t="shared" si="404"/>
        <v>0</v>
      </c>
      <c r="CE215" s="6">
        <f>SUMIF('Eredeti fejléccel'!$B:$B,'Felosztás eredménykim'!$B215,'Eredeti fejléccel'!$BC:$BC)</f>
        <v>0</v>
      </c>
      <c r="CF215" s="8">
        <f t="shared" si="300"/>
        <v>0</v>
      </c>
      <c r="CG215" s="6">
        <f>SUMIF('Eredeti fejléccel'!$B:$B,'Felosztás eredménykim'!$B215,'Eredeti fejléccel'!$H:$H)</f>
        <v>0</v>
      </c>
      <c r="CH215" s="6">
        <f>SUMIF('Eredeti fejléccel'!$B:$B,'Felosztás eredménykim'!$B215,'Eredeti fejléccel'!$BE:$BE)</f>
        <v>0</v>
      </c>
      <c r="CI215" s="6">
        <f t="shared" si="239"/>
        <v>0</v>
      </c>
      <c r="CJ215" s="36">
        <f t="shared" si="476"/>
        <v>72557.912238779201</v>
      </c>
      <c r="CK215" s="8">
        <f t="shared" si="405"/>
        <v>0</v>
      </c>
      <c r="CL215" s="8">
        <f t="shared" si="301"/>
        <v>0</v>
      </c>
      <c r="CM215" s="6">
        <f>SUMIF('Eredeti fejléccel'!$B:$B,'Felosztás eredménykim'!$B215,'Eredeti fejléccel'!$BD:$BD)</f>
        <v>0</v>
      </c>
      <c r="CN215" s="8">
        <f t="shared" si="240"/>
        <v>0</v>
      </c>
      <c r="CO215" s="8">
        <f t="shared" si="482"/>
        <v>1843795.4925949776</v>
      </c>
      <c r="CR215" s="36">
        <f t="shared" si="406"/>
        <v>435840.82421120413</v>
      </c>
      <c r="CS215" s="6">
        <f>SUMIF('Eredeti fejléccel'!$B:$B,'Felosztás eredménykim'!$B215,'Eredeti fejléccel'!$I:$I)</f>
        <v>0</v>
      </c>
      <c r="CT215" s="6">
        <f>SUMIF('Eredeti fejléccel'!$B:$B,'Felosztás eredménykim'!$B215,'Eredeti fejléccel'!$BG:$BG)</f>
        <v>0</v>
      </c>
      <c r="CU215" s="6">
        <f>SUMIF('Eredeti fejléccel'!$B:$B,'Felosztás eredménykim'!$B215,'Eredeti fejléccel'!$BH:$BH)</f>
        <v>0</v>
      </c>
      <c r="CV215" s="6">
        <f>SUMIF('Eredeti fejléccel'!$B:$B,'Felosztás eredménykim'!$B215,'Eredeti fejléccel'!$BI:$BI)</f>
        <v>0</v>
      </c>
      <c r="CW215" s="6">
        <f>SUMIF('Eredeti fejléccel'!$B:$B,'Felosztás eredménykim'!$B215,'Eredeti fejléccel'!$BL:$BL)</f>
        <v>0</v>
      </c>
      <c r="CX215" s="6">
        <f t="shared" si="241"/>
        <v>0</v>
      </c>
      <c r="CY215" s="6">
        <f>SUMIF('Eredeti fejléccel'!$B:$B,'Felosztás eredménykim'!$B215,'Eredeti fejléccel'!$BJ:$BJ)</f>
        <v>0</v>
      </c>
      <c r="CZ215" s="6">
        <f>SUMIF('Eredeti fejléccel'!$B:$B,'Felosztás eredménykim'!$B215,'Eredeti fejléccel'!$BK:$BK)</f>
        <v>0</v>
      </c>
      <c r="DA215" s="99">
        <f t="shared" si="415"/>
        <v>0</v>
      </c>
      <c r="DC215" s="36">
        <f t="shared" si="407"/>
        <v>381737.54024468776</v>
      </c>
      <c r="DD215" s="6">
        <f>SUMIF('Eredeti fejléccel'!$B:$B,'Felosztás eredménykim'!$B215,'Eredeti fejléccel'!$J:$J)</f>
        <v>0</v>
      </c>
      <c r="DE215" s="6">
        <f>SUMIF('Eredeti fejléccel'!$B:$B,'Felosztás eredménykim'!$B215,'Eredeti fejléccel'!$BM:$BM)</f>
        <v>0</v>
      </c>
      <c r="DF215" s="6">
        <f t="shared" si="296"/>
        <v>0</v>
      </c>
      <c r="DG215" s="8">
        <f t="shared" si="483"/>
        <v>0</v>
      </c>
      <c r="DH215" s="8">
        <f t="shared" si="297"/>
        <v>0</v>
      </c>
      <c r="DJ215" s="6">
        <f>SUMIF('Eredeti fejléccel'!$B:$B,'Felosztás eredménykim'!$B215,'Eredeti fejléccel'!$BN:$BN)</f>
        <v>0</v>
      </c>
      <c r="DK215" s="6">
        <f>SUMIF('Eredeti fejléccel'!$B:$B,'Felosztás eredménykim'!$B215,'Eredeti fejléccel'!$BZ:$BZ)</f>
        <v>0</v>
      </c>
      <c r="DL215" s="8">
        <f t="shared" si="298"/>
        <v>0</v>
      </c>
      <c r="DM215" s="6">
        <f>SUMIF('Eredeti fejléccel'!$B:$B,'Felosztás eredménykim'!$B215,'Eredeti fejléccel'!$BR:$BR)</f>
        <v>0</v>
      </c>
      <c r="DN215" s="6">
        <f>SUMIF('Eredeti fejléccel'!$B:$B,'Felosztás eredménykim'!$B215,'Eredeti fejléccel'!$BS:$BS)</f>
        <v>0</v>
      </c>
      <c r="DO215" s="6">
        <f>SUMIF('Eredeti fejléccel'!$B:$B,'Felosztás eredménykim'!$B215,'Eredeti fejléccel'!$BO:$BO)</f>
        <v>0</v>
      </c>
      <c r="DP215" s="6">
        <f>SUMIF('Eredeti fejléccel'!$B:$B,'Felosztás eredménykim'!$B215,'Eredeti fejléccel'!$BP:$BP)</f>
        <v>0</v>
      </c>
      <c r="DQ215" s="6">
        <f>SUMIF('Eredeti fejléccel'!$B:$B,'Felosztás eredménykim'!$B215,'Eredeti fejléccel'!$BQ:$BQ)</f>
        <v>0</v>
      </c>
      <c r="DS215" s="8"/>
      <c r="DU215" s="6">
        <f>SUMIF('Eredeti fejléccel'!$B:$B,'Felosztás eredménykim'!$B215,'Eredeti fejléccel'!$BT:$BT)</f>
        <v>0</v>
      </c>
      <c r="DV215" s="6">
        <f>SUMIF('Eredeti fejléccel'!$B:$B,'Felosztás eredménykim'!$B215,'Eredeti fejléccel'!$BU:$BU)</f>
        <v>0</v>
      </c>
      <c r="DW215" s="6">
        <f>SUMIF('Eredeti fejléccel'!$B:$B,'Felosztás eredménykim'!$B215,'Eredeti fejléccel'!$BV:$BV)</f>
        <v>0</v>
      </c>
      <c r="DX215" s="6">
        <f>SUMIF('Eredeti fejléccel'!$B:$B,'Felosztás eredménykim'!$B215,'Eredeti fejléccel'!$BW:$BW)</f>
        <v>0</v>
      </c>
      <c r="DY215" s="6">
        <f>SUMIF('Eredeti fejléccel'!$B:$B,'Felosztás eredménykim'!$B215,'Eredeti fejléccel'!$BX:$BX)</f>
        <v>0</v>
      </c>
      <c r="EA215" s="6"/>
      <c r="EC215" s="6"/>
      <c r="EE215" s="6">
        <f>SUMIF('Eredeti fejléccel'!$B:$B,'Felosztás eredménykim'!$B215,'Eredeti fejléccel'!$CA:$CA)</f>
        <v>0</v>
      </c>
      <c r="EF215" s="6">
        <f>SUMIF('Eredeti fejléccel'!$B:$B,'Felosztás eredménykim'!$B215,'Eredeti fejléccel'!$CB:$CB)</f>
        <v>0</v>
      </c>
      <c r="EG215" s="6">
        <f>SUMIF('Eredeti fejléccel'!$B:$B,'Felosztás eredménykim'!$B215,'Eredeti fejléccel'!$CC:$CC)</f>
        <v>0</v>
      </c>
      <c r="EH215" s="6">
        <f>SUMIF('Eredeti fejléccel'!$B:$B,'Felosztás eredménykim'!$B215,'Eredeti fejléccel'!$CD:$CD)</f>
        <v>0</v>
      </c>
      <c r="EK215" s="6">
        <f>SUMIF('Eredeti fejléccel'!$B:$B,'Felosztás eredménykim'!$B215,'Eredeti fejléccel'!$CE:$CE)</f>
        <v>0</v>
      </c>
      <c r="EN215" s="6">
        <f>SUMIF('Eredeti fejléccel'!$B:$B,'Felosztás eredménykim'!$B215,'Eredeti fejléccel'!$CF:$CF)</f>
        <v>0</v>
      </c>
      <c r="EP215" s="6">
        <f>SUMIF('Eredeti fejléccel'!$B:$B,'Felosztás eredménykim'!$B215,'Eredeti fejléccel'!$CG:$CG)</f>
        <v>0</v>
      </c>
      <c r="ES215" s="6">
        <f>SUMIF('Eredeti fejléccel'!$B:$B,'Felosztás eredménykim'!$B215,'Eredeti fejléccel'!$CH:$CH)</f>
        <v>0</v>
      </c>
      <c r="ET215" s="6">
        <f>SUMIF('Eredeti fejléccel'!$B:$B,'Felosztás eredménykim'!$B215,'Eredeti fejléccel'!$CI:$CI)</f>
        <v>0</v>
      </c>
      <c r="EW215" s="8">
        <f t="shared" si="288"/>
        <v>0</v>
      </c>
      <c r="EX215" s="8">
        <f t="shared" si="243"/>
        <v>0</v>
      </c>
      <c r="EY215" s="8">
        <f t="shared" si="416"/>
        <v>0</v>
      </c>
      <c r="EZ215" s="8">
        <f t="shared" si="289"/>
        <v>0</v>
      </c>
      <c r="FA215" s="8">
        <f t="shared" si="290"/>
        <v>0</v>
      </c>
      <c r="FC215" s="6">
        <f>SUMIF('Eredeti fejléccel'!$B:$B,'Felosztás eredménykim'!$B215,'Eredeti fejléccel'!$L:$L)</f>
        <v>0</v>
      </c>
      <c r="FD215" s="6">
        <f>SUMIF('Eredeti fejléccel'!$B:$B,'Felosztás eredménykim'!$B215,'Eredeti fejléccel'!$CJ:$CJ)</f>
        <v>0</v>
      </c>
      <c r="FE215" s="6">
        <f>SUMIF('Eredeti fejléccel'!$B:$B,'Felosztás eredménykim'!$B215,'Eredeti fejléccel'!$CL:$CL)</f>
        <v>0</v>
      </c>
      <c r="FG215" s="99">
        <f t="shared" si="245"/>
        <v>0</v>
      </c>
      <c r="FH215" s="6">
        <f>SUMIF('Eredeti fejléccel'!$B:$B,'Felosztás eredménykim'!$B215,'Eredeti fejléccel'!$CK:$CK)</f>
        <v>0</v>
      </c>
      <c r="FI215" s="36">
        <f t="shared" si="477"/>
        <v>449138.40857734345</v>
      </c>
      <c r="FJ215" s="101">
        <f t="shared" si="408"/>
        <v>0</v>
      </c>
      <c r="FK215" s="6">
        <f>SUMIF('Eredeti fejléccel'!$B:$B,'Felosztás eredménykim'!$B215,'Eredeti fejléccel'!$CM:$CM)</f>
        <v>0</v>
      </c>
      <c r="FL215" s="6">
        <f>SUMIF('Eredeti fejléccel'!$B:$B,'Felosztás eredménykim'!$B215,'Eredeti fejléccel'!$CN:$CN)</f>
        <v>0</v>
      </c>
      <c r="FM215" s="8">
        <f t="shared" si="246"/>
        <v>0</v>
      </c>
      <c r="FN215" s="36">
        <f t="shared" si="478"/>
        <v>381841.33022324648</v>
      </c>
      <c r="FO215" s="101">
        <f t="shared" si="409"/>
        <v>0</v>
      </c>
      <c r="FP215" s="6">
        <f>SUMIF('Eredeti fejléccel'!$B:$B,'Felosztás eredménykim'!$B215,'Eredeti fejléccel'!$CO:$CO)</f>
        <v>0</v>
      </c>
      <c r="FQ215" s="6">
        <f>'Eredeti fejléccel'!CP215</f>
        <v>0</v>
      </c>
      <c r="FR215" s="6">
        <f>'Eredeti fejléccel'!CQ215</f>
        <v>0</v>
      </c>
      <c r="FS215" s="103">
        <f t="shared" si="417"/>
        <v>0</v>
      </c>
      <c r="FT215" s="36">
        <f t="shared" si="479"/>
        <v>1053993.4145141672</v>
      </c>
      <c r="FU215" s="101">
        <f t="shared" si="410"/>
        <v>0</v>
      </c>
      <c r="FV215" s="101"/>
      <c r="FW215" s="6">
        <f>SUMIF('Eredeti fejléccel'!$B:$B,'Felosztás eredménykim'!$B215,'Eredeti fejléccel'!$CR:$CR)</f>
        <v>0</v>
      </c>
      <c r="FX215" s="6">
        <f>SUMIF('Eredeti fejléccel'!$B:$B,'Felosztás eredménykim'!$B215,'Eredeti fejléccel'!$CS:$CS)</f>
        <v>0</v>
      </c>
      <c r="FY215" s="6">
        <f>SUMIF('Eredeti fejléccel'!$B:$B,'Felosztás eredménykim'!$B215,'Eredeti fejléccel'!$CT:$CT)</f>
        <v>0</v>
      </c>
      <c r="FZ215" s="6">
        <f>SUMIF('Eredeti fejléccel'!$B:$B,'Felosztás eredménykim'!$B215,'Eredeti fejléccel'!$CU:$CU)</f>
        <v>0</v>
      </c>
      <c r="GA215" s="103">
        <f t="shared" si="248"/>
        <v>0</v>
      </c>
      <c r="GB215" s="36">
        <f t="shared" si="480"/>
        <v>140488.79130855293</v>
      </c>
      <c r="GC215" s="101">
        <f t="shared" si="411"/>
        <v>0</v>
      </c>
      <c r="GD215" s="6">
        <f>SUMIF('Eredeti fejléccel'!$B:$B,'Felosztás eredménykim'!$B215,'Eredeti fejléccel'!$CV:$CV)</f>
        <v>0</v>
      </c>
      <c r="GE215" s="6">
        <f>SUMIF('Eredeti fejléccel'!$B:$B,'Felosztás eredménykim'!$B215,'Eredeti fejléccel'!$CW:$CW)</f>
        <v>0</v>
      </c>
      <c r="GF215" s="103">
        <f t="shared" si="249"/>
        <v>0</v>
      </c>
      <c r="GG215" s="36">
        <f t="shared" si="412"/>
        <v>0</v>
      </c>
      <c r="GM215" s="6">
        <f>SUMIF('Eredeti fejléccel'!$B:$B,'Felosztás eredménykim'!$B215,'Eredeti fejléccel'!$CX:$CX)</f>
        <v>0</v>
      </c>
      <c r="GN215" s="6">
        <f>SUMIF('Eredeti fejléccel'!$B:$B,'Felosztás eredménykim'!$B215,'Eredeti fejléccel'!$CY:$CY)</f>
        <v>0</v>
      </c>
      <c r="GO215" s="6">
        <f>SUMIF('Eredeti fejléccel'!$B:$B,'Felosztás eredménykim'!$B215,'Eredeti fejléccel'!$CZ:$CZ)</f>
        <v>0</v>
      </c>
      <c r="GP215" s="6">
        <f>SUMIF('Eredeti fejléccel'!$B:$B,'Felosztás eredménykim'!$B215,'Eredeti fejléccel'!$DA:$DA)</f>
        <v>0</v>
      </c>
      <c r="GQ215" s="6">
        <f>SUMIF('Eredeti fejléccel'!$B:$B,'Felosztás eredménykim'!$B215,'Eredeti fejléccel'!$DB:$DB)</f>
        <v>0</v>
      </c>
      <c r="GR215" s="103">
        <f t="shared" si="250"/>
        <v>0</v>
      </c>
      <c r="GW215" s="36">
        <f t="shared" si="413"/>
        <v>241164.19832582099</v>
      </c>
      <c r="GX215" s="6">
        <f>SUMIF('Eredeti fejléccel'!$B:$B,'Felosztás eredménykim'!$B215,'Eredeti fejléccel'!$M:$M)</f>
        <v>0</v>
      </c>
      <c r="GY215" s="6">
        <f>SUMIF('Eredeti fejléccel'!$B:$B,'Felosztás eredménykim'!$B215,'Eredeti fejléccel'!$DC:$DC)</f>
        <v>0</v>
      </c>
      <c r="GZ215" s="6">
        <f>SUMIF('Eredeti fejléccel'!$B:$B,'Felosztás eredménykim'!$B215,'Eredeti fejléccel'!$DD:$DD)</f>
        <v>0</v>
      </c>
      <c r="HA215" s="6">
        <f>SUMIF('Eredeti fejléccel'!$B:$B,'Felosztás eredménykim'!$B215,'Eredeti fejléccel'!$DE:$DE)</f>
        <v>0</v>
      </c>
      <c r="HB215" s="103">
        <f t="shared" si="251"/>
        <v>0</v>
      </c>
      <c r="HD215" s="9">
        <f t="shared" si="429"/>
        <v>4999200.9999999972</v>
      </c>
      <c r="HE215" s="9">
        <v>2197624</v>
      </c>
      <c r="HF215" s="476"/>
      <c r="HH215" s="34">
        <f t="shared" si="252"/>
        <v>2801576.9999999972</v>
      </c>
    </row>
    <row r="216" spans="1:218" x14ac:dyDescent="0.25">
      <c r="A216" s="4" t="s">
        <v>291</v>
      </c>
      <c r="B216" s="4" t="s">
        <v>291</v>
      </c>
      <c r="C216" s="1" t="s">
        <v>292</v>
      </c>
      <c r="D216" s="6">
        <f>SUMIF('Eredeti fejléccel'!$B:$B,'Felosztás eredménykim'!$B216,'Eredeti fejléccel'!$D:$D)</f>
        <v>0</v>
      </c>
      <c r="E216" s="503">
        <f>SUMIF('Eredeti fejléccel'!$B:$B,'Felosztás eredménykim'!$B216,'Eredeti fejléccel'!$E:$E)+1911000+101000-170001+19000</f>
        <v>17620257.66</v>
      </c>
      <c r="F216" s="6">
        <f>SUMIF('Eredeti fejléccel'!$B:$B,'Felosztás eredménykim'!$B216,'Eredeti fejléccel'!$F:$F)</f>
        <v>0</v>
      </c>
      <c r="G216" s="6">
        <f>SUMIF('Eredeti fejléccel'!$B:$B,'Felosztás eredménykim'!$B216,'Eredeti fejléccel'!$G:$G)</f>
        <v>0</v>
      </c>
      <c r="H216" s="6"/>
      <c r="I216" s="6">
        <f>SUMIF('Eredeti fejléccel'!$B:$B,'Felosztás eredménykim'!$B216,'Eredeti fejléccel'!$O:$O)</f>
        <v>0</v>
      </c>
      <c r="J216" s="6">
        <f>SUMIF('Eredeti fejléccel'!$B:$B,'Felosztás eredménykim'!$B216,'Eredeti fejléccel'!$P:$P)</f>
        <v>0</v>
      </c>
      <c r="K216" s="6">
        <f>SUMIF('Eredeti fejléccel'!$B:$B,'Felosztás eredménykim'!$B216,'Eredeti fejléccel'!$Q:$Q)</f>
        <v>0</v>
      </c>
      <c r="L216" s="6">
        <f>SUMIF('Eredeti fejléccel'!$B:$B,'Felosztás eredménykim'!$B216,'Eredeti fejléccel'!$R:$R)</f>
        <v>0</v>
      </c>
      <c r="M216" s="6">
        <f>SUMIF('Eredeti fejléccel'!$B:$B,'Felosztás eredménykim'!$B216,'Eredeti fejléccel'!$T:$T)</f>
        <v>0</v>
      </c>
      <c r="N216" s="6">
        <f>SUMIF('Eredeti fejléccel'!$B:$B,'Felosztás eredménykim'!$B216,'Eredeti fejléccel'!$U:$U)</f>
        <v>0</v>
      </c>
      <c r="O216" s="6">
        <f>SUMIF('Eredeti fejléccel'!$B:$B,'Felosztás eredménykim'!$B216,'Eredeti fejléccel'!$V:$V)</f>
        <v>0</v>
      </c>
      <c r="P216" s="6">
        <f>SUMIF('Eredeti fejléccel'!$B:$B,'Felosztás eredménykim'!$B216,'Eredeti fejléccel'!$W:$W)</f>
        <v>0</v>
      </c>
      <c r="Q216" s="6">
        <f>SUMIF('Eredeti fejléccel'!$B:$B,'Felosztás eredménykim'!$B216,'Eredeti fejléccel'!$X:$X)</f>
        <v>0</v>
      </c>
      <c r="R216" s="6">
        <f>SUMIF('Eredeti fejléccel'!$B:$B,'Felosztás eredménykim'!$B216,'Eredeti fejléccel'!$Y:$Y)</f>
        <v>0</v>
      </c>
      <c r="S216" s="6">
        <f>SUMIF('Eredeti fejléccel'!$B:$B,'Felosztás eredménykim'!$B216,'Eredeti fejléccel'!$Z:$Z)</f>
        <v>0</v>
      </c>
      <c r="T216" s="6">
        <f>SUMIF('Eredeti fejléccel'!$B:$B,'Felosztás eredménykim'!$B216,'Eredeti fejléccel'!$AA:$AA)</f>
        <v>0</v>
      </c>
      <c r="U216" s="6">
        <f>SUMIF('Eredeti fejléccel'!$B:$B,'Felosztás eredménykim'!$B216,'Eredeti fejléccel'!$D:$D)</f>
        <v>0</v>
      </c>
      <c r="V216" s="6">
        <f>SUMIF('Eredeti fejléccel'!$B:$B,'Felosztás eredménykim'!$B216,'Eredeti fejléccel'!$AT:$AT)</f>
        <v>0</v>
      </c>
      <c r="W216" s="36">
        <f>69001-19000</f>
        <v>50001</v>
      </c>
      <c r="X216" s="36">
        <f t="shared" si="414"/>
        <v>17670258.66</v>
      </c>
      <c r="Z216" s="6">
        <f>SUMIF('Eredeti fejléccel'!$B:$B,'Felosztás eredménykim'!$B216,'Eredeti fejléccel'!$K:$K)</f>
        <v>0</v>
      </c>
      <c r="AB216" s="6">
        <f>SUMIF('Eredeti fejléccel'!$B:$B,'Felosztás eredménykim'!$B216,'Eredeti fejléccel'!$AB:$AB)</f>
        <v>0</v>
      </c>
      <c r="AC216" s="6">
        <f>SUMIF('Eredeti fejléccel'!$B:$B,'Felosztás eredménykim'!$B216,'Eredeti fejléccel'!$AQ:$AQ)</f>
        <v>0</v>
      </c>
      <c r="AE216" s="73">
        <f t="shared" si="299"/>
        <v>0</v>
      </c>
      <c r="AF216" s="36">
        <f t="shared" si="470"/>
        <v>2107967.1726597552</v>
      </c>
      <c r="AG216" s="8">
        <f t="shared" si="399"/>
        <v>0</v>
      </c>
      <c r="AI216" s="6">
        <f>SUMIF('Eredeti fejléccel'!$B:$B,'Felosztás eredménykim'!$B216,'Eredeti fejléccel'!$BB:$BB)</f>
        <v>0</v>
      </c>
      <c r="AJ216" s="6">
        <f>SUMIF('Eredeti fejléccel'!$B:$B,'Felosztás eredménykim'!$B216,'Eredeti fejléccel'!$AF:$AF)</f>
        <v>0</v>
      </c>
      <c r="AK216" s="8">
        <f t="shared" si="177"/>
        <v>0</v>
      </c>
      <c r="AL216" s="36">
        <f t="shared" si="471"/>
        <v>837273.91766794212</v>
      </c>
      <c r="AM216" s="8">
        <f t="shared" si="400"/>
        <v>0</v>
      </c>
      <c r="AN216" s="6">
        <f t="shared" si="291"/>
        <v>0</v>
      </c>
      <c r="AO216" s="6">
        <f>SUMIF('Eredeti fejléccel'!$B:$B,'Felosztás eredménykim'!$B216,'Eredeti fejléccel'!$AC:$AC)</f>
        <v>0</v>
      </c>
      <c r="AP216" s="6">
        <f>SUMIF('Eredeti fejléccel'!$B:$B,'Felosztás eredménykim'!$B216,'Eredeti fejléccel'!$AD:$AD)</f>
        <v>0</v>
      </c>
      <c r="AQ216" s="6">
        <f>SUMIF('Eredeti fejléccel'!$B:$B,'Felosztás eredménykim'!$B216,'Eredeti fejléccel'!$AE:$AE)</f>
        <v>0</v>
      </c>
      <c r="AR216" s="6">
        <f>SUMIF('Eredeti fejléccel'!$B:$B,'Felosztás eredménykim'!$B216,'Eredeti fejléccel'!$AG:$AG)</f>
        <v>0</v>
      </c>
      <c r="AS216" s="6">
        <f t="shared" si="292"/>
        <v>0</v>
      </c>
      <c r="AT216" s="36">
        <f t="shared" si="472"/>
        <v>1359978.8210708098</v>
      </c>
      <c r="AU216" s="8">
        <f t="shared" si="401"/>
        <v>0</v>
      </c>
      <c r="AV216" s="6">
        <f>SUMIF('Eredeti fejléccel'!$B:$B,'Felosztás eredménykim'!$B216,'Eredeti fejléccel'!$AI:$AI)</f>
        <v>0</v>
      </c>
      <c r="AW216" s="6">
        <f>SUMIF('Eredeti fejléccel'!$B:$B,'Felosztás eredménykim'!$B216,'Eredeti fejléccel'!$AJ:$AJ)</f>
        <v>0</v>
      </c>
      <c r="AX216" s="6">
        <f>SUMIF('Eredeti fejléccel'!$B:$B,'Felosztás eredménykim'!$B216,'Eredeti fejléccel'!$AK:$AK)</f>
        <v>0</v>
      </c>
      <c r="AY216" s="6">
        <f>SUMIF('Eredeti fejléccel'!$B:$B,'Felosztás eredménykim'!$B216,'Eredeti fejléccel'!$AL:$AL)</f>
        <v>0</v>
      </c>
      <c r="AZ216" s="6">
        <f>SUMIF('Eredeti fejléccel'!$B:$B,'Felosztás eredménykim'!$B216,'Eredeti fejléccel'!$AM:$AM)</f>
        <v>0</v>
      </c>
      <c r="BA216" s="6">
        <f>SUMIF('Eredeti fejléccel'!$B:$B,'Felosztás eredménykim'!$B216,'Eredeti fejléccel'!$AN:$AN)</f>
        <v>0</v>
      </c>
      <c r="BB216" s="6">
        <f>SUMIF('Eredeti fejléccel'!$B:$B,'Felosztás eredménykim'!$B216,'Eredeti fejléccel'!$AP:$AP)</f>
        <v>0</v>
      </c>
      <c r="BD216" s="6">
        <f>SUMIF('Eredeti fejléccel'!$B:$B,'Felosztás eredménykim'!$B216,'Eredeti fejléccel'!$AS:$AS)</f>
        <v>0</v>
      </c>
      <c r="BE216" s="8">
        <f t="shared" si="238"/>
        <v>0</v>
      </c>
      <c r="BF216" s="36">
        <f t="shared" si="473"/>
        <v>354777.08375760255</v>
      </c>
      <c r="BG216" s="8">
        <f t="shared" si="402"/>
        <v>0</v>
      </c>
      <c r="BH216" s="6">
        <f t="shared" si="293"/>
        <v>0</v>
      </c>
      <c r="BI216" s="6">
        <f>SUMIF('Eredeti fejléccel'!$B:$B,'Felosztás eredménykim'!$B216,'Eredeti fejléccel'!$AH:$AH)</f>
        <v>0</v>
      </c>
      <c r="BJ216" s="6">
        <f>SUMIF('Eredeti fejléccel'!$B:$B,'Felosztás eredménykim'!$B216,'Eredeti fejléccel'!$AO:$AO)</f>
        <v>0</v>
      </c>
      <c r="BK216" s="6">
        <f>SUMIF('Eredeti fejléccel'!$B:$B,'Felosztás eredménykim'!$B216,'Eredeti fejléccel'!$BF:$BF)</f>
        <v>0</v>
      </c>
      <c r="BL216" s="8">
        <f t="shared" si="294"/>
        <v>0</v>
      </c>
      <c r="BM216" s="36">
        <f t="shared" si="474"/>
        <v>1329231.4738118178</v>
      </c>
      <c r="BN216" s="8">
        <f t="shared" si="403"/>
        <v>0</v>
      </c>
      <c r="BP216" s="8">
        <f t="shared" si="295"/>
        <v>0</v>
      </c>
      <c r="BQ216" s="6">
        <f>SUMIF('Eredeti fejléccel'!$B:$B,'Felosztás eredménykim'!$B216,'Eredeti fejléccel'!$N:$N)</f>
        <v>0</v>
      </c>
      <c r="BR216" s="6">
        <f>SUMIF('Eredeti fejléccel'!$B:$B,'Felosztás eredménykim'!$B216,'Eredeti fejléccel'!$S:$S)</f>
        <v>0</v>
      </c>
      <c r="BT216" s="6">
        <f>SUMIF('Eredeti fejléccel'!$B:$B,'Felosztás eredménykim'!$B216,'Eredeti fejléccel'!$AR:$AR)</f>
        <v>0</v>
      </c>
      <c r="BU216" s="6">
        <f>SUMIF('Eredeti fejléccel'!$B:$B,'Felosztás eredménykim'!$B216,'Eredeti fejléccel'!$AU:$AU)</f>
        <v>0</v>
      </c>
      <c r="BV216" s="6">
        <f>SUMIF('Eredeti fejléccel'!$B:$B,'Felosztás eredménykim'!$B216,'Eredeti fejléccel'!$AV:$AV)</f>
        <v>0</v>
      </c>
      <c r="BW216" s="6">
        <f>SUMIF('Eredeti fejléccel'!$B:$B,'Felosztás eredménykim'!$B216,'Eredeti fejléccel'!$AW:$AW)</f>
        <v>0</v>
      </c>
      <c r="BX216" s="6">
        <f>SUMIF('Eredeti fejléccel'!$B:$B,'Felosztás eredménykim'!$B216,'Eredeti fejléccel'!$AX:$AX)</f>
        <v>0</v>
      </c>
      <c r="BY216" s="6">
        <f>SUMIF('Eredeti fejléccel'!$B:$B,'Felosztás eredménykim'!$B216,'Eredeti fejléccel'!$AY:$AY)</f>
        <v>0</v>
      </c>
      <c r="BZ216" s="6">
        <f>SUMIF('Eredeti fejléccel'!$B:$B,'Felosztás eredménykim'!$B216,'Eredeti fejléccel'!$AZ:$AZ)</f>
        <v>0</v>
      </c>
      <c r="CA216" s="6">
        <f>SUMIF('Eredeti fejléccel'!$B:$B,'Felosztás eredménykim'!$B216,'Eredeti fejléccel'!$BA:$BA)</f>
        <v>0</v>
      </c>
      <c r="CB216" s="6">
        <f t="shared" si="481"/>
        <v>0</v>
      </c>
      <c r="CC216" s="36">
        <f t="shared" si="475"/>
        <v>361872.62543275463</v>
      </c>
      <c r="CD216" s="8">
        <f t="shared" si="404"/>
        <v>0</v>
      </c>
      <c r="CE216" s="6">
        <f>SUMIF('Eredeti fejléccel'!$B:$B,'Felosztás eredménykim'!$B216,'Eredeti fejléccel'!$BC:$BC)</f>
        <v>0</v>
      </c>
      <c r="CF216" s="8">
        <f t="shared" si="300"/>
        <v>0</v>
      </c>
      <c r="CG216" s="6">
        <f>SUMIF('Eredeti fejléccel'!$B:$B,'Felosztás eredménykim'!$B216,'Eredeti fejléccel'!$H:$H)</f>
        <v>0</v>
      </c>
      <c r="CH216" s="6">
        <f>SUMIF('Eredeti fejléccel'!$B:$B,'Felosztás eredménykim'!$B216,'Eredeti fejléccel'!$BE:$BE)</f>
        <v>0</v>
      </c>
      <c r="CI216" s="6">
        <f t="shared" si="239"/>
        <v>0</v>
      </c>
      <c r="CJ216" s="36">
        <f t="shared" si="476"/>
        <v>260169.86142224193</v>
      </c>
      <c r="CK216" s="8">
        <f t="shared" si="405"/>
        <v>0</v>
      </c>
      <c r="CL216" s="8">
        <f t="shared" si="301"/>
        <v>0</v>
      </c>
      <c r="CM216" s="6">
        <f>SUMIF('Eredeti fejléccel'!$B:$B,'Felosztás eredménykim'!$B216,'Eredeti fejléccel'!$BD:$BD)</f>
        <v>0</v>
      </c>
      <c r="CN216" s="8">
        <f t="shared" si="240"/>
        <v>0</v>
      </c>
      <c r="CO216" s="8">
        <f t="shared" si="482"/>
        <v>6611270.9558229242</v>
      </c>
      <c r="CR216" s="36">
        <f t="shared" si="406"/>
        <v>1562788.1693180942</v>
      </c>
      <c r="CS216" s="6">
        <f>SUMIF('Eredeti fejléccel'!$B:$B,'Felosztás eredménykim'!$B216,'Eredeti fejléccel'!$I:$I)</f>
        <v>0</v>
      </c>
      <c r="CT216" s="6">
        <f>SUMIF('Eredeti fejléccel'!$B:$B,'Felosztás eredménykim'!$B216,'Eredeti fejléccel'!$BG:$BG)</f>
        <v>0</v>
      </c>
      <c r="CU216" s="6">
        <f>SUMIF('Eredeti fejléccel'!$B:$B,'Felosztás eredménykim'!$B216,'Eredeti fejléccel'!$BH:$BH)</f>
        <v>0</v>
      </c>
      <c r="CV216" s="6">
        <f>SUMIF('Eredeti fejléccel'!$B:$B,'Felosztás eredménykim'!$B216,'Eredeti fejléccel'!$BI:$BI)</f>
        <v>0</v>
      </c>
      <c r="CW216" s="6">
        <f>SUMIF('Eredeti fejléccel'!$B:$B,'Felosztás eredménykim'!$B216,'Eredeti fejléccel'!$BL:$BL)</f>
        <v>0</v>
      </c>
      <c r="CX216" s="6">
        <f t="shared" si="241"/>
        <v>0</v>
      </c>
      <c r="CY216" s="6">
        <f>SUMIF('Eredeti fejléccel'!$B:$B,'Felosztás eredménykim'!$B216,'Eredeti fejléccel'!$BJ:$BJ)</f>
        <v>0</v>
      </c>
      <c r="CZ216" s="6">
        <f>SUMIF('Eredeti fejléccel'!$B:$B,'Felosztás eredménykim'!$B216,'Eredeti fejléccel'!$BK:$BK)</f>
        <v>0</v>
      </c>
      <c r="DA216" s="99">
        <f t="shared" si="415"/>
        <v>0</v>
      </c>
      <c r="DC216" s="36">
        <f t="shared" si="407"/>
        <v>1368790.8028319385</v>
      </c>
      <c r="DD216" s="6">
        <f>SUMIF('Eredeti fejléccel'!$B:$B,'Felosztás eredménykim'!$B216,'Eredeti fejléccel'!$J:$J)</f>
        <v>0</v>
      </c>
      <c r="DE216" s="6">
        <f>SUMIF('Eredeti fejléccel'!$B:$B,'Felosztás eredménykim'!$B216,'Eredeti fejléccel'!$BM:$BM)</f>
        <v>0</v>
      </c>
      <c r="DF216" s="6">
        <f t="shared" si="296"/>
        <v>0</v>
      </c>
      <c r="DG216" s="8">
        <f t="shared" si="483"/>
        <v>0</v>
      </c>
      <c r="DH216" s="8">
        <f t="shared" si="297"/>
        <v>0</v>
      </c>
      <c r="DJ216" s="6">
        <f>SUMIF('Eredeti fejléccel'!$B:$B,'Felosztás eredménykim'!$B216,'Eredeti fejléccel'!$BN:$BN)</f>
        <v>0</v>
      </c>
      <c r="DK216" s="6">
        <f>SUMIF('Eredeti fejléccel'!$B:$B,'Felosztás eredménykim'!$B216,'Eredeti fejléccel'!$BZ:$BZ)</f>
        <v>0</v>
      </c>
      <c r="DL216" s="8">
        <f t="shared" si="298"/>
        <v>0</v>
      </c>
      <c r="DM216" s="6">
        <f>SUMIF('Eredeti fejléccel'!$B:$B,'Felosztás eredménykim'!$B216,'Eredeti fejléccel'!$BR:$BR)</f>
        <v>0</v>
      </c>
      <c r="DN216" s="6">
        <f>SUMIF('Eredeti fejléccel'!$B:$B,'Felosztás eredménykim'!$B216,'Eredeti fejléccel'!$BS:$BS)</f>
        <v>0</v>
      </c>
      <c r="DO216" s="6">
        <f>SUMIF('Eredeti fejléccel'!$B:$B,'Felosztás eredménykim'!$B216,'Eredeti fejléccel'!$BO:$BO)</f>
        <v>0</v>
      </c>
      <c r="DP216" s="6">
        <f>SUMIF('Eredeti fejléccel'!$B:$B,'Felosztás eredménykim'!$B216,'Eredeti fejléccel'!$BP:$BP)</f>
        <v>0</v>
      </c>
      <c r="DQ216" s="6">
        <f>SUMIF('Eredeti fejléccel'!$B:$B,'Felosztás eredménykim'!$B216,'Eredeti fejléccel'!$BQ:$BQ)</f>
        <v>0</v>
      </c>
      <c r="DS216" s="8"/>
      <c r="DU216" s="6">
        <f>SUMIF('Eredeti fejléccel'!$B:$B,'Felosztás eredménykim'!$B216,'Eredeti fejléccel'!$BT:$BT)</f>
        <v>0</v>
      </c>
      <c r="DV216" s="6">
        <f>SUMIF('Eredeti fejléccel'!$B:$B,'Felosztás eredménykim'!$B216,'Eredeti fejléccel'!$BU:$BU)</f>
        <v>0</v>
      </c>
      <c r="DW216" s="6">
        <f>SUMIF('Eredeti fejléccel'!$B:$B,'Felosztás eredménykim'!$B216,'Eredeti fejléccel'!$BV:$BV)</f>
        <v>0</v>
      </c>
      <c r="DX216" s="6">
        <f>SUMIF('Eredeti fejléccel'!$B:$B,'Felosztás eredménykim'!$B216,'Eredeti fejléccel'!$BW:$BW)</f>
        <v>0</v>
      </c>
      <c r="DY216" s="6">
        <f>SUMIF('Eredeti fejléccel'!$B:$B,'Felosztás eredménykim'!$B216,'Eredeti fejléccel'!$BX:$BX)</f>
        <v>0</v>
      </c>
      <c r="EA216" s="6"/>
      <c r="EC216" s="6"/>
      <c r="EE216" s="6">
        <f>SUMIF('Eredeti fejléccel'!$B:$B,'Felosztás eredménykim'!$B216,'Eredeti fejléccel'!$CA:$CA)</f>
        <v>0</v>
      </c>
      <c r="EF216" s="6">
        <f>SUMIF('Eredeti fejléccel'!$B:$B,'Felosztás eredménykim'!$B216,'Eredeti fejléccel'!$CB:$CB)</f>
        <v>0</v>
      </c>
      <c r="EG216" s="6">
        <f>SUMIF('Eredeti fejléccel'!$B:$B,'Felosztás eredménykim'!$B216,'Eredeti fejléccel'!$CC:$CC)</f>
        <v>0</v>
      </c>
      <c r="EH216" s="6">
        <f>SUMIF('Eredeti fejléccel'!$B:$B,'Felosztás eredménykim'!$B216,'Eredeti fejléccel'!$CD:$CD)</f>
        <v>0</v>
      </c>
      <c r="EK216" s="6">
        <f>SUMIF('Eredeti fejléccel'!$B:$B,'Felosztás eredménykim'!$B216,'Eredeti fejléccel'!$CE:$CE)</f>
        <v>0</v>
      </c>
      <c r="EN216" s="6">
        <f>SUMIF('Eredeti fejléccel'!$B:$B,'Felosztás eredménykim'!$B216,'Eredeti fejléccel'!$CF:$CF)</f>
        <v>0</v>
      </c>
      <c r="EP216" s="6">
        <f>SUMIF('Eredeti fejléccel'!$B:$B,'Felosztás eredménykim'!$B216,'Eredeti fejléccel'!$CG:$CG)</f>
        <v>0</v>
      </c>
      <c r="ES216" s="6">
        <f>SUMIF('Eredeti fejléccel'!$B:$B,'Felosztás eredménykim'!$B216,'Eredeti fejléccel'!$CH:$CH)</f>
        <v>0</v>
      </c>
      <c r="ET216" s="6">
        <f>SUMIF('Eredeti fejléccel'!$B:$B,'Felosztás eredménykim'!$B216,'Eredeti fejléccel'!$CI:$CI)</f>
        <v>0</v>
      </c>
      <c r="EW216" s="8">
        <f t="shared" si="288"/>
        <v>0</v>
      </c>
      <c r="EX216" s="8">
        <f t="shared" si="243"/>
        <v>0</v>
      </c>
      <c r="EY216" s="8">
        <f t="shared" si="416"/>
        <v>0</v>
      </c>
      <c r="EZ216" s="8">
        <f t="shared" si="289"/>
        <v>0</v>
      </c>
      <c r="FA216" s="8">
        <f t="shared" si="290"/>
        <v>0</v>
      </c>
      <c r="FC216" s="6">
        <f>SUMIF('Eredeti fejléccel'!$B:$B,'Felosztás eredménykim'!$B216,'Eredeti fejléccel'!$L:$L)</f>
        <v>0</v>
      </c>
      <c r="FD216" s="6">
        <f>SUMIF('Eredeti fejléccel'!$B:$B,'Felosztás eredménykim'!$B216,'Eredeti fejléccel'!$CJ:$CJ)</f>
        <v>0</v>
      </c>
      <c r="FE216" s="6">
        <f>SUMIF('Eredeti fejléccel'!$B:$B,'Felosztás eredménykim'!$B216,'Eredeti fejléccel'!$CL:$CL)</f>
        <v>0</v>
      </c>
      <c r="FG216" s="99">
        <f t="shared" si="245"/>
        <v>0</v>
      </c>
      <c r="FH216" s="6">
        <f>SUMIF('Eredeti fejléccel'!$B:$B,'Felosztás eredménykim'!$B216,'Eredeti fejléccel'!$CK:$CK)</f>
        <v>0</v>
      </c>
      <c r="FI216" s="36">
        <f t="shared" si="477"/>
        <v>1610469.1261571473</v>
      </c>
      <c r="FJ216" s="101">
        <f t="shared" si="408"/>
        <v>0</v>
      </c>
      <c r="FK216" s="6">
        <f>SUMIF('Eredeti fejléccel'!$B:$B,'Felosztás eredménykim'!$B216,'Eredeti fejléccel'!$CM:$CM)</f>
        <v>0</v>
      </c>
      <c r="FL216" s="6">
        <f>SUMIF('Eredeti fejléccel'!$B:$B,'Felosztás eredménykim'!$B216,'Eredeti fejléccel'!$CN:$CN)</f>
        <v>0</v>
      </c>
      <c r="FM216" s="8">
        <f t="shared" si="246"/>
        <v>0</v>
      </c>
      <c r="FN216" s="36">
        <f t="shared" si="478"/>
        <v>1369162.9610639694</v>
      </c>
      <c r="FO216" s="101">
        <f t="shared" si="409"/>
        <v>0</v>
      </c>
      <c r="FP216" s="6">
        <f>SUMIF('Eredeti fejléccel'!$B:$B,'Felosztás eredménykim'!$B216,'Eredeti fejléccel'!$CO:$CO)</f>
        <v>0</v>
      </c>
      <c r="FQ216" s="6">
        <f>'Eredeti fejléccel'!CP216</f>
        <v>0</v>
      </c>
      <c r="FR216" s="6">
        <f>'Eredeti fejléccel'!CQ216</f>
        <v>0</v>
      </c>
      <c r="FS216" s="103">
        <f t="shared" si="417"/>
        <v>0</v>
      </c>
      <c r="FT216" s="36">
        <f t="shared" si="479"/>
        <v>3779289.0138802622</v>
      </c>
      <c r="FU216" s="101">
        <f t="shared" si="410"/>
        <v>0</v>
      </c>
      <c r="FV216" s="101"/>
      <c r="FW216" s="6">
        <f>SUMIF('Eredeti fejléccel'!$B:$B,'Felosztás eredménykim'!$B216,'Eredeti fejléccel'!$CR:$CR)</f>
        <v>0</v>
      </c>
      <c r="FX216" s="6">
        <f>SUMIF('Eredeti fejléccel'!$B:$B,'Felosztás eredménykim'!$B216,'Eredeti fejléccel'!$CS:$CS)</f>
        <v>0</v>
      </c>
      <c r="FY216" s="6">
        <f>SUMIF('Eredeti fejléccel'!$B:$B,'Felosztás eredménykim'!$B216,'Eredeti fejléccel'!$CT:$CT)</f>
        <v>0</v>
      </c>
      <c r="FZ216" s="6">
        <f>SUMIF('Eredeti fejléccel'!$B:$B,'Felosztás eredménykim'!$B216,'Eredeti fejléccel'!$CU:$CU)</f>
        <v>0</v>
      </c>
      <c r="GA216" s="103">
        <f t="shared" si="248"/>
        <v>0</v>
      </c>
      <c r="GB216" s="36">
        <f t="shared" si="480"/>
        <v>503748.63661787548</v>
      </c>
      <c r="GC216" s="101">
        <f t="shared" si="411"/>
        <v>0</v>
      </c>
      <c r="GD216" s="6">
        <f>SUMIF('Eredeti fejléccel'!$B:$B,'Felosztás eredménykim'!$B216,'Eredeti fejléccel'!$CV:$CV)</f>
        <v>0</v>
      </c>
      <c r="GE216" s="6">
        <f>SUMIF('Eredeti fejléccel'!$B:$B,'Felosztás eredménykim'!$B216,'Eredeti fejléccel'!$CW:$CW)</f>
        <v>0</v>
      </c>
      <c r="GF216" s="103">
        <f t="shared" si="249"/>
        <v>0</v>
      </c>
      <c r="GG216" s="36">
        <f t="shared" si="412"/>
        <v>0</v>
      </c>
      <c r="GM216" s="6">
        <f>SUMIF('Eredeti fejléccel'!$B:$B,'Felosztás eredménykim'!$B216,'Eredeti fejléccel'!$CX:$CX)</f>
        <v>0</v>
      </c>
      <c r="GN216" s="6">
        <f>SUMIF('Eredeti fejléccel'!$B:$B,'Felosztás eredménykim'!$B216,'Eredeti fejléccel'!$CY:$CY)</f>
        <v>0</v>
      </c>
      <c r="GO216" s="6">
        <f>SUMIF('Eredeti fejléccel'!$B:$B,'Felosztás eredménykim'!$B216,'Eredeti fejléccel'!$CZ:$CZ)</f>
        <v>0</v>
      </c>
      <c r="GP216" s="6">
        <f>SUMIF('Eredeti fejléccel'!$B:$B,'Felosztás eredménykim'!$B216,'Eredeti fejléccel'!$DA:$DA)</f>
        <v>0</v>
      </c>
      <c r="GQ216" s="6">
        <f>SUMIF('Eredeti fejléccel'!$B:$B,'Felosztás eredménykim'!$B216,'Eredeti fejléccel'!$DB:$DB)</f>
        <v>0</v>
      </c>
      <c r="GR216" s="103">
        <f t="shared" si="250"/>
        <v>0</v>
      </c>
      <c r="GW216" s="36">
        <f t="shared" si="413"/>
        <v>864738.99430779146</v>
      </c>
      <c r="GX216" s="6">
        <f>SUMIF('Eredeti fejléccel'!$B:$B,'Felosztás eredménykim'!$B216,'Eredeti fejléccel'!$M:$M)</f>
        <v>0</v>
      </c>
      <c r="GY216" s="6">
        <f>SUMIF('Eredeti fejléccel'!$B:$B,'Felosztás eredménykim'!$B216,'Eredeti fejléccel'!$DC:$DC)</f>
        <v>0</v>
      </c>
      <c r="GZ216" s="6">
        <f>SUMIF('Eredeti fejléccel'!$B:$B,'Felosztás eredménykim'!$B216,'Eredeti fejléccel'!$DD:$DD)</f>
        <v>0</v>
      </c>
      <c r="HA216" s="6">
        <f>SUMIF('Eredeti fejléccel'!$B:$B,'Felosztás eredménykim'!$B216,'Eredeti fejléccel'!$DE:$DE)</f>
        <v>0</v>
      </c>
      <c r="HB216" s="103">
        <f t="shared" si="251"/>
        <v>0</v>
      </c>
      <c r="HD216" s="9">
        <f t="shared" si="429"/>
        <v>17620257.66</v>
      </c>
      <c r="HE216" s="9">
        <v>15759258.66</v>
      </c>
      <c r="HF216" s="476"/>
      <c r="HH216" s="34">
        <f t="shared" si="252"/>
        <v>1860999</v>
      </c>
    </row>
    <row r="217" spans="1:218" x14ac:dyDescent="0.25">
      <c r="A217" s="4" t="s">
        <v>1631</v>
      </c>
      <c r="B217" s="4" t="s">
        <v>1631</v>
      </c>
      <c r="C217" s="1" t="s">
        <v>1632</v>
      </c>
      <c r="D217" s="6">
        <f>SUMIF('Eredeti fejléccel'!$B:$B,'Felosztás eredménykim'!$B217,'Eredeti fejléccel'!$D:$D)</f>
        <v>0</v>
      </c>
      <c r="E217" s="503">
        <f>SUMIF('Eredeti fejléccel'!$B:$B,'Felosztás eredménykim'!$B217,'Eredeti fejléccel'!$E:$E)</f>
        <v>27673.460000000021</v>
      </c>
      <c r="F217" s="6">
        <f>SUMIF('Eredeti fejléccel'!$B:$B,'Felosztás eredménykim'!$B217,'Eredeti fejléccel'!$F:$F)</f>
        <v>0</v>
      </c>
      <c r="G217" s="6">
        <f>SUMIF('Eredeti fejléccel'!$B:$B,'Felosztás eredménykim'!$B217,'Eredeti fejléccel'!$G:$G)</f>
        <v>0</v>
      </c>
      <c r="H217" s="6"/>
      <c r="I217" s="6">
        <f>SUMIF('Eredeti fejléccel'!$B:$B,'Felosztás eredménykim'!$B217,'Eredeti fejléccel'!$O:$O)</f>
        <v>0</v>
      </c>
      <c r="J217" s="6">
        <f>SUMIF('Eredeti fejléccel'!$B:$B,'Felosztás eredménykim'!$B217,'Eredeti fejléccel'!$P:$P)</f>
        <v>0</v>
      </c>
      <c r="K217" s="6">
        <f>SUMIF('Eredeti fejléccel'!$B:$B,'Felosztás eredménykim'!$B217,'Eredeti fejléccel'!$Q:$Q)</f>
        <v>0</v>
      </c>
      <c r="L217" s="6">
        <f>SUMIF('Eredeti fejléccel'!$B:$B,'Felosztás eredménykim'!$B217,'Eredeti fejléccel'!$R:$R)</f>
        <v>157585.46999999997</v>
      </c>
      <c r="M217" s="6">
        <f>SUMIF('Eredeti fejléccel'!$B:$B,'Felosztás eredménykim'!$B217,'Eredeti fejléccel'!$T:$T)</f>
        <v>0</v>
      </c>
      <c r="N217" s="6">
        <f>SUMIF('Eredeti fejléccel'!$B:$B,'Felosztás eredménykim'!$B217,'Eredeti fejléccel'!$U:$U)</f>
        <v>0</v>
      </c>
      <c r="O217" s="6">
        <f>SUMIF('Eredeti fejléccel'!$B:$B,'Felosztás eredménykim'!$B217,'Eredeti fejléccel'!$V:$V)</f>
        <v>0</v>
      </c>
      <c r="P217" s="6">
        <f>SUMIF('Eredeti fejléccel'!$B:$B,'Felosztás eredménykim'!$B217,'Eredeti fejléccel'!$W:$W)</f>
        <v>13714.33</v>
      </c>
      <c r="Q217" s="6">
        <f>SUMIF('Eredeti fejléccel'!$B:$B,'Felosztás eredménykim'!$B217,'Eredeti fejléccel'!$X:$X)</f>
        <v>0</v>
      </c>
      <c r="R217" s="6">
        <f>SUMIF('Eredeti fejléccel'!$B:$B,'Felosztás eredménykim'!$B217,'Eredeti fejléccel'!$Y:$Y)</f>
        <v>0</v>
      </c>
      <c r="S217" s="6">
        <f>SUMIF('Eredeti fejléccel'!$B:$B,'Felosztás eredménykim'!$B217,'Eredeti fejléccel'!$Z:$Z)</f>
        <v>0</v>
      </c>
      <c r="T217" s="6">
        <f>SUMIF('Eredeti fejléccel'!$B:$B,'Felosztás eredménykim'!$B217,'Eredeti fejléccel'!$AA:$AA)</f>
        <v>0</v>
      </c>
      <c r="U217" s="6">
        <f>SUMIF('Eredeti fejléccel'!$B:$B,'Felosztás eredménykim'!$B217,'Eredeti fejléccel'!$D:$D)</f>
        <v>0</v>
      </c>
      <c r="V217" s="6">
        <f>SUMIF('Eredeti fejléccel'!$B:$B,'Felosztás eredménykim'!$B217,'Eredeti fejléccel'!$AT:$AT)</f>
        <v>520</v>
      </c>
      <c r="X217" s="212">
        <f t="shared" si="414"/>
        <v>199493.25999999998</v>
      </c>
      <c r="Z217" s="6">
        <f>SUMIF('Eredeti fejléccel'!$B:$B,'Felosztás eredménykim'!$B217,'Eredeti fejléccel'!$K:$K)</f>
        <v>9340.42</v>
      </c>
      <c r="AB217" s="6">
        <f>SUMIF('Eredeti fejléccel'!$B:$B,'Felosztás eredménykim'!$B217,'Eredeti fejléccel'!$AB:$AB)</f>
        <v>0</v>
      </c>
      <c r="AC217" s="6">
        <f>SUMIF('Eredeti fejléccel'!$B:$B,'Felosztás eredménykim'!$B217,'Eredeti fejléccel'!$AQ:$AQ)</f>
        <v>0</v>
      </c>
      <c r="AE217" s="73">
        <f t="shared" ref="AE217" si="492">SUM(Z217:AD217)</f>
        <v>9340.42</v>
      </c>
      <c r="AF217" s="36">
        <f t="shared" si="470"/>
        <v>23798.476940171593</v>
      </c>
      <c r="AG217" s="8">
        <f t="shared" si="399"/>
        <v>2978.1412485466408</v>
      </c>
      <c r="AI217" s="6">
        <f>SUMIF('Eredeti fejléccel'!$B:$B,'Felosztás eredménykim'!$B217,'Eredeti fejléccel'!$BB:$BB)</f>
        <v>0</v>
      </c>
      <c r="AJ217" s="6">
        <f>SUMIF('Eredeti fejléccel'!$B:$B,'Felosztás eredménykim'!$B217,'Eredeti fejléccel'!$AF:$AF)</f>
        <v>0</v>
      </c>
      <c r="AK217" s="8">
        <f t="shared" ref="AK217" si="493">SUM(AG217:AJ217)</f>
        <v>2978.1412485466408</v>
      </c>
      <c r="AL217" s="36">
        <f t="shared" si="471"/>
        <v>9452.6348800232772</v>
      </c>
      <c r="AM217" s="8">
        <f t="shared" si="400"/>
        <v>1182.9026670244161</v>
      </c>
      <c r="AN217" s="6">
        <f t="shared" ref="AN217" si="494">-AO217/2</f>
        <v>0</v>
      </c>
      <c r="AO217" s="6">
        <f>SUMIF('Eredeti fejléccel'!$B:$B,'Felosztás eredménykim'!$B217,'Eredeti fejléccel'!$AC:$AC)</f>
        <v>0</v>
      </c>
      <c r="AP217" s="6">
        <f>SUMIF('Eredeti fejléccel'!$B:$B,'Felosztás eredménykim'!$B217,'Eredeti fejléccel'!$AD:$AD)</f>
        <v>0</v>
      </c>
      <c r="AQ217" s="6">
        <f>SUMIF('Eredeti fejléccel'!$B:$B,'Felosztás eredménykim'!$B217,'Eredeti fejléccel'!$AE:$AE)</f>
        <v>0</v>
      </c>
      <c r="AR217" s="6">
        <f>SUMIF('Eredeti fejléccel'!$B:$B,'Felosztás eredménykim'!$B217,'Eredeti fejléccel'!$AG:$AG)</f>
        <v>0</v>
      </c>
      <c r="AS217" s="6">
        <f t="shared" ref="AS217" si="495">SUM(AM217:AR217)</f>
        <v>1182.9026670244161</v>
      </c>
      <c r="AT217" s="36">
        <f t="shared" si="472"/>
        <v>15353.856090433288</v>
      </c>
      <c r="AU217" s="8">
        <f t="shared" si="401"/>
        <v>1921.3814506752522</v>
      </c>
      <c r="AV217" s="6">
        <f>SUMIF('Eredeti fejléccel'!$B:$B,'Felosztás eredménykim'!$B217,'Eredeti fejléccel'!$AI:$AI)</f>
        <v>0</v>
      </c>
      <c r="AW217" s="6">
        <f>SUMIF('Eredeti fejléccel'!$B:$B,'Felosztás eredménykim'!$B217,'Eredeti fejléccel'!$AJ:$AJ)</f>
        <v>0</v>
      </c>
      <c r="AX217" s="6">
        <f>SUMIF('Eredeti fejléccel'!$B:$B,'Felosztás eredménykim'!$B217,'Eredeti fejléccel'!$AK:$AK)</f>
        <v>0</v>
      </c>
      <c r="AY217" s="6">
        <f>SUMIF('Eredeti fejléccel'!$B:$B,'Felosztás eredménykim'!$B217,'Eredeti fejléccel'!$AL:$AL)</f>
        <v>0</v>
      </c>
      <c r="AZ217" s="6">
        <f>SUMIF('Eredeti fejléccel'!$B:$B,'Felosztás eredménykim'!$B217,'Eredeti fejléccel'!$AM:$AM)</f>
        <v>0</v>
      </c>
      <c r="BA217" s="6">
        <f>SUMIF('Eredeti fejléccel'!$B:$B,'Felosztás eredménykim'!$B217,'Eredeti fejléccel'!$AN:$AN)</f>
        <v>0</v>
      </c>
      <c r="BB217" s="6">
        <f>SUMIF('Eredeti fejléccel'!$B:$B,'Felosztás eredménykim'!$B217,'Eredeti fejléccel'!$AP:$AP)</f>
        <v>0</v>
      </c>
      <c r="BD217" s="6">
        <f>SUMIF('Eredeti fejléccel'!$B:$B,'Felosztás eredménykim'!$B217,'Eredeti fejléccel'!$AS:$AS)</f>
        <v>0</v>
      </c>
      <c r="BE217" s="8">
        <f t="shared" ref="BE217" si="496">SUM(AU217:BD217)</f>
        <v>1921.3814506752522</v>
      </c>
      <c r="BF217" s="36">
        <f t="shared" si="473"/>
        <v>4005.353762721727</v>
      </c>
      <c r="BG217" s="8">
        <f t="shared" si="402"/>
        <v>501.22994365441366</v>
      </c>
      <c r="BH217" s="6">
        <f t="shared" ref="BH217" si="497">AO217/2</f>
        <v>0</v>
      </c>
      <c r="BI217" s="6">
        <f>SUMIF('Eredeti fejléccel'!$B:$B,'Felosztás eredménykim'!$B217,'Eredeti fejléccel'!$AH:$AH)</f>
        <v>0</v>
      </c>
      <c r="BJ217" s="6">
        <f>SUMIF('Eredeti fejléccel'!$B:$B,'Felosztás eredménykim'!$B217,'Eredeti fejléccel'!$AO:$AO)</f>
        <v>0</v>
      </c>
      <c r="BK217" s="6">
        <f>SUMIF('Eredeti fejléccel'!$B:$B,'Felosztás eredménykim'!$B217,'Eredeti fejléccel'!$BF:$BF)</f>
        <v>0</v>
      </c>
      <c r="BL217" s="8">
        <f t="shared" ref="BL217" si="498">SUM(BG217:BK217)</f>
        <v>501.22994365441366</v>
      </c>
      <c r="BM217" s="36">
        <f t="shared" si="474"/>
        <v>15006.725430997405</v>
      </c>
      <c r="BN217" s="8">
        <f t="shared" si="403"/>
        <v>1877.941522225203</v>
      </c>
      <c r="BP217" s="8">
        <f t="shared" ref="BP217" si="499">-FV217</f>
        <v>0</v>
      </c>
      <c r="BQ217" s="6">
        <f>SUMIF('Eredeti fejléccel'!$B:$B,'Felosztás eredménykim'!$B217,'Eredeti fejléccel'!$N:$N)</f>
        <v>0</v>
      </c>
      <c r="BR217" s="6">
        <f>SUMIF('Eredeti fejléccel'!$B:$B,'Felosztás eredménykim'!$B217,'Eredeti fejléccel'!$S:$S)</f>
        <v>0</v>
      </c>
      <c r="BT217" s="6">
        <f>SUMIF('Eredeti fejléccel'!$B:$B,'Felosztás eredménykim'!$B217,'Eredeti fejléccel'!$AR:$AR)</f>
        <v>0</v>
      </c>
      <c r="BU217" s="6">
        <f>SUMIF('Eredeti fejléccel'!$B:$B,'Felosztás eredménykim'!$B217,'Eredeti fejléccel'!$AU:$AU)</f>
        <v>0</v>
      </c>
      <c r="BV217" s="6">
        <f>SUMIF('Eredeti fejléccel'!$B:$B,'Felosztás eredménykim'!$B217,'Eredeti fejléccel'!$AV:$AV)</f>
        <v>0</v>
      </c>
      <c r="BW217" s="6">
        <f>SUMIF('Eredeti fejléccel'!$B:$B,'Felosztás eredménykim'!$B217,'Eredeti fejléccel'!$AW:$AW)</f>
        <v>0</v>
      </c>
      <c r="BX217" s="6">
        <f>SUMIF('Eredeti fejléccel'!$B:$B,'Felosztás eredménykim'!$B217,'Eredeti fejléccel'!$AX:$AX)</f>
        <v>0</v>
      </c>
      <c r="BY217" s="6">
        <f>SUMIF('Eredeti fejléccel'!$B:$B,'Felosztás eredménykim'!$B217,'Eredeti fejléccel'!$AY:$AY)</f>
        <v>0</v>
      </c>
      <c r="BZ217" s="6">
        <f>SUMIF('Eredeti fejléccel'!$B:$B,'Felosztás eredménykim'!$B217,'Eredeti fejléccel'!$AZ:$AZ)</f>
        <v>40682.620000000003</v>
      </c>
      <c r="CA217" s="6">
        <f>SUMIF('Eredeti fejléccel'!$B:$B,'Felosztás eredménykim'!$B217,'Eredeti fejléccel'!$BA:$BA)</f>
        <v>0</v>
      </c>
      <c r="CB217" s="6">
        <f t="shared" ref="CB217" si="500">SUM(BN217:CA217)</f>
        <v>42560.561522225209</v>
      </c>
      <c r="CC217" s="36">
        <f t="shared" si="475"/>
        <v>4085.4608379761617</v>
      </c>
      <c r="CD217" s="8">
        <f t="shared" si="404"/>
        <v>511.25454252750194</v>
      </c>
      <c r="CE217" s="6">
        <f>SUMIF('Eredeti fejléccel'!$B:$B,'Felosztás eredménykim'!$B217,'Eredeti fejléccel'!$BC:$BC)</f>
        <v>0</v>
      </c>
      <c r="CF217" s="8">
        <f t="shared" ref="CF217" si="501">-CE217/2</f>
        <v>0</v>
      </c>
      <c r="CG217" s="6">
        <f>SUMIF('Eredeti fejléccel'!$B:$B,'Felosztás eredménykim'!$B217,'Eredeti fejléccel'!$H:$H)</f>
        <v>0</v>
      </c>
      <c r="CH217" s="6">
        <f>SUMIF('Eredeti fejléccel'!$B:$B,'Felosztás eredménykim'!$B217,'Eredeti fejléccel'!$BE:$BE)</f>
        <v>0</v>
      </c>
      <c r="CI217" s="6">
        <f t="shared" ref="CI217" si="502">SUM(CD217:CH217)</f>
        <v>511.25454252750194</v>
      </c>
      <c r="CJ217" s="36">
        <f t="shared" si="476"/>
        <v>2937.2594259959337</v>
      </c>
      <c r="CK217" s="8">
        <f t="shared" si="405"/>
        <v>367.56862534657</v>
      </c>
      <c r="CL217" s="8">
        <f t="shared" ref="CL217" si="503">CE217/2</f>
        <v>0</v>
      </c>
      <c r="CM217" s="6">
        <f>SUMIF('Eredeti fejléccel'!$B:$B,'Felosztás eredménykim'!$B217,'Eredeti fejléccel'!$BD:$BD)</f>
        <v>0</v>
      </c>
      <c r="CN217" s="8">
        <f t="shared" ref="CN217" si="504">SUM(CK217:CM217)</f>
        <v>367.56862534657</v>
      </c>
      <c r="CO217" s="8">
        <f t="shared" ref="CO217" si="505">+AF217+AK217+AL217+AS217+AT217+BE217+BF217+BL217+BM217+CB217+CC217+CI217+CJ217+CN217</f>
        <v>124662.80736831939</v>
      </c>
      <c r="CR217" s="36">
        <f t="shared" si="406"/>
        <v>17643.528178364457</v>
      </c>
      <c r="CS217" s="6">
        <f>SUMIF('Eredeti fejléccel'!$B:$B,'Felosztás eredménykim'!$B217,'Eredeti fejléccel'!$I:$I)</f>
        <v>0</v>
      </c>
      <c r="CT217" s="6">
        <f>SUMIF('Eredeti fejléccel'!$B:$B,'Felosztás eredménykim'!$B217,'Eredeti fejléccel'!$BG:$BG)</f>
        <v>0</v>
      </c>
      <c r="CU217" s="6">
        <f>SUMIF('Eredeti fejléccel'!$B:$B,'Felosztás eredménykim'!$B217,'Eredeti fejléccel'!$BH:$BH)</f>
        <v>0</v>
      </c>
      <c r="CV217" s="6">
        <f>SUMIF('Eredeti fejléccel'!$B:$B,'Felosztás eredménykim'!$B217,'Eredeti fejléccel'!$BI:$BI)</f>
        <v>0</v>
      </c>
      <c r="CW217" s="6">
        <f>SUMIF('Eredeti fejléccel'!$B:$B,'Felosztás eredménykim'!$B217,'Eredeti fejléccel'!$BL:$BL)</f>
        <v>196613.98</v>
      </c>
      <c r="CX217" s="6">
        <f t="shared" ref="CX217" si="506">SUM(CS217:CW217)</f>
        <v>196613.98</v>
      </c>
      <c r="CY217" s="6">
        <f>SUMIF('Eredeti fejléccel'!$B:$B,'Felosztás eredménykim'!$B217,'Eredeti fejléccel'!$BJ:$BJ)</f>
        <v>0</v>
      </c>
      <c r="CZ217" s="6">
        <f>SUMIF('Eredeti fejléccel'!$B:$B,'Felosztás eredménykim'!$B217,'Eredeti fejléccel'!$BK:$BK)</f>
        <v>0</v>
      </c>
      <c r="DA217" s="99">
        <f t="shared" si="415"/>
        <v>196613.98</v>
      </c>
      <c r="DC217" s="36">
        <f t="shared" si="407"/>
        <v>15453.341389568579</v>
      </c>
      <c r="DD217" s="6">
        <f>SUMIF('Eredeti fejléccel'!$B:$B,'Felosztás eredménykim'!$B217,'Eredeti fejléccel'!$J:$J)</f>
        <v>0</v>
      </c>
      <c r="DE217" s="6">
        <f>SUMIF('Eredeti fejléccel'!$B:$B,'Felosztás eredménykim'!$B217,'Eredeti fejléccel'!$BM:$BM)</f>
        <v>55420.089999999982</v>
      </c>
      <c r="DF217" s="6">
        <f t="shared" ref="DF217" si="507">-DI217</f>
        <v>0</v>
      </c>
      <c r="DG217" s="8">
        <f t="shared" ref="DG217" si="508">-BO217</f>
        <v>0</v>
      </c>
      <c r="DH217" s="8">
        <f t="shared" ref="DH217" si="509">SUM(DD217:DG217)</f>
        <v>55420.089999999982</v>
      </c>
      <c r="DJ217" s="6">
        <f>SUMIF('Eredeti fejléccel'!$B:$B,'Felosztás eredménykim'!$B217,'Eredeti fejléccel'!$BN:$BN)</f>
        <v>0</v>
      </c>
      <c r="DK217" s="6">
        <f>SUMIF('Eredeti fejléccel'!$B:$B,'Felosztás eredménykim'!$B217,'Eredeti fejléccel'!$BZ:$BZ)</f>
        <v>0</v>
      </c>
      <c r="DL217" s="8">
        <f t="shared" ref="DL217" si="510">SUM(DI217:DK217)</f>
        <v>0</v>
      </c>
      <c r="DM217" s="6">
        <f>SUMIF('Eredeti fejléccel'!$B:$B,'Felosztás eredménykim'!$B217,'Eredeti fejléccel'!$BR:$BR)</f>
        <v>0</v>
      </c>
      <c r="DN217" s="6">
        <f>SUMIF('Eredeti fejléccel'!$B:$B,'Felosztás eredménykim'!$B217,'Eredeti fejléccel'!$BS:$BS)</f>
        <v>0</v>
      </c>
      <c r="DO217" s="6">
        <f>SUMIF('Eredeti fejléccel'!$B:$B,'Felosztás eredménykim'!$B217,'Eredeti fejléccel'!$BO:$BO)</f>
        <v>0</v>
      </c>
      <c r="DP217" s="6">
        <f>SUMIF('Eredeti fejléccel'!$B:$B,'Felosztás eredménykim'!$B217,'Eredeti fejléccel'!$BP:$BP)</f>
        <v>0</v>
      </c>
      <c r="DQ217" s="6">
        <f>SUMIF('Eredeti fejléccel'!$B:$B,'Felosztás eredménykim'!$B217,'Eredeti fejléccel'!$BQ:$BQ)</f>
        <v>0</v>
      </c>
      <c r="DS217" s="8"/>
      <c r="DU217" s="6">
        <f>SUMIF('Eredeti fejléccel'!$B:$B,'Felosztás eredménykim'!$B217,'Eredeti fejléccel'!$BT:$BT)</f>
        <v>0</v>
      </c>
      <c r="DV217" s="6">
        <f>SUMIF('Eredeti fejléccel'!$B:$B,'Felosztás eredménykim'!$B217,'Eredeti fejléccel'!$BU:$BU)</f>
        <v>0</v>
      </c>
      <c r="DW217" s="6">
        <f>SUMIF('Eredeti fejléccel'!$B:$B,'Felosztás eredménykim'!$B217,'Eredeti fejléccel'!$BV:$BV)</f>
        <v>0</v>
      </c>
      <c r="DX217" s="6">
        <f>SUMIF('Eredeti fejléccel'!$B:$B,'Felosztás eredménykim'!$B217,'Eredeti fejléccel'!$BW:$BW)</f>
        <v>0</v>
      </c>
      <c r="DY217" s="6">
        <f>SUMIF('Eredeti fejléccel'!$B:$B,'Felosztás eredménykim'!$B217,'Eredeti fejléccel'!$BX:$BX)</f>
        <v>0</v>
      </c>
      <c r="EA217" s="6"/>
      <c r="EC217" s="6"/>
      <c r="EE217" s="6">
        <f>SUMIF('Eredeti fejléccel'!$B:$B,'Felosztás eredménykim'!$B217,'Eredeti fejléccel'!$CA:$CA)</f>
        <v>0</v>
      </c>
      <c r="EF217" s="6">
        <f>SUMIF('Eredeti fejléccel'!$B:$B,'Felosztás eredménykim'!$B217,'Eredeti fejléccel'!$CB:$CB)</f>
        <v>0</v>
      </c>
      <c r="EG217" s="6">
        <f>SUMIF('Eredeti fejléccel'!$B:$B,'Felosztás eredménykim'!$B217,'Eredeti fejléccel'!$CC:$CC)</f>
        <v>0</v>
      </c>
      <c r="EH217" s="6">
        <f>SUMIF('Eredeti fejléccel'!$B:$B,'Felosztás eredménykim'!$B217,'Eredeti fejléccel'!$CD:$CD)</f>
        <v>0</v>
      </c>
      <c r="EK217" s="6">
        <f>SUMIF('Eredeti fejléccel'!$B:$B,'Felosztás eredménykim'!$B217,'Eredeti fejléccel'!$CE:$CE)</f>
        <v>0</v>
      </c>
      <c r="EN217" s="6">
        <f>SUMIF('Eredeti fejléccel'!$B:$B,'Felosztás eredménykim'!$B217,'Eredeti fejléccel'!$CF:$CF)</f>
        <v>0</v>
      </c>
      <c r="EP217" s="6">
        <f>SUMIF('Eredeti fejléccel'!$B:$B,'Felosztás eredménykim'!$B217,'Eredeti fejléccel'!$CG:$CG)</f>
        <v>0</v>
      </c>
      <c r="ES217" s="6">
        <f>SUMIF('Eredeti fejléccel'!$B:$B,'Felosztás eredménykim'!$B217,'Eredeti fejléccel'!$CH:$CH)</f>
        <v>0</v>
      </c>
      <c r="ET217" s="6">
        <f>SUMIF('Eredeti fejléccel'!$B:$B,'Felosztás eredménykim'!$B217,'Eredeti fejléccel'!$CI:$CI)</f>
        <v>0</v>
      </c>
      <c r="EW217" s="8">
        <f t="shared" ref="EW217" si="511">SUM(DR217:ED217)</f>
        <v>0</v>
      </c>
      <c r="EX217" s="8">
        <f t="shared" ref="EX217" si="512">SUM(EE217:EV217)</f>
        <v>0</v>
      </c>
      <c r="EY217" s="8">
        <f t="shared" si="416"/>
        <v>55420.089999999982</v>
      </c>
      <c r="EZ217" s="8">
        <f t="shared" ref="EZ217" si="513">EY217+DL217+DM217+DN217+DO217+DP217+DQ217</f>
        <v>55420.089999999982</v>
      </c>
      <c r="FA217" s="8">
        <f t="shared" ref="FA217" si="514">EZ217-DL217-DM217</f>
        <v>55420.089999999982</v>
      </c>
      <c r="FC217" s="6">
        <f>SUMIF('Eredeti fejléccel'!$B:$B,'Felosztás eredménykim'!$B217,'Eredeti fejléccel'!$L:$L)</f>
        <v>0</v>
      </c>
      <c r="FD217" s="6">
        <f>SUMIF('Eredeti fejléccel'!$B:$B,'Felosztás eredménykim'!$B217,'Eredeti fejléccel'!$CJ:$CJ)</f>
        <v>483379.94</v>
      </c>
      <c r="FE217" s="6">
        <f>SUMIF('Eredeti fejléccel'!$B:$B,'Felosztás eredménykim'!$B217,'Eredeti fejléccel'!$CL:$CL)</f>
        <v>0</v>
      </c>
      <c r="FG217" s="99">
        <f t="shared" ref="FG217" si="515">SUM(FC217:FF217)</f>
        <v>483379.94</v>
      </c>
      <c r="FH217" s="6">
        <f>SUMIF('Eredeti fejléccel'!$B:$B,'Felosztás eredménykim'!$B217,'Eredeti fejléccel'!$CK:$CK)</f>
        <v>0</v>
      </c>
      <c r="FI217" s="36">
        <f t="shared" si="477"/>
        <v>18181.835494786163</v>
      </c>
      <c r="FJ217" s="101">
        <f t="shared" si="408"/>
        <v>107187.64554729183</v>
      </c>
      <c r="FK217" s="6">
        <f>SUMIF('Eredeti fejléccel'!$B:$B,'Felosztás eredménykim'!$B217,'Eredeti fejléccel'!$CM:$CM)</f>
        <v>514.08000000000004</v>
      </c>
      <c r="FL217" s="6">
        <f>SUMIF('Eredeti fejléccel'!$B:$B,'Felosztás eredménykim'!$B217,'Eredeti fejléccel'!$CN:$CN)</f>
        <v>0</v>
      </c>
      <c r="FM217" s="8">
        <f t="shared" ref="FM217" si="516">SUM(FJ217:FL217)</f>
        <v>107701.72554729183</v>
      </c>
      <c r="FN217" s="36">
        <f t="shared" si="478"/>
        <v>15457.542972599831</v>
      </c>
      <c r="FO217" s="101">
        <f t="shared" si="409"/>
        <v>91127.083272433316</v>
      </c>
      <c r="FP217" s="6">
        <f>SUMIF('Eredeti fejléccel'!$B:$B,'Felosztás eredménykim'!$B217,'Eredeti fejléccel'!$CO:$CO)</f>
        <v>47396.6</v>
      </c>
      <c r="FQ217" s="6">
        <f>'Eredeti fejléccel'!CP217</f>
        <v>0</v>
      </c>
      <c r="FR217" s="6">
        <f>'Eredeti fejléccel'!CQ217</f>
        <v>0</v>
      </c>
      <c r="FS217" s="103">
        <f t="shared" si="417"/>
        <v>138523.68327243332</v>
      </c>
      <c r="FT217" s="36">
        <f t="shared" si="479"/>
        <v>42667.32594966772</v>
      </c>
      <c r="FU217" s="101">
        <f t="shared" si="410"/>
        <v>251537.3220517381</v>
      </c>
      <c r="FV217" s="101"/>
      <c r="FW217" s="6">
        <f>SUMIF('Eredeti fejléccel'!$B:$B,'Felosztás eredménykim'!$B217,'Eredeti fejléccel'!$CR:$CR)</f>
        <v>1716674.76</v>
      </c>
      <c r="FX217" s="6">
        <f>SUMIF('Eredeti fejléccel'!$B:$B,'Felosztás eredménykim'!$B217,'Eredeti fejléccel'!$CS:$CS)</f>
        <v>0</v>
      </c>
      <c r="FY217" s="6">
        <f>SUMIF('Eredeti fejléccel'!$B:$B,'Felosztás eredménykim'!$B217,'Eredeti fejléccel'!$CT:$CT)</f>
        <v>214.86999999999989</v>
      </c>
      <c r="FZ217" s="6">
        <f>SUMIF('Eredeti fejléccel'!$B:$B,'Felosztás eredménykim'!$B217,'Eredeti fejléccel'!$CU:$CU)</f>
        <v>0</v>
      </c>
      <c r="GA217" s="103">
        <f t="shared" ref="GA217" si="517">SUM(FU217:FZ217)</f>
        <v>1968426.9520517383</v>
      </c>
      <c r="GB217" s="36">
        <f t="shared" si="480"/>
        <v>5687.2092068999373</v>
      </c>
      <c r="GC217" s="101">
        <f t="shared" si="411"/>
        <v>33527.889128536786</v>
      </c>
      <c r="GD217" s="6">
        <f>SUMIF('Eredeti fejléccel'!$B:$B,'Felosztás eredménykim'!$B217,'Eredeti fejléccel'!$CV:$CV)</f>
        <v>2126297.9900000002</v>
      </c>
      <c r="GE217" s="6">
        <f>SUMIF('Eredeti fejléccel'!$B:$B,'Felosztás eredménykim'!$B217,'Eredeti fejléccel'!$CW:$CW)</f>
        <v>-55831</v>
      </c>
      <c r="GF217" s="103">
        <f t="shared" ref="GF217" si="518">SUM(GC217:GE217)</f>
        <v>2103994.8791285371</v>
      </c>
      <c r="GG217" s="36">
        <f t="shared" si="412"/>
        <v>0</v>
      </c>
      <c r="GM217" s="6">
        <f>SUMIF('Eredeti fejléccel'!$B:$B,'Felosztás eredménykim'!$B217,'Eredeti fejléccel'!$CX:$CX)</f>
        <v>0</v>
      </c>
      <c r="GN217" s="6">
        <f>SUMIF('Eredeti fejléccel'!$B:$B,'Felosztás eredménykim'!$B217,'Eredeti fejléccel'!$CY:$CY)</f>
        <v>0</v>
      </c>
      <c r="GO217" s="6">
        <f>SUMIF('Eredeti fejléccel'!$B:$B,'Felosztás eredménykim'!$B217,'Eredeti fejléccel'!$CZ:$CZ)</f>
        <v>0</v>
      </c>
      <c r="GP217" s="6">
        <f>SUMIF('Eredeti fejléccel'!$B:$B,'Felosztás eredménykim'!$B217,'Eredeti fejléccel'!$DA:$DA)</f>
        <v>0</v>
      </c>
      <c r="GQ217" s="6">
        <f>SUMIF('Eredeti fejléccel'!$B:$B,'Felosztás eredménykim'!$B217,'Eredeti fejléccel'!$DB:$DB)</f>
        <v>0</v>
      </c>
      <c r="GR217" s="103">
        <f t="shared" ref="GR217" si="519">SUM(GH217:GQ217)</f>
        <v>0</v>
      </c>
      <c r="GW217" s="36">
        <f t="shared" si="413"/>
        <v>9762.7094397939472</v>
      </c>
      <c r="GX217" s="6">
        <f>SUMIF('Eredeti fejléccel'!$B:$B,'Felosztás eredménykim'!$B217,'Eredeti fejléccel'!$M:$M)</f>
        <v>0</v>
      </c>
      <c r="GY217" s="6">
        <f>SUMIF('Eredeti fejléccel'!$B:$B,'Felosztás eredménykim'!$B217,'Eredeti fejléccel'!$DC:$DC)</f>
        <v>6891.8</v>
      </c>
      <c r="GZ217" s="6">
        <f>SUMIF('Eredeti fejléccel'!$B:$B,'Felosztás eredménykim'!$B217,'Eredeti fejléccel'!$DD:$DD)</f>
        <v>0</v>
      </c>
      <c r="HA217" s="6">
        <f>SUMIF('Eredeti fejléccel'!$B:$B,'Felosztás eredménykim'!$B217,'Eredeti fejléccel'!$DE:$DE)</f>
        <v>0</v>
      </c>
      <c r="HB217" s="103">
        <f t="shared" ref="HB217" si="520">SUM(GX217:HA217)</f>
        <v>6891.8</v>
      </c>
      <c r="HD217" s="9">
        <f t="shared" si="429"/>
        <v>4827089.4100000057</v>
      </c>
      <c r="HE217" s="9">
        <v>4827089.41</v>
      </c>
      <c r="HF217" s="476"/>
      <c r="HH217" s="34">
        <f t="shared" ref="HH217" si="521">+HD217-HE217</f>
        <v>0</v>
      </c>
    </row>
    <row r="218" spans="1:218" x14ac:dyDescent="0.25">
      <c r="A218" s="4" t="s">
        <v>715</v>
      </c>
      <c r="B218" s="4" t="s">
        <v>715</v>
      </c>
      <c r="C218" s="1" t="s">
        <v>718</v>
      </c>
      <c r="D218" s="6">
        <f>SUMIF('Eredeti fejléccel'!$B:$B,'Felosztás eredménykim'!$B218,'Eredeti fejléccel'!$D:$D)</f>
        <v>0</v>
      </c>
      <c r="E218" s="503">
        <f>SUMIF('Eredeti fejléccel'!$B:$B,'Felosztás eredménykim'!$B218,'Eredeti fejléccel'!$E:$E)+14800000-31027-118147+3551348+78341+396667</f>
        <v>33328008</v>
      </c>
      <c r="F218" s="6">
        <f>SUMIF('Eredeti fejléccel'!$B:$B,'Felosztás eredménykim'!$B218,'Eredeti fejléccel'!$F:$F)</f>
        <v>0</v>
      </c>
      <c r="G218" s="6">
        <f>SUMIF('Eredeti fejléccel'!$B:$B,'Felosztás eredménykim'!$B218,'Eredeti fejléccel'!$G:$G)</f>
        <v>0</v>
      </c>
      <c r="H218" s="6"/>
      <c r="I218" s="6">
        <f>SUMIF('Eredeti fejléccel'!$B:$B,'Felosztás eredménykim'!$B218,'Eredeti fejléccel'!$O:$O)</f>
        <v>0</v>
      </c>
      <c r="J218" s="6">
        <f>SUMIF('Eredeti fejléccel'!$B:$B,'Felosztás eredménykim'!$B218,'Eredeti fejléccel'!$P:$P)</f>
        <v>0</v>
      </c>
      <c r="K218" s="6">
        <f>SUMIF('Eredeti fejléccel'!$B:$B,'Felosztás eredménykim'!$B218,'Eredeti fejléccel'!$Q:$Q)</f>
        <v>0</v>
      </c>
      <c r="L218" s="6">
        <f>SUMIF('Eredeti fejléccel'!$B:$B,'Felosztás eredménykim'!$B218,'Eredeti fejléccel'!$R:$R)</f>
        <v>0</v>
      </c>
      <c r="M218" s="6">
        <f>SUMIF('Eredeti fejléccel'!$B:$B,'Felosztás eredménykim'!$B218,'Eredeti fejléccel'!$T:$T)</f>
        <v>0</v>
      </c>
      <c r="N218" s="6">
        <f>SUMIF('Eredeti fejléccel'!$B:$B,'Felosztás eredménykim'!$B218,'Eredeti fejléccel'!$U:$U)</f>
        <v>0</v>
      </c>
      <c r="O218" s="6">
        <f>SUMIF('Eredeti fejléccel'!$B:$B,'Felosztás eredménykim'!$B218,'Eredeti fejléccel'!$V:$V)</f>
        <v>0</v>
      </c>
      <c r="P218" s="6">
        <f>SUMIF('Eredeti fejléccel'!$B:$B,'Felosztás eredménykim'!$B218,'Eredeti fejléccel'!$W:$W)</f>
        <v>0</v>
      </c>
      <c r="Q218" s="6">
        <f>SUMIF('Eredeti fejléccel'!$B:$B,'Felosztás eredménykim'!$B218,'Eredeti fejléccel'!$X:$X)</f>
        <v>0</v>
      </c>
      <c r="R218" s="6">
        <f>SUMIF('Eredeti fejléccel'!$B:$B,'Felosztás eredménykim'!$B218,'Eredeti fejléccel'!$Y:$Y)</f>
        <v>0</v>
      </c>
      <c r="S218" s="6">
        <f>SUMIF('Eredeti fejléccel'!$B:$B,'Felosztás eredménykim'!$B218,'Eredeti fejléccel'!$Z:$Z)</f>
        <v>0</v>
      </c>
      <c r="T218" s="6">
        <f>SUMIF('Eredeti fejléccel'!$B:$B,'Felosztás eredménykim'!$B218,'Eredeti fejléccel'!$AA:$AA)</f>
        <v>0</v>
      </c>
      <c r="U218" s="6">
        <f>SUMIF('Eredeti fejléccel'!$B:$B,'Felosztás eredménykim'!$B218,'Eredeti fejléccel'!$D:$D)</f>
        <v>0</v>
      </c>
      <c r="V218" s="6">
        <f>SUMIF('Eredeti fejléccel'!$B:$B,'Felosztás eredménykim'!$B218,'Eredeti fejléccel'!$AT:$AT)</f>
        <v>0</v>
      </c>
      <c r="W218" s="36">
        <v>-475008</v>
      </c>
      <c r="X218" s="36">
        <f t="shared" si="414"/>
        <v>32853000</v>
      </c>
      <c r="Z218" s="6">
        <f>SUMIF('Eredeti fejléccel'!$B:$B,'Felosztás eredménykim'!$B218,'Eredeti fejléccel'!$K:$K)</f>
        <v>0</v>
      </c>
      <c r="AB218" s="6">
        <f>SUMIF('Eredeti fejléccel'!$B:$B,'Felosztás eredménykim'!$B218,'Eredeti fejléccel'!$AB:$AB)</f>
        <v>0</v>
      </c>
      <c r="AC218" s="6">
        <f>SUMIF('Eredeti fejléccel'!$B:$B,'Felosztás eredménykim'!$B218,'Eredeti fejléccel'!$AQ:$AQ)</f>
        <v>0</v>
      </c>
      <c r="AE218" s="73">
        <f t="shared" si="299"/>
        <v>0</v>
      </c>
      <c r="AF218" s="36">
        <f t="shared" si="470"/>
        <v>3919186.8583202129</v>
      </c>
      <c r="AG218" s="8">
        <f t="shared" si="399"/>
        <v>0</v>
      </c>
      <c r="AI218" s="6">
        <f>SUMIF('Eredeti fejléccel'!$B:$B,'Felosztás eredménykim'!$B218,'Eredeti fejléccel'!$BB:$BB)</f>
        <v>0</v>
      </c>
      <c r="AJ218" s="6">
        <f>SUMIF('Eredeti fejléccel'!$B:$B,'Felosztás eredménykim'!$B218,'Eredeti fejléccel'!$AF:$AF)</f>
        <v>0</v>
      </c>
      <c r="AK218" s="8">
        <f t="shared" ref="AK218:AK280" si="522">SUM(AG218:AJ218)</f>
        <v>0</v>
      </c>
      <c r="AL218" s="36">
        <f t="shared" si="471"/>
        <v>1556681.2318040456</v>
      </c>
      <c r="AM218" s="8">
        <f t="shared" si="400"/>
        <v>0</v>
      </c>
      <c r="AN218" s="6">
        <f t="shared" si="291"/>
        <v>0</v>
      </c>
      <c r="AO218" s="6">
        <f>SUMIF('Eredeti fejléccel'!$B:$B,'Felosztás eredménykim'!$B218,'Eredeti fejléccel'!$AC:$AC)</f>
        <v>0</v>
      </c>
      <c r="AP218" s="6">
        <f>SUMIF('Eredeti fejléccel'!$B:$B,'Felosztás eredménykim'!$B218,'Eredeti fejléccel'!$AD:$AD)</f>
        <v>0</v>
      </c>
      <c r="AQ218" s="6">
        <f>SUMIF('Eredeti fejléccel'!$B:$B,'Felosztás eredménykim'!$B218,'Eredeti fejléccel'!$AE:$AE)</f>
        <v>0</v>
      </c>
      <c r="AR218" s="6">
        <f>SUMIF('Eredeti fejléccel'!$B:$B,'Felosztás eredménykim'!$B218,'Eredeti fejléccel'!$AG:$AG)</f>
        <v>0</v>
      </c>
      <c r="AS218" s="6">
        <f t="shared" si="292"/>
        <v>0</v>
      </c>
      <c r="AT218" s="36">
        <f t="shared" si="472"/>
        <v>2528507.6505291699</v>
      </c>
      <c r="AU218" s="8">
        <f t="shared" si="401"/>
        <v>0</v>
      </c>
      <c r="AV218" s="6">
        <f>SUMIF('Eredeti fejléccel'!$B:$B,'Felosztás eredménykim'!$B218,'Eredeti fejléccel'!$AI:$AI)</f>
        <v>0</v>
      </c>
      <c r="AW218" s="6">
        <f>SUMIF('Eredeti fejléccel'!$B:$B,'Felosztás eredménykim'!$B218,'Eredeti fejléccel'!$AJ:$AJ)</f>
        <v>0</v>
      </c>
      <c r="AX218" s="6">
        <f>SUMIF('Eredeti fejléccel'!$B:$B,'Felosztás eredménykim'!$B218,'Eredeti fejléccel'!$AK:$AK)</f>
        <v>0</v>
      </c>
      <c r="AY218" s="6">
        <f>SUMIF('Eredeti fejléccel'!$B:$B,'Felosztás eredménykim'!$B218,'Eredeti fejléccel'!$AL:$AL)</f>
        <v>0</v>
      </c>
      <c r="AZ218" s="6">
        <f>SUMIF('Eredeti fejléccel'!$B:$B,'Felosztás eredménykim'!$B218,'Eredeti fejléccel'!$AM:$AM)</f>
        <v>0</v>
      </c>
      <c r="BA218" s="6">
        <f>SUMIF('Eredeti fejléccel'!$B:$B,'Felosztás eredménykim'!$B218,'Eredeti fejléccel'!$AN:$AN)</f>
        <v>0</v>
      </c>
      <c r="BB218" s="6">
        <f>SUMIF('Eredeti fejléccel'!$B:$B,'Felosztás eredménykim'!$B218,'Eredeti fejléccel'!$AP:$AP)</f>
        <v>0</v>
      </c>
      <c r="BD218" s="6">
        <f>SUMIF('Eredeti fejléccel'!$B:$B,'Felosztás eredménykim'!$B218,'Eredeti fejléccel'!$AS:$AS)</f>
        <v>0</v>
      </c>
      <c r="BE218" s="8">
        <f t="shared" si="238"/>
        <v>0</v>
      </c>
      <c r="BF218" s="36">
        <f t="shared" si="473"/>
        <v>659610.69144239218</v>
      </c>
      <c r="BG218" s="8">
        <f t="shared" si="402"/>
        <v>0</v>
      </c>
      <c r="BH218" s="6">
        <f t="shared" si="293"/>
        <v>0</v>
      </c>
      <c r="BI218" s="6">
        <f>SUMIF('Eredeti fejléccel'!$B:$B,'Felosztás eredménykim'!$B218,'Eredeti fejléccel'!$AH:$AH)</f>
        <v>0</v>
      </c>
      <c r="BJ218" s="6">
        <f>SUMIF('Eredeti fejléccel'!$B:$B,'Felosztás eredménykim'!$B218,'Eredeti fejléccel'!$AO:$AO)</f>
        <v>0</v>
      </c>
      <c r="BK218" s="6">
        <f>SUMIF('Eredeti fejléccel'!$B:$B,'Felosztás eredménykim'!$B218,'Eredeti fejléccel'!$BF:$BF)</f>
        <v>0</v>
      </c>
      <c r="BL218" s="8">
        <f t="shared" si="294"/>
        <v>0</v>
      </c>
      <c r="BM218" s="36">
        <f t="shared" si="474"/>
        <v>2471341.3906041631</v>
      </c>
      <c r="BN218" s="8">
        <f t="shared" si="403"/>
        <v>0</v>
      </c>
      <c r="BP218" s="8">
        <f t="shared" si="295"/>
        <v>0</v>
      </c>
      <c r="BQ218" s="6">
        <f>SUMIF('Eredeti fejléccel'!$B:$B,'Felosztás eredménykim'!$B218,'Eredeti fejléccel'!$N:$N)</f>
        <v>0</v>
      </c>
      <c r="BR218" s="6">
        <f>SUMIF('Eredeti fejléccel'!$B:$B,'Felosztás eredménykim'!$B218,'Eredeti fejléccel'!$S:$S)</f>
        <v>0</v>
      </c>
      <c r="BT218" s="6">
        <f>SUMIF('Eredeti fejléccel'!$B:$B,'Felosztás eredménykim'!$B218,'Eredeti fejléccel'!$AR:$AR)</f>
        <v>0</v>
      </c>
      <c r="BU218" s="6">
        <f>SUMIF('Eredeti fejléccel'!$B:$B,'Felosztás eredménykim'!$B218,'Eredeti fejléccel'!$AU:$AU)</f>
        <v>0</v>
      </c>
      <c r="BV218" s="6">
        <f>SUMIF('Eredeti fejléccel'!$B:$B,'Felosztás eredménykim'!$B218,'Eredeti fejléccel'!$AV:$AV)</f>
        <v>0</v>
      </c>
      <c r="BW218" s="6">
        <f>SUMIF('Eredeti fejléccel'!$B:$B,'Felosztás eredménykim'!$B218,'Eredeti fejléccel'!$AW:$AW)</f>
        <v>0</v>
      </c>
      <c r="BX218" s="6">
        <f>SUMIF('Eredeti fejléccel'!$B:$B,'Felosztás eredménykim'!$B218,'Eredeti fejléccel'!$AX:$AX)</f>
        <v>0</v>
      </c>
      <c r="BY218" s="6">
        <f>SUMIF('Eredeti fejléccel'!$B:$B,'Felosztás eredménykim'!$B218,'Eredeti fejléccel'!$AY:$AY)</f>
        <v>0</v>
      </c>
      <c r="BZ218" s="6">
        <f>SUMIF('Eredeti fejléccel'!$B:$B,'Felosztás eredménykim'!$B218,'Eredeti fejléccel'!$AZ:$AZ)</f>
        <v>0</v>
      </c>
      <c r="CA218" s="6">
        <f>SUMIF('Eredeti fejléccel'!$B:$B,'Felosztás eredménykim'!$B218,'Eredeti fejléccel'!$BA:$BA)</f>
        <v>0</v>
      </c>
      <c r="CB218" s="6">
        <f t="shared" si="481"/>
        <v>0</v>
      </c>
      <c r="CC218" s="36">
        <f t="shared" si="475"/>
        <v>672802.90527124004</v>
      </c>
      <c r="CD218" s="8">
        <f t="shared" si="404"/>
        <v>0</v>
      </c>
      <c r="CE218" s="6">
        <f>SUMIF('Eredeti fejléccel'!$B:$B,'Felosztás eredménykim'!$B218,'Eredeti fejléccel'!$BC:$BC)</f>
        <v>0</v>
      </c>
      <c r="CF218" s="8">
        <f t="shared" si="300"/>
        <v>0</v>
      </c>
      <c r="CG218" s="6">
        <f>SUMIF('Eredeti fejléccel'!$B:$B,'Felosztás eredménykim'!$B218,'Eredeti fejléccel'!$H:$H)</f>
        <v>0</v>
      </c>
      <c r="CH218" s="6">
        <f>SUMIF('Eredeti fejléccel'!$B:$B,'Felosztás eredménykim'!$B218,'Eredeti fejléccel'!$BE:$BE)</f>
        <v>0</v>
      </c>
      <c r="CI218" s="6">
        <f t="shared" si="239"/>
        <v>0</v>
      </c>
      <c r="CJ218" s="36">
        <f t="shared" si="476"/>
        <v>483714.50705775432</v>
      </c>
      <c r="CK218" s="8">
        <f t="shared" si="405"/>
        <v>0</v>
      </c>
      <c r="CL218" s="8">
        <f t="shared" si="301"/>
        <v>0</v>
      </c>
      <c r="CM218" s="6">
        <f>SUMIF('Eredeti fejléccel'!$B:$B,'Felosztás eredménykim'!$B218,'Eredeti fejléccel'!$BD:$BD)</f>
        <v>0</v>
      </c>
      <c r="CN218" s="8">
        <f t="shared" si="240"/>
        <v>0</v>
      </c>
      <c r="CO218" s="8">
        <f t="shared" si="482"/>
        <v>12291845.235028978</v>
      </c>
      <c r="CR218" s="36">
        <f t="shared" si="406"/>
        <v>2905576.0141661307</v>
      </c>
      <c r="CS218" s="6">
        <f>SUMIF('Eredeti fejléccel'!$B:$B,'Felosztás eredménykim'!$B218,'Eredeti fejléccel'!$I:$I)</f>
        <v>0</v>
      </c>
      <c r="CT218" s="6">
        <f>SUMIF('Eredeti fejléccel'!$B:$B,'Felosztás eredménykim'!$B218,'Eredeti fejléccel'!$BG:$BG)</f>
        <v>0</v>
      </c>
      <c r="CU218" s="6">
        <f>SUMIF('Eredeti fejléccel'!$B:$B,'Felosztás eredménykim'!$B218,'Eredeti fejléccel'!$BH:$BH)</f>
        <v>0</v>
      </c>
      <c r="CV218" s="6">
        <f>SUMIF('Eredeti fejléccel'!$B:$B,'Felosztás eredménykim'!$B218,'Eredeti fejléccel'!$BI:$BI)</f>
        <v>0</v>
      </c>
      <c r="CW218" s="6">
        <f>SUMIF('Eredeti fejléccel'!$B:$B,'Felosztás eredménykim'!$B218,'Eredeti fejléccel'!$BL:$BL)</f>
        <v>0</v>
      </c>
      <c r="CX218" s="6">
        <f t="shared" si="241"/>
        <v>0</v>
      </c>
      <c r="CY218" s="6">
        <f>SUMIF('Eredeti fejléccel'!$B:$B,'Felosztás eredménykim'!$B218,'Eredeti fejléccel'!$BJ:$BJ)</f>
        <v>0</v>
      </c>
      <c r="CZ218" s="6">
        <f>SUMIF('Eredeti fejléccel'!$B:$B,'Felosztás eredménykim'!$B218,'Eredeti fejléccel'!$BK:$BK)</f>
        <v>0</v>
      </c>
      <c r="DA218" s="99">
        <f t="shared" si="415"/>
        <v>0</v>
      </c>
      <c r="DC218" s="36">
        <f t="shared" si="407"/>
        <v>2544891.1139729563</v>
      </c>
      <c r="DD218" s="6">
        <f>SUMIF('Eredeti fejléccel'!$B:$B,'Felosztás eredménykim'!$B218,'Eredeti fejléccel'!$J:$J)</f>
        <v>0</v>
      </c>
      <c r="DE218" s="6">
        <f>SUMIF('Eredeti fejléccel'!$B:$B,'Felosztás eredménykim'!$B218,'Eredeti fejléccel'!$BM:$BM)</f>
        <v>0</v>
      </c>
      <c r="DF218" s="6">
        <f t="shared" si="296"/>
        <v>0</v>
      </c>
      <c r="DG218" s="8">
        <f t="shared" si="483"/>
        <v>0</v>
      </c>
      <c r="DH218" s="8">
        <f t="shared" si="297"/>
        <v>0</v>
      </c>
      <c r="DJ218" s="6">
        <f>SUMIF('Eredeti fejléccel'!$B:$B,'Felosztás eredménykim'!$B218,'Eredeti fejléccel'!$BN:$BN)</f>
        <v>0</v>
      </c>
      <c r="DK218" s="6">
        <f>SUMIF('Eredeti fejléccel'!$B:$B,'Felosztás eredménykim'!$B218,'Eredeti fejléccel'!$BZ:$BZ)</f>
        <v>0</v>
      </c>
      <c r="DL218" s="8">
        <f t="shared" si="298"/>
        <v>0</v>
      </c>
      <c r="DM218" s="6">
        <f>SUMIF('Eredeti fejléccel'!$B:$B,'Felosztás eredménykim'!$B218,'Eredeti fejléccel'!$BR:$BR)</f>
        <v>0</v>
      </c>
      <c r="DN218" s="6">
        <f>SUMIF('Eredeti fejléccel'!$B:$B,'Felosztás eredménykim'!$B218,'Eredeti fejléccel'!$BS:$BS)</f>
        <v>0</v>
      </c>
      <c r="DO218" s="6">
        <f>SUMIF('Eredeti fejléccel'!$B:$B,'Felosztás eredménykim'!$B218,'Eredeti fejléccel'!$BO:$BO)</f>
        <v>0</v>
      </c>
      <c r="DP218" s="6">
        <f>SUMIF('Eredeti fejléccel'!$B:$B,'Felosztás eredménykim'!$B218,'Eredeti fejléccel'!$BP:$BP)</f>
        <v>0</v>
      </c>
      <c r="DQ218" s="6">
        <f>SUMIF('Eredeti fejléccel'!$B:$B,'Felosztás eredménykim'!$B218,'Eredeti fejléccel'!$BQ:$BQ)</f>
        <v>0</v>
      </c>
      <c r="DS218" s="8"/>
      <c r="DU218" s="6">
        <f>SUMIF('Eredeti fejléccel'!$B:$B,'Felosztás eredménykim'!$B218,'Eredeti fejléccel'!$BT:$BT)</f>
        <v>0</v>
      </c>
      <c r="DV218" s="6">
        <f>SUMIF('Eredeti fejléccel'!$B:$B,'Felosztás eredménykim'!$B218,'Eredeti fejléccel'!$BU:$BU)</f>
        <v>0</v>
      </c>
      <c r="DW218" s="6">
        <f>SUMIF('Eredeti fejléccel'!$B:$B,'Felosztás eredménykim'!$B218,'Eredeti fejléccel'!$BV:$BV)</f>
        <v>0</v>
      </c>
      <c r="DX218" s="6">
        <f>SUMIF('Eredeti fejléccel'!$B:$B,'Felosztás eredménykim'!$B218,'Eredeti fejléccel'!$BW:$BW)</f>
        <v>0</v>
      </c>
      <c r="DY218" s="6">
        <f>SUMIF('Eredeti fejléccel'!$B:$B,'Felosztás eredménykim'!$B218,'Eredeti fejléccel'!$BX:$BX)</f>
        <v>0</v>
      </c>
      <c r="EA218" s="6"/>
      <c r="EC218" s="6"/>
      <c r="EE218" s="6">
        <f>SUMIF('Eredeti fejléccel'!$B:$B,'Felosztás eredménykim'!$B218,'Eredeti fejléccel'!$CA:$CA)</f>
        <v>0</v>
      </c>
      <c r="EF218" s="6">
        <f>SUMIF('Eredeti fejléccel'!$B:$B,'Felosztás eredménykim'!$B218,'Eredeti fejléccel'!$CB:$CB)</f>
        <v>0</v>
      </c>
      <c r="EG218" s="6">
        <f>SUMIF('Eredeti fejléccel'!$B:$B,'Felosztás eredménykim'!$B218,'Eredeti fejléccel'!$CC:$CC)</f>
        <v>0</v>
      </c>
      <c r="EH218" s="6">
        <f>SUMIF('Eredeti fejléccel'!$B:$B,'Felosztás eredménykim'!$B218,'Eredeti fejléccel'!$CD:$CD)</f>
        <v>0</v>
      </c>
      <c r="EK218" s="6">
        <f>SUMIF('Eredeti fejléccel'!$B:$B,'Felosztás eredménykim'!$B218,'Eredeti fejléccel'!$CE:$CE)</f>
        <v>0</v>
      </c>
      <c r="EN218" s="6">
        <f>SUMIF('Eredeti fejléccel'!$B:$B,'Felosztás eredménykim'!$B218,'Eredeti fejléccel'!$CF:$CF)</f>
        <v>0</v>
      </c>
      <c r="EP218" s="6">
        <f>SUMIF('Eredeti fejléccel'!$B:$B,'Felosztás eredménykim'!$B218,'Eredeti fejléccel'!$CG:$CG)</f>
        <v>0</v>
      </c>
      <c r="ES218" s="6">
        <f>SUMIF('Eredeti fejléccel'!$B:$B,'Felosztás eredménykim'!$B218,'Eredeti fejléccel'!$CH:$CH)</f>
        <v>0</v>
      </c>
      <c r="ET218" s="6">
        <f>SUMIF('Eredeti fejléccel'!$B:$B,'Felosztás eredménykim'!$B218,'Eredeti fejléccel'!$CI:$CI)</f>
        <v>0</v>
      </c>
      <c r="EW218" s="8">
        <f t="shared" si="288"/>
        <v>0</v>
      </c>
      <c r="EX218" s="8">
        <f t="shared" si="243"/>
        <v>0</v>
      </c>
      <c r="EY218" s="8">
        <f t="shared" si="416"/>
        <v>0</v>
      </c>
      <c r="EZ218" s="8">
        <f t="shared" si="289"/>
        <v>0</v>
      </c>
      <c r="FA218" s="8">
        <f t="shared" si="290"/>
        <v>0</v>
      </c>
      <c r="FC218" s="6">
        <f>SUMIF('Eredeti fejléccel'!$B:$B,'Felosztás eredménykim'!$B218,'Eredeti fejléccel'!$L:$L)</f>
        <v>0</v>
      </c>
      <c r="FD218" s="6">
        <f>SUMIF('Eredeti fejléccel'!$B:$B,'Felosztás eredménykim'!$B218,'Eredeti fejléccel'!$CJ:$CJ)</f>
        <v>0</v>
      </c>
      <c r="FE218" s="6">
        <f>SUMIF('Eredeti fejléccel'!$B:$B,'Felosztás eredménykim'!$B218,'Eredeti fejléccel'!$CL:$CL)</f>
        <v>0</v>
      </c>
      <c r="FG218" s="99">
        <f t="shared" si="245"/>
        <v>0</v>
      </c>
      <c r="FH218" s="6">
        <f>SUMIF('Eredeti fejléccel'!$B:$B,'Felosztás eredménykim'!$B218,'Eredeti fejléccel'!$CK:$CK)</f>
        <v>0</v>
      </c>
      <c r="FI218" s="36">
        <f t="shared" si="477"/>
        <v>2994225.6771492423</v>
      </c>
      <c r="FJ218" s="101">
        <f t="shared" si="408"/>
        <v>0</v>
      </c>
      <c r="FK218" s="6">
        <f>SUMIF('Eredeti fejléccel'!$B:$B,'Felosztás eredménykim'!$B218,'Eredeti fejléccel'!$CM:$CM)</f>
        <v>0</v>
      </c>
      <c r="FL218" s="6">
        <f>SUMIF('Eredeti fejléccel'!$B:$B,'Felosztás eredménykim'!$B218,'Eredeti fejléccel'!$CN:$CN)</f>
        <v>0</v>
      </c>
      <c r="FM218" s="8">
        <f t="shared" si="246"/>
        <v>0</v>
      </c>
      <c r="FN218" s="36">
        <f t="shared" si="478"/>
        <v>2545583.0401429217</v>
      </c>
      <c r="FO218" s="101">
        <f t="shared" si="409"/>
        <v>0</v>
      </c>
      <c r="FP218" s="6">
        <f>SUMIF('Eredeti fejléccel'!$B:$B,'Felosztás eredménykim'!$B218,'Eredeti fejléccel'!$CO:$CO)</f>
        <v>0</v>
      </c>
      <c r="FQ218" s="6">
        <f>'Eredeti fejléccel'!CP218</f>
        <v>0</v>
      </c>
      <c r="FR218" s="6">
        <f>'Eredeti fejléccel'!CQ218</f>
        <v>0</v>
      </c>
      <c r="FS218" s="103">
        <f t="shared" si="417"/>
        <v>0</v>
      </c>
      <c r="FT218" s="36">
        <f t="shared" si="479"/>
        <v>7026551.4705831846</v>
      </c>
      <c r="FU218" s="101">
        <f t="shared" si="410"/>
        <v>0</v>
      </c>
      <c r="FV218" s="101"/>
      <c r="FW218" s="6">
        <f>SUMIF('Eredeti fejléccel'!$B:$B,'Felosztás eredménykim'!$B218,'Eredeti fejléccel'!$CR:$CR)</f>
        <v>0</v>
      </c>
      <c r="FX218" s="6">
        <f>SUMIF('Eredeti fejléccel'!$B:$B,'Felosztás eredménykim'!$B218,'Eredeti fejléccel'!$CS:$CS)</f>
        <v>0</v>
      </c>
      <c r="FY218" s="6">
        <f>SUMIF('Eredeti fejléccel'!$B:$B,'Felosztás eredménykim'!$B218,'Eredeti fejléccel'!$CT:$CT)</f>
        <v>0</v>
      </c>
      <c r="FZ218" s="6">
        <f>SUMIF('Eredeti fejléccel'!$B:$B,'Felosztás eredménykim'!$B218,'Eredeti fejléccel'!$CU:$CU)</f>
        <v>0</v>
      </c>
      <c r="GA218" s="103">
        <f t="shared" si="248"/>
        <v>0</v>
      </c>
      <c r="GB218" s="36">
        <f t="shared" si="480"/>
        <v>936582.43929786736</v>
      </c>
      <c r="GC218" s="101">
        <f t="shared" si="411"/>
        <v>0</v>
      </c>
      <c r="GD218" s="6">
        <f>SUMIF('Eredeti fejléccel'!$B:$B,'Felosztás eredménykim'!$B218,'Eredeti fejléccel'!$CV:$CV)</f>
        <v>0</v>
      </c>
      <c r="GE218" s="6">
        <f>SUMIF('Eredeti fejléccel'!$B:$B,'Felosztás eredménykim'!$B218,'Eredeti fejléccel'!$CW:$CW)</f>
        <v>0</v>
      </c>
      <c r="GF218" s="103">
        <f t="shared" si="249"/>
        <v>0</v>
      </c>
      <c r="GG218" s="36">
        <f t="shared" si="412"/>
        <v>0</v>
      </c>
      <c r="GM218" s="6">
        <f>SUMIF('Eredeti fejléccel'!$B:$B,'Felosztás eredménykim'!$B218,'Eredeti fejléccel'!$CX:$CX)</f>
        <v>0</v>
      </c>
      <c r="GN218" s="6">
        <f>SUMIF('Eredeti fejléccel'!$B:$B,'Felosztás eredménykim'!$B218,'Eredeti fejléccel'!$CY:$CY)</f>
        <v>0</v>
      </c>
      <c r="GO218" s="6">
        <f>SUMIF('Eredeti fejléccel'!$B:$B,'Felosztás eredménykim'!$B218,'Eredeti fejléccel'!$CZ:$CZ)</f>
        <v>0</v>
      </c>
      <c r="GP218" s="6">
        <f>SUMIF('Eredeti fejléccel'!$B:$B,'Felosztás eredménykim'!$B218,'Eredeti fejléccel'!$DA:$DA)</f>
        <v>0</v>
      </c>
      <c r="GQ218" s="6">
        <f>SUMIF('Eredeti fejléccel'!$B:$B,'Felosztás eredménykim'!$B218,'Eredeti fejléccel'!$DB:$DB)</f>
        <v>0</v>
      </c>
      <c r="GR218" s="103">
        <f t="shared" si="250"/>
        <v>0</v>
      </c>
      <c r="GW218" s="36">
        <f t="shared" si="413"/>
        <v>1607745.0096587252</v>
      </c>
      <c r="GX218" s="6">
        <f>SUMIF('Eredeti fejléccel'!$B:$B,'Felosztás eredménykim'!$B218,'Eredeti fejléccel'!$M:$M)</f>
        <v>0</v>
      </c>
      <c r="GY218" s="6">
        <f>SUMIF('Eredeti fejléccel'!$B:$B,'Felosztás eredménykim'!$B218,'Eredeti fejléccel'!$DC:$DC)</f>
        <v>0</v>
      </c>
      <c r="GZ218" s="6">
        <f>SUMIF('Eredeti fejléccel'!$B:$B,'Felosztás eredménykim'!$B218,'Eredeti fejléccel'!$DD:$DD)</f>
        <v>0</v>
      </c>
      <c r="HA218" s="6">
        <f>SUMIF('Eredeti fejléccel'!$B:$B,'Felosztás eredménykim'!$B218,'Eredeti fejléccel'!$DE:$DE)</f>
        <v>0</v>
      </c>
      <c r="HB218" s="103">
        <f t="shared" si="251"/>
        <v>0</v>
      </c>
      <c r="HD218" s="9">
        <f t="shared" si="429"/>
        <v>33328008.000000015</v>
      </c>
      <c r="HE218" s="9">
        <v>14650826</v>
      </c>
      <c r="HF218" s="476"/>
      <c r="HH218" s="34">
        <f t="shared" si="252"/>
        <v>18677182.000000015</v>
      </c>
    </row>
    <row r="219" spans="1:218" x14ac:dyDescent="0.25">
      <c r="A219" s="4" t="s">
        <v>293</v>
      </c>
      <c r="B219" s="4" t="s">
        <v>293</v>
      </c>
      <c r="C219" s="1" t="s">
        <v>294</v>
      </c>
      <c r="D219" s="6">
        <f>SUMIF('Eredeti fejléccel'!$B:$B,'Felosztás eredménykim'!$B219,'Eredeti fejléccel'!$D:$D)</f>
        <v>0</v>
      </c>
      <c r="E219" s="6">
        <f>SUMIF('Eredeti fejléccel'!$B:$B,'Felosztás eredménykim'!$B219,'Eredeti fejléccel'!$E:$E)</f>
        <v>1398259</v>
      </c>
      <c r="F219" s="6">
        <f>SUMIF('Eredeti fejléccel'!$B:$B,'Felosztás eredménykim'!$B219,'Eredeti fejléccel'!$F:$F)</f>
        <v>0</v>
      </c>
      <c r="G219" s="6">
        <f>SUMIF('Eredeti fejléccel'!$B:$B,'Felosztás eredménykim'!$B219,'Eredeti fejléccel'!$G:$G)</f>
        <v>0</v>
      </c>
      <c r="H219" s="6"/>
      <c r="I219" s="6">
        <f>SUMIF('Eredeti fejléccel'!$B:$B,'Felosztás eredménykim'!$B219,'Eredeti fejléccel'!$O:$O)</f>
        <v>0</v>
      </c>
      <c r="J219" s="6">
        <f>SUMIF('Eredeti fejléccel'!$B:$B,'Felosztás eredménykim'!$B219,'Eredeti fejléccel'!$P:$P)</f>
        <v>0</v>
      </c>
      <c r="K219" s="6">
        <f>SUMIF('Eredeti fejléccel'!$B:$B,'Felosztás eredménykim'!$B219,'Eredeti fejléccel'!$Q:$Q)</f>
        <v>0</v>
      </c>
      <c r="L219" s="6">
        <f>SUMIF('Eredeti fejléccel'!$B:$B,'Felosztás eredménykim'!$B219,'Eredeti fejléccel'!$R:$R)</f>
        <v>0</v>
      </c>
      <c r="M219" s="6">
        <f>SUMIF('Eredeti fejléccel'!$B:$B,'Felosztás eredménykim'!$B219,'Eredeti fejléccel'!$T:$T)</f>
        <v>0</v>
      </c>
      <c r="N219" s="6">
        <f>SUMIF('Eredeti fejléccel'!$B:$B,'Felosztás eredménykim'!$B219,'Eredeti fejléccel'!$U:$U)</f>
        <v>0</v>
      </c>
      <c r="O219" s="6">
        <f>SUMIF('Eredeti fejléccel'!$B:$B,'Felosztás eredménykim'!$B219,'Eredeti fejléccel'!$V:$V)</f>
        <v>0</v>
      </c>
      <c r="P219" s="6">
        <f>SUMIF('Eredeti fejléccel'!$B:$B,'Felosztás eredménykim'!$B219,'Eredeti fejléccel'!$W:$W)</f>
        <v>0</v>
      </c>
      <c r="Q219" s="6">
        <f>SUMIF('Eredeti fejléccel'!$B:$B,'Felosztás eredménykim'!$B219,'Eredeti fejléccel'!$X:$X)</f>
        <v>0</v>
      </c>
      <c r="R219" s="6">
        <f>SUMIF('Eredeti fejléccel'!$B:$B,'Felosztás eredménykim'!$B219,'Eredeti fejléccel'!$Y:$Y)</f>
        <v>0</v>
      </c>
      <c r="S219" s="6">
        <f>SUMIF('Eredeti fejléccel'!$B:$B,'Felosztás eredménykim'!$B219,'Eredeti fejléccel'!$Z:$Z)</f>
        <v>0</v>
      </c>
      <c r="T219" s="6">
        <f>SUMIF('Eredeti fejléccel'!$B:$B,'Felosztás eredménykim'!$B219,'Eredeti fejléccel'!$AA:$AA)</f>
        <v>0</v>
      </c>
      <c r="U219" s="6">
        <f>SUMIF('Eredeti fejléccel'!$B:$B,'Felosztás eredménykim'!$B219,'Eredeti fejléccel'!$D:$D)</f>
        <v>0</v>
      </c>
      <c r="V219" s="6">
        <f>SUMIF('Eredeti fejléccel'!$B:$B,'Felosztás eredménykim'!$B219,'Eredeti fejléccel'!$AT:$AT)</f>
        <v>0</v>
      </c>
      <c r="W219" s="36">
        <v>77556</v>
      </c>
      <c r="X219" s="36">
        <f t="shared" si="414"/>
        <v>1475815</v>
      </c>
      <c r="Z219" s="6">
        <f>SUMIF('Eredeti fejléccel'!$B:$B,'Felosztás eredménykim'!$B219,'Eredeti fejléccel'!$K:$K)</f>
        <v>0</v>
      </c>
      <c r="AB219" s="6">
        <f>SUMIF('Eredeti fejléccel'!$B:$B,'Felosztás eredménykim'!$B219,'Eredeti fejléccel'!$AB:$AB)</f>
        <v>0</v>
      </c>
      <c r="AC219" s="6">
        <f>SUMIF('Eredeti fejléccel'!$B:$B,'Felosztás eredménykim'!$B219,'Eredeti fejléccel'!$AQ:$AQ)</f>
        <v>0</v>
      </c>
      <c r="AE219" s="73">
        <f t="shared" si="299"/>
        <v>0</v>
      </c>
      <c r="AF219" s="36">
        <f t="shared" si="470"/>
        <v>176056.82139566692</v>
      </c>
      <c r="AG219" s="8">
        <f t="shared" si="399"/>
        <v>0</v>
      </c>
      <c r="AI219" s="6">
        <f>SUMIF('Eredeti fejléccel'!$B:$B,'Felosztás eredménykim'!$B219,'Eredeti fejléccel'!$BB:$BB)</f>
        <v>0</v>
      </c>
      <c r="AJ219" s="6">
        <f>SUMIF('Eredeti fejléccel'!$B:$B,'Felosztás eredménykim'!$B219,'Eredeti fejléccel'!$AF:$AF)</f>
        <v>0</v>
      </c>
      <c r="AK219" s="8">
        <f t="shared" si="522"/>
        <v>0</v>
      </c>
      <c r="AL219" s="36">
        <f t="shared" si="471"/>
        <v>69928.880531911476</v>
      </c>
      <c r="AM219" s="8">
        <f t="shared" si="400"/>
        <v>0</v>
      </c>
      <c r="AN219" s="6">
        <f t="shared" si="291"/>
        <v>0</v>
      </c>
      <c r="AO219" s="6">
        <f>SUMIF('Eredeti fejléccel'!$B:$B,'Felosztás eredménykim'!$B219,'Eredeti fejléccel'!$AC:$AC)</f>
        <v>0</v>
      </c>
      <c r="AP219" s="6">
        <f>SUMIF('Eredeti fejléccel'!$B:$B,'Felosztás eredménykim'!$B219,'Eredeti fejléccel'!$AD:$AD)</f>
        <v>0</v>
      </c>
      <c r="AQ219" s="6">
        <f>SUMIF('Eredeti fejléccel'!$B:$B,'Felosztás eredménykim'!$B219,'Eredeti fejléccel'!$AE:$AE)</f>
        <v>0</v>
      </c>
      <c r="AR219" s="6">
        <f>SUMIF('Eredeti fejléccel'!$B:$B,'Felosztás eredménykim'!$B219,'Eredeti fejléccel'!$AG:$AG)</f>
        <v>0</v>
      </c>
      <c r="AS219" s="6">
        <f t="shared" si="292"/>
        <v>0</v>
      </c>
      <c r="AT219" s="36">
        <f t="shared" si="472"/>
        <v>113585.04606172061</v>
      </c>
      <c r="AU219" s="8">
        <f t="shared" si="401"/>
        <v>0</v>
      </c>
      <c r="AV219" s="6">
        <f>SUMIF('Eredeti fejléccel'!$B:$B,'Felosztás eredménykim'!$B219,'Eredeti fejléccel'!$AI:$AI)</f>
        <v>0</v>
      </c>
      <c r="AW219" s="6">
        <f>SUMIF('Eredeti fejléccel'!$B:$B,'Felosztás eredménykim'!$B219,'Eredeti fejléccel'!$AJ:$AJ)</f>
        <v>0</v>
      </c>
      <c r="AX219" s="6">
        <f>SUMIF('Eredeti fejléccel'!$B:$B,'Felosztás eredménykim'!$B219,'Eredeti fejléccel'!$AK:$AK)</f>
        <v>0</v>
      </c>
      <c r="AY219" s="6">
        <f>SUMIF('Eredeti fejléccel'!$B:$B,'Felosztás eredménykim'!$B219,'Eredeti fejléccel'!$AL:$AL)</f>
        <v>0</v>
      </c>
      <c r="AZ219" s="6">
        <f>SUMIF('Eredeti fejléccel'!$B:$B,'Felosztás eredménykim'!$B219,'Eredeti fejléccel'!$AM:$AM)</f>
        <v>0</v>
      </c>
      <c r="BA219" s="6">
        <f>SUMIF('Eredeti fejléccel'!$B:$B,'Felosztás eredménykim'!$B219,'Eredeti fejléccel'!$AN:$AN)</f>
        <v>0</v>
      </c>
      <c r="BB219" s="6">
        <f>SUMIF('Eredeti fejléccel'!$B:$B,'Felosztás eredménykim'!$B219,'Eredeti fejléccel'!$AP:$AP)</f>
        <v>0</v>
      </c>
      <c r="BD219" s="6">
        <f>SUMIF('Eredeti fejléccel'!$B:$B,'Felosztás eredménykim'!$B219,'Eredeti fejléccel'!$AS:$AS)</f>
        <v>0</v>
      </c>
      <c r="BE219" s="8">
        <f t="shared" ref="BE219:BE280" si="523">SUM(AU219:BD219)</f>
        <v>0</v>
      </c>
      <c r="BF219" s="36">
        <f t="shared" si="473"/>
        <v>29630.881581318419</v>
      </c>
      <c r="BG219" s="8">
        <f t="shared" si="402"/>
        <v>0</v>
      </c>
      <c r="BH219" s="6">
        <f t="shared" si="293"/>
        <v>0</v>
      </c>
      <c r="BI219" s="6">
        <f>SUMIF('Eredeti fejléccel'!$B:$B,'Felosztás eredménykim'!$B219,'Eredeti fejléccel'!$AH:$AH)</f>
        <v>0</v>
      </c>
      <c r="BJ219" s="6">
        <f>SUMIF('Eredeti fejléccel'!$B:$B,'Felosztás eredménykim'!$B219,'Eredeti fejléccel'!$AO:$AO)</f>
        <v>0</v>
      </c>
      <c r="BK219" s="6">
        <f>SUMIF('Eredeti fejléccel'!$B:$B,'Felosztás eredménykim'!$B219,'Eredeti fejléccel'!$BF:$BF)</f>
        <v>0</v>
      </c>
      <c r="BL219" s="8">
        <f t="shared" si="294"/>
        <v>0</v>
      </c>
      <c r="BM219" s="36">
        <f t="shared" si="474"/>
        <v>111017.03632467301</v>
      </c>
      <c r="BN219" s="8">
        <f t="shared" si="403"/>
        <v>0</v>
      </c>
      <c r="BP219" s="8">
        <f t="shared" si="295"/>
        <v>0</v>
      </c>
      <c r="BQ219" s="6">
        <f>SUMIF('Eredeti fejléccel'!$B:$B,'Felosztás eredménykim'!$B219,'Eredeti fejléccel'!$N:$N)</f>
        <v>0</v>
      </c>
      <c r="BR219" s="6">
        <f>SUMIF('Eredeti fejléccel'!$B:$B,'Felosztás eredménykim'!$B219,'Eredeti fejléccel'!$S:$S)</f>
        <v>0</v>
      </c>
      <c r="BT219" s="6">
        <f>SUMIF('Eredeti fejléccel'!$B:$B,'Felosztás eredménykim'!$B219,'Eredeti fejléccel'!$AR:$AR)</f>
        <v>0</v>
      </c>
      <c r="BU219" s="6">
        <f>SUMIF('Eredeti fejléccel'!$B:$B,'Felosztás eredménykim'!$B219,'Eredeti fejléccel'!$AU:$AU)</f>
        <v>0</v>
      </c>
      <c r="BV219" s="6">
        <f>SUMIF('Eredeti fejléccel'!$B:$B,'Felosztás eredménykim'!$B219,'Eredeti fejléccel'!$AV:$AV)</f>
        <v>0</v>
      </c>
      <c r="BW219" s="6">
        <f>SUMIF('Eredeti fejléccel'!$B:$B,'Felosztás eredménykim'!$B219,'Eredeti fejléccel'!$AW:$AW)</f>
        <v>0</v>
      </c>
      <c r="BX219" s="6">
        <f>SUMIF('Eredeti fejléccel'!$B:$B,'Felosztás eredménykim'!$B219,'Eredeti fejléccel'!$AX:$AX)</f>
        <v>0</v>
      </c>
      <c r="BY219" s="6">
        <f>SUMIF('Eredeti fejléccel'!$B:$B,'Felosztás eredménykim'!$B219,'Eredeti fejléccel'!$AY:$AY)</f>
        <v>0</v>
      </c>
      <c r="BZ219" s="6">
        <f>SUMIF('Eredeti fejléccel'!$B:$B,'Felosztás eredménykim'!$B219,'Eredeti fejléccel'!$AZ:$AZ)</f>
        <v>0</v>
      </c>
      <c r="CA219" s="6">
        <f>SUMIF('Eredeti fejléccel'!$B:$B,'Felosztás eredménykim'!$B219,'Eredeti fejléccel'!$BA:$BA)</f>
        <v>0</v>
      </c>
      <c r="CB219" s="6">
        <f t="shared" si="481"/>
        <v>0</v>
      </c>
      <c r="CC219" s="36">
        <f t="shared" si="475"/>
        <v>30223.499212944786</v>
      </c>
      <c r="CD219" s="8">
        <f t="shared" si="404"/>
        <v>0</v>
      </c>
      <c r="CE219" s="6">
        <f>SUMIF('Eredeti fejléccel'!$B:$B,'Felosztás eredménykim'!$B219,'Eredeti fejléccel'!$BC:$BC)</f>
        <v>0</v>
      </c>
      <c r="CF219" s="8">
        <f t="shared" si="300"/>
        <v>0</v>
      </c>
      <c r="CG219" s="6">
        <f>SUMIF('Eredeti fejléccel'!$B:$B,'Felosztás eredménykim'!$B219,'Eredeti fejléccel'!$H:$H)</f>
        <v>0</v>
      </c>
      <c r="CH219" s="6">
        <f>SUMIF('Eredeti fejléccel'!$B:$B,'Felosztás eredménykim'!$B219,'Eredeti fejléccel'!$BE:$BE)</f>
        <v>0</v>
      </c>
      <c r="CI219" s="6">
        <f t="shared" ref="CI219:CI280" si="524">SUM(CD219:CH219)</f>
        <v>0</v>
      </c>
      <c r="CJ219" s="36">
        <f t="shared" si="476"/>
        <v>21729.313159633512</v>
      </c>
      <c r="CK219" s="8">
        <f t="shared" si="405"/>
        <v>0</v>
      </c>
      <c r="CL219" s="8">
        <f t="shared" si="301"/>
        <v>0</v>
      </c>
      <c r="CM219" s="6">
        <f>SUMIF('Eredeti fejléccel'!$B:$B,'Felosztás eredménykim'!$B219,'Eredeti fejléccel'!$BD:$BD)</f>
        <v>0</v>
      </c>
      <c r="CN219" s="8">
        <f t="shared" ref="CN219:CN280" si="525">SUM(CK219:CM219)</f>
        <v>0</v>
      </c>
      <c r="CO219" s="8">
        <f t="shared" si="482"/>
        <v>552171.47826786875</v>
      </c>
      <c r="CR219" s="36">
        <f t="shared" si="406"/>
        <v>130523.62540244689</v>
      </c>
      <c r="CS219" s="6">
        <f>SUMIF('Eredeti fejléccel'!$B:$B,'Felosztás eredménykim'!$B219,'Eredeti fejléccel'!$I:$I)</f>
        <v>0</v>
      </c>
      <c r="CT219" s="6">
        <f>SUMIF('Eredeti fejléccel'!$B:$B,'Felosztás eredménykim'!$B219,'Eredeti fejléccel'!$BG:$BG)</f>
        <v>0</v>
      </c>
      <c r="CU219" s="6">
        <f>SUMIF('Eredeti fejléccel'!$B:$B,'Felosztás eredménykim'!$B219,'Eredeti fejléccel'!$BH:$BH)</f>
        <v>0</v>
      </c>
      <c r="CV219" s="6">
        <f>SUMIF('Eredeti fejléccel'!$B:$B,'Felosztás eredménykim'!$B219,'Eredeti fejléccel'!$BI:$BI)</f>
        <v>0</v>
      </c>
      <c r="CW219" s="6">
        <f>SUMIF('Eredeti fejléccel'!$B:$B,'Felosztás eredménykim'!$B219,'Eredeti fejléccel'!$BL:$BL)</f>
        <v>0</v>
      </c>
      <c r="CX219" s="6">
        <f t="shared" ref="CX219:CX280" si="526">SUM(CS219:CW219)</f>
        <v>0</v>
      </c>
      <c r="CY219" s="6">
        <f>SUMIF('Eredeti fejléccel'!$B:$B,'Felosztás eredménykim'!$B219,'Eredeti fejléccel'!$BJ:$BJ)</f>
        <v>0</v>
      </c>
      <c r="CZ219" s="6">
        <f>SUMIF('Eredeti fejléccel'!$B:$B,'Felosztás eredménykim'!$B219,'Eredeti fejléccel'!$BK:$BK)</f>
        <v>0</v>
      </c>
      <c r="DA219" s="99">
        <f t="shared" si="415"/>
        <v>0</v>
      </c>
      <c r="DC219" s="36">
        <f t="shared" si="407"/>
        <v>114321.02028332264</v>
      </c>
      <c r="DD219" s="6">
        <f>SUMIF('Eredeti fejléccel'!$B:$B,'Felosztás eredménykim'!$B219,'Eredeti fejléccel'!$J:$J)</f>
        <v>0</v>
      </c>
      <c r="DE219" s="6">
        <f>SUMIF('Eredeti fejléccel'!$B:$B,'Felosztás eredménykim'!$B219,'Eredeti fejléccel'!$BM:$BM)</f>
        <v>0</v>
      </c>
      <c r="DF219" s="6">
        <f t="shared" si="296"/>
        <v>0</v>
      </c>
      <c r="DG219" s="8">
        <f t="shared" si="483"/>
        <v>0</v>
      </c>
      <c r="DH219" s="8">
        <f t="shared" si="297"/>
        <v>0</v>
      </c>
      <c r="DJ219" s="6">
        <f>SUMIF('Eredeti fejléccel'!$B:$B,'Felosztás eredménykim'!$B219,'Eredeti fejléccel'!$BN:$BN)</f>
        <v>0</v>
      </c>
      <c r="DK219" s="6">
        <f>SUMIF('Eredeti fejléccel'!$B:$B,'Felosztás eredménykim'!$B219,'Eredeti fejléccel'!$BZ:$BZ)</f>
        <v>0</v>
      </c>
      <c r="DL219" s="8">
        <f t="shared" si="298"/>
        <v>0</v>
      </c>
      <c r="DM219" s="6">
        <f>SUMIF('Eredeti fejléccel'!$B:$B,'Felosztás eredménykim'!$B219,'Eredeti fejléccel'!$BR:$BR)</f>
        <v>0</v>
      </c>
      <c r="DN219" s="6">
        <f>SUMIF('Eredeti fejléccel'!$B:$B,'Felosztás eredménykim'!$B219,'Eredeti fejléccel'!$BS:$BS)</f>
        <v>0</v>
      </c>
      <c r="DO219" s="6">
        <f>SUMIF('Eredeti fejléccel'!$B:$B,'Felosztás eredménykim'!$B219,'Eredeti fejléccel'!$BO:$BO)</f>
        <v>0</v>
      </c>
      <c r="DP219" s="6">
        <f>SUMIF('Eredeti fejléccel'!$B:$B,'Felosztás eredménykim'!$B219,'Eredeti fejléccel'!$BP:$BP)</f>
        <v>0</v>
      </c>
      <c r="DQ219" s="6">
        <f>SUMIF('Eredeti fejléccel'!$B:$B,'Felosztás eredménykim'!$B219,'Eredeti fejléccel'!$BQ:$BQ)</f>
        <v>0</v>
      </c>
      <c r="DS219" s="8"/>
      <c r="DU219" s="6">
        <f>SUMIF('Eredeti fejléccel'!$B:$B,'Felosztás eredménykim'!$B219,'Eredeti fejléccel'!$BT:$BT)</f>
        <v>0</v>
      </c>
      <c r="DV219" s="6">
        <f>SUMIF('Eredeti fejléccel'!$B:$B,'Felosztás eredménykim'!$B219,'Eredeti fejléccel'!$BU:$BU)</f>
        <v>0</v>
      </c>
      <c r="DW219" s="6">
        <f>SUMIF('Eredeti fejléccel'!$B:$B,'Felosztás eredménykim'!$B219,'Eredeti fejléccel'!$BV:$BV)</f>
        <v>0</v>
      </c>
      <c r="DX219" s="6">
        <f>SUMIF('Eredeti fejléccel'!$B:$B,'Felosztás eredménykim'!$B219,'Eredeti fejléccel'!$BW:$BW)</f>
        <v>0</v>
      </c>
      <c r="DY219" s="6">
        <f>SUMIF('Eredeti fejléccel'!$B:$B,'Felosztás eredménykim'!$B219,'Eredeti fejléccel'!$BX:$BX)</f>
        <v>0</v>
      </c>
      <c r="EA219" s="6"/>
      <c r="EC219" s="6"/>
      <c r="EE219" s="6">
        <f>SUMIF('Eredeti fejléccel'!$B:$B,'Felosztás eredménykim'!$B219,'Eredeti fejléccel'!$CA:$CA)</f>
        <v>0</v>
      </c>
      <c r="EF219" s="6">
        <f>SUMIF('Eredeti fejléccel'!$B:$B,'Felosztás eredménykim'!$B219,'Eredeti fejléccel'!$CB:$CB)</f>
        <v>0</v>
      </c>
      <c r="EG219" s="6">
        <f>SUMIF('Eredeti fejléccel'!$B:$B,'Felosztás eredménykim'!$B219,'Eredeti fejléccel'!$CC:$CC)</f>
        <v>0</v>
      </c>
      <c r="EH219" s="6">
        <f>SUMIF('Eredeti fejléccel'!$B:$B,'Felosztás eredménykim'!$B219,'Eredeti fejléccel'!$CD:$CD)</f>
        <v>0</v>
      </c>
      <c r="EK219" s="6">
        <f>SUMIF('Eredeti fejléccel'!$B:$B,'Felosztás eredménykim'!$B219,'Eredeti fejléccel'!$CE:$CE)</f>
        <v>0</v>
      </c>
      <c r="EN219" s="6">
        <f>SUMIF('Eredeti fejléccel'!$B:$B,'Felosztás eredménykim'!$B219,'Eredeti fejléccel'!$CF:$CF)</f>
        <v>0</v>
      </c>
      <c r="EP219" s="6">
        <f>SUMIF('Eredeti fejléccel'!$B:$B,'Felosztás eredménykim'!$B219,'Eredeti fejléccel'!$CG:$CG)</f>
        <v>0</v>
      </c>
      <c r="ES219" s="6">
        <f>SUMIF('Eredeti fejléccel'!$B:$B,'Felosztás eredménykim'!$B219,'Eredeti fejléccel'!$CH:$CH)</f>
        <v>0</v>
      </c>
      <c r="ET219" s="6">
        <f>SUMIF('Eredeti fejléccel'!$B:$B,'Felosztás eredménykim'!$B219,'Eredeti fejléccel'!$CI:$CI)</f>
        <v>0</v>
      </c>
      <c r="EW219" s="8">
        <f t="shared" si="288"/>
        <v>0</v>
      </c>
      <c r="EX219" s="8">
        <f t="shared" ref="EX219:EX280" si="527">SUM(EE219:EV219)</f>
        <v>0</v>
      </c>
      <c r="EY219" s="8">
        <f t="shared" si="416"/>
        <v>0</v>
      </c>
      <c r="EZ219" s="8">
        <f t="shared" si="289"/>
        <v>0</v>
      </c>
      <c r="FA219" s="8">
        <f t="shared" si="290"/>
        <v>0</v>
      </c>
      <c r="FC219" s="6">
        <f>SUMIF('Eredeti fejléccel'!$B:$B,'Felosztás eredménykim'!$B219,'Eredeti fejléccel'!$L:$L)</f>
        <v>0</v>
      </c>
      <c r="FD219" s="6">
        <f>SUMIF('Eredeti fejléccel'!$B:$B,'Felosztás eredménykim'!$B219,'Eredeti fejléccel'!$CJ:$CJ)</f>
        <v>0</v>
      </c>
      <c r="FE219" s="6">
        <f>SUMIF('Eredeti fejléccel'!$B:$B,'Felosztás eredménykim'!$B219,'Eredeti fejléccel'!$CL:$CL)</f>
        <v>0</v>
      </c>
      <c r="FG219" s="99">
        <f t="shared" ref="FG219:FG280" si="528">SUM(FC219:FF219)</f>
        <v>0</v>
      </c>
      <c r="FH219" s="6">
        <f>SUMIF('Eredeti fejléccel'!$B:$B,'Felosztás eredménykim'!$B219,'Eredeti fejléccel'!$CK:$CK)</f>
        <v>0</v>
      </c>
      <c r="FI219" s="36">
        <f t="shared" si="477"/>
        <v>134505.92541691806</v>
      </c>
      <c r="FJ219" s="101">
        <f t="shared" si="408"/>
        <v>0</v>
      </c>
      <c r="FK219" s="6">
        <f>SUMIF('Eredeti fejléccel'!$B:$B,'Felosztás eredménykim'!$B219,'Eredeti fejléccel'!$CM:$CM)</f>
        <v>0</v>
      </c>
      <c r="FL219" s="6">
        <f>SUMIF('Eredeti fejléccel'!$B:$B,'Felosztás eredménykim'!$B219,'Eredeti fejléccel'!$CN:$CN)</f>
        <v>0</v>
      </c>
      <c r="FM219" s="8">
        <f t="shared" ref="FM219:FM280" si="529">SUM(FJ219:FL219)</f>
        <v>0</v>
      </c>
      <c r="FN219" s="36">
        <f t="shared" si="478"/>
        <v>114352.10283348632</v>
      </c>
      <c r="FO219" s="101">
        <f t="shared" si="409"/>
        <v>0</v>
      </c>
      <c r="FP219" s="6">
        <f>SUMIF('Eredeti fejléccel'!$B:$B,'Felosztás eredménykim'!$B219,'Eredeti fejléccel'!$CO:$CO)</f>
        <v>0</v>
      </c>
      <c r="FQ219" s="6">
        <f>'Eredeti fejléccel'!CP219</f>
        <v>0</v>
      </c>
      <c r="FR219" s="6">
        <f>'Eredeti fejléccel'!CQ219</f>
        <v>0</v>
      </c>
      <c r="FS219" s="103">
        <f t="shared" si="417"/>
        <v>0</v>
      </c>
      <c r="FT219" s="36">
        <f t="shared" si="479"/>
        <v>315645.14834440459</v>
      </c>
      <c r="FU219" s="101">
        <f t="shared" si="410"/>
        <v>0</v>
      </c>
      <c r="FV219" s="101"/>
      <c r="FW219" s="6">
        <f>SUMIF('Eredeti fejléccel'!$B:$B,'Felosztás eredménykim'!$B219,'Eredeti fejléccel'!$CR:$CR)</f>
        <v>0</v>
      </c>
      <c r="FX219" s="6">
        <f>SUMIF('Eredeti fejléccel'!$B:$B,'Felosztás eredménykim'!$B219,'Eredeti fejléccel'!$CS:$CS)</f>
        <v>0</v>
      </c>
      <c r="FY219" s="6">
        <f>SUMIF('Eredeti fejléccel'!$B:$B,'Felosztás eredménykim'!$B219,'Eredeti fejléccel'!$CT:$CT)</f>
        <v>0</v>
      </c>
      <c r="FZ219" s="6">
        <f>SUMIF('Eredeti fejléccel'!$B:$B,'Felosztás eredménykim'!$B219,'Eredeti fejléccel'!$CU:$CU)</f>
        <v>0</v>
      </c>
      <c r="GA219" s="103">
        <f t="shared" ref="GA219:GA280" si="530">SUM(FU219:FZ219)</f>
        <v>0</v>
      </c>
      <c r="GB219" s="36">
        <f t="shared" si="480"/>
        <v>42072.943495339299</v>
      </c>
      <c r="GC219" s="101">
        <f t="shared" si="411"/>
        <v>0</v>
      </c>
      <c r="GD219" s="6">
        <f>SUMIF('Eredeti fejléccel'!$B:$B,'Felosztás eredménykim'!$B219,'Eredeti fejléccel'!$CV:$CV)</f>
        <v>0</v>
      </c>
      <c r="GE219" s="6">
        <f>SUMIF('Eredeti fejléccel'!$B:$B,'Felosztás eredménykim'!$B219,'Eredeti fejléccel'!$CW:$CW)</f>
        <v>0</v>
      </c>
      <c r="GF219" s="103">
        <f t="shared" ref="GF219:GF280" si="531">SUM(GC219:GE219)</f>
        <v>0</v>
      </c>
      <c r="GG219" s="36">
        <f t="shared" si="412"/>
        <v>0</v>
      </c>
      <c r="GM219" s="6">
        <f>SUMIF('Eredeti fejléccel'!$B:$B,'Felosztás eredménykim'!$B219,'Eredeti fejléccel'!$CX:$CX)</f>
        <v>0</v>
      </c>
      <c r="GN219" s="6">
        <f>SUMIF('Eredeti fejléccel'!$B:$B,'Felosztás eredménykim'!$B219,'Eredeti fejléccel'!$CY:$CY)</f>
        <v>0</v>
      </c>
      <c r="GO219" s="6">
        <f>SUMIF('Eredeti fejléccel'!$B:$B,'Felosztás eredménykim'!$B219,'Eredeti fejléccel'!$CZ:$CZ)</f>
        <v>0</v>
      </c>
      <c r="GP219" s="6">
        <f>SUMIF('Eredeti fejléccel'!$B:$B,'Felosztás eredménykim'!$B219,'Eredeti fejléccel'!$DA:$DA)</f>
        <v>0</v>
      </c>
      <c r="GQ219" s="6">
        <f>SUMIF('Eredeti fejléccel'!$B:$B,'Felosztás eredménykim'!$B219,'Eredeti fejléccel'!$DB:$DB)</f>
        <v>0</v>
      </c>
      <c r="GR219" s="103">
        <f t="shared" ref="GR219:GR280" si="532">SUM(GH219:GQ219)</f>
        <v>0</v>
      </c>
      <c r="GW219" s="36">
        <f t="shared" si="413"/>
        <v>72222.75595621379</v>
      </c>
      <c r="GX219" s="6">
        <f>SUMIF('Eredeti fejléccel'!$B:$B,'Felosztás eredménykim'!$B219,'Eredeti fejléccel'!$M:$M)</f>
        <v>0</v>
      </c>
      <c r="GY219" s="6">
        <f>SUMIF('Eredeti fejléccel'!$B:$B,'Felosztás eredménykim'!$B219,'Eredeti fejléccel'!$DC:$DC)</f>
        <v>0</v>
      </c>
      <c r="GZ219" s="6">
        <f>SUMIF('Eredeti fejléccel'!$B:$B,'Felosztás eredménykim'!$B219,'Eredeti fejléccel'!$DD:$DD)</f>
        <v>0</v>
      </c>
      <c r="HA219" s="6">
        <f>SUMIF('Eredeti fejléccel'!$B:$B,'Felosztás eredménykim'!$B219,'Eredeti fejléccel'!$DE:$DE)</f>
        <v>0</v>
      </c>
      <c r="HB219" s="103">
        <f t="shared" ref="HB219:HB280" si="533">SUM(GX219:HA219)</f>
        <v>0</v>
      </c>
      <c r="HD219" s="9">
        <f t="shared" si="429"/>
        <v>1398259.0000000016</v>
      </c>
      <c r="HE219" s="9">
        <v>1398259</v>
      </c>
      <c r="HF219" s="476"/>
      <c r="HH219" s="34">
        <f t="shared" ref="HH219:HH280" si="534">+HD219-HE219</f>
        <v>0</v>
      </c>
    </row>
    <row r="220" spans="1:218" x14ac:dyDescent="0.25">
      <c r="A220" s="4" t="s">
        <v>295</v>
      </c>
      <c r="B220" s="4" t="s">
        <v>295</v>
      </c>
      <c r="C220" s="1" t="s">
        <v>296</v>
      </c>
      <c r="D220" s="6">
        <f>SUMIF('Eredeti fejléccel'!$B:$B,'Felosztás eredménykim'!$B220,'Eredeti fejléccel'!$D:$D)</f>
        <v>0</v>
      </c>
      <c r="E220" s="6">
        <f>SUMIF('Eredeti fejléccel'!$B:$B,'Felosztás eredménykim'!$B220,'Eredeti fejléccel'!$E:$E)</f>
        <v>0</v>
      </c>
      <c r="F220" s="6">
        <f>SUMIF('Eredeti fejléccel'!$B:$B,'Felosztás eredménykim'!$B220,'Eredeti fejléccel'!$F:$F)</f>
        <v>0</v>
      </c>
      <c r="G220" s="6">
        <f>SUMIF('Eredeti fejléccel'!$B:$B,'Felosztás eredménykim'!$B220,'Eredeti fejléccel'!$G:$G)</f>
        <v>0</v>
      </c>
      <c r="H220" s="6"/>
      <c r="I220" s="6">
        <f>SUMIF('Eredeti fejléccel'!$B:$B,'Felosztás eredménykim'!$B220,'Eredeti fejléccel'!$O:$O)</f>
        <v>0</v>
      </c>
      <c r="J220" s="6">
        <f>SUMIF('Eredeti fejléccel'!$B:$B,'Felosztás eredménykim'!$B220,'Eredeti fejléccel'!$P:$P)</f>
        <v>0</v>
      </c>
      <c r="K220" s="6">
        <f>SUMIF('Eredeti fejléccel'!$B:$B,'Felosztás eredménykim'!$B220,'Eredeti fejléccel'!$Q:$Q)</f>
        <v>0</v>
      </c>
      <c r="L220" s="6">
        <f>SUMIF('Eredeti fejléccel'!$B:$B,'Felosztás eredménykim'!$B220,'Eredeti fejléccel'!$R:$R)</f>
        <v>0</v>
      </c>
      <c r="M220" s="6">
        <f>SUMIF('Eredeti fejléccel'!$B:$B,'Felosztás eredménykim'!$B220,'Eredeti fejléccel'!$T:$T)</f>
        <v>0</v>
      </c>
      <c r="N220" s="6">
        <f>SUMIF('Eredeti fejléccel'!$B:$B,'Felosztás eredménykim'!$B220,'Eredeti fejléccel'!$U:$U)</f>
        <v>0</v>
      </c>
      <c r="O220" s="6">
        <f>SUMIF('Eredeti fejléccel'!$B:$B,'Felosztás eredménykim'!$B220,'Eredeti fejléccel'!$V:$V)</f>
        <v>0</v>
      </c>
      <c r="P220" s="6">
        <f>SUMIF('Eredeti fejléccel'!$B:$B,'Felosztás eredménykim'!$B220,'Eredeti fejléccel'!$W:$W)</f>
        <v>0</v>
      </c>
      <c r="Q220" s="6">
        <f>SUMIF('Eredeti fejléccel'!$B:$B,'Felosztás eredménykim'!$B220,'Eredeti fejléccel'!$X:$X)</f>
        <v>0</v>
      </c>
      <c r="R220" s="6">
        <f>SUMIF('Eredeti fejléccel'!$B:$B,'Felosztás eredménykim'!$B220,'Eredeti fejléccel'!$Y:$Y)</f>
        <v>0</v>
      </c>
      <c r="S220" s="6">
        <f>SUMIF('Eredeti fejléccel'!$B:$B,'Felosztás eredménykim'!$B220,'Eredeti fejléccel'!$Z:$Z)</f>
        <v>0</v>
      </c>
      <c r="T220" s="6">
        <f>SUMIF('Eredeti fejléccel'!$B:$B,'Felosztás eredménykim'!$B220,'Eredeti fejléccel'!$AA:$AA)</f>
        <v>0</v>
      </c>
      <c r="U220" s="6">
        <f>SUMIF('Eredeti fejléccel'!$B:$B,'Felosztás eredménykim'!$B220,'Eredeti fejléccel'!$D:$D)</f>
        <v>0</v>
      </c>
      <c r="V220" s="6">
        <f>SUMIF('Eredeti fejléccel'!$B:$B,'Felosztás eredménykim'!$B220,'Eredeti fejléccel'!$AT:$AT)</f>
        <v>0</v>
      </c>
      <c r="X220" s="36">
        <f t="shared" si="414"/>
        <v>0</v>
      </c>
      <c r="Z220" s="6">
        <f>SUMIF('Eredeti fejléccel'!$B:$B,'Felosztás eredménykim'!$B220,'Eredeti fejléccel'!$K:$K)</f>
        <v>0</v>
      </c>
      <c r="AB220" s="6">
        <f>SUMIF('Eredeti fejléccel'!$B:$B,'Felosztás eredménykim'!$B220,'Eredeti fejléccel'!$AB:$AB)</f>
        <v>0</v>
      </c>
      <c r="AC220" s="6">
        <f>SUMIF('Eredeti fejléccel'!$B:$B,'Felosztás eredménykim'!$B220,'Eredeti fejléccel'!$AQ:$AQ)</f>
        <v>0</v>
      </c>
      <c r="AE220" s="73">
        <f t="shared" si="299"/>
        <v>0</v>
      </c>
      <c r="AF220" s="36">
        <f t="shared" si="470"/>
        <v>0</v>
      </c>
      <c r="AG220" s="8">
        <f t="shared" si="399"/>
        <v>0</v>
      </c>
      <c r="AI220" s="6">
        <f>SUMIF('Eredeti fejléccel'!$B:$B,'Felosztás eredménykim'!$B220,'Eredeti fejléccel'!$BB:$BB)</f>
        <v>0</v>
      </c>
      <c r="AJ220" s="6">
        <f>SUMIF('Eredeti fejléccel'!$B:$B,'Felosztás eredménykim'!$B220,'Eredeti fejléccel'!$AF:$AF)</f>
        <v>0</v>
      </c>
      <c r="AK220" s="8">
        <f t="shared" si="522"/>
        <v>0</v>
      </c>
      <c r="AL220" s="36">
        <f t="shared" si="471"/>
        <v>0</v>
      </c>
      <c r="AM220" s="8">
        <f t="shared" si="400"/>
        <v>0</v>
      </c>
      <c r="AN220" s="6">
        <f t="shared" si="291"/>
        <v>0</v>
      </c>
      <c r="AO220" s="6">
        <f>SUMIF('Eredeti fejléccel'!$B:$B,'Felosztás eredménykim'!$B220,'Eredeti fejléccel'!$AC:$AC)</f>
        <v>0</v>
      </c>
      <c r="AP220" s="6">
        <f>SUMIF('Eredeti fejléccel'!$B:$B,'Felosztás eredménykim'!$B220,'Eredeti fejléccel'!$AD:$AD)</f>
        <v>0</v>
      </c>
      <c r="AQ220" s="6">
        <f>SUMIF('Eredeti fejléccel'!$B:$B,'Felosztás eredménykim'!$B220,'Eredeti fejléccel'!$AE:$AE)</f>
        <v>0</v>
      </c>
      <c r="AR220" s="6">
        <f>SUMIF('Eredeti fejléccel'!$B:$B,'Felosztás eredménykim'!$B220,'Eredeti fejléccel'!$AG:$AG)</f>
        <v>0</v>
      </c>
      <c r="AS220" s="6">
        <f t="shared" si="292"/>
        <v>0</v>
      </c>
      <c r="AT220" s="36">
        <f t="shared" si="472"/>
        <v>0</v>
      </c>
      <c r="AU220" s="8">
        <f t="shared" si="401"/>
        <v>0</v>
      </c>
      <c r="AV220" s="6">
        <f>SUMIF('Eredeti fejléccel'!$B:$B,'Felosztás eredménykim'!$B220,'Eredeti fejléccel'!$AI:$AI)</f>
        <v>0</v>
      </c>
      <c r="AW220" s="6">
        <f>SUMIF('Eredeti fejléccel'!$B:$B,'Felosztás eredménykim'!$B220,'Eredeti fejléccel'!$AJ:$AJ)</f>
        <v>0</v>
      </c>
      <c r="AX220" s="6">
        <f>SUMIF('Eredeti fejléccel'!$B:$B,'Felosztás eredménykim'!$B220,'Eredeti fejléccel'!$AK:$AK)</f>
        <v>0</v>
      </c>
      <c r="AY220" s="6">
        <f>SUMIF('Eredeti fejléccel'!$B:$B,'Felosztás eredménykim'!$B220,'Eredeti fejléccel'!$AL:$AL)</f>
        <v>0</v>
      </c>
      <c r="AZ220" s="6">
        <f>SUMIF('Eredeti fejléccel'!$B:$B,'Felosztás eredménykim'!$B220,'Eredeti fejléccel'!$AM:$AM)</f>
        <v>0</v>
      </c>
      <c r="BA220" s="6">
        <f>SUMIF('Eredeti fejléccel'!$B:$B,'Felosztás eredménykim'!$B220,'Eredeti fejléccel'!$AN:$AN)</f>
        <v>0</v>
      </c>
      <c r="BB220" s="6">
        <f>SUMIF('Eredeti fejléccel'!$B:$B,'Felosztás eredménykim'!$B220,'Eredeti fejléccel'!$AP:$AP)</f>
        <v>0</v>
      </c>
      <c r="BD220" s="6">
        <f>SUMIF('Eredeti fejléccel'!$B:$B,'Felosztás eredménykim'!$B220,'Eredeti fejléccel'!$AS:$AS)</f>
        <v>0</v>
      </c>
      <c r="BE220" s="8">
        <f t="shared" si="523"/>
        <v>0</v>
      </c>
      <c r="BF220" s="36">
        <f t="shared" si="473"/>
        <v>0</v>
      </c>
      <c r="BG220" s="8">
        <f t="shared" si="402"/>
        <v>0</v>
      </c>
      <c r="BH220" s="6">
        <f t="shared" si="293"/>
        <v>0</v>
      </c>
      <c r="BI220" s="6">
        <f>SUMIF('Eredeti fejléccel'!$B:$B,'Felosztás eredménykim'!$B220,'Eredeti fejléccel'!$AH:$AH)</f>
        <v>0</v>
      </c>
      <c r="BJ220" s="6">
        <f>SUMIF('Eredeti fejléccel'!$B:$B,'Felosztás eredménykim'!$B220,'Eredeti fejléccel'!$AO:$AO)</f>
        <v>0</v>
      </c>
      <c r="BK220" s="6">
        <f>SUMIF('Eredeti fejléccel'!$B:$B,'Felosztás eredménykim'!$B220,'Eredeti fejléccel'!$BF:$BF)</f>
        <v>0</v>
      </c>
      <c r="BL220" s="8">
        <f t="shared" si="294"/>
        <v>0</v>
      </c>
      <c r="BM220" s="36">
        <f t="shared" si="474"/>
        <v>0</v>
      </c>
      <c r="BN220" s="8">
        <f t="shared" si="403"/>
        <v>0</v>
      </c>
      <c r="BP220" s="8">
        <f t="shared" si="295"/>
        <v>0</v>
      </c>
      <c r="BQ220" s="6">
        <f>SUMIF('Eredeti fejléccel'!$B:$B,'Felosztás eredménykim'!$B220,'Eredeti fejléccel'!$N:$N)</f>
        <v>0</v>
      </c>
      <c r="BR220" s="6">
        <f>SUMIF('Eredeti fejléccel'!$B:$B,'Felosztás eredménykim'!$B220,'Eredeti fejléccel'!$S:$S)</f>
        <v>0</v>
      </c>
      <c r="BT220" s="6">
        <f>SUMIF('Eredeti fejléccel'!$B:$B,'Felosztás eredménykim'!$B220,'Eredeti fejléccel'!$AR:$AR)</f>
        <v>0</v>
      </c>
      <c r="BU220" s="6">
        <f>SUMIF('Eredeti fejléccel'!$B:$B,'Felosztás eredménykim'!$B220,'Eredeti fejléccel'!$AU:$AU)</f>
        <v>0</v>
      </c>
      <c r="BV220" s="6">
        <f>SUMIF('Eredeti fejléccel'!$B:$B,'Felosztás eredménykim'!$B220,'Eredeti fejléccel'!$AV:$AV)</f>
        <v>0</v>
      </c>
      <c r="BW220" s="6">
        <f>SUMIF('Eredeti fejléccel'!$B:$B,'Felosztás eredménykim'!$B220,'Eredeti fejléccel'!$AW:$AW)</f>
        <v>0</v>
      </c>
      <c r="BX220" s="6">
        <f>SUMIF('Eredeti fejléccel'!$B:$B,'Felosztás eredménykim'!$B220,'Eredeti fejléccel'!$AX:$AX)</f>
        <v>0</v>
      </c>
      <c r="BY220" s="6">
        <f>SUMIF('Eredeti fejléccel'!$B:$B,'Felosztás eredménykim'!$B220,'Eredeti fejléccel'!$AY:$AY)</f>
        <v>0</v>
      </c>
      <c r="BZ220" s="6">
        <f>SUMIF('Eredeti fejléccel'!$B:$B,'Felosztás eredménykim'!$B220,'Eredeti fejléccel'!$AZ:$AZ)</f>
        <v>0</v>
      </c>
      <c r="CA220" s="6">
        <f>SUMIF('Eredeti fejléccel'!$B:$B,'Felosztás eredménykim'!$B220,'Eredeti fejléccel'!$BA:$BA)</f>
        <v>0</v>
      </c>
      <c r="CB220" s="6">
        <f t="shared" si="481"/>
        <v>0</v>
      </c>
      <c r="CC220" s="36">
        <f t="shared" si="475"/>
        <v>0</v>
      </c>
      <c r="CD220" s="8">
        <f t="shared" si="404"/>
        <v>0</v>
      </c>
      <c r="CE220" s="6">
        <f>SUMIF('Eredeti fejléccel'!$B:$B,'Felosztás eredménykim'!$B220,'Eredeti fejléccel'!$BC:$BC)</f>
        <v>0</v>
      </c>
      <c r="CF220" s="8">
        <f t="shared" si="300"/>
        <v>0</v>
      </c>
      <c r="CG220" s="6">
        <f>SUMIF('Eredeti fejléccel'!$B:$B,'Felosztás eredménykim'!$B220,'Eredeti fejléccel'!$H:$H)</f>
        <v>0</v>
      </c>
      <c r="CH220" s="6">
        <f>SUMIF('Eredeti fejléccel'!$B:$B,'Felosztás eredménykim'!$B220,'Eredeti fejléccel'!$BE:$BE)</f>
        <v>0</v>
      </c>
      <c r="CI220" s="6">
        <f t="shared" si="524"/>
        <v>0</v>
      </c>
      <c r="CJ220" s="36">
        <f t="shared" si="476"/>
        <v>0</v>
      </c>
      <c r="CK220" s="8">
        <f t="shared" si="405"/>
        <v>0</v>
      </c>
      <c r="CL220" s="8">
        <f t="shared" si="301"/>
        <v>0</v>
      </c>
      <c r="CM220" s="6">
        <f>SUMIF('Eredeti fejléccel'!$B:$B,'Felosztás eredménykim'!$B220,'Eredeti fejléccel'!$BD:$BD)</f>
        <v>0</v>
      </c>
      <c r="CN220" s="8">
        <f t="shared" si="525"/>
        <v>0</v>
      </c>
      <c r="CO220" s="8">
        <f t="shared" si="482"/>
        <v>0</v>
      </c>
      <c r="CR220" s="36">
        <f t="shared" si="406"/>
        <v>0</v>
      </c>
      <c r="CS220" s="6">
        <f>SUMIF('Eredeti fejléccel'!$B:$B,'Felosztás eredménykim'!$B220,'Eredeti fejléccel'!$I:$I)</f>
        <v>0</v>
      </c>
      <c r="CT220" s="6">
        <f>SUMIF('Eredeti fejléccel'!$B:$B,'Felosztás eredménykim'!$B220,'Eredeti fejléccel'!$BG:$BG)</f>
        <v>0</v>
      </c>
      <c r="CU220" s="6">
        <f>SUMIF('Eredeti fejléccel'!$B:$B,'Felosztás eredménykim'!$B220,'Eredeti fejléccel'!$BH:$BH)</f>
        <v>0</v>
      </c>
      <c r="CV220" s="6">
        <f>SUMIF('Eredeti fejléccel'!$B:$B,'Felosztás eredménykim'!$B220,'Eredeti fejléccel'!$BI:$BI)</f>
        <v>0</v>
      </c>
      <c r="CW220" s="6">
        <f>SUMIF('Eredeti fejléccel'!$B:$B,'Felosztás eredménykim'!$B220,'Eredeti fejléccel'!$BL:$BL)</f>
        <v>0</v>
      </c>
      <c r="CX220" s="6">
        <f t="shared" si="526"/>
        <v>0</v>
      </c>
      <c r="CY220" s="6">
        <f>SUMIF('Eredeti fejléccel'!$B:$B,'Felosztás eredménykim'!$B220,'Eredeti fejléccel'!$BJ:$BJ)</f>
        <v>0</v>
      </c>
      <c r="CZ220" s="6">
        <f>SUMIF('Eredeti fejléccel'!$B:$B,'Felosztás eredménykim'!$B220,'Eredeti fejléccel'!$BK:$BK)</f>
        <v>0</v>
      </c>
      <c r="DA220" s="99">
        <f t="shared" si="415"/>
        <v>0</v>
      </c>
      <c r="DC220" s="36">
        <f t="shared" si="407"/>
        <v>0</v>
      </c>
      <c r="DD220" s="6">
        <f>SUMIF('Eredeti fejléccel'!$B:$B,'Felosztás eredménykim'!$B220,'Eredeti fejléccel'!$J:$J)</f>
        <v>0</v>
      </c>
      <c r="DE220" s="6">
        <f>SUMIF('Eredeti fejléccel'!$B:$B,'Felosztás eredménykim'!$B220,'Eredeti fejléccel'!$BM:$BM)</f>
        <v>0</v>
      </c>
      <c r="DF220" s="6">
        <f t="shared" si="296"/>
        <v>0</v>
      </c>
      <c r="DG220" s="8">
        <f t="shared" si="483"/>
        <v>0</v>
      </c>
      <c r="DH220" s="8">
        <f t="shared" si="297"/>
        <v>0</v>
      </c>
      <c r="DJ220" s="6">
        <f>SUMIF('Eredeti fejléccel'!$B:$B,'Felosztás eredménykim'!$B220,'Eredeti fejléccel'!$BN:$BN)</f>
        <v>0</v>
      </c>
      <c r="DK220" s="6">
        <f>SUMIF('Eredeti fejléccel'!$B:$B,'Felosztás eredménykim'!$B220,'Eredeti fejléccel'!$BZ:$BZ)</f>
        <v>0</v>
      </c>
      <c r="DL220" s="8">
        <f t="shared" si="298"/>
        <v>0</v>
      </c>
      <c r="DM220" s="6">
        <f>SUMIF('Eredeti fejléccel'!$B:$B,'Felosztás eredménykim'!$B220,'Eredeti fejléccel'!$BR:$BR)</f>
        <v>0</v>
      </c>
      <c r="DN220" s="6">
        <f>SUMIF('Eredeti fejléccel'!$B:$B,'Felosztás eredménykim'!$B220,'Eredeti fejléccel'!$BS:$BS)</f>
        <v>0</v>
      </c>
      <c r="DO220" s="6">
        <f>SUMIF('Eredeti fejléccel'!$B:$B,'Felosztás eredménykim'!$B220,'Eredeti fejléccel'!$BO:$BO)</f>
        <v>0</v>
      </c>
      <c r="DP220" s="6">
        <f>SUMIF('Eredeti fejléccel'!$B:$B,'Felosztás eredménykim'!$B220,'Eredeti fejléccel'!$BP:$BP)</f>
        <v>0</v>
      </c>
      <c r="DQ220" s="6">
        <f>SUMIF('Eredeti fejléccel'!$B:$B,'Felosztás eredménykim'!$B220,'Eredeti fejléccel'!$BQ:$BQ)</f>
        <v>0</v>
      </c>
      <c r="DS220" s="8"/>
      <c r="DU220" s="6">
        <f>SUMIF('Eredeti fejléccel'!$B:$B,'Felosztás eredménykim'!$B220,'Eredeti fejléccel'!$BT:$BT)</f>
        <v>0</v>
      </c>
      <c r="DV220" s="6">
        <f>SUMIF('Eredeti fejléccel'!$B:$B,'Felosztás eredménykim'!$B220,'Eredeti fejléccel'!$BU:$BU)</f>
        <v>0</v>
      </c>
      <c r="DW220" s="6">
        <f>SUMIF('Eredeti fejléccel'!$B:$B,'Felosztás eredménykim'!$B220,'Eredeti fejléccel'!$BV:$BV)</f>
        <v>0</v>
      </c>
      <c r="DX220" s="6">
        <f>SUMIF('Eredeti fejléccel'!$B:$B,'Felosztás eredménykim'!$B220,'Eredeti fejléccel'!$BW:$BW)</f>
        <v>0</v>
      </c>
      <c r="DY220" s="6">
        <f>SUMIF('Eredeti fejléccel'!$B:$B,'Felosztás eredménykim'!$B220,'Eredeti fejléccel'!$BX:$BX)</f>
        <v>0</v>
      </c>
      <c r="EA220" s="6"/>
      <c r="EC220" s="6"/>
      <c r="EE220" s="6">
        <f>SUMIF('Eredeti fejléccel'!$B:$B,'Felosztás eredménykim'!$B220,'Eredeti fejléccel'!$CA:$CA)</f>
        <v>0</v>
      </c>
      <c r="EF220" s="6">
        <f>SUMIF('Eredeti fejléccel'!$B:$B,'Felosztás eredménykim'!$B220,'Eredeti fejléccel'!$CB:$CB)</f>
        <v>0</v>
      </c>
      <c r="EG220" s="6">
        <f>SUMIF('Eredeti fejléccel'!$B:$B,'Felosztás eredménykim'!$B220,'Eredeti fejléccel'!$CC:$CC)</f>
        <v>0</v>
      </c>
      <c r="EH220" s="6">
        <f>SUMIF('Eredeti fejléccel'!$B:$B,'Felosztás eredménykim'!$B220,'Eredeti fejléccel'!$CD:$CD)</f>
        <v>0</v>
      </c>
      <c r="EK220" s="6">
        <f>SUMIF('Eredeti fejléccel'!$B:$B,'Felosztás eredménykim'!$B220,'Eredeti fejléccel'!$CE:$CE)</f>
        <v>0</v>
      </c>
      <c r="EN220" s="6">
        <f>SUMIF('Eredeti fejléccel'!$B:$B,'Felosztás eredménykim'!$B220,'Eredeti fejléccel'!$CF:$CF)</f>
        <v>0</v>
      </c>
      <c r="EP220" s="6">
        <f>SUMIF('Eredeti fejléccel'!$B:$B,'Felosztás eredménykim'!$B220,'Eredeti fejléccel'!$CG:$CG)</f>
        <v>0</v>
      </c>
      <c r="ES220" s="6">
        <f>SUMIF('Eredeti fejléccel'!$B:$B,'Felosztás eredménykim'!$B220,'Eredeti fejléccel'!$CH:$CH)</f>
        <v>0</v>
      </c>
      <c r="ET220" s="6">
        <f>SUMIF('Eredeti fejléccel'!$B:$B,'Felosztás eredménykim'!$B220,'Eredeti fejléccel'!$CI:$CI)</f>
        <v>0</v>
      </c>
      <c r="EW220" s="8">
        <f t="shared" si="288"/>
        <v>0</v>
      </c>
      <c r="EX220" s="8">
        <f t="shared" si="527"/>
        <v>0</v>
      </c>
      <c r="EY220" s="8">
        <f t="shared" si="416"/>
        <v>0</v>
      </c>
      <c r="EZ220" s="8">
        <f t="shared" si="289"/>
        <v>0</v>
      </c>
      <c r="FA220" s="8">
        <f t="shared" si="290"/>
        <v>0</v>
      </c>
      <c r="FC220" s="6">
        <f>SUMIF('Eredeti fejléccel'!$B:$B,'Felosztás eredménykim'!$B220,'Eredeti fejléccel'!$L:$L)</f>
        <v>0</v>
      </c>
      <c r="FD220" s="6">
        <f>SUMIF('Eredeti fejléccel'!$B:$B,'Felosztás eredménykim'!$B220,'Eredeti fejléccel'!$CJ:$CJ)</f>
        <v>0</v>
      </c>
      <c r="FE220" s="6">
        <f>SUMIF('Eredeti fejléccel'!$B:$B,'Felosztás eredménykim'!$B220,'Eredeti fejléccel'!$CL:$CL)</f>
        <v>0</v>
      </c>
      <c r="FG220" s="99">
        <f t="shared" si="528"/>
        <v>0</v>
      </c>
      <c r="FH220" s="6">
        <f>SUMIF('Eredeti fejléccel'!$B:$B,'Felosztás eredménykim'!$B220,'Eredeti fejléccel'!$CK:$CK)</f>
        <v>0</v>
      </c>
      <c r="FI220" s="36">
        <f t="shared" si="477"/>
        <v>0</v>
      </c>
      <c r="FJ220" s="101">
        <f t="shared" si="408"/>
        <v>0</v>
      </c>
      <c r="FK220" s="6">
        <f>SUMIF('Eredeti fejléccel'!$B:$B,'Felosztás eredménykim'!$B220,'Eredeti fejléccel'!$CM:$CM)</f>
        <v>0</v>
      </c>
      <c r="FL220" s="6">
        <f>SUMIF('Eredeti fejléccel'!$B:$B,'Felosztás eredménykim'!$B220,'Eredeti fejléccel'!$CN:$CN)</f>
        <v>0</v>
      </c>
      <c r="FM220" s="8">
        <f t="shared" si="529"/>
        <v>0</v>
      </c>
      <c r="FN220" s="36">
        <f t="shared" si="478"/>
        <v>0</v>
      </c>
      <c r="FO220" s="101">
        <f t="shared" si="409"/>
        <v>0</v>
      </c>
      <c r="FP220" s="6">
        <f>SUMIF('Eredeti fejléccel'!$B:$B,'Felosztás eredménykim'!$B220,'Eredeti fejléccel'!$CO:$CO)</f>
        <v>0</v>
      </c>
      <c r="FQ220" s="6">
        <f>'Eredeti fejléccel'!CP220</f>
        <v>0</v>
      </c>
      <c r="FR220" s="6">
        <f>'Eredeti fejléccel'!CQ220</f>
        <v>0</v>
      </c>
      <c r="FS220" s="103">
        <f t="shared" si="417"/>
        <v>0</v>
      </c>
      <c r="FT220" s="36">
        <f t="shared" si="479"/>
        <v>0</v>
      </c>
      <c r="FU220" s="101">
        <f t="shared" si="410"/>
        <v>0</v>
      </c>
      <c r="FV220" s="101"/>
      <c r="FW220" s="6">
        <f>SUMIF('Eredeti fejléccel'!$B:$B,'Felosztás eredménykim'!$B220,'Eredeti fejléccel'!$CR:$CR)</f>
        <v>0</v>
      </c>
      <c r="FX220" s="6">
        <f>SUMIF('Eredeti fejléccel'!$B:$B,'Felosztás eredménykim'!$B220,'Eredeti fejléccel'!$CS:$CS)</f>
        <v>0</v>
      </c>
      <c r="FY220" s="6">
        <f>SUMIF('Eredeti fejléccel'!$B:$B,'Felosztás eredménykim'!$B220,'Eredeti fejléccel'!$CT:$CT)</f>
        <v>0</v>
      </c>
      <c r="FZ220" s="6">
        <f>SUMIF('Eredeti fejléccel'!$B:$B,'Felosztás eredménykim'!$B220,'Eredeti fejléccel'!$CU:$CU)</f>
        <v>0</v>
      </c>
      <c r="GA220" s="103">
        <f t="shared" si="530"/>
        <v>0</v>
      </c>
      <c r="GB220" s="36">
        <f t="shared" si="480"/>
        <v>0</v>
      </c>
      <c r="GC220" s="101">
        <f t="shared" si="411"/>
        <v>0</v>
      </c>
      <c r="GD220" s="6">
        <f>SUMIF('Eredeti fejléccel'!$B:$B,'Felosztás eredménykim'!$B220,'Eredeti fejléccel'!$CV:$CV)</f>
        <v>0</v>
      </c>
      <c r="GE220" s="6">
        <f>SUMIF('Eredeti fejléccel'!$B:$B,'Felosztás eredménykim'!$B220,'Eredeti fejléccel'!$CW:$CW)</f>
        <v>0</v>
      </c>
      <c r="GF220" s="103">
        <f t="shared" si="531"/>
        <v>0</v>
      </c>
      <c r="GG220" s="36">
        <f t="shared" si="412"/>
        <v>0</v>
      </c>
      <c r="GM220" s="6">
        <f>SUMIF('Eredeti fejléccel'!$B:$B,'Felosztás eredménykim'!$B220,'Eredeti fejléccel'!$CX:$CX)</f>
        <v>0</v>
      </c>
      <c r="GN220" s="6">
        <f>SUMIF('Eredeti fejléccel'!$B:$B,'Felosztás eredménykim'!$B220,'Eredeti fejléccel'!$CY:$CY)</f>
        <v>0</v>
      </c>
      <c r="GO220" s="6">
        <f>SUMIF('Eredeti fejléccel'!$B:$B,'Felosztás eredménykim'!$B220,'Eredeti fejléccel'!$CZ:$CZ)</f>
        <v>0</v>
      </c>
      <c r="GP220" s="6">
        <f>SUMIF('Eredeti fejléccel'!$B:$B,'Felosztás eredménykim'!$B220,'Eredeti fejléccel'!$DA:$DA)</f>
        <v>0</v>
      </c>
      <c r="GQ220" s="6">
        <f>SUMIF('Eredeti fejléccel'!$B:$B,'Felosztás eredménykim'!$B220,'Eredeti fejléccel'!$DB:$DB)</f>
        <v>0</v>
      </c>
      <c r="GR220" s="103">
        <f t="shared" si="532"/>
        <v>0</v>
      </c>
      <c r="GW220" s="36">
        <f t="shared" si="413"/>
        <v>0</v>
      </c>
      <c r="GX220" s="6">
        <f>SUMIF('Eredeti fejléccel'!$B:$B,'Felosztás eredménykim'!$B220,'Eredeti fejléccel'!$M:$M)</f>
        <v>0</v>
      </c>
      <c r="GY220" s="6">
        <f>SUMIF('Eredeti fejléccel'!$B:$B,'Felosztás eredménykim'!$B220,'Eredeti fejléccel'!$DC:$DC)</f>
        <v>0</v>
      </c>
      <c r="GZ220" s="6">
        <f>SUMIF('Eredeti fejléccel'!$B:$B,'Felosztás eredménykim'!$B220,'Eredeti fejléccel'!$DD:$DD)</f>
        <v>0</v>
      </c>
      <c r="HA220" s="6">
        <f>SUMIF('Eredeti fejléccel'!$B:$B,'Felosztás eredménykim'!$B220,'Eredeti fejléccel'!$DE:$DE)</f>
        <v>0</v>
      </c>
      <c r="HB220" s="103">
        <f t="shared" si="533"/>
        <v>0</v>
      </c>
      <c r="HD220" s="9">
        <f t="shared" si="429"/>
        <v>0</v>
      </c>
      <c r="HE220" s="9"/>
      <c r="HF220" s="476"/>
      <c r="HH220" s="34">
        <f t="shared" si="534"/>
        <v>0</v>
      </c>
    </row>
    <row r="221" spans="1:218" x14ac:dyDescent="0.25">
      <c r="A221" s="4" t="s">
        <v>889</v>
      </c>
      <c r="B221" s="4" t="s">
        <v>889</v>
      </c>
      <c r="C221" s="1" t="s">
        <v>918</v>
      </c>
      <c r="D221" s="6">
        <f>SUMIF('Eredeti fejléccel'!$B:$B,'Felosztás eredménykim'!$B221,'Eredeti fejléccel'!$D:$D)</f>
        <v>0</v>
      </c>
      <c r="E221" s="6">
        <f>SUMIF('Eredeti fejléccel'!$B:$B,'Felosztás eredménykim'!$B221,'Eredeti fejléccel'!$E:$E)</f>
        <v>0</v>
      </c>
      <c r="F221" s="6">
        <f>SUMIF('Eredeti fejléccel'!$B:$B,'Felosztás eredménykim'!$B221,'Eredeti fejléccel'!$F:$F)</f>
        <v>0</v>
      </c>
      <c r="G221" s="6">
        <f>SUMIF('Eredeti fejléccel'!$B:$B,'Felosztás eredménykim'!$B221,'Eredeti fejléccel'!$G:$G)</f>
        <v>0</v>
      </c>
      <c r="H221" s="6"/>
      <c r="I221" s="6">
        <f>SUMIF('Eredeti fejléccel'!$B:$B,'Felosztás eredménykim'!$B221,'Eredeti fejléccel'!$O:$O)</f>
        <v>0</v>
      </c>
      <c r="J221" s="6">
        <f>SUMIF('Eredeti fejléccel'!$B:$B,'Felosztás eredménykim'!$B221,'Eredeti fejléccel'!$P:$P)</f>
        <v>0</v>
      </c>
      <c r="K221" s="6">
        <f>SUMIF('Eredeti fejléccel'!$B:$B,'Felosztás eredménykim'!$B221,'Eredeti fejléccel'!$Q:$Q)</f>
        <v>0</v>
      </c>
      <c r="L221" s="6">
        <f>SUMIF('Eredeti fejléccel'!$B:$B,'Felosztás eredménykim'!$B221,'Eredeti fejléccel'!$R:$R)</f>
        <v>0</v>
      </c>
      <c r="M221" s="6">
        <f>SUMIF('Eredeti fejléccel'!$B:$B,'Felosztás eredménykim'!$B221,'Eredeti fejléccel'!$T:$T)</f>
        <v>0</v>
      </c>
      <c r="N221" s="6">
        <f>SUMIF('Eredeti fejléccel'!$B:$B,'Felosztás eredménykim'!$B221,'Eredeti fejléccel'!$U:$U)</f>
        <v>0</v>
      </c>
      <c r="O221" s="6">
        <f>SUMIF('Eredeti fejléccel'!$B:$B,'Felosztás eredménykim'!$B221,'Eredeti fejléccel'!$V:$V)</f>
        <v>0</v>
      </c>
      <c r="P221" s="6">
        <f>SUMIF('Eredeti fejléccel'!$B:$B,'Felosztás eredménykim'!$B221,'Eredeti fejléccel'!$W:$W)</f>
        <v>0</v>
      </c>
      <c r="Q221" s="6">
        <f>SUMIF('Eredeti fejléccel'!$B:$B,'Felosztás eredménykim'!$B221,'Eredeti fejléccel'!$X:$X)</f>
        <v>0</v>
      </c>
      <c r="R221" s="6">
        <f>SUMIF('Eredeti fejléccel'!$B:$B,'Felosztás eredménykim'!$B221,'Eredeti fejléccel'!$Y:$Y)</f>
        <v>0</v>
      </c>
      <c r="S221" s="6">
        <f>SUMIF('Eredeti fejléccel'!$B:$B,'Felosztás eredménykim'!$B221,'Eredeti fejléccel'!$Z:$Z)</f>
        <v>0</v>
      </c>
      <c r="T221" s="6">
        <f>SUMIF('Eredeti fejléccel'!$B:$B,'Felosztás eredménykim'!$B221,'Eredeti fejléccel'!$AA:$AA)</f>
        <v>0</v>
      </c>
      <c r="U221" s="6">
        <f>SUMIF('Eredeti fejléccel'!$B:$B,'Felosztás eredménykim'!$B221,'Eredeti fejléccel'!$D:$D)</f>
        <v>0</v>
      </c>
      <c r="V221" s="6">
        <f>SUMIF('Eredeti fejléccel'!$B:$B,'Felosztás eredménykim'!$B221,'Eredeti fejléccel'!$AT:$AT)</f>
        <v>0</v>
      </c>
      <c r="X221" s="36">
        <f t="shared" si="414"/>
        <v>0</v>
      </c>
      <c r="Z221" s="6">
        <f>SUMIF('Eredeti fejléccel'!$B:$B,'Felosztás eredménykim'!$B221,'Eredeti fejléccel'!$K:$K)</f>
        <v>0</v>
      </c>
      <c r="AB221" s="6">
        <f>SUMIF('Eredeti fejléccel'!$B:$B,'Felosztás eredménykim'!$B221,'Eredeti fejléccel'!$AB:$AB)</f>
        <v>0</v>
      </c>
      <c r="AC221" s="6">
        <f>SUMIF('Eredeti fejléccel'!$B:$B,'Felosztás eredménykim'!$B221,'Eredeti fejléccel'!$AQ:$AQ)</f>
        <v>0</v>
      </c>
      <c r="AE221" s="73">
        <f t="shared" si="299"/>
        <v>0</v>
      </c>
      <c r="AF221" s="36">
        <f t="shared" si="470"/>
        <v>0</v>
      </c>
      <c r="AG221" s="8">
        <f t="shared" si="399"/>
        <v>0</v>
      </c>
      <c r="AI221" s="6">
        <f>SUMIF('Eredeti fejléccel'!$B:$B,'Felosztás eredménykim'!$B221,'Eredeti fejléccel'!$BB:$BB)</f>
        <v>0</v>
      </c>
      <c r="AJ221" s="6">
        <f>SUMIF('Eredeti fejléccel'!$B:$B,'Felosztás eredménykim'!$B221,'Eredeti fejléccel'!$AF:$AF)</f>
        <v>0</v>
      </c>
      <c r="AK221" s="8">
        <f t="shared" si="522"/>
        <v>0</v>
      </c>
      <c r="AL221" s="36">
        <f t="shared" si="471"/>
        <v>0</v>
      </c>
      <c r="AM221" s="8">
        <f t="shared" si="400"/>
        <v>0</v>
      </c>
      <c r="AN221" s="6">
        <f t="shared" si="291"/>
        <v>0</v>
      </c>
      <c r="AO221" s="6">
        <f>SUMIF('Eredeti fejléccel'!$B:$B,'Felosztás eredménykim'!$B221,'Eredeti fejléccel'!$AC:$AC)</f>
        <v>0</v>
      </c>
      <c r="AP221" s="6">
        <f>SUMIF('Eredeti fejléccel'!$B:$B,'Felosztás eredménykim'!$B221,'Eredeti fejléccel'!$AD:$AD)</f>
        <v>0</v>
      </c>
      <c r="AQ221" s="6">
        <f>SUMIF('Eredeti fejléccel'!$B:$B,'Felosztás eredménykim'!$B221,'Eredeti fejléccel'!$AE:$AE)</f>
        <v>0</v>
      </c>
      <c r="AR221" s="6">
        <f>SUMIF('Eredeti fejléccel'!$B:$B,'Felosztás eredménykim'!$B221,'Eredeti fejléccel'!$AG:$AG)</f>
        <v>0</v>
      </c>
      <c r="AS221" s="6">
        <f t="shared" si="292"/>
        <v>0</v>
      </c>
      <c r="AT221" s="36">
        <f t="shared" si="472"/>
        <v>0</v>
      </c>
      <c r="AU221" s="8">
        <f t="shared" si="401"/>
        <v>0</v>
      </c>
      <c r="AV221" s="6">
        <f>SUMIF('Eredeti fejléccel'!$B:$B,'Felosztás eredménykim'!$B221,'Eredeti fejléccel'!$AI:$AI)</f>
        <v>0</v>
      </c>
      <c r="AW221" s="6">
        <f>SUMIF('Eredeti fejléccel'!$B:$B,'Felosztás eredménykim'!$B221,'Eredeti fejléccel'!$AJ:$AJ)</f>
        <v>0</v>
      </c>
      <c r="AX221" s="6">
        <f>SUMIF('Eredeti fejléccel'!$B:$B,'Felosztás eredménykim'!$B221,'Eredeti fejléccel'!$AK:$AK)</f>
        <v>0</v>
      </c>
      <c r="AY221" s="6">
        <f>SUMIF('Eredeti fejléccel'!$B:$B,'Felosztás eredménykim'!$B221,'Eredeti fejléccel'!$AL:$AL)</f>
        <v>0</v>
      </c>
      <c r="AZ221" s="6">
        <f>SUMIF('Eredeti fejléccel'!$B:$B,'Felosztás eredménykim'!$B221,'Eredeti fejléccel'!$AM:$AM)</f>
        <v>0</v>
      </c>
      <c r="BA221" s="6">
        <f>SUMIF('Eredeti fejléccel'!$B:$B,'Felosztás eredménykim'!$B221,'Eredeti fejléccel'!$AN:$AN)</f>
        <v>0</v>
      </c>
      <c r="BB221" s="6">
        <f>SUMIF('Eredeti fejléccel'!$B:$B,'Felosztás eredménykim'!$B221,'Eredeti fejléccel'!$AP:$AP)</f>
        <v>0</v>
      </c>
      <c r="BD221" s="6">
        <f>SUMIF('Eredeti fejléccel'!$B:$B,'Felosztás eredménykim'!$B221,'Eredeti fejléccel'!$AS:$AS)</f>
        <v>0</v>
      </c>
      <c r="BE221" s="8">
        <f t="shared" si="523"/>
        <v>0</v>
      </c>
      <c r="BF221" s="36">
        <f t="shared" si="473"/>
        <v>0</v>
      </c>
      <c r="BG221" s="8">
        <f t="shared" si="402"/>
        <v>0</v>
      </c>
      <c r="BH221" s="6">
        <f t="shared" si="293"/>
        <v>0</v>
      </c>
      <c r="BI221" s="6">
        <f>SUMIF('Eredeti fejléccel'!$B:$B,'Felosztás eredménykim'!$B221,'Eredeti fejléccel'!$AH:$AH)</f>
        <v>0</v>
      </c>
      <c r="BJ221" s="6">
        <f>SUMIF('Eredeti fejléccel'!$B:$B,'Felosztás eredménykim'!$B221,'Eredeti fejléccel'!$AO:$AO)</f>
        <v>0</v>
      </c>
      <c r="BK221" s="6">
        <f>SUMIF('Eredeti fejléccel'!$B:$B,'Felosztás eredménykim'!$B221,'Eredeti fejléccel'!$BF:$BF)</f>
        <v>0</v>
      </c>
      <c r="BL221" s="8">
        <f t="shared" si="294"/>
        <v>0</v>
      </c>
      <c r="BM221" s="36">
        <f t="shared" si="474"/>
        <v>0</v>
      </c>
      <c r="BN221" s="8">
        <f t="shared" si="403"/>
        <v>0</v>
      </c>
      <c r="BP221" s="8">
        <f t="shared" si="295"/>
        <v>0</v>
      </c>
      <c r="BQ221" s="6">
        <f>SUMIF('Eredeti fejléccel'!$B:$B,'Felosztás eredménykim'!$B221,'Eredeti fejléccel'!$N:$N)</f>
        <v>0</v>
      </c>
      <c r="BR221" s="6">
        <f>SUMIF('Eredeti fejléccel'!$B:$B,'Felosztás eredménykim'!$B221,'Eredeti fejléccel'!$S:$S)</f>
        <v>0</v>
      </c>
      <c r="BT221" s="6">
        <f>SUMIF('Eredeti fejléccel'!$B:$B,'Felosztás eredménykim'!$B221,'Eredeti fejléccel'!$AR:$AR)</f>
        <v>0</v>
      </c>
      <c r="BU221" s="6">
        <f>SUMIF('Eredeti fejléccel'!$B:$B,'Felosztás eredménykim'!$B221,'Eredeti fejléccel'!$AU:$AU)</f>
        <v>0</v>
      </c>
      <c r="BV221" s="6">
        <f>SUMIF('Eredeti fejléccel'!$B:$B,'Felosztás eredménykim'!$B221,'Eredeti fejléccel'!$AV:$AV)</f>
        <v>0</v>
      </c>
      <c r="BW221" s="6">
        <f>SUMIF('Eredeti fejléccel'!$B:$B,'Felosztás eredménykim'!$B221,'Eredeti fejléccel'!$AW:$AW)</f>
        <v>0</v>
      </c>
      <c r="BX221" s="6">
        <f>SUMIF('Eredeti fejléccel'!$B:$B,'Felosztás eredménykim'!$B221,'Eredeti fejléccel'!$AX:$AX)</f>
        <v>0</v>
      </c>
      <c r="BY221" s="6">
        <f>SUMIF('Eredeti fejléccel'!$B:$B,'Felosztás eredménykim'!$B221,'Eredeti fejléccel'!$AY:$AY)</f>
        <v>0</v>
      </c>
      <c r="BZ221" s="6">
        <f>SUMIF('Eredeti fejléccel'!$B:$B,'Felosztás eredménykim'!$B221,'Eredeti fejléccel'!$AZ:$AZ)</f>
        <v>0</v>
      </c>
      <c r="CA221" s="6">
        <f>SUMIF('Eredeti fejléccel'!$B:$B,'Felosztás eredménykim'!$B221,'Eredeti fejléccel'!$BA:$BA)</f>
        <v>0</v>
      </c>
      <c r="CB221" s="6">
        <f t="shared" si="481"/>
        <v>0</v>
      </c>
      <c r="CC221" s="36">
        <f t="shared" si="475"/>
        <v>0</v>
      </c>
      <c r="CD221" s="8">
        <f t="shared" si="404"/>
        <v>0</v>
      </c>
      <c r="CE221" s="6">
        <f>SUMIF('Eredeti fejléccel'!$B:$B,'Felosztás eredménykim'!$B221,'Eredeti fejléccel'!$BC:$BC)</f>
        <v>0</v>
      </c>
      <c r="CF221" s="8">
        <f t="shared" si="300"/>
        <v>0</v>
      </c>
      <c r="CG221" s="6">
        <f>SUMIF('Eredeti fejléccel'!$B:$B,'Felosztás eredménykim'!$B221,'Eredeti fejléccel'!$H:$H)</f>
        <v>0</v>
      </c>
      <c r="CH221" s="6">
        <f>SUMIF('Eredeti fejléccel'!$B:$B,'Felosztás eredménykim'!$B221,'Eredeti fejléccel'!$BE:$BE)</f>
        <v>0</v>
      </c>
      <c r="CI221" s="6">
        <f t="shared" si="524"/>
        <v>0</v>
      </c>
      <c r="CJ221" s="36">
        <f t="shared" si="476"/>
        <v>0</v>
      </c>
      <c r="CK221" s="8">
        <f t="shared" si="405"/>
        <v>0</v>
      </c>
      <c r="CL221" s="8">
        <f t="shared" si="301"/>
        <v>0</v>
      </c>
      <c r="CM221" s="6">
        <f>SUMIF('Eredeti fejléccel'!$B:$B,'Felosztás eredménykim'!$B221,'Eredeti fejléccel'!$BD:$BD)</f>
        <v>0</v>
      </c>
      <c r="CN221" s="8">
        <f t="shared" si="525"/>
        <v>0</v>
      </c>
      <c r="CO221" s="8">
        <f t="shared" si="482"/>
        <v>0</v>
      </c>
      <c r="CR221" s="36">
        <f t="shared" si="406"/>
        <v>0</v>
      </c>
      <c r="CS221" s="6">
        <f>SUMIF('Eredeti fejléccel'!$B:$B,'Felosztás eredménykim'!$B221,'Eredeti fejléccel'!$I:$I)</f>
        <v>0</v>
      </c>
      <c r="CT221" s="6">
        <f>SUMIF('Eredeti fejléccel'!$B:$B,'Felosztás eredménykim'!$B221,'Eredeti fejléccel'!$BG:$BG)</f>
        <v>0</v>
      </c>
      <c r="CU221" s="6">
        <f>SUMIF('Eredeti fejléccel'!$B:$B,'Felosztás eredménykim'!$B221,'Eredeti fejléccel'!$BH:$BH)</f>
        <v>0</v>
      </c>
      <c r="CV221" s="6">
        <f>SUMIF('Eredeti fejléccel'!$B:$B,'Felosztás eredménykim'!$B221,'Eredeti fejléccel'!$BI:$BI)</f>
        <v>0</v>
      </c>
      <c r="CW221" s="6">
        <f>SUMIF('Eredeti fejléccel'!$B:$B,'Felosztás eredménykim'!$B221,'Eredeti fejléccel'!$BL:$BL)</f>
        <v>0</v>
      </c>
      <c r="CX221" s="6">
        <f t="shared" si="526"/>
        <v>0</v>
      </c>
      <c r="CY221" s="6">
        <f>SUMIF('Eredeti fejléccel'!$B:$B,'Felosztás eredménykim'!$B221,'Eredeti fejléccel'!$BJ:$BJ)</f>
        <v>0</v>
      </c>
      <c r="CZ221" s="6">
        <f>SUMIF('Eredeti fejléccel'!$B:$B,'Felosztás eredménykim'!$B221,'Eredeti fejléccel'!$BK:$BK)</f>
        <v>0</v>
      </c>
      <c r="DA221" s="99">
        <f t="shared" si="415"/>
        <v>0</v>
      </c>
      <c r="DC221" s="36">
        <f t="shared" si="407"/>
        <v>0</v>
      </c>
      <c r="DD221" s="6">
        <f>SUMIF('Eredeti fejléccel'!$B:$B,'Felosztás eredménykim'!$B221,'Eredeti fejléccel'!$J:$J)</f>
        <v>0</v>
      </c>
      <c r="DE221" s="6">
        <f>SUMIF('Eredeti fejléccel'!$B:$B,'Felosztás eredménykim'!$B221,'Eredeti fejléccel'!$BM:$BM)</f>
        <v>0</v>
      </c>
      <c r="DF221" s="6">
        <f t="shared" si="296"/>
        <v>0</v>
      </c>
      <c r="DG221" s="8">
        <f t="shared" si="483"/>
        <v>0</v>
      </c>
      <c r="DH221" s="8">
        <f t="shared" si="297"/>
        <v>0</v>
      </c>
      <c r="DJ221" s="6">
        <f>SUMIF('Eredeti fejléccel'!$B:$B,'Felosztás eredménykim'!$B221,'Eredeti fejléccel'!$BN:$BN)</f>
        <v>0</v>
      </c>
      <c r="DK221" s="6">
        <f>SUMIF('Eredeti fejléccel'!$B:$B,'Felosztás eredménykim'!$B221,'Eredeti fejléccel'!$BZ:$BZ)</f>
        <v>0</v>
      </c>
      <c r="DL221" s="8">
        <f t="shared" si="298"/>
        <v>0</v>
      </c>
      <c r="DM221" s="6">
        <f>SUMIF('Eredeti fejléccel'!$B:$B,'Felosztás eredménykim'!$B221,'Eredeti fejléccel'!$BR:$BR)</f>
        <v>0</v>
      </c>
      <c r="DN221" s="6">
        <f>SUMIF('Eredeti fejléccel'!$B:$B,'Felosztás eredménykim'!$B221,'Eredeti fejléccel'!$BS:$BS)</f>
        <v>0</v>
      </c>
      <c r="DO221" s="6">
        <f>SUMIF('Eredeti fejléccel'!$B:$B,'Felosztás eredménykim'!$B221,'Eredeti fejléccel'!$BO:$BO)</f>
        <v>0</v>
      </c>
      <c r="DP221" s="6">
        <f>SUMIF('Eredeti fejléccel'!$B:$B,'Felosztás eredménykim'!$B221,'Eredeti fejléccel'!$BP:$BP)</f>
        <v>0</v>
      </c>
      <c r="DQ221" s="6">
        <f>SUMIF('Eredeti fejléccel'!$B:$B,'Felosztás eredménykim'!$B221,'Eredeti fejléccel'!$BQ:$BQ)</f>
        <v>0</v>
      </c>
      <c r="DS221" s="8"/>
      <c r="DU221" s="6">
        <f>SUMIF('Eredeti fejléccel'!$B:$B,'Felosztás eredménykim'!$B221,'Eredeti fejléccel'!$BT:$BT)</f>
        <v>0</v>
      </c>
      <c r="DV221" s="6">
        <f>SUMIF('Eredeti fejléccel'!$B:$B,'Felosztás eredménykim'!$B221,'Eredeti fejléccel'!$BU:$BU)</f>
        <v>0</v>
      </c>
      <c r="DW221" s="6">
        <f>SUMIF('Eredeti fejléccel'!$B:$B,'Felosztás eredménykim'!$B221,'Eredeti fejléccel'!$BV:$BV)</f>
        <v>0</v>
      </c>
      <c r="DX221" s="6">
        <f>SUMIF('Eredeti fejléccel'!$B:$B,'Felosztás eredménykim'!$B221,'Eredeti fejléccel'!$BW:$BW)</f>
        <v>0</v>
      </c>
      <c r="DY221" s="6">
        <f>SUMIF('Eredeti fejléccel'!$B:$B,'Felosztás eredménykim'!$B221,'Eredeti fejléccel'!$BX:$BX)</f>
        <v>0</v>
      </c>
      <c r="EA221" s="6"/>
      <c r="EC221" s="6"/>
      <c r="EE221" s="6">
        <f>SUMIF('Eredeti fejléccel'!$B:$B,'Felosztás eredménykim'!$B221,'Eredeti fejléccel'!$CA:$CA)</f>
        <v>0</v>
      </c>
      <c r="EF221" s="6">
        <f>SUMIF('Eredeti fejléccel'!$B:$B,'Felosztás eredménykim'!$B221,'Eredeti fejléccel'!$CB:$CB)</f>
        <v>0</v>
      </c>
      <c r="EG221" s="6">
        <f>SUMIF('Eredeti fejléccel'!$B:$B,'Felosztás eredménykim'!$B221,'Eredeti fejléccel'!$CC:$CC)</f>
        <v>0</v>
      </c>
      <c r="EH221" s="6">
        <f>SUMIF('Eredeti fejléccel'!$B:$B,'Felosztás eredménykim'!$B221,'Eredeti fejléccel'!$CD:$CD)</f>
        <v>0</v>
      </c>
      <c r="EK221" s="6">
        <f>SUMIF('Eredeti fejléccel'!$B:$B,'Felosztás eredménykim'!$B221,'Eredeti fejléccel'!$CE:$CE)</f>
        <v>0</v>
      </c>
      <c r="EN221" s="6">
        <f>SUMIF('Eredeti fejléccel'!$B:$B,'Felosztás eredménykim'!$B221,'Eredeti fejléccel'!$CF:$CF)</f>
        <v>0</v>
      </c>
      <c r="EP221" s="6">
        <f>SUMIF('Eredeti fejléccel'!$B:$B,'Felosztás eredménykim'!$B221,'Eredeti fejléccel'!$CG:$CG)</f>
        <v>0</v>
      </c>
      <c r="ES221" s="6">
        <f>SUMIF('Eredeti fejléccel'!$B:$B,'Felosztás eredménykim'!$B221,'Eredeti fejléccel'!$CH:$CH)</f>
        <v>0</v>
      </c>
      <c r="ET221" s="6">
        <f>SUMIF('Eredeti fejléccel'!$B:$B,'Felosztás eredménykim'!$B221,'Eredeti fejléccel'!$CI:$CI)</f>
        <v>0</v>
      </c>
      <c r="EW221" s="8">
        <f t="shared" si="288"/>
        <v>0</v>
      </c>
      <c r="EX221" s="8">
        <f t="shared" si="527"/>
        <v>0</v>
      </c>
      <c r="EY221" s="8">
        <f t="shared" si="416"/>
        <v>0</v>
      </c>
      <c r="EZ221" s="8">
        <f t="shared" si="289"/>
        <v>0</v>
      </c>
      <c r="FA221" s="8">
        <f t="shared" si="290"/>
        <v>0</v>
      </c>
      <c r="FC221" s="6">
        <f>SUMIF('Eredeti fejléccel'!$B:$B,'Felosztás eredménykim'!$B221,'Eredeti fejléccel'!$L:$L)</f>
        <v>0</v>
      </c>
      <c r="FD221" s="6">
        <f>SUMIF('Eredeti fejléccel'!$B:$B,'Felosztás eredménykim'!$B221,'Eredeti fejléccel'!$CJ:$CJ)</f>
        <v>0</v>
      </c>
      <c r="FE221" s="6">
        <f>SUMIF('Eredeti fejléccel'!$B:$B,'Felosztás eredménykim'!$B221,'Eredeti fejléccel'!$CL:$CL)</f>
        <v>0</v>
      </c>
      <c r="FG221" s="99">
        <f t="shared" si="528"/>
        <v>0</v>
      </c>
      <c r="FH221" s="6">
        <f>SUMIF('Eredeti fejléccel'!$B:$B,'Felosztás eredménykim'!$B221,'Eredeti fejléccel'!$CK:$CK)</f>
        <v>0</v>
      </c>
      <c r="FI221" s="36">
        <f t="shared" si="477"/>
        <v>0</v>
      </c>
      <c r="FJ221" s="101">
        <f t="shared" si="408"/>
        <v>0</v>
      </c>
      <c r="FK221" s="6">
        <f>SUMIF('Eredeti fejléccel'!$B:$B,'Felosztás eredménykim'!$B221,'Eredeti fejléccel'!$CM:$CM)</f>
        <v>0</v>
      </c>
      <c r="FL221" s="6">
        <f>SUMIF('Eredeti fejléccel'!$B:$B,'Felosztás eredménykim'!$B221,'Eredeti fejléccel'!$CN:$CN)</f>
        <v>0</v>
      </c>
      <c r="FM221" s="8">
        <f t="shared" si="529"/>
        <v>0</v>
      </c>
      <c r="FN221" s="36">
        <f t="shared" si="478"/>
        <v>0</v>
      </c>
      <c r="FO221" s="101">
        <f t="shared" si="409"/>
        <v>0</v>
      </c>
      <c r="FP221" s="6">
        <f>SUMIF('Eredeti fejléccel'!$B:$B,'Felosztás eredménykim'!$B221,'Eredeti fejléccel'!$CO:$CO)</f>
        <v>0</v>
      </c>
      <c r="FQ221" s="6">
        <f>'Eredeti fejléccel'!CP221</f>
        <v>0</v>
      </c>
      <c r="FR221" s="6">
        <f>'Eredeti fejléccel'!CQ221</f>
        <v>0</v>
      </c>
      <c r="FS221" s="103">
        <f t="shared" si="417"/>
        <v>0</v>
      </c>
      <c r="FT221" s="36">
        <f t="shared" si="479"/>
        <v>0</v>
      </c>
      <c r="FU221" s="101">
        <f t="shared" si="410"/>
        <v>0</v>
      </c>
      <c r="FV221" s="101"/>
      <c r="FW221" s="6">
        <f>SUMIF('Eredeti fejléccel'!$B:$B,'Felosztás eredménykim'!$B221,'Eredeti fejléccel'!$CR:$CR)</f>
        <v>0</v>
      </c>
      <c r="FX221" s="6">
        <f>SUMIF('Eredeti fejléccel'!$B:$B,'Felosztás eredménykim'!$B221,'Eredeti fejléccel'!$CS:$CS)</f>
        <v>0</v>
      </c>
      <c r="FY221" s="6">
        <f>SUMIF('Eredeti fejléccel'!$B:$B,'Felosztás eredménykim'!$B221,'Eredeti fejléccel'!$CT:$CT)</f>
        <v>0</v>
      </c>
      <c r="FZ221" s="6">
        <f>SUMIF('Eredeti fejléccel'!$B:$B,'Felosztás eredménykim'!$B221,'Eredeti fejléccel'!$CU:$CU)</f>
        <v>0</v>
      </c>
      <c r="GA221" s="103">
        <f t="shared" si="530"/>
        <v>0</v>
      </c>
      <c r="GB221" s="36">
        <f t="shared" si="480"/>
        <v>0</v>
      </c>
      <c r="GC221" s="101">
        <f t="shared" si="411"/>
        <v>0</v>
      </c>
      <c r="GD221" s="6">
        <f>SUMIF('Eredeti fejléccel'!$B:$B,'Felosztás eredménykim'!$B221,'Eredeti fejléccel'!$CV:$CV)</f>
        <v>0</v>
      </c>
      <c r="GE221" s="6">
        <f>SUMIF('Eredeti fejléccel'!$B:$B,'Felosztás eredménykim'!$B221,'Eredeti fejléccel'!$CW:$CW)</f>
        <v>0</v>
      </c>
      <c r="GF221" s="103">
        <f t="shared" si="531"/>
        <v>0</v>
      </c>
      <c r="GG221" s="36">
        <f t="shared" si="412"/>
        <v>0</v>
      </c>
      <c r="GM221" s="6">
        <f>SUMIF('Eredeti fejléccel'!$B:$B,'Felosztás eredménykim'!$B221,'Eredeti fejléccel'!$CX:$CX)</f>
        <v>0</v>
      </c>
      <c r="GN221" s="6">
        <f>SUMIF('Eredeti fejléccel'!$B:$B,'Felosztás eredménykim'!$B221,'Eredeti fejléccel'!$CY:$CY)</f>
        <v>0</v>
      </c>
      <c r="GO221" s="6">
        <f>SUMIF('Eredeti fejléccel'!$B:$B,'Felosztás eredménykim'!$B221,'Eredeti fejléccel'!$CZ:$CZ)</f>
        <v>0</v>
      </c>
      <c r="GP221" s="6">
        <f>SUMIF('Eredeti fejléccel'!$B:$B,'Felosztás eredménykim'!$B221,'Eredeti fejléccel'!$DA:$DA)</f>
        <v>0</v>
      </c>
      <c r="GQ221" s="6">
        <f>SUMIF('Eredeti fejléccel'!$B:$B,'Felosztás eredménykim'!$B221,'Eredeti fejléccel'!$DB:$DB)</f>
        <v>0</v>
      </c>
      <c r="GR221" s="103">
        <f t="shared" si="532"/>
        <v>0</v>
      </c>
      <c r="GW221" s="36">
        <f t="shared" si="413"/>
        <v>0</v>
      </c>
      <c r="GX221" s="6">
        <f>SUMIF('Eredeti fejléccel'!$B:$B,'Felosztás eredménykim'!$B221,'Eredeti fejléccel'!$M:$M)</f>
        <v>0</v>
      </c>
      <c r="GY221" s="6">
        <f>SUMIF('Eredeti fejléccel'!$B:$B,'Felosztás eredménykim'!$B221,'Eredeti fejléccel'!$DC:$DC)</f>
        <v>0</v>
      </c>
      <c r="GZ221" s="6">
        <f>SUMIF('Eredeti fejléccel'!$B:$B,'Felosztás eredménykim'!$B221,'Eredeti fejléccel'!$DD:$DD)</f>
        <v>0</v>
      </c>
      <c r="HA221" s="6">
        <f>SUMIF('Eredeti fejléccel'!$B:$B,'Felosztás eredménykim'!$B221,'Eredeti fejléccel'!$DE:$DE)</f>
        <v>0</v>
      </c>
      <c r="HB221" s="103">
        <f t="shared" si="533"/>
        <v>0</v>
      </c>
      <c r="HD221" s="9">
        <f t="shared" si="429"/>
        <v>0</v>
      </c>
      <c r="HE221" s="9"/>
      <c r="HF221" s="476"/>
      <c r="HH221" s="34">
        <f t="shared" si="534"/>
        <v>0</v>
      </c>
    </row>
    <row r="222" spans="1:218" x14ac:dyDescent="0.25">
      <c r="A222" s="4" t="s">
        <v>1522</v>
      </c>
      <c r="B222" s="4" t="s">
        <v>1522</v>
      </c>
      <c r="C222" s="1" t="s">
        <v>1523</v>
      </c>
      <c r="D222" s="6">
        <f>SUMIF('Eredeti fejléccel'!$B:$B,'Felosztás eredménykim'!$B222,'Eredeti fejléccel'!$D:$D)</f>
        <v>0</v>
      </c>
      <c r="E222" s="6">
        <f>SUMIF('Eredeti fejléccel'!$B:$B,'Felosztás eredménykim'!$B222,'Eredeti fejléccel'!$E:$E)</f>
        <v>31631</v>
      </c>
      <c r="F222" s="6">
        <f>SUMIF('Eredeti fejléccel'!$B:$B,'Felosztás eredménykim'!$B222,'Eredeti fejléccel'!$F:$F)</f>
        <v>272796</v>
      </c>
      <c r="G222" s="6">
        <f>SUMIF('Eredeti fejléccel'!$B:$B,'Felosztás eredménykim'!$B222,'Eredeti fejléccel'!$G:$G)</f>
        <v>0</v>
      </c>
      <c r="H222" s="6"/>
      <c r="I222" s="6">
        <f>SUMIF('Eredeti fejléccel'!$B:$B,'Felosztás eredménykim'!$B222,'Eredeti fejléccel'!$O:$O)</f>
        <v>0</v>
      </c>
      <c r="J222" s="6">
        <f>SUMIF('Eredeti fejléccel'!$B:$B,'Felosztás eredménykim'!$B222,'Eredeti fejléccel'!$P:$P)</f>
        <v>0</v>
      </c>
      <c r="K222" s="6">
        <f>SUMIF('Eredeti fejléccel'!$B:$B,'Felosztás eredménykim'!$B222,'Eredeti fejléccel'!$Q:$Q)</f>
        <v>0</v>
      </c>
      <c r="L222" s="6">
        <f>SUMIF('Eredeti fejléccel'!$B:$B,'Felosztás eredménykim'!$B222,'Eredeti fejléccel'!$R:$R)</f>
        <v>0</v>
      </c>
      <c r="M222" s="6">
        <f>SUMIF('Eredeti fejléccel'!$B:$B,'Felosztás eredménykim'!$B222,'Eredeti fejléccel'!$T:$T)</f>
        <v>0</v>
      </c>
      <c r="N222" s="6">
        <f>SUMIF('Eredeti fejléccel'!$B:$B,'Felosztás eredménykim'!$B222,'Eredeti fejléccel'!$U:$U)</f>
        <v>0</v>
      </c>
      <c r="O222" s="6">
        <f>SUMIF('Eredeti fejléccel'!$B:$B,'Felosztás eredménykim'!$B222,'Eredeti fejléccel'!$V:$V)</f>
        <v>0</v>
      </c>
      <c r="P222" s="6">
        <f>SUMIF('Eredeti fejléccel'!$B:$B,'Felosztás eredménykim'!$B222,'Eredeti fejléccel'!$W:$W)</f>
        <v>0</v>
      </c>
      <c r="Q222" s="6">
        <f>SUMIF('Eredeti fejléccel'!$B:$B,'Felosztás eredménykim'!$B222,'Eredeti fejléccel'!$X:$X)</f>
        <v>0</v>
      </c>
      <c r="R222" s="6">
        <f>SUMIF('Eredeti fejléccel'!$B:$B,'Felosztás eredménykim'!$B222,'Eredeti fejléccel'!$Y:$Y)</f>
        <v>0</v>
      </c>
      <c r="S222" s="6">
        <f>SUMIF('Eredeti fejléccel'!$B:$B,'Felosztás eredménykim'!$B222,'Eredeti fejléccel'!$Z:$Z)</f>
        <v>0</v>
      </c>
      <c r="T222" s="6">
        <f>SUMIF('Eredeti fejléccel'!$B:$B,'Felosztás eredménykim'!$B222,'Eredeti fejléccel'!$AA:$AA)</f>
        <v>0</v>
      </c>
      <c r="U222" s="6">
        <f>SUMIF('Eredeti fejléccel'!$B:$B,'Felosztás eredménykim'!$B222,'Eredeti fejléccel'!$D:$D)</f>
        <v>0</v>
      </c>
      <c r="V222" s="6">
        <f>SUMIF('Eredeti fejléccel'!$B:$B,'Felosztás eredménykim'!$B222,'Eredeti fejléccel'!$AT:$AT)</f>
        <v>0</v>
      </c>
      <c r="X222" s="36">
        <f t="shared" si="414"/>
        <v>304427</v>
      </c>
      <c r="Z222" s="6">
        <f>SUMIF('Eredeti fejléccel'!$B:$B,'Felosztás eredménykim'!$B222,'Eredeti fejléccel'!$K:$K)</f>
        <v>0</v>
      </c>
      <c r="AB222" s="6">
        <f>SUMIF('Eredeti fejléccel'!$B:$B,'Felosztás eredménykim'!$B222,'Eredeti fejléccel'!$AB:$AB)</f>
        <v>0</v>
      </c>
      <c r="AC222" s="6">
        <f>SUMIF('Eredeti fejléccel'!$B:$B,'Felosztás eredménykim'!$B222,'Eredeti fejléccel'!$AQ:$AQ)</f>
        <v>0</v>
      </c>
      <c r="AE222" s="73">
        <f>SUM(Z222:AD222)</f>
        <v>0</v>
      </c>
      <c r="AF222" s="36">
        <f t="shared" si="470"/>
        <v>36316.509838305399</v>
      </c>
      <c r="AG222" s="8">
        <f t="shared" si="399"/>
        <v>0</v>
      </c>
      <c r="AI222" s="6">
        <f>SUMIF('Eredeti fejléccel'!$B:$B,'Felosztás eredménykim'!$B222,'Eredeti fejléccel'!$BB:$BB)</f>
        <v>0</v>
      </c>
      <c r="AJ222" s="6">
        <f>SUMIF('Eredeti fejléccel'!$B:$B,'Felosztás eredménykim'!$B222,'Eredeti fejléccel'!$AF:$AF)</f>
        <v>0</v>
      </c>
      <c r="AK222" s="8">
        <f>SUM(AG222:AJ222)</f>
        <v>0</v>
      </c>
      <c r="AL222" s="36">
        <f t="shared" si="471"/>
        <v>14424.734342507843</v>
      </c>
      <c r="AM222" s="8">
        <f t="shared" si="400"/>
        <v>0</v>
      </c>
      <c r="AN222" s="6">
        <f>-AO222/2</f>
        <v>0</v>
      </c>
      <c r="AO222" s="6">
        <f>SUMIF('Eredeti fejléccel'!$B:$B,'Felosztás eredménykim'!$B222,'Eredeti fejléccel'!$AC:$AC)</f>
        <v>0</v>
      </c>
      <c r="AP222" s="6">
        <f>SUMIF('Eredeti fejléccel'!$B:$B,'Felosztás eredménykim'!$B222,'Eredeti fejléccel'!$AD:$AD)</f>
        <v>0</v>
      </c>
      <c r="AQ222" s="6">
        <f>SUMIF('Eredeti fejléccel'!$B:$B,'Felosztás eredménykim'!$B222,'Eredeti fejléccel'!$AE:$AE)</f>
        <v>0</v>
      </c>
      <c r="AR222" s="6">
        <f>SUMIF('Eredeti fejléccel'!$B:$B,'Felosztás eredménykim'!$B222,'Eredeti fejléccel'!$AG:$AG)</f>
        <v>0</v>
      </c>
      <c r="AS222" s="6">
        <f>SUM(AM222:AR222)</f>
        <v>0</v>
      </c>
      <c r="AT222" s="36">
        <f t="shared" si="472"/>
        <v>23430.006347293813</v>
      </c>
      <c r="AU222" s="8">
        <f t="shared" si="401"/>
        <v>0</v>
      </c>
      <c r="AV222" s="6">
        <f>SUMIF('Eredeti fejléccel'!$B:$B,'Felosztás eredménykim'!$B222,'Eredeti fejléccel'!$AI:$AI)</f>
        <v>0</v>
      </c>
      <c r="AW222" s="6">
        <f>SUMIF('Eredeti fejléccel'!$B:$B,'Felosztás eredménykim'!$B222,'Eredeti fejléccel'!$AJ:$AJ)</f>
        <v>0</v>
      </c>
      <c r="AX222" s="6">
        <f>SUMIF('Eredeti fejléccel'!$B:$B,'Felosztás eredménykim'!$B222,'Eredeti fejléccel'!$AK:$AK)</f>
        <v>0</v>
      </c>
      <c r="AY222" s="6">
        <f>SUMIF('Eredeti fejléccel'!$B:$B,'Felosztás eredménykim'!$B222,'Eredeti fejléccel'!$AL:$AL)</f>
        <v>0</v>
      </c>
      <c r="AZ222" s="6">
        <f>SUMIF('Eredeti fejléccel'!$B:$B,'Felosztás eredménykim'!$B222,'Eredeti fejléccel'!$AM:$AM)</f>
        <v>0</v>
      </c>
      <c r="BA222" s="6">
        <f>SUMIF('Eredeti fejléccel'!$B:$B,'Felosztás eredménykim'!$B222,'Eredeti fejléccel'!$AN:$AN)</f>
        <v>0</v>
      </c>
      <c r="BB222" s="6">
        <f>SUMIF('Eredeti fejléccel'!$B:$B,'Felosztás eredménykim'!$B222,'Eredeti fejléccel'!$AP:$AP)</f>
        <v>0</v>
      </c>
      <c r="BD222" s="6">
        <f>SUMIF('Eredeti fejléccel'!$B:$B,'Felosztás eredménykim'!$B222,'Eredeti fejléccel'!$AS:$AS)</f>
        <v>0</v>
      </c>
      <c r="BE222" s="8">
        <f>SUM(AU222:BD222)</f>
        <v>0</v>
      </c>
      <c r="BF222" s="36">
        <f t="shared" si="473"/>
        <v>6112.1755688592548</v>
      </c>
      <c r="BG222" s="8">
        <f t="shared" si="402"/>
        <v>0</v>
      </c>
      <c r="BH222" s="6">
        <f>AO222/2</f>
        <v>0</v>
      </c>
      <c r="BI222" s="6">
        <f>SUMIF('Eredeti fejléccel'!$B:$B,'Felosztás eredménykim'!$B222,'Eredeti fejléccel'!$AH:$AH)</f>
        <v>0</v>
      </c>
      <c r="BJ222" s="6">
        <f>SUMIF('Eredeti fejléccel'!$B:$B,'Felosztás eredménykim'!$B222,'Eredeti fejléccel'!$AO:$AO)</f>
        <v>0</v>
      </c>
      <c r="BK222" s="6">
        <f>SUMIF('Eredeti fejléccel'!$B:$B,'Felosztás eredménykim'!$B222,'Eredeti fejléccel'!$BF:$BF)</f>
        <v>0</v>
      </c>
      <c r="BL222" s="8">
        <f>SUM(BG222:BK222)</f>
        <v>0</v>
      </c>
      <c r="BM222" s="36">
        <f t="shared" si="474"/>
        <v>22900.284464659344</v>
      </c>
      <c r="BN222" s="8">
        <f t="shared" si="403"/>
        <v>0</v>
      </c>
      <c r="BP222" s="8">
        <f>-FV222</f>
        <v>0</v>
      </c>
      <c r="BQ222" s="6">
        <f>SUMIF('Eredeti fejléccel'!$B:$B,'Felosztás eredménykim'!$B222,'Eredeti fejléccel'!$N:$N)</f>
        <v>0</v>
      </c>
      <c r="BR222" s="6">
        <f>SUMIF('Eredeti fejléccel'!$B:$B,'Felosztás eredménykim'!$B222,'Eredeti fejléccel'!$S:$S)</f>
        <v>0</v>
      </c>
      <c r="BT222" s="6">
        <f>SUMIF('Eredeti fejléccel'!$B:$B,'Felosztás eredménykim'!$B222,'Eredeti fejléccel'!$AR:$AR)</f>
        <v>0</v>
      </c>
      <c r="BU222" s="6">
        <f>SUMIF('Eredeti fejléccel'!$B:$B,'Felosztás eredménykim'!$B222,'Eredeti fejléccel'!$AU:$AU)</f>
        <v>0</v>
      </c>
      <c r="BV222" s="6">
        <f>SUMIF('Eredeti fejléccel'!$B:$B,'Felosztás eredménykim'!$B222,'Eredeti fejléccel'!$AV:$AV)</f>
        <v>0</v>
      </c>
      <c r="BW222" s="6">
        <f>SUMIF('Eredeti fejléccel'!$B:$B,'Felosztás eredménykim'!$B222,'Eredeti fejléccel'!$AW:$AW)</f>
        <v>0</v>
      </c>
      <c r="BX222" s="6">
        <f>SUMIF('Eredeti fejléccel'!$B:$B,'Felosztás eredménykim'!$B222,'Eredeti fejléccel'!$AX:$AX)</f>
        <v>0</v>
      </c>
      <c r="BY222" s="6">
        <f>SUMIF('Eredeti fejléccel'!$B:$B,'Felosztás eredménykim'!$B222,'Eredeti fejléccel'!$AY:$AY)</f>
        <v>0</v>
      </c>
      <c r="BZ222" s="6">
        <f>SUMIF('Eredeti fejléccel'!$B:$B,'Felosztás eredménykim'!$B222,'Eredeti fejléccel'!$AZ:$AZ)</f>
        <v>0</v>
      </c>
      <c r="CA222" s="6">
        <f>SUMIF('Eredeti fejléccel'!$B:$B,'Felosztás eredménykim'!$B222,'Eredeti fejléccel'!$BA:$BA)</f>
        <v>0</v>
      </c>
      <c r="CB222" s="6">
        <f t="shared" si="481"/>
        <v>0</v>
      </c>
      <c r="CC222" s="36">
        <f t="shared" si="475"/>
        <v>6234.4190802364401</v>
      </c>
      <c r="CD222" s="8">
        <f t="shared" si="404"/>
        <v>0</v>
      </c>
      <c r="CE222" s="6">
        <f>SUMIF('Eredeti fejléccel'!$B:$B,'Felosztás eredménykim'!$B222,'Eredeti fejléccel'!$BC:$BC)</f>
        <v>0</v>
      </c>
      <c r="CF222" s="8">
        <f>-CE222/2</f>
        <v>0</v>
      </c>
      <c r="CG222" s="6">
        <f>SUMIF('Eredeti fejléccel'!$B:$B,'Felosztás eredménykim'!$B222,'Eredeti fejléccel'!$H:$H)</f>
        <v>0</v>
      </c>
      <c r="CH222" s="6">
        <f>SUMIF('Eredeti fejléccel'!$B:$B,'Felosztás eredménykim'!$B222,'Eredeti fejléccel'!$BE:$BE)</f>
        <v>0</v>
      </c>
      <c r="CI222" s="6">
        <f>SUM(CD222:CH222)</f>
        <v>0</v>
      </c>
      <c r="CJ222" s="36">
        <f t="shared" si="476"/>
        <v>4482.2620838301209</v>
      </c>
      <c r="CK222" s="8">
        <f t="shared" si="405"/>
        <v>0</v>
      </c>
      <c r="CL222" s="8">
        <f>CE222/2</f>
        <v>0</v>
      </c>
      <c r="CM222" s="6">
        <f>SUMIF('Eredeti fejléccel'!$B:$B,'Felosztás eredménykim'!$B222,'Eredeti fejléccel'!$BD:$BD)</f>
        <v>0</v>
      </c>
      <c r="CN222" s="8">
        <f>SUM(CK222:CM222)</f>
        <v>0</v>
      </c>
      <c r="CO222" s="8">
        <f t="shared" si="482"/>
        <v>113900.39172569221</v>
      </c>
      <c r="CR222" s="36">
        <f t="shared" si="406"/>
        <v>26924.049227301995</v>
      </c>
      <c r="CS222" s="6">
        <f>SUMIF('Eredeti fejléccel'!$B:$B,'Felosztás eredménykim'!$B222,'Eredeti fejléccel'!$I:$I)</f>
        <v>0</v>
      </c>
      <c r="CT222" s="6">
        <f>SUMIF('Eredeti fejléccel'!$B:$B,'Felosztás eredménykim'!$B222,'Eredeti fejléccel'!$BG:$BG)</f>
        <v>0</v>
      </c>
      <c r="CU222" s="6">
        <f>SUMIF('Eredeti fejléccel'!$B:$B,'Felosztás eredménykim'!$B222,'Eredeti fejléccel'!$BH:$BH)</f>
        <v>29952</v>
      </c>
      <c r="CV222" s="6">
        <f>SUMIF('Eredeti fejléccel'!$B:$B,'Felosztás eredménykim'!$B222,'Eredeti fejléccel'!$BI:$BI)</f>
        <v>0</v>
      </c>
      <c r="CW222" s="6">
        <f>SUMIF('Eredeti fejléccel'!$B:$B,'Felosztás eredménykim'!$B222,'Eredeti fejléccel'!$BL:$BL)</f>
        <v>0</v>
      </c>
      <c r="CX222" s="6">
        <f>SUM(CS222:CW222)</f>
        <v>29952</v>
      </c>
      <c r="CY222" s="6">
        <f>SUMIF('Eredeti fejléccel'!$B:$B,'Felosztás eredménykim'!$B222,'Eredeti fejléccel'!$BJ:$BJ)</f>
        <v>0</v>
      </c>
      <c r="CZ222" s="6">
        <f>SUMIF('Eredeti fejléccel'!$B:$B,'Felosztás eredménykim'!$B222,'Eredeti fejléccel'!$BK:$BK)</f>
        <v>0</v>
      </c>
      <c r="DA222" s="99">
        <f t="shared" si="415"/>
        <v>29952</v>
      </c>
      <c r="DC222" s="36">
        <f t="shared" si="407"/>
        <v>23581.82105602061</v>
      </c>
      <c r="DD222" s="6">
        <f>SUMIF('Eredeti fejléccel'!$B:$B,'Felosztás eredménykim'!$B222,'Eredeti fejléccel'!$J:$J)</f>
        <v>0</v>
      </c>
      <c r="DE222" s="6">
        <f>SUMIF('Eredeti fejléccel'!$B:$B,'Felosztás eredménykim'!$B222,'Eredeti fejléccel'!$BM:$BM)</f>
        <v>0</v>
      </c>
      <c r="DF222" s="6">
        <f>-DI222</f>
        <v>0</v>
      </c>
      <c r="DG222" s="8">
        <f t="shared" si="483"/>
        <v>0</v>
      </c>
      <c r="DH222" s="8">
        <f>SUM(DD222:DG222)</f>
        <v>0</v>
      </c>
      <c r="DJ222" s="6">
        <f>SUMIF('Eredeti fejléccel'!$B:$B,'Felosztás eredménykim'!$B222,'Eredeti fejléccel'!$BN:$BN)</f>
        <v>0</v>
      </c>
      <c r="DK222" s="6">
        <f>SUMIF('Eredeti fejléccel'!$B:$B,'Felosztás eredménykim'!$B222,'Eredeti fejléccel'!$BZ:$BZ)</f>
        <v>0</v>
      </c>
      <c r="DL222" s="8">
        <f>SUM(DI222:DK222)</f>
        <v>0</v>
      </c>
      <c r="DM222" s="6">
        <f>SUMIF('Eredeti fejléccel'!$B:$B,'Felosztás eredménykim'!$B222,'Eredeti fejléccel'!$BR:$BR)</f>
        <v>0</v>
      </c>
      <c r="DN222" s="6">
        <f>SUMIF('Eredeti fejléccel'!$B:$B,'Felosztás eredménykim'!$B222,'Eredeti fejléccel'!$BS:$BS)</f>
        <v>0</v>
      </c>
      <c r="DO222" s="6">
        <f>SUMIF('Eredeti fejléccel'!$B:$B,'Felosztás eredménykim'!$B222,'Eredeti fejléccel'!$BO:$BO)</f>
        <v>0</v>
      </c>
      <c r="DP222" s="6">
        <f>SUMIF('Eredeti fejléccel'!$B:$B,'Felosztás eredménykim'!$B222,'Eredeti fejléccel'!$BP:$BP)</f>
        <v>0</v>
      </c>
      <c r="DQ222" s="6">
        <f>SUMIF('Eredeti fejléccel'!$B:$B,'Felosztás eredménykim'!$B222,'Eredeti fejléccel'!$BQ:$BQ)</f>
        <v>0</v>
      </c>
      <c r="DS222" s="8"/>
      <c r="DU222" s="6">
        <f>SUMIF('Eredeti fejléccel'!$B:$B,'Felosztás eredménykim'!$B222,'Eredeti fejléccel'!$BT:$BT)</f>
        <v>0</v>
      </c>
      <c r="DV222" s="6">
        <f>SUMIF('Eredeti fejléccel'!$B:$B,'Felosztás eredménykim'!$B222,'Eredeti fejléccel'!$BU:$BU)</f>
        <v>0</v>
      </c>
      <c r="DW222" s="6">
        <f>SUMIF('Eredeti fejléccel'!$B:$B,'Felosztás eredménykim'!$B222,'Eredeti fejléccel'!$BV:$BV)</f>
        <v>0</v>
      </c>
      <c r="DX222" s="6">
        <f>SUMIF('Eredeti fejléccel'!$B:$B,'Felosztás eredménykim'!$B222,'Eredeti fejléccel'!$BW:$BW)</f>
        <v>0</v>
      </c>
      <c r="DY222" s="6">
        <f>SUMIF('Eredeti fejléccel'!$B:$B,'Felosztás eredménykim'!$B222,'Eredeti fejléccel'!$BX:$BX)</f>
        <v>0</v>
      </c>
      <c r="EA222" s="6"/>
      <c r="EC222" s="6"/>
      <c r="EE222" s="6">
        <f>SUMIF('Eredeti fejléccel'!$B:$B,'Felosztás eredménykim'!$B222,'Eredeti fejléccel'!$CA:$CA)</f>
        <v>0</v>
      </c>
      <c r="EF222" s="6">
        <f>SUMIF('Eredeti fejléccel'!$B:$B,'Felosztás eredménykim'!$B222,'Eredeti fejléccel'!$CB:$CB)</f>
        <v>0</v>
      </c>
      <c r="EG222" s="6">
        <f>SUMIF('Eredeti fejléccel'!$B:$B,'Felosztás eredménykim'!$B222,'Eredeti fejléccel'!$CC:$CC)</f>
        <v>0</v>
      </c>
      <c r="EH222" s="6">
        <f>SUMIF('Eredeti fejléccel'!$B:$B,'Felosztás eredménykim'!$B222,'Eredeti fejléccel'!$CD:$CD)</f>
        <v>0</v>
      </c>
      <c r="EK222" s="6">
        <f>SUMIF('Eredeti fejléccel'!$B:$B,'Felosztás eredménykim'!$B222,'Eredeti fejléccel'!$CE:$CE)</f>
        <v>0</v>
      </c>
      <c r="EN222" s="6">
        <f>SUMIF('Eredeti fejléccel'!$B:$B,'Felosztás eredménykim'!$B222,'Eredeti fejléccel'!$CF:$CF)</f>
        <v>0</v>
      </c>
      <c r="EP222" s="6">
        <f>SUMIF('Eredeti fejléccel'!$B:$B,'Felosztás eredménykim'!$B222,'Eredeti fejléccel'!$CG:$CG)</f>
        <v>0</v>
      </c>
      <c r="ES222" s="6">
        <f>SUMIF('Eredeti fejléccel'!$B:$B,'Felosztás eredménykim'!$B222,'Eredeti fejléccel'!$CH:$CH)</f>
        <v>0</v>
      </c>
      <c r="ET222" s="6">
        <f>SUMIF('Eredeti fejléccel'!$B:$B,'Felosztás eredménykim'!$B222,'Eredeti fejléccel'!$CI:$CI)</f>
        <v>0</v>
      </c>
      <c r="EW222" s="8">
        <f>SUM(DR222:ED222)</f>
        <v>0</v>
      </c>
      <c r="EX222" s="8">
        <f>SUM(EE222:EV222)</f>
        <v>0</v>
      </c>
      <c r="EY222" s="8">
        <f t="shared" si="416"/>
        <v>0</v>
      </c>
      <c r="EZ222" s="8">
        <f>EY222+DL222+DM222+DN222+DO222+DP222+DQ222</f>
        <v>0</v>
      </c>
      <c r="FA222" s="8">
        <f>EZ222-DL222-DM222</f>
        <v>0</v>
      </c>
      <c r="FC222" s="6">
        <f>SUMIF('Eredeti fejléccel'!$B:$B,'Felosztás eredménykim'!$B222,'Eredeti fejléccel'!$L:$L)</f>
        <v>0</v>
      </c>
      <c r="FD222" s="6">
        <f>SUMIF('Eredeti fejléccel'!$B:$B,'Felosztás eredménykim'!$B222,'Eredeti fejléccel'!$CJ:$CJ)</f>
        <v>0</v>
      </c>
      <c r="FE222" s="6">
        <f>SUMIF('Eredeti fejléccel'!$B:$B,'Felosztás eredménykim'!$B222,'Eredeti fejléccel'!$CL:$CL)</f>
        <v>0</v>
      </c>
      <c r="FG222" s="99">
        <f>SUM(FC222:FF222)</f>
        <v>0</v>
      </c>
      <c r="FH222" s="6">
        <f>SUMIF('Eredeti fejléccel'!$B:$B,'Felosztás eredménykim'!$B222,'Eredeti fejléccel'!$CK:$CK)</f>
        <v>0</v>
      </c>
      <c r="FI222" s="36">
        <f t="shared" si="477"/>
        <v>27745.506961845564</v>
      </c>
      <c r="FJ222" s="101">
        <f t="shared" si="408"/>
        <v>0</v>
      </c>
      <c r="FK222" s="6">
        <f>SUMIF('Eredeti fejléccel'!$B:$B,'Felosztás eredménykim'!$B222,'Eredeti fejléccel'!$CM:$CM)</f>
        <v>0</v>
      </c>
      <c r="FL222" s="6">
        <f>SUMIF('Eredeti fejléccel'!$B:$B,'Felosztás eredménykim'!$B222,'Eredeti fejléccel'!$CN:$CN)</f>
        <v>0</v>
      </c>
      <c r="FM222" s="8">
        <f>SUM(FJ222:FL222)</f>
        <v>0</v>
      </c>
      <c r="FN222" s="36">
        <f t="shared" si="478"/>
        <v>23588.232677733817</v>
      </c>
      <c r="FO222" s="101">
        <f t="shared" si="409"/>
        <v>0</v>
      </c>
      <c r="FP222" s="6">
        <f>SUMIF('Eredeti fejléccel'!$B:$B,'Felosztás eredménykim'!$B222,'Eredeti fejléccel'!$CO:$CO)</f>
        <v>0</v>
      </c>
      <c r="FQ222" s="6">
        <f>'Eredeti fejléccel'!CP222</f>
        <v>0</v>
      </c>
      <c r="FR222" s="6">
        <f>'Eredeti fejléccel'!CQ222</f>
        <v>0</v>
      </c>
      <c r="FS222" s="103">
        <f t="shared" si="417"/>
        <v>0</v>
      </c>
      <c r="FT222" s="36">
        <f t="shared" si="479"/>
        <v>65110.400405905915</v>
      </c>
      <c r="FU222" s="101">
        <f t="shared" si="410"/>
        <v>0</v>
      </c>
      <c r="FV222" s="101"/>
      <c r="FW222" s="6">
        <f>SUMIF('Eredeti fejléccel'!$B:$B,'Felosztás eredménykim'!$B222,'Eredeti fejléccel'!$CR:$CR)</f>
        <v>0</v>
      </c>
      <c r="FX222" s="6">
        <f>SUMIF('Eredeti fejléccel'!$B:$B,'Felosztás eredménykim'!$B222,'Eredeti fejléccel'!$CS:$CS)</f>
        <v>0</v>
      </c>
      <c r="FY222" s="6">
        <f>SUMIF('Eredeti fejléccel'!$B:$B,'Felosztás eredménykim'!$B222,'Eredeti fejléccel'!$CT:$CT)</f>
        <v>0</v>
      </c>
      <c r="FZ222" s="6">
        <f>SUMIF('Eredeti fejléccel'!$B:$B,'Felosztás eredménykim'!$B222,'Eredeti fejléccel'!$CU:$CU)</f>
        <v>0</v>
      </c>
      <c r="GA222" s="103">
        <f>SUM(FU222:FZ222)</f>
        <v>0</v>
      </c>
      <c r="GB222" s="36">
        <f t="shared" si="480"/>
        <v>8678.6893814303658</v>
      </c>
      <c r="GC222" s="101">
        <f t="shared" si="411"/>
        <v>0</v>
      </c>
      <c r="GD222" s="6">
        <f>SUMIF('Eredeti fejléccel'!$B:$B,'Felosztás eredménykim'!$B222,'Eredeti fejléccel'!$CV:$CV)</f>
        <v>0</v>
      </c>
      <c r="GE222" s="6">
        <f>SUMIF('Eredeti fejléccel'!$B:$B,'Felosztás eredménykim'!$B222,'Eredeti fejléccel'!$CW:$CW)</f>
        <v>0</v>
      </c>
      <c r="GF222" s="103">
        <f>SUM(GC222:GE222)</f>
        <v>0</v>
      </c>
      <c r="GG222" s="36">
        <f t="shared" si="412"/>
        <v>0</v>
      </c>
      <c r="GM222" s="6">
        <f>SUMIF('Eredeti fejléccel'!$B:$B,'Felosztás eredménykim'!$B222,'Eredeti fejléccel'!$CX:$CX)</f>
        <v>0</v>
      </c>
      <c r="GN222" s="6">
        <f>SUMIF('Eredeti fejléccel'!$B:$B,'Felosztás eredménykim'!$B222,'Eredeti fejléccel'!$CY:$CY)</f>
        <v>0</v>
      </c>
      <c r="GO222" s="6">
        <f>SUMIF('Eredeti fejléccel'!$B:$B,'Felosztás eredménykim'!$B222,'Eredeti fejléccel'!$CZ:$CZ)</f>
        <v>0</v>
      </c>
      <c r="GP222" s="6">
        <f>SUMIF('Eredeti fejléccel'!$B:$B,'Felosztás eredménykim'!$B222,'Eredeti fejléccel'!$DA:$DA)</f>
        <v>0</v>
      </c>
      <c r="GQ222" s="6">
        <f>SUMIF('Eredeti fejléccel'!$B:$B,'Felosztás eredménykim'!$B222,'Eredeti fejléccel'!$DB:$DB)</f>
        <v>0</v>
      </c>
      <c r="GR222" s="103">
        <f>SUM(GH222:GQ222)</f>
        <v>0</v>
      </c>
      <c r="GW222" s="36">
        <f t="shared" si="413"/>
        <v>14897.908564069543</v>
      </c>
      <c r="GX222" s="6">
        <f>SUMIF('Eredeti fejléccel'!$B:$B,'Felosztás eredménykim'!$B222,'Eredeti fejléccel'!$M:$M)</f>
        <v>0</v>
      </c>
      <c r="GY222" s="6">
        <f>SUMIF('Eredeti fejléccel'!$B:$B,'Felosztás eredménykim'!$B222,'Eredeti fejléccel'!$DC:$DC)</f>
        <v>0</v>
      </c>
      <c r="GZ222" s="6">
        <f>SUMIF('Eredeti fejléccel'!$B:$B,'Felosztás eredménykim'!$B222,'Eredeti fejléccel'!$DD:$DD)</f>
        <v>0</v>
      </c>
      <c r="HA222" s="6">
        <f>SUMIF('Eredeti fejléccel'!$B:$B,'Felosztás eredménykim'!$B222,'Eredeti fejléccel'!$DE:$DE)</f>
        <v>0</v>
      </c>
      <c r="HB222" s="103">
        <f>SUM(GX222:HA222)</f>
        <v>0</v>
      </c>
      <c r="HD222" s="9">
        <f t="shared" si="429"/>
        <v>334379</v>
      </c>
      <c r="HE222" s="9">
        <v>334379</v>
      </c>
      <c r="HF222" s="476"/>
      <c r="HH222" s="34">
        <f>+HD222-HE222</f>
        <v>0</v>
      </c>
    </row>
    <row r="223" spans="1:218" x14ac:dyDescent="0.25">
      <c r="A223" s="4" t="s">
        <v>999</v>
      </c>
      <c r="B223" s="4" t="s">
        <v>999</v>
      </c>
      <c r="C223" s="1" t="s">
        <v>1000</v>
      </c>
      <c r="D223" s="6">
        <f>SUMIF('Eredeti fejléccel'!$B:$B,'Felosztás eredménykim'!$B223,'Eredeti fejléccel'!$D:$D)</f>
        <v>0</v>
      </c>
      <c r="E223" s="6">
        <f>SUMIF('Eredeti fejléccel'!$B:$B,'Felosztás eredménykim'!$B223,'Eredeti fejléccel'!$E:$E)</f>
        <v>1958</v>
      </c>
      <c r="F223" s="6">
        <f>SUMIF('Eredeti fejléccel'!$B:$B,'Felosztás eredménykim'!$B223,'Eredeti fejléccel'!$F:$F)</f>
        <v>0</v>
      </c>
      <c r="G223" s="6">
        <f>SUMIF('Eredeti fejléccel'!$B:$B,'Felosztás eredménykim'!$B223,'Eredeti fejléccel'!$G:$G)</f>
        <v>0</v>
      </c>
      <c r="H223" s="6"/>
      <c r="I223" s="6">
        <f>SUMIF('Eredeti fejléccel'!$B:$B,'Felosztás eredménykim'!$B223,'Eredeti fejléccel'!$O:$O)</f>
        <v>0</v>
      </c>
      <c r="J223" s="6">
        <f>SUMIF('Eredeti fejléccel'!$B:$B,'Felosztás eredménykim'!$B223,'Eredeti fejléccel'!$P:$P)</f>
        <v>0</v>
      </c>
      <c r="K223" s="6">
        <f>SUMIF('Eredeti fejléccel'!$B:$B,'Felosztás eredménykim'!$B223,'Eredeti fejléccel'!$Q:$Q)</f>
        <v>0</v>
      </c>
      <c r="L223" s="6">
        <f>SUMIF('Eredeti fejléccel'!$B:$B,'Felosztás eredménykim'!$B223,'Eredeti fejléccel'!$R:$R)</f>
        <v>0</v>
      </c>
      <c r="M223" s="6">
        <f>SUMIF('Eredeti fejléccel'!$B:$B,'Felosztás eredménykim'!$B223,'Eredeti fejléccel'!$T:$T)</f>
        <v>0</v>
      </c>
      <c r="N223" s="6">
        <f>SUMIF('Eredeti fejléccel'!$B:$B,'Felosztás eredménykim'!$B223,'Eredeti fejléccel'!$U:$U)</f>
        <v>0</v>
      </c>
      <c r="O223" s="6">
        <f>SUMIF('Eredeti fejléccel'!$B:$B,'Felosztás eredménykim'!$B223,'Eredeti fejléccel'!$V:$V)</f>
        <v>0</v>
      </c>
      <c r="P223" s="6">
        <f>SUMIF('Eredeti fejléccel'!$B:$B,'Felosztás eredménykim'!$B223,'Eredeti fejléccel'!$W:$W)</f>
        <v>0</v>
      </c>
      <c r="Q223" s="6">
        <f>SUMIF('Eredeti fejléccel'!$B:$B,'Felosztás eredménykim'!$B223,'Eredeti fejléccel'!$X:$X)</f>
        <v>0</v>
      </c>
      <c r="R223" s="6">
        <f>SUMIF('Eredeti fejléccel'!$B:$B,'Felosztás eredménykim'!$B223,'Eredeti fejléccel'!$Y:$Y)</f>
        <v>0</v>
      </c>
      <c r="S223" s="6">
        <f>SUMIF('Eredeti fejléccel'!$B:$B,'Felosztás eredménykim'!$B223,'Eredeti fejléccel'!$Z:$Z)</f>
        <v>0</v>
      </c>
      <c r="T223" s="6">
        <f>SUMIF('Eredeti fejléccel'!$B:$B,'Felosztás eredménykim'!$B223,'Eredeti fejléccel'!$AA:$AA)</f>
        <v>0</v>
      </c>
      <c r="U223" s="6">
        <f>SUMIF('Eredeti fejléccel'!$B:$B,'Felosztás eredménykim'!$B223,'Eredeti fejléccel'!$D:$D)</f>
        <v>0</v>
      </c>
      <c r="V223" s="6">
        <f>SUMIF('Eredeti fejléccel'!$B:$B,'Felosztás eredménykim'!$B223,'Eredeti fejléccel'!$AT:$AT)</f>
        <v>0</v>
      </c>
      <c r="X223" s="36">
        <f t="shared" si="414"/>
        <v>1958</v>
      </c>
      <c r="Z223" s="6">
        <f>SUMIF('Eredeti fejléccel'!$B:$B,'Felosztás eredménykim'!$B223,'Eredeti fejléccel'!$K:$K)</f>
        <v>0</v>
      </c>
      <c r="AB223" s="6">
        <f>SUMIF('Eredeti fejléccel'!$B:$B,'Felosztás eredménykim'!$B223,'Eredeti fejléccel'!$AB:$AB)</f>
        <v>0</v>
      </c>
      <c r="AC223" s="6">
        <f>SUMIF('Eredeti fejléccel'!$B:$B,'Felosztás eredménykim'!$B223,'Eredeti fejléccel'!$AQ:$AQ)</f>
        <v>0</v>
      </c>
      <c r="AE223" s="73">
        <f t="shared" si="299"/>
        <v>0</v>
      </c>
      <c r="AF223" s="36">
        <f t="shared" si="470"/>
        <v>233.57890812379316</v>
      </c>
      <c r="AG223" s="8">
        <f t="shared" si="399"/>
        <v>0</v>
      </c>
      <c r="AI223" s="6">
        <f>SUMIF('Eredeti fejléccel'!$B:$B,'Felosztás eredménykim'!$B223,'Eredeti fejléccel'!$BB:$BB)</f>
        <v>0</v>
      </c>
      <c r="AJ223" s="6">
        <f>SUMIF('Eredeti fejléccel'!$B:$B,'Felosztás eredménykim'!$B223,'Eredeti fejléccel'!$AF:$AF)</f>
        <v>0</v>
      </c>
      <c r="AK223" s="8">
        <f t="shared" si="522"/>
        <v>0</v>
      </c>
      <c r="AL223" s="36">
        <f t="shared" si="471"/>
        <v>92.776362946224737</v>
      </c>
      <c r="AM223" s="8">
        <f t="shared" si="400"/>
        <v>0</v>
      </c>
      <c r="AN223" s="6">
        <f t="shared" si="291"/>
        <v>0</v>
      </c>
      <c r="AO223" s="6">
        <f>SUMIF('Eredeti fejléccel'!$B:$B,'Felosztás eredménykim'!$B223,'Eredeti fejléccel'!$AC:$AC)</f>
        <v>0</v>
      </c>
      <c r="AP223" s="6">
        <f>SUMIF('Eredeti fejléccel'!$B:$B,'Felosztás eredménykim'!$B223,'Eredeti fejléccel'!$AD:$AD)</f>
        <v>0</v>
      </c>
      <c r="AQ223" s="6">
        <f>SUMIF('Eredeti fejléccel'!$B:$B,'Felosztás eredménykim'!$B223,'Eredeti fejléccel'!$AE:$AE)</f>
        <v>0</v>
      </c>
      <c r="AR223" s="6">
        <f>SUMIF('Eredeti fejléccel'!$B:$B,'Felosztás eredménykim'!$B223,'Eredeti fejléccel'!$AG:$AG)</f>
        <v>0</v>
      </c>
      <c r="AS223" s="6">
        <f t="shared" si="292"/>
        <v>0</v>
      </c>
      <c r="AT223" s="36">
        <f t="shared" si="472"/>
        <v>150.69606975728593</v>
      </c>
      <c r="AU223" s="8">
        <f t="shared" si="401"/>
        <v>0</v>
      </c>
      <c r="AV223" s="6">
        <f>SUMIF('Eredeti fejléccel'!$B:$B,'Felosztás eredménykim'!$B223,'Eredeti fejléccel'!$AI:$AI)</f>
        <v>0</v>
      </c>
      <c r="AW223" s="6">
        <f>SUMIF('Eredeti fejléccel'!$B:$B,'Felosztás eredménykim'!$B223,'Eredeti fejléccel'!$AJ:$AJ)</f>
        <v>0</v>
      </c>
      <c r="AX223" s="6">
        <f>SUMIF('Eredeti fejléccel'!$B:$B,'Felosztás eredménykim'!$B223,'Eredeti fejléccel'!$AK:$AK)</f>
        <v>0</v>
      </c>
      <c r="AY223" s="6">
        <f>SUMIF('Eredeti fejléccel'!$B:$B,'Felosztás eredménykim'!$B223,'Eredeti fejléccel'!$AL:$AL)</f>
        <v>0</v>
      </c>
      <c r="AZ223" s="6">
        <f>SUMIF('Eredeti fejléccel'!$B:$B,'Felosztás eredménykim'!$B223,'Eredeti fejléccel'!$AM:$AM)</f>
        <v>0</v>
      </c>
      <c r="BA223" s="6">
        <f>SUMIF('Eredeti fejléccel'!$B:$B,'Felosztás eredménykim'!$B223,'Eredeti fejléccel'!$AN:$AN)</f>
        <v>0</v>
      </c>
      <c r="BB223" s="6">
        <f>SUMIF('Eredeti fejléccel'!$B:$B,'Felosztás eredménykim'!$B223,'Eredeti fejléccel'!$AP:$AP)</f>
        <v>0</v>
      </c>
      <c r="BD223" s="6">
        <f>SUMIF('Eredeti fejléccel'!$B:$B,'Felosztás eredménykim'!$B223,'Eredeti fejléccel'!$AS:$AS)</f>
        <v>0</v>
      </c>
      <c r="BE223" s="8">
        <f t="shared" si="523"/>
        <v>0</v>
      </c>
      <c r="BF223" s="36">
        <f t="shared" si="473"/>
        <v>39.312018197552852</v>
      </c>
      <c r="BG223" s="8">
        <f t="shared" si="402"/>
        <v>0</v>
      </c>
      <c r="BH223" s="6">
        <f t="shared" si="293"/>
        <v>0</v>
      </c>
      <c r="BI223" s="6">
        <f>SUMIF('Eredeti fejléccel'!$B:$B,'Felosztás eredménykim'!$B223,'Eredeti fejléccel'!$AH:$AH)</f>
        <v>0</v>
      </c>
      <c r="BJ223" s="6">
        <f>SUMIF('Eredeti fejléccel'!$B:$B,'Felosztás eredménykim'!$B223,'Eredeti fejléccel'!$AO:$AO)</f>
        <v>0</v>
      </c>
      <c r="BK223" s="6">
        <f>SUMIF('Eredeti fejléccel'!$B:$B,'Felosztás eredménykim'!$B223,'Eredeti fejléccel'!$BF:$BF)</f>
        <v>0</v>
      </c>
      <c r="BL223" s="8">
        <f t="shared" si="294"/>
        <v>0</v>
      </c>
      <c r="BM223" s="36">
        <f t="shared" si="474"/>
        <v>147.28902818016471</v>
      </c>
      <c r="BN223" s="8">
        <f t="shared" si="403"/>
        <v>0</v>
      </c>
      <c r="BP223" s="8">
        <f t="shared" si="295"/>
        <v>0</v>
      </c>
      <c r="BQ223" s="6">
        <f>SUMIF('Eredeti fejléccel'!$B:$B,'Felosztás eredménykim'!$B223,'Eredeti fejléccel'!$N:$N)</f>
        <v>0</v>
      </c>
      <c r="BR223" s="6">
        <f>SUMIF('Eredeti fejléccel'!$B:$B,'Felosztás eredménykim'!$B223,'Eredeti fejléccel'!$S:$S)</f>
        <v>0</v>
      </c>
      <c r="BT223" s="6">
        <f>SUMIF('Eredeti fejléccel'!$B:$B,'Felosztás eredménykim'!$B223,'Eredeti fejléccel'!$AR:$AR)</f>
        <v>0</v>
      </c>
      <c r="BU223" s="6">
        <f>SUMIF('Eredeti fejléccel'!$B:$B,'Felosztás eredménykim'!$B223,'Eredeti fejléccel'!$AU:$AU)</f>
        <v>0</v>
      </c>
      <c r="BV223" s="6">
        <f>SUMIF('Eredeti fejléccel'!$B:$B,'Felosztás eredménykim'!$B223,'Eredeti fejléccel'!$AV:$AV)</f>
        <v>0</v>
      </c>
      <c r="BW223" s="6">
        <f>SUMIF('Eredeti fejléccel'!$B:$B,'Felosztás eredménykim'!$B223,'Eredeti fejléccel'!$AW:$AW)</f>
        <v>0</v>
      </c>
      <c r="BX223" s="6">
        <f>SUMIF('Eredeti fejléccel'!$B:$B,'Felosztás eredménykim'!$B223,'Eredeti fejléccel'!$AX:$AX)</f>
        <v>0</v>
      </c>
      <c r="BY223" s="6">
        <f>SUMIF('Eredeti fejléccel'!$B:$B,'Felosztás eredménykim'!$B223,'Eredeti fejléccel'!$AY:$AY)</f>
        <v>0</v>
      </c>
      <c r="BZ223" s="6">
        <f>SUMIF('Eredeti fejléccel'!$B:$B,'Felosztás eredménykim'!$B223,'Eredeti fejléccel'!$AZ:$AZ)</f>
        <v>0</v>
      </c>
      <c r="CA223" s="6">
        <f>SUMIF('Eredeti fejléccel'!$B:$B,'Felosztás eredménykim'!$B223,'Eredeti fejléccel'!$BA:$BA)</f>
        <v>0</v>
      </c>
      <c r="CB223" s="6">
        <f t="shared" si="481"/>
        <v>0</v>
      </c>
      <c r="CC223" s="36">
        <f t="shared" si="475"/>
        <v>40.098258561503904</v>
      </c>
      <c r="CD223" s="8">
        <f t="shared" si="404"/>
        <v>0</v>
      </c>
      <c r="CE223" s="6">
        <f>SUMIF('Eredeti fejléccel'!$B:$B,'Felosztás eredménykim'!$B223,'Eredeti fejléccel'!$BC:$BC)</f>
        <v>0</v>
      </c>
      <c r="CF223" s="8">
        <f t="shared" si="300"/>
        <v>0</v>
      </c>
      <c r="CG223" s="6">
        <f>SUMIF('Eredeti fejléccel'!$B:$B,'Felosztás eredménykim'!$B223,'Eredeti fejléccel'!$H:$H)</f>
        <v>0</v>
      </c>
      <c r="CH223" s="6">
        <f>SUMIF('Eredeti fejléccel'!$B:$B,'Felosztás eredménykim'!$B223,'Eredeti fejléccel'!$BE:$BE)</f>
        <v>0</v>
      </c>
      <c r="CI223" s="6">
        <f t="shared" si="524"/>
        <v>0</v>
      </c>
      <c r="CJ223" s="36">
        <f t="shared" si="476"/>
        <v>28.828813344872096</v>
      </c>
      <c r="CK223" s="8">
        <f t="shared" si="405"/>
        <v>0</v>
      </c>
      <c r="CL223" s="8">
        <f t="shared" si="301"/>
        <v>0</v>
      </c>
      <c r="CM223" s="6">
        <f>SUMIF('Eredeti fejléccel'!$B:$B,'Felosztás eredménykim'!$B223,'Eredeti fejléccel'!$BD:$BD)</f>
        <v>0</v>
      </c>
      <c r="CN223" s="8">
        <f t="shared" si="525"/>
        <v>0</v>
      </c>
      <c r="CO223" s="8">
        <f t="shared" si="482"/>
        <v>732.57945911139745</v>
      </c>
      <c r="CR223" s="36">
        <f t="shared" si="406"/>
        <v>173.16889890534452</v>
      </c>
      <c r="CS223" s="6">
        <f>SUMIF('Eredeti fejléccel'!$B:$B,'Felosztás eredménykim'!$B223,'Eredeti fejléccel'!$I:$I)</f>
        <v>0</v>
      </c>
      <c r="CT223" s="6">
        <f>SUMIF('Eredeti fejléccel'!$B:$B,'Felosztás eredménykim'!$B223,'Eredeti fejléccel'!$BG:$BG)</f>
        <v>0</v>
      </c>
      <c r="CU223" s="6">
        <f>SUMIF('Eredeti fejléccel'!$B:$B,'Felosztás eredménykim'!$B223,'Eredeti fejléccel'!$BH:$BH)</f>
        <v>0</v>
      </c>
      <c r="CV223" s="6">
        <f>SUMIF('Eredeti fejléccel'!$B:$B,'Felosztás eredménykim'!$B223,'Eredeti fejléccel'!$BI:$BI)</f>
        <v>0</v>
      </c>
      <c r="CW223" s="6">
        <f>SUMIF('Eredeti fejléccel'!$B:$B,'Felosztás eredménykim'!$B223,'Eredeti fejléccel'!$BL:$BL)</f>
        <v>0</v>
      </c>
      <c r="CX223" s="6">
        <f t="shared" si="526"/>
        <v>0</v>
      </c>
      <c r="CY223" s="6">
        <f>SUMIF('Eredeti fejléccel'!$B:$B,'Felosztás eredménykim'!$B223,'Eredeti fejléccel'!$BJ:$BJ)</f>
        <v>0</v>
      </c>
      <c r="CZ223" s="6">
        <f>SUMIF('Eredeti fejléccel'!$B:$B,'Felosztás eredménykim'!$B223,'Eredeti fejléccel'!$BK:$BK)</f>
        <v>0</v>
      </c>
      <c r="DA223" s="99">
        <f t="shared" si="415"/>
        <v>0</v>
      </c>
      <c r="DC223" s="36">
        <f t="shared" si="407"/>
        <v>151.67250482936257</v>
      </c>
      <c r="DD223" s="6">
        <f>SUMIF('Eredeti fejléccel'!$B:$B,'Felosztás eredménykim'!$B223,'Eredeti fejléccel'!$J:$J)</f>
        <v>0</v>
      </c>
      <c r="DE223" s="6">
        <f>SUMIF('Eredeti fejléccel'!$B:$B,'Felosztás eredménykim'!$B223,'Eredeti fejléccel'!$BM:$BM)</f>
        <v>0</v>
      </c>
      <c r="DF223" s="6">
        <f t="shared" si="296"/>
        <v>0</v>
      </c>
      <c r="DG223" s="8">
        <f t="shared" si="483"/>
        <v>0</v>
      </c>
      <c r="DH223" s="8">
        <f t="shared" si="297"/>
        <v>0</v>
      </c>
      <c r="DJ223" s="6">
        <f>SUMIF('Eredeti fejléccel'!$B:$B,'Felosztás eredménykim'!$B223,'Eredeti fejléccel'!$BN:$BN)</f>
        <v>0</v>
      </c>
      <c r="DK223" s="6">
        <f>SUMIF('Eredeti fejléccel'!$B:$B,'Felosztás eredménykim'!$B223,'Eredeti fejléccel'!$BZ:$BZ)</f>
        <v>0</v>
      </c>
      <c r="DL223" s="8">
        <f t="shared" si="298"/>
        <v>0</v>
      </c>
      <c r="DM223" s="6">
        <f>SUMIF('Eredeti fejléccel'!$B:$B,'Felosztás eredménykim'!$B223,'Eredeti fejléccel'!$BR:$BR)</f>
        <v>0</v>
      </c>
      <c r="DN223" s="6">
        <f>SUMIF('Eredeti fejléccel'!$B:$B,'Felosztás eredménykim'!$B223,'Eredeti fejléccel'!$BS:$BS)</f>
        <v>0</v>
      </c>
      <c r="DO223" s="6">
        <f>SUMIF('Eredeti fejléccel'!$B:$B,'Felosztás eredménykim'!$B223,'Eredeti fejléccel'!$BO:$BO)</f>
        <v>0</v>
      </c>
      <c r="DP223" s="6">
        <f>SUMIF('Eredeti fejléccel'!$B:$B,'Felosztás eredménykim'!$B223,'Eredeti fejléccel'!$BP:$BP)</f>
        <v>0</v>
      </c>
      <c r="DQ223" s="6">
        <f>SUMIF('Eredeti fejléccel'!$B:$B,'Felosztás eredménykim'!$B223,'Eredeti fejléccel'!$BQ:$BQ)</f>
        <v>0</v>
      </c>
      <c r="DS223" s="8"/>
      <c r="DU223" s="6">
        <f>SUMIF('Eredeti fejléccel'!$B:$B,'Felosztás eredménykim'!$B223,'Eredeti fejléccel'!$BT:$BT)</f>
        <v>0</v>
      </c>
      <c r="DV223" s="6">
        <f>SUMIF('Eredeti fejléccel'!$B:$B,'Felosztás eredménykim'!$B223,'Eredeti fejléccel'!$BU:$BU)</f>
        <v>0</v>
      </c>
      <c r="DW223" s="6">
        <f>SUMIF('Eredeti fejléccel'!$B:$B,'Felosztás eredménykim'!$B223,'Eredeti fejléccel'!$BV:$BV)</f>
        <v>0</v>
      </c>
      <c r="DX223" s="6">
        <f>SUMIF('Eredeti fejléccel'!$B:$B,'Felosztás eredménykim'!$B223,'Eredeti fejléccel'!$BW:$BW)</f>
        <v>0</v>
      </c>
      <c r="DY223" s="6">
        <f>SUMIF('Eredeti fejléccel'!$B:$B,'Felosztás eredménykim'!$B223,'Eredeti fejléccel'!$BX:$BX)</f>
        <v>0</v>
      </c>
      <c r="EA223" s="6"/>
      <c r="EC223" s="6"/>
      <c r="EE223" s="6">
        <f>SUMIF('Eredeti fejléccel'!$B:$B,'Felosztás eredménykim'!$B223,'Eredeti fejléccel'!$CA:$CA)</f>
        <v>0</v>
      </c>
      <c r="EF223" s="6">
        <f>SUMIF('Eredeti fejléccel'!$B:$B,'Felosztás eredménykim'!$B223,'Eredeti fejléccel'!$CB:$CB)</f>
        <v>0</v>
      </c>
      <c r="EG223" s="6">
        <f>SUMIF('Eredeti fejléccel'!$B:$B,'Felosztás eredménykim'!$B223,'Eredeti fejléccel'!$CC:$CC)</f>
        <v>0</v>
      </c>
      <c r="EH223" s="6">
        <f>SUMIF('Eredeti fejléccel'!$B:$B,'Felosztás eredménykim'!$B223,'Eredeti fejléccel'!$CD:$CD)</f>
        <v>0</v>
      </c>
      <c r="EK223" s="6">
        <f>SUMIF('Eredeti fejléccel'!$B:$B,'Felosztás eredménykim'!$B223,'Eredeti fejléccel'!$CE:$CE)</f>
        <v>0</v>
      </c>
      <c r="EN223" s="6">
        <f>SUMIF('Eredeti fejléccel'!$B:$B,'Felosztás eredménykim'!$B223,'Eredeti fejléccel'!$CF:$CF)</f>
        <v>0</v>
      </c>
      <c r="EP223" s="6">
        <f>SUMIF('Eredeti fejléccel'!$B:$B,'Felosztás eredménykim'!$B223,'Eredeti fejléccel'!$CG:$CG)</f>
        <v>0</v>
      </c>
      <c r="ES223" s="6">
        <f>SUMIF('Eredeti fejléccel'!$B:$B,'Felosztás eredménykim'!$B223,'Eredeti fejléccel'!$CH:$CH)</f>
        <v>0</v>
      </c>
      <c r="ET223" s="6">
        <f>SUMIF('Eredeti fejléccel'!$B:$B,'Felosztás eredménykim'!$B223,'Eredeti fejléccel'!$CI:$CI)</f>
        <v>0</v>
      </c>
      <c r="EW223" s="8">
        <f t="shared" si="288"/>
        <v>0</v>
      </c>
      <c r="EX223" s="8">
        <f t="shared" si="527"/>
        <v>0</v>
      </c>
      <c r="EY223" s="8">
        <f t="shared" si="416"/>
        <v>0</v>
      </c>
      <c r="EZ223" s="8">
        <f t="shared" si="289"/>
        <v>0</v>
      </c>
      <c r="FA223" s="8">
        <f t="shared" si="290"/>
        <v>0</v>
      </c>
      <c r="FC223" s="6">
        <f>SUMIF('Eredeti fejléccel'!$B:$B,'Felosztás eredménykim'!$B223,'Eredeti fejléccel'!$L:$L)</f>
        <v>0</v>
      </c>
      <c r="FD223" s="6">
        <f>SUMIF('Eredeti fejléccel'!$B:$B,'Felosztás eredménykim'!$B223,'Eredeti fejléccel'!$CJ:$CJ)</f>
        <v>0</v>
      </c>
      <c r="FE223" s="6">
        <f>SUMIF('Eredeti fejléccel'!$B:$B,'Felosztás eredménykim'!$B223,'Eredeti fejléccel'!$CL:$CL)</f>
        <v>0</v>
      </c>
      <c r="FG223" s="99">
        <f t="shared" si="528"/>
        <v>0</v>
      </c>
      <c r="FH223" s="6">
        <f>SUMIF('Eredeti fejléccel'!$B:$B,'Felosztás eredménykim'!$B223,'Eredeti fejléccel'!$CK:$CK)</f>
        <v>0</v>
      </c>
      <c r="FI223" s="36">
        <f t="shared" si="477"/>
        <v>178.45231412224808</v>
      </c>
      <c r="FJ223" s="101">
        <f t="shared" si="408"/>
        <v>0</v>
      </c>
      <c r="FK223" s="6">
        <f>SUMIF('Eredeti fejléccel'!$B:$B,'Felosztás eredménykim'!$B223,'Eredeti fejléccel'!$CM:$CM)</f>
        <v>0</v>
      </c>
      <c r="FL223" s="6">
        <f>SUMIF('Eredeti fejléccel'!$B:$B,'Felosztás eredménykim'!$B223,'Eredeti fejléccel'!$CN:$CN)</f>
        <v>0</v>
      </c>
      <c r="FM223" s="8">
        <f t="shared" si="529"/>
        <v>0</v>
      </c>
      <c r="FN223" s="36">
        <f t="shared" si="478"/>
        <v>151.7137428119149</v>
      </c>
      <c r="FO223" s="101">
        <f t="shared" si="409"/>
        <v>0</v>
      </c>
      <c r="FP223" s="6">
        <f>SUMIF('Eredeti fejléccel'!$B:$B,'Felosztás eredménykim'!$B223,'Eredeti fejléccel'!$CO:$CO)</f>
        <v>0</v>
      </c>
      <c r="FQ223" s="6">
        <f>'Eredeti fejléccel'!CP223</f>
        <v>0</v>
      </c>
      <c r="FR223" s="6">
        <f>'Eredeti fejléccel'!CQ223</f>
        <v>0</v>
      </c>
      <c r="FS223" s="103">
        <f t="shared" si="417"/>
        <v>0</v>
      </c>
      <c r="FT223" s="36">
        <f t="shared" si="479"/>
        <v>418.77416915964676</v>
      </c>
      <c r="FU223" s="101">
        <f t="shared" si="410"/>
        <v>0</v>
      </c>
      <c r="FV223" s="101"/>
      <c r="FW223" s="6">
        <f>SUMIF('Eredeti fejléccel'!$B:$B,'Felosztás eredménykim'!$B223,'Eredeti fejléccel'!$CR:$CR)</f>
        <v>0</v>
      </c>
      <c r="FX223" s="6">
        <f>SUMIF('Eredeti fejléccel'!$B:$B,'Felosztás eredménykim'!$B223,'Eredeti fejléccel'!$CS:$CS)</f>
        <v>0</v>
      </c>
      <c r="FY223" s="6">
        <f>SUMIF('Eredeti fejléccel'!$B:$B,'Felosztás eredménykim'!$B223,'Eredeti fejléccel'!$CT:$CT)</f>
        <v>0</v>
      </c>
      <c r="FZ223" s="6">
        <f>SUMIF('Eredeti fejléccel'!$B:$B,'Felosztás eredménykim'!$B223,'Eredeti fejléccel'!$CU:$CU)</f>
        <v>0</v>
      </c>
      <c r="GA223" s="103">
        <f t="shared" si="530"/>
        <v>0</v>
      </c>
      <c r="GB223" s="36">
        <f t="shared" si="480"/>
        <v>55.819207260987554</v>
      </c>
      <c r="GC223" s="101">
        <f t="shared" si="411"/>
        <v>0</v>
      </c>
      <c r="GD223" s="6">
        <f>SUMIF('Eredeti fejléccel'!$B:$B,'Felosztás eredménykim'!$B223,'Eredeti fejléccel'!$CV:$CV)</f>
        <v>0</v>
      </c>
      <c r="GE223" s="6">
        <f>SUMIF('Eredeti fejléccel'!$B:$B,'Felosztás eredménykim'!$B223,'Eredeti fejléccel'!$CW:$CW)</f>
        <v>0</v>
      </c>
      <c r="GF223" s="103">
        <f t="shared" si="531"/>
        <v>0</v>
      </c>
      <c r="GG223" s="36">
        <f t="shared" si="412"/>
        <v>0</v>
      </c>
      <c r="GM223" s="6">
        <f>SUMIF('Eredeti fejléccel'!$B:$B,'Felosztás eredménykim'!$B223,'Eredeti fejléccel'!$CX:$CX)</f>
        <v>0</v>
      </c>
      <c r="GN223" s="6">
        <f>SUMIF('Eredeti fejléccel'!$B:$B,'Felosztás eredménykim'!$B223,'Eredeti fejléccel'!$CY:$CY)</f>
        <v>0</v>
      </c>
      <c r="GO223" s="6">
        <f>SUMIF('Eredeti fejléccel'!$B:$B,'Felosztás eredménykim'!$B223,'Eredeti fejléccel'!$CZ:$CZ)</f>
        <v>0</v>
      </c>
      <c r="GP223" s="6">
        <f>SUMIF('Eredeti fejléccel'!$B:$B,'Felosztás eredménykim'!$B223,'Eredeti fejléccel'!$DA:$DA)</f>
        <v>0</v>
      </c>
      <c r="GQ223" s="6">
        <f>SUMIF('Eredeti fejléccel'!$B:$B,'Felosztás eredménykim'!$B223,'Eredeti fejléccel'!$DB:$DB)</f>
        <v>0</v>
      </c>
      <c r="GR223" s="103">
        <f t="shared" si="532"/>
        <v>0</v>
      </c>
      <c r="GW223" s="36">
        <f t="shared" si="413"/>
        <v>95.819703799098534</v>
      </c>
      <c r="GX223" s="6">
        <f>SUMIF('Eredeti fejléccel'!$B:$B,'Felosztás eredménykim'!$B223,'Eredeti fejléccel'!$M:$M)</f>
        <v>0</v>
      </c>
      <c r="GY223" s="6">
        <f>SUMIF('Eredeti fejléccel'!$B:$B,'Felosztás eredménykim'!$B223,'Eredeti fejléccel'!$DC:$DC)</f>
        <v>0</v>
      </c>
      <c r="GZ223" s="6">
        <f>SUMIF('Eredeti fejléccel'!$B:$B,'Felosztás eredménykim'!$B223,'Eredeti fejléccel'!$DD:$DD)</f>
        <v>0</v>
      </c>
      <c r="HA223" s="6">
        <f>SUMIF('Eredeti fejléccel'!$B:$B,'Felosztás eredménykim'!$B223,'Eredeti fejléccel'!$DE:$DE)</f>
        <v>0</v>
      </c>
      <c r="HB223" s="103">
        <f t="shared" si="533"/>
        <v>0</v>
      </c>
      <c r="HD223" s="9">
        <f t="shared" si="429"/>
        <v>1958</v>
      </c>
      <c r="HE223" s="9">
        <v>1958</v>
      </c>
      <c r="HF223" s="476"/>
      <c r="HH223" s="34">
        <f t="shared" si="534"/>
        <v>0</v>
      </c>
    </row>
    <row r="224" spans="1:218" x14ac:dyDescent="0.25">
      <c r="A224" s="4" t="s">
        <v>297</v>
      </c>
      <c r="B224" s="4" t="s">
        <v>297</v>
      </c>
      <c r="C224" s="1" t="s">
        <v>298</v>
      </c>
      <c r="D224" s="6">
        <f>SUMIF('Eredeti fejléccel'!$B:$B,'Felosztás eredménykim'!$B224,'Eredeti fejléccel'!$D:$D)</f>
        <v>-35</v>
      </c>
      <c r="E224" s="6">
        <f>SUMIF('Eredeti fejléccel'!$B:$B,'Felosztás eredménykim'!$B224,'Eredeti fejléccel'!$E:$E)</f>
        <v>15</v>
      </c>
      <c r="F224" s="6">
        <f>SUMIF('Eredeti fejléccel'!$B:$B,'Felosztás eredménykim'!$B224,'Eredeti fejléccel'!$F:$F)</f>
        <v>0</v>
      </c>
      <c r="G224" s="6">
        <f>SUMIF('Eredeti fejléccel'!$B:$B,'Felosztás eredménykim'!$B224,'Eredeti fejléccel'!$G:$G)</f>
        <v>2</v>
      </c>
      <c r="H224" s="6"/>
      <c r="I224" s="6">
        <f>SUMIF('Eredeti fejléccel'!$B:$B,'Felosztás eredménykim'!$B224,'Eredeti fejléccel'!$O:$O)</f>
        <v>-1</v>
      </c>
      <c r="J224" s="6">
        <f>SUMIF('Eredeti fejléccel'!$B:$B,'Felosztás eredménykim'!$B224,'Eredeti fejléccel'!$P:$P)</f>
        <v>0</v>
      </c>
      <c r="K224" s="6">
        <f>SUMIF('Eredeti fejléccel'!$B:$B,'Felosztás eredménykim'!$B224,'Eredeti fejléccel'!$Q:$Q)</f>
        <v>0</v>
      </c>
      <c r="L224" s="6">
        <f>SUMIF('Eredeti fejléccel'!$B:$B,'Felosztás eredménykim'!$B224,'Eredeti fejléccel'!$R:$R)</f>
        <v>-1</v>
      </c>
      <c r="M224" s="6">
        <f>SUMIF('Eredeti fejléccel'!$B:$B,'Felosztás eredménykim'!$B224,'Eredeti fejléccel'!$T:$T)</f>
        <v>0</v>
      </c>
      <c r="N224" s="6">
        <f>SUMIF('Eredeti fejléccel'!$B:$B,'Felosztás eredménykim'!$B224,'Eredeti fejléccel'!$U:$U)</f>
        <v>0</v>
      </c>
      <c r="O224" s="6">
        <f>SUMIF('Eredeti fejléccel'!$B:$B,'Felosztás eredménykim'!$B224,'Eredeti fejléccel'!$V:$V)</f>
        <v>2</v>
      </c>
      <c r="P224" s="6">
        <f>SUMIF('Eredeti fejléccel'!$B:$B,'Felosztás eredménykim'!$B224,'Eredeti fejléccel'!$W:$W)</f>
        <v>1</v>
      </c>
      <c r="Q224" s="6">
        <f>SUMIF('Eredeti fejléccel'!$B:$B,'Felosztás eredménykim'!$B224,'Eredeti fejléccel'!$X:$X)</f>
        <v>0</v>
      </c>
      <c r="R224" s="6">
        <f>SUMIF('Eredeti fejléccel'!$B:$B,'Felosztás eredménykim'!$B224,'Eredeti fejléccel'!$Y:$Y)</f>
        <v>0</v>
      </c>
      <c r="S224" s="6">
        <f>SUMIF('Eredeti fejléccel'!$B:$B,'Felosztás eredménykim'!$B224,'Eredeti fejléccel'!$Z:$Z)</f>
        <v>0</v>
      </c>
      <c r="T224" s="6">
        <f>SUMIF('Eredeti fejléccel'!$B:$B,'Felosztás eredménykim'!$B224,'Eredeti fejléccel'!$AA:$AA)</f>
        <v>0</v>
      </c>
      <c r="U224" s="6">
        <v>0</v>
      </c>
      <c r="V224" s="6">
        <f>SUMIF('Eredeti fejléccel'!$B:$B,'Felosztás eredménykim'!$B224,'Eredeti fejléccel'!$AT:$AT)</f>
        <v>0</v>
      </c>
      <c r="W224" s="555">
        <v>0</v>
      </c>
      <c r="X224" s="36">
        <f t="shared" si="414"/>
        <v>-17</v>
      </c>
      <c r="Z224" s="6">
        <f>SUMIF('Eredeti fejléccel'!$B:$B,'Felosztás eredménykim'!$B224,'Eredeti fejléccel'!$K:$K)</f>
        <v>1</v>
      </c>
      <c r="AB224" s="6">
        <f>SUMIF('Eredeti fejléccel'!$B:$B,'Felosztás eredménykim'!$B224,'Eredeti fejléccel'!$AB:$AB)</f>
        <v>0</v>
      </c>
      <c r="AC224" s="6">
        <f>SUMIF('Eredeti fejléccel'!$B:$B,'Felosztás eredménykim'!$B224,'Eredeti fejléccel'!$AQ:$AQ)</f>
        <v>0</v>
      </c>
      <c r="AE224" s="73">
        <f t="shared" si="299"/>
        <v>1</v>
      </c>
      <c r="AF224" s="36">
        <f t="shared" si="470"/>
        <v>-2.0280089060799202</v>
      </c>
      <c r="AG224" s="8">
        <f t="shared" si="399"/>
        <v>0.31884446829442797</v>
      </c>
      <c r="AI224" s="6">
        <f>SUMIF('Eredeti fejléccel'!$B:$B,'Felosztás eredménykim'!$B224,'Eredeti fejléccel'!$BB:$BB)</f>
        <v>0</v>
      </c>
      <c r="AJ224" s="6">
        <f>SUMIF('Eredeti fejléccel'!$B:$B,'Felosztás eredménykim'!$B224,'Eredeti fejléccel'!$AF:$AF)</f>
        <v>0</v>
      </c>
      <c r="AK224" s="8">
        <f t="shared" si="522"/>
        <v>0.31884446829442797</v>
      </c>
      <c r="AL224" s="36">
        <f t="shared" si="471"/>
        <v>-0.80551489789878472</v>
      </c>
      <c r="AM224" s="8">
        <f t="shared" si="400"/>
        <v>0.12664341293265358</v>
      </c>
      <c r="AN224" s="6">
        <f t="shared" si="291"/>
        <v>0</v>
      </c>
      <c r="AO224" s="6">
        <f>SUMIF('Eredeti fejléccel'!$B:$B,'Felosztás eredménykim'!$B224,'Eredeti fejléccel'!$AC:$AC)</f>
        <v>0</v>
      </c>
      <c r="AP224" s="6">
        <f>SUMIF('Eredeti fejléccel'!$B:$B,'Felosztás eredménykim'!$B224,'Eredeti fejléccel'!$AD:$AD)</f>
        <v>0</v>
      </c>
      <c r="AQ224" s="6">
        <f>SUMIF('Eredeti fejléccel'!$B:$B,'Felosztás eredménykim'!$B224,'Eredeti fejléccel'!$AE:$AE)</f>
        <v>0</v>
      </c>
      <c r="AR224" s="6">
        <f>SUMIF('Eredeti fejléccel'!$B:$B,'Felosztás eredménykim'!$B224,'Eredeti fejléccel'!$AG:$AG)</f>
        <v>1</v>
      </c>
      <c r="AS224" s="6">
        <f t="shared" si="292"/>
        <v>1.1266434129326535</v>
      </c>
      <c r="AT224" s="36">
        <f t="shared" si="472"/>
        <v>-1.3083928426322067</v>
      </c>
      <c r="AU224" s="8">
        <f t="shared" si="401"/>
        <v>0.20570610857705032</v>
      </c>
      <c r="AV224" s="6">
        <f>SUMIF('Eredeti fejléccel'!$B:$B,'Felosztás eredménykim'!$B224,'Eredeti fejléccel'!$AI:$AI)</f>
        <v>0</v>
      </c>
      <c r="AW224" s="6">
        <f>SUMIF('Eredeti fejléccel'!$B:$B,'Felosztás eredménykim'!$B224,'Eredeti fejléccel'!$AJ:$AJ)</f>
        <v>-1</v>
      </c>
      <c r="AX224" s="6">
        <f>SUMIF('Eredeti fejléccel'!$B:$B,'Felosztás eredménykim'!$B224,'Eredeti fejléccel'!$AK:$AK)</f>
        <v>0</v>
      </c>
      <c r="AY224" s="6">
        <f>SUMIF('Eredeti fejléccel'!$B:$B,'Felosztás eredménykim'!$B224,'Eredeti fejléccel'!$AL:$AL)</f>
        <v>1</v>
      </c>
      <c r="AZ224" s="6">
        <f>SUMIF('Eredeti fejléccel'!$B:$B,'Felosztás eredménykim'!$B224,'Eredeti fejléccel'!$AM:$AM)</f>
        <v>0</v>
      </c>
      <c r="BA224" s="6">
        <f>SUMIF('Eredeti fejléccel'!$B:$B,'Felosztás eredménykim'!$B224,'Eredeti fejléccel'!$AN:$AN)</f>
        <v>0</v>
      </c>
      <c r="BB224" s="6">
        <f>SUMIF('Eredeti fejléccel'!$B:$B,'Felosztás eredménykim'!$B224,'Eredeti fejléccel'!$AP:$AP)</f>
        <v>0</v>
      </c>
      <c r="BD224" s="6">
        <f>SUMIF('Eredeti fejléccel'!$B:$B,'Felosztás eredménykim'!$B224,'Eredeti fejléccel'!$AS:$AS)</f>
        <v>0</v>
      </c>
      <c r="BE224" s="8">
        <f t="shared" si="523"/>
        <v>0.2057061085770503</v>
      </c>
      <c r="BF224" s="36">
        <f t="shared" si="473"/>
        <v>-0.34131987199101044</v>
      </c>
      <c r="BG224" s="8">
        <f t="shared" si="402"/>
        <v>5.3662463107056607E-2</v>
      </c>
      <c r="BH224" s="6">
        <f t="shared" si="293"/>
        <v>0</v>
      </c>
      <c r="BI224" s="6">
        <f>SUMIF('Eredeti fejléccel'!$B:$B,'Felosztás eredménykim'!$B224,'Eredeti fejléccel'!$AH:$AH)</f>
        <v>0</v>
      </c>
      <c r="BJ224" s="6">
        <f>SUMIF('Eredeti fejléccel'!$B:$B,'Felosztás eredménykim'!$B224,'Eredeti fejléccel'!$AO:$AO)</f>
        <v>0</v>
      </c>
      <c r="BK224" s="6">
        <f>SUMIF('Eredeti fejléccel'!$B:$B,'Felosztás eredménykim'!$B224,'Eredeti fejléccel'!$BF:$BF)</f>
        <v>0</v>
      </c>
      <c r="BL224" s="8">
        <f t="shared" si="294"/>
        <v>5.3662463107056607E-2</v>
      </c>
      <c r="BM224" s="36">
        <f t="shared" si="474"/>
        <v>-1.2788117870596525</v>
      </c>
      <c r="BN224" s="8">
        <f t="shared" si="403"/>
        <v>0.20105536177443875</v>
      </c>
      <c r="BP224" s="8">
        <f t="shared" si="295"/>
        <v>0</v>
      </c>
      <c r="BQ224" s="6">
        <f>SUMIF('Eredeti fejléccel'!$B:$B,'Felosztás eredménykim'!$B224,'Eredeti fejléccel'!$N:$N)</f>
        <v>0</v>
      </c>
      <c r="BR224" s="6">
        <f>SUMIF('Eredeti fejléccel'!$B:$B,'Felosztás eredménykim'!$B224,'Eredeti fejléccel'!$S:$S)</f>
        <v>0</v>
      </c>
      <c r="BT224" s="6">
        <f>SUMIF('Eredeti fejléccel'!$B:$B,'Felosztás eredménykim'!$B224,'Eredeti fejléccel'!$AR:$AR)</f>
        <v>0</v>
      </c>
      <c r="BU224" s="6">
        <f>SUMIF('Eredeti fejléccel'!$B:$B,'Felosztás eredménykim'!$B224,'Eredeti fejléccel'!$AU:$AU)</f>
        <v>0</v>
      </c>
      <c r="BV224" s="6">
        <f>SUMIF('Eredeti fejléccel'!$B:$B,'Felosztás eredménykim'!$B224,'Eredeti fejléccel'!$AV:$AV)</f>
        <v>0</v>
      </c>
      <c r="BW224" s="6">
        <f>SUMIF('Eredeti fejléccel'!$B:$B,'Felosztás eredménykim'!$B224,'Eredeti fejléccel'!$AW:$AW)</f>
        <v>0</v>
      </c>
      <c r="BX224" s="6">
        <f>SUMIF('Eredeti fejléccel'!$B:$B,'Felosztás eredménykim'!$B224,'Eredeti fejléccel'!$AX:$AX)</f>
        <v>0</v>
      </c>
      <c r="BY224" s="6">
        <f>SUMIF('Eredeti fejléccel'!$B:$B,'Felosztás eredménykim'!$B224,'Eredeti fejléccel'!$AY:$AY)</f>
        <v>0</v>
      </c>
      <c r="BZ224" s="6">
        <f>SUMIF('Eredeti fejléccel'!$B:$B,'Felosztás eredménykim'!$B224,'Eredeti fejléccel'!$AZ:$AZ)</f>
        <v>0</v>
      </c>
      <c r="CA224" s="6">
        <f>SUMIF('Eredeti fejléccel'!$B:$B,'Felosztás eredménykim'!$B224,'Eredeti fejléccel'!$BA:$BA)</f>
        <v>3</v>
      </c>
      <c r="CB224" s="6">
        <f t="shared" si="481"/>
        <v>3.2010553617744386</v>
      </c>
      <c r="CC224" s="36">
        <f t="shared" si="475"/>
        <v>-0.34814626943083066</v>
      </c>
      <c r="CD224" s="8">
        <f t="shared" si="404"/>
        <v>5.4735712369197734E-2</v>
      </c>
      <c r="CE224" s="6">
        <f>SUMIF('Eredeti fejléccel'!$B:$B,'Felosztás eredménykim'!$B224,'Eredeti fejléccel'!$BC:$BC)</f>
        <v>0</v>
      </c>
      <c r="CF224" s="8">
        <f t="shared" si="300"/>
        <v>0</v>
      </c>
      <c r="CG224" s="6">
        <f>SUMIF('Eredeti fejléccel'!$B:$B,'Felosztás eredménykim'!$B224,'Eredeti fejléccel'!$H:$H)</f>
        <v>0</v>
      </c>
      <c r="CH224" s="6">
        <f>SUMIF('Eredeti fejléccel'!$B:$B,'Felosztás eredménykim'!$B224,'Eredeti fejléccel'!$BE:$BE)</f>
        <v>0</v>
      </c>
      <c r="CI224" s="6">
        <f t="shared" si="524"/>
        <v>5.4735712369197734E-2</v>
      </c>
      <c r="CJ224" s="36">
        <f t="shared" si="476"/>
        <v>-0.25030123946007438</v>
      </c>
      <c r="CK224" s="8">
        <f t="shared" si="405"/>
        <v>3.9352472945174848E-2</v>
      </c>
      <c r="CL224" s="8">
        <f t="shared" si="301"/>
        <v>0</v>
      </c>
      <c r="CM224" s="6">
        <f>SUMIF('Eredeti fejléccel'!$B:$B,'Felosztás eredménykim'!$B224,'Eredeti fejléccel'!$BD:$BD)</f>
        <v>0</v>
      </c>
      <c r="CN224" s="8">
        <f t="shared" si="525"/>
        <v>3.9352472945174848E-2</v>
      </c>
      <c r="CO224" s="8">
        <f t="shared" si="482"/>
        <v>-1.3604958145524799</v>
      </c>
      <c r="CR224" s="36">
        <f t="shared" si="406"/>
        <v>-1.5035093367675467</v>
      </c>
      <c r="CS224" s="6">
        <f>SUMIF('Eredeti fejléccel'!$B:$B,'Felosztás eredménykim'!$B224,'Eredeti fejléccel'!$I:$I)</f>
        <v>0</v>
      </c>
      <c r="CT224" s="6">
        <f>SUMIF('Eredeti fejléccel'!$B:$B,'Felosztás eredménykim'!$B224,'Eredeti fejléccel'!$BG:$BG)</f>
        <v>0</v>
      </c>
      <c r="CU224" s="6">
        <f>SUMIF('Eredeti fejléccel'!$B:$B,'Felosztás eredménykim'!$B224,'Eredeti fejléccel'!$BH:$BH)</f>
        <v>0</v>
      </c>
      <c r="CV224" s="6">
        <f>SUMIF('Eredeti fejléccel'!$B:$B,'Felosztás eredménykim'!$B224,'Eredeti fejléccel'!$BI:$BI)</f>
        <v>1</v>
      </c>
      <c r="CW224" s="6">
        <f>SUMIF('Eredeti fejléccel'!$B:$B,'Felosztás eredménykim'!$B224,'Eredeti fejléccel'!$BL:$BL)</f>
        <v>-5</v>
      </c>
      <c r="CX224" s="6">
        <f t="shared" si="526"/>
        <v>-4</v>
      </c>
      <c r="CY224" s="6">
        <f>SUMIF('Eredeti fejléccel'!$B:$B,'Felosztás eredménykim'!$B224,'Eredeti fejléccel'!$BJ:$BJ)</f>
        <v>-1</v>
      </c>
      <c r="CZ224" s="6">
        <f>SUMIF('Eredeti fejléccel'!$B:$B,'Felosztás eredménykim'!$B224,'Eredeti fejléccel'!$BK:$BK)</f>
        <v>0</v>
      </c>
      <c r="DA224" s="99">
        <f t="shared" si="415"/>
        <v>-5</v>
      </c>
      <c r="DC224" s="36">
        <f t="shared" si="407"/>
        <v>-1.3168705730843531</v>
      </c>
      <c r="DD224" s="6">
        <f>SUMIF('Eredeti fejléccel'!$B:$B,'Felosztás eredménykim'!$B224,'Eredeti fejléccel'!$J:$J)</f>
        <v>0</v>
      </c>
      <c r="DE224" s="6">
        <f>SUMIF('Eredeti fejléccel'!$B:$B,'Felosztás eredménykim'!$B224,'Eredeti fejléccel'!$BM:$BM)</f>
        <v>0</v>
      </c>
      <c r="DF224" s="6">
        <f t="shared" si="296"/>
        <v>0</v>
      </c>
      <c r="DG224" s="8">
        <f t="shared" si="483"/>
        <v>0</v>
      </c>
      <c r="DH224" s="8">
        <f t="shared" si="297"/>
        <v>0</v>
      </c>
      <c r="DJ224" s="6">
        <f>SUMIF('Eredeti fejléccel'!$B:$B,'Felosztás eredménykim'!$B224,'Eredeti fejléccel'!$BN:$BN)</f>
        <v>0</v>
      </c>
      <c r="DK224" s="6">
        <f>SUMIF('Eredeti fejléccel'!$B:$B,'Felosztás eredménykim'!$B224,'Eredeti fejléccel'!$BZ:$BZ)</f>
        <v>0</v>
      </c>
      <c r="DL224" s="8">
        <f t="shared" si="298"/>
        <v>0</v>
      </c>
      <c r="DM224" s="6">
        <f>SUMIF('Eredeti fejléccel'!$B:$B,'Felosztás eredménykim'!$B224,'Eredeti fejléccel'!$BR:$BR)</f>
        <v>0</v>
      </c>
      <c r="DN224" s="6">
        <f>SUMIF('Eredeti fejléccel'!$B:$B,'Felosztás eredménykim'!$B224,'Eredeti fejléccel'!$BS:$BS)</f>
        <v>0</v>
      </c>
      <c r="DO224" s="6">
        <f>SUMIF('Eredeti fejléccel'!$B:$B,'Felosztás eredménykim'!$B224,'Eredeti fejléccel'!$BO:$BO)</f>
        <v>0</v>
      </c>
      <c r="DP224" s="6">
        <f>SUMIF('Eredeti fejléccel'!$B:$B,'Felosztás eredménykim'!$B224,'Eredeti fejléccel'!$BP:$BP)</f>
        <v>0</v>
      </c>
      <c r="DQ224" s="6">
        <f>SUMIF('Eredeti fejléccel'!$B:$B,'Felosztás eredménykim'!$B224,'Eredeti fejléccel'!$BQ:$BQ)</f>
        <v>0</v>
      </c>
      <c r="DS224" s="8"/>
      <c r="DU224" s="6">
        <f>SUMIF('Eredeti fejléccel'!$B:$B,'Felosztás eredménykim'!$B224,'Eredeti fejléccel'!$BT:$BT)</f>
        <v>0</v>
      </c>
      <c r="DV224" s="6">
        <f>SUMIF('Eredeti fejléccel'!$B:$B,'Felosztás eredménykim'!$B224,'Eredeti fejléccel'!$BU:$BU)</f>
        <v>0</v>
      </c>
      <c r="DW224" s="6">
        <f>SUMIF('Eredeti fejléccel'!$B:$B,'Felosztás eredménykim'!$B224,'Eredeti fejléccel'!$BV:$BV)</f>
        <v>0</v>
      </c>
      <c r="DX224" s="6">
        <f>SUMIF('Eredeti fejléccel'!$B:$B,'Felosztás eredménykim'!$B224,'Eredeti fejléccel'!$BW:$BW)</f>
        <v>0</v>
      </c>
      <c r="DY224" s="6">
        <f>SUMIF('Eredeti fejléccel'!$B:$B,'Felosztás eredménykim'!$B224,'Eredeti fejléccel'!$BX:$BX)</f>
        <v>0</v>
      </c>
      <c r="EA224" s="6"/>
      <c r="EC224" s="6"/>
      <c r="EE224" s="6">
        <f>SUMIF('Eredeti fejléccel'!$B:$B,'Felosztás eredménykim'!$B224,'Eredeti fejléccel'!$CA:$CA)</f>
        <v>0</v>
      </c>
      <c r="EF224" s="6">
        <f>SUMIF('Eredeti fejléccel'!$B:$B,'Felosztás eredménykim'!$B224,'Eredeti fejléccel'!$CB:$CB)</f>
        <v>0</v>
      </c>
      <c r="EG224" s="6">
        <f>SUMIF('Eredeti fejléccel'!$B:$B,'Felosztás eredménykim'!$B224,'Eredeti fejléccel'!$CC:$CC)</f>
        <v>0</v>
      </c>
      <c r="EH224" s="6">
        <f>SUMIF('Eredeti fejléccel'!$B:$B,'Felosztás eredménykim'!$B224,'Eredeti fejléccel'!$CD:$CD)</f>
        <v>0</v>
      </c>
      <c r="EK224" s="6">
        <f>SUMIF('Eredeti fejléccel'!$B:$B,'Felosztás eredménykim'!$B224,'Eredeti fejléccel'!$CE:$CE)</f>
        <v>0</v>
      </c>
      <c r="EN224" s="6">
        <f>SUMIF('Eredeti fejléccel'!$B:$B,'Felosztás eredménykim'!$B224,'Eredeti fejléccel'!$CF:$CF)</f>
        <v>0</v>
      </c>
      <c r="EP224" s="6">
        <f>SUMIF('Eredeti fejléccel'!$B:$B,'Felosztás eredménykim'!$B224,'Eredeti fejléccel'!$CG:$CG)</f>
        <v>0</v>
      </c>
      <c r="ES224" s="6">
        <f>SUMIF('Eredeti fejléccel'!$B:$B,'Felosztás eredménykim'!$B224,'Eredeti fejléccel'!$CH:$CH)</f>
        <v>0</v>
      </c>
      <c r="ET224" s="6">
        <f>SUMIF('Eredeti fejléccel'!$B:$B,'Felosztás eredménykim'!$B224,'Eredeti fejléccel'!$CI:$CI)</f>
        <v>0</v>
      </c>
      <c r="EW224" s="8">
        <f t="shared" ref="EW224:EW280" si="535">SUM(DR224:ED224)</f>
        <v>0</v>
      </c>
      <c r="EX224" s="8">
        <f t="shared" si="527"/>
        <v>0</v>
      </c>
      <c r="EY224" s="8">
        <f t="shared" si="416"/>
        <v>0</v>
      </c>
      <c r="EZ224" s="8">
        <f t="shared" ref="EZ224:EZ280" si="536">EY224+DL224+DM224+DN224+DO224+DP224+DQ224</f>
        <v>0</v>
      </c>
      <c r="FA224" s="8">
        <f t="shared" ref="FA224:FA280" si="537">EZ224-DL224-DM224</f>
        <v>0</v>
      </c>
      <c r="FC224" s="6">
        <f>SUMIF('Eredeti fejléccel'!$B:$B,'Felosztás eredménykim'!$B224,'Eredeti fejléccel'!$L:$L)</f>
        <v>0</v>
      </c>
      <c r="FD224" s="6">
        <f>SUMIF('Eredeti fejléccel'!$B:$B,'Felosztás eredménykim'!$B224,'Eredeti fejléccel'!$CJ:$CJ)</f>
        <v>1</v>
      </c>
      <c r="FE224" s="6">
        <f>SUMIF('Eredeti fejléccel'!$B:$B,'Felosztás eredménykim'!$B224,'Eredeti fejléccel'!$CL:$CL)</f>
        <v>0</v>
      </c>
      <c r="FG224" s="99">
        <f t="shared" si="528"/>
        <v>1</v>
      </c>
      <c r="FH224" s="6">
        <f>SUMIF('Eredeti fejléccel'!$B:$B,'Felosztás eredménykim'!$B224,'Eredeti fejléccel'!$CK:$CK)</f>
        <v>0</v>
      </c>
      <c r="FI224" s="36">
        <f t="shared" si="477"/>
        <v>-1.5493816854332061</v>
      </c>
      <c r="FJ224" s="101">
        <f t="shared" si="408"/>
        <v>0.2217461600646726</v>
      </c>
      <c r="FK224" s="6">
        <f>SUMIF('Eredeti fejléccel'!$B:$B,'Felosztás eredménykim'!$B224,'Eredeti fejléccel'!$CM:$CM)</f>
        <v>0</v>
      </c>
      <c r="FL224" s="6">
        <f>SUMIF('Eredeti fejléccel'!$B:$B,'Felosztás eredménykim'!$B224,'Eredeti fejléccel'!$CN:$CN)</f>
        <v>0</v>
      </c>
      <c r="FM224" s="8">
        <f t="shared" si="529"/>
        <v>0.2217461600646726</v>
      </c>
      <c r="FN224" s="36">
        <f t="shared" si="478"/>
        <v>-1.3172286148123358</v>
      </c>
      <c r="FO224" s="101">
        <f t="shared" si="409"/>
        <v>0.1885206143896524</v>
      </c>
      <c r="FP224" s="6">
        <f>SUMIF('Eredeti fejléccel'!$B:$B,'Felosztás eredménykim'!$B224,'Eredeti fejléccel'!$CO:$CO)</f>
        <v>2</v>
      </c>
      <c r="FQ224" s="6">
        <f>'Eredeti fejléccel'!CP224</f>
        <v>0</v>
      </c>
      <c r="FR224" s="6">
        <f>'Eredeti fejléccel'!CQ224</f>
        <v>-3</v>
      </c>
      <c r="FS224" s="103">
        <f t="shared" si="417"/>
        <v>-0.81147938561034749</v>
      </c>
      <c r="FT224" s="36">
        <f t="shared" si="479"/>
        <v>-3.6359350744198133</v>
      </c>
      <c r="FU224" s="101">
        <f t="shared" si="410"/>
        <v>0.52037186742118036</v>
      </c>
      <c r="FV224" s="101"/>
      <c r="FW224" s="6">
        <f>SUMIF('Eredeti fejléccel'!$B:$B,'Felosztás eredménykim'!$B224,'Eredeti fejléccel'!$CR:$CR)</f>
        <v>-1</v>
      </c>
      <c r="FX224" s="6">
        <f>SUMIF('Eredeti fejléccel'!$B:$B,'Felosztás eredménykim'!$B224,'Eredeti fejléccel'!$CS:$CS)</f>
        <v>0</v>
      </c>
      <c r="FY224" s="6">
        <f>SUMIF('Eredeti fejléccel'!$B:$B,'Felosztás eredménykim'!$B224,'Eredeti fejléccel'!$CT:$CT)</f>
        <v>0</v>
      </c>
      <c r="FZ224" s="6">
        <f>SUMIF('Eredeti fejléccel'!$B:$B,'Felosztás eredménykim'!$B224,'Eredeti fejléccel'!$CU:$CU)</f>
        <v>0</v>
      </c>
      <c r="GA224" s="103">
        <f t="shared" si="530"/>
        <v>-0.47962813257881964</v>
      </c>
      <c r="GB224" s="36">
        <f t="shared" si="480"/>
        <v>-0.4846407167705763</v>
      </c>
      <c r="GC224" s="101">
        <f t="shared" si="411"/>
        <v>6.9361358124494746E-2</v>
      </c>
      <c r="GD224" s="6">
        <f>SUMIF('Eredeti fejléccel'!$B:$B,'Felosztás eredménykim'!$B224,'Eredeti fejléccel'!$CV:$CV)</f>
        <v>1</v>
      </c>
      <c r="GE224" s="6">
        <f>SUMIF('Eredeti fejléccel'!$B:$B,'Felosztás eredménykim'!$B224,'Eredeti fejléccel'!$CW:$CW)</f>
        <v>0</v>
      </c>
      <c r="GF224" s="103">
        <f t="shared" si="531"/>
        <v>1.0693613581244947</v>
      </c>
      <c r="GG224" s="36">
        <f t="shared" si="412"/>
        <v>0</v>
      </c>
      <c r="GM224" s="6">
        <f>SUMIF('Eredeti fejléccel'!$B:$B,'Felosztás eredménykim'!$B224,'Eredeti fejléccel'!$CX:$CX)</f>
        <v>0</v>
      </c>
      <c r="GN224" s="6">
        <f>SUMIF('Eredeti fejléccel'!$B:$B,'Felosztás eredménykim'!$B224,'Eredeti fejléccel'!$CY:$CY)</f>
        <v>0</v>
      </c>
      <c r="GO224" s="6">
        <f>SUMIF('Eredeti fejléccel'!$B:$B,'Felosztás eredménykim'!$B224,'Eredeti fejléccel'!$CZ:$CZ)</f>
        <v>0</v>
      </c>
      <c r="GP224" s="6">
        <f>SUMIF('Eredeti fejléccel'!$B:$B,'Felosztás eredménykim'!$B224,'Eredeti fejléccel'!$DA:$DA)</f>
        <v>0</v>
      </c>
      <c r="GQ224" s="6">
        <f>SUMIF('Eredeti fejléccel'!$B:$B,'Felosztás eredménykim'!$B224,'Eredeti fejléccel'!$DB:$DB)</f>
        <v>0</v>
      </c>
      <c r="GR224" s="103">
        <f t="shared" si="532"/>
        <v>0</v>
      </c>
      <c r="GW224" s="36">
        <f t="shared" si="413"/>
        <v>-0.8319381841596909</v>
      </c>
      <c r="GX224" s="6">
        <f>SUMIF('Eredeti fejléccel'!$B:$B,'Felosztás eredménykim'!$B224,'Eredeti fejléccel'!$M:$M)</f>
        <v>0</v>
      </c>
      <c r="GY224" s="6">
        <f>SUMIF('Eredeti fejléccel'!$B:$B,'Felosztás eredménykim'!$B224,'Eredeti fejléccel'!$DC:$DC)</f>
        <v>-7</v>
      </c>
      <c r="GZ224" s="6">
        <f>SUMIF('Eredeti fejléccel'!$B:$B,'Felosztás eredménykim'!$B224,'Eredeti fejléccel'!$DD:$DD)</f>
        <v>0</v>
      </c>
      <c r="HA224" s="6">
        <f>SUMIF('Eredeti fejléccel'!$B:$B,'Felosztás eredménykim'!$B224,'Eredeti fejléccel'!$DE:$DE)</f>
        <v>0</v>
      </c>
      <c r="HB224" s="103">
        <f t="shared" si="533"/>
        <v>-7</v>
      </c>
      <c r="HD224" s="9">
        <f t="shared" si="429"/>
        <v>-23.999999999999982</v>
      </c>
      <c r="HE224" s="9">
        <v>-24</v>
      </c>
      <c r="HF224" s="476"/>
      <c r="HH224" s="34">
        <f t="shared" si="534"/>
        <v>0</v>
      </c>
      <c r="HI224" s="31">
        <f>SUM(HD208:HD224)</f>
        <v>63181720.400000021</v>
      </c>
      <c r="HJ224" s="31">
        <f>SUM(HE208:HE224)</f>
        <v>39841962.340000004</v>
      </c>
    </row>
    <row r="225" spans="1:218" x14ac:dyDescent="0.25">
      <c r="A225" s="4" t="s">
        <v>1838</v>
      </c>
      <c r="B225" s="4" t="s">
        <v>1838</v>
      </c>
      <c r="C225" s="1" t="s">
        <v>1839</v>
      </c>
      <c r="D225" s="6">
        <f>SUMIF('Eredeti fejléccel'!$B:$B,'Felosztás eredménykim'!$B225,'Eredeti fejléccel'!$D:$D)</f>
        <v>0</v>
      </c>
      <c r="E225" s="6">
        <f>SUMIF('Eredeti fejléccel'!$B:$B,'Felosztás eredménykim'!$B225,'Eredeti fejléccel'!$E:$E)</f>
        <v>0</v>
      </c>
      <c r="F225" s="6">
        <f>SUMIF('Eredeti fejléccel'!$B:$B,'Felosztás eredménykim'!$B225,'Eredeti fejléccel'!$F:$F)</f>
        <v>0</v>
      </c>
      <c r="G225" s="6">
        <f>SUMIF('Eredeti fejléccel'!$B:$B,'Felosztás eredménykim'!$B225,'Eredeti fejléccel'!$G:$G)</f>
        <v>0</v>
      </c>
      <c r="H225" s="6"/>
      <c r="I225" s="6">
        <f>SUMIF('Eredeti fejléccel'!$B:$B,'Felosztás eredménykim'!$B225,'Eredeti fejléccel'!$O:$O)</f>
        <v>0</v>
      </c>
      <c r="J225" s="6">
        <f>SUMIF('Eredeti fejléccel'!$B:$B,'Felosztás eredménykim'!$B225,'Eredeti fejléccel'!$P:$P)</f>
        <v>0</v>
      </c>
      <c r="K225" s="6">
        <f>SUMIF('Eredeti fejléccel'!$B:$B,'Felosztás eredménykim'!$B225,'Eredeti fejléccel'!$Q:$Q)</f>
        <v>0</v>
      </c>
      <c r="L225" s="6">
        <f>SUMIF('Eredeti fejléccel'!$B:$B,'Felosztás eredménykim'!$B225,'Eredeti fejléccel'!$R:$R)</f>
        <v>0</v>
      </c>
      <c r="M225" s="6">
        <f>SUMIF('Eredeti fejléccel'!$B:$B,'Felosztás eredménykim'!$B225,'Eredeti fejléccel'!$T:$T)</f>
        <v>0</v>
      </c>
      <c r="N225" s="6">
        <f>SUMIF('Eredeti fejléccel'!$B:$B,'Felosztás eredménykim'!$B225,'Eredeti fejléccel'!$U:$U)</f>
        <v>0</v>
      </c>
      <c r="O225" s="6">
        <f>SUMIF('Eredeti fejléccel'!$B:$B,'Felosztás eredménykim'!$B225,'Eredeti fejléccel'!$V:$V)</f>
        <v>0</v>
      </c>
      <c r="P225" s="6">
        <f>SUMIF('Eredeti fejléccel'!$B:$B,'Felosztás eredménykim'!$B225,'Eredeti fejléccel'!$W:$W)</f>
        <v>0</v>
      </c>
      <c r="Q225" s="6">
        <f>SUMIF('Eredeti fejléccel'!$B:$B,'Felosztás eredménykim'!$B225,'Eredeti fejléccel'!$X:$X)</f>
        <v>0</v>
      </c>
      <c r="R225" s="6">
        <f>SUMIF('Eredeti fejléccel'!$B:$B,'Felosztás eredménykim'!$B225,'Eredeti fejléccel'!$Y:$Y)</f>
        <v>0</v>
      </c>
      <c r="S225" s="6">
        <f>SUMIF('Eredeti fejléccel'!$B:$B,'Felosztás eredménykim'!$B225,'Eredeti fejléccel'!$Z:$Z)</f>
        <v>0</v>
      </c>
      <c r="T225" s="6">
        <f>SUMIF('Eredeti fejléccel'!$B:$B,'Felosztás eredménykim'!$B225,'Eredeti fejléccel'!$AA:$AA)</f>
        <v>0</v>
      </c>
      <c r="U225" s="6">
        <f>SUMIF('Eredeti fejléccel'!$B:$B,'Felosztás eredménykim'!$B225,'Eredeti fejléccel'!$D:$D)</f>
        <v>0</v>
      </c>
      <c r="V225" s="6">
        <f>SUMIF('Eredeti fejléccel'!$B:$B,'Felosztás eredménykim'!$B225,'Eredeti fejléccel'!$AT:$AT)</f>
        <v>0</v>
      </c>
      <c r="W225" s="555"/>
      <c r="X225" s="36">
        <f t="shared" si="414"/>
        <v>0</v>
      </c>
      <c r="Z225" s="6">
        <f>SUMIF('Eredeti fejléccel'!$B:$B,'Felosztás eredménykim'!$B225,'Eredeti fejléccel'!$K:$K)</f>
        <v>0</v>
      </c>
      <c r="AB225" s="6">
        <f>SUMIF('Eredeti fejléccel'!$B:$B,'Felosztás eredménykim'!$B225,'Eredeti fejléccel'!$AB:$AB)</f>
        <v>0</v>
      </c>
      <c r="AC225" s="6">
        <f>SUMIF('Eredeti fejléccel'!$B:$B,'Felosztás eredménykim'!$B225,'Eredeti fejléccel'!$AQ:$AQ)</f>
        <v>0</v>
      </c>
      <c r="AE225" s="73">
        <f t="shared" si="299"/>
        <v>0</v>
      </c>
      <c r="AF225" s="36">
        <f t="shared" si="470"/>
        <v>0</v>
      </c>
      <c r="AG225" s="8">
        <f t="shared" si="399"/>
        <v>0</v>
      </c>
      <c r="AI225" s="6">
        <f>SUMIF('Eredeti fejléccel'!$B:$B,'Felosztás eredménykim'!$B225,'Eredeti fejléccel'!$BB:$BB)</f>
        <v>0</v>
      </c>
      <c r="AJ225" s="6">
        <f>SUMIF('Eredeti fejléccel'!$B:$B,'Felosztás eredménykim'!$B225,'Eredeti fejléccel'!$AF:$AF)</f>
        <v>0</v>
      </c>
      <c r="AK225" s="8">
        <f t="shared" si="522"/>
        <v>0</v>
      </c>
      <c r="AL225" s="36">
        <f t="shared" si="471"/>
        <v>0</v>
      </c>
      <c r="AM225" s="8">
        <f t="shared" si="400"/>
        <v>0</v>
      </c>
      <c r="AN225" s="6">
        <f t="shared" si="291"/>
        <v>0</v>
      </c>
      <c r="AO225" s="6">
        <f>SUMIF('Eredeti fejléccel'!$B:$B,'Felosztás eredménykim'!$B225,'Eredeti fejléccel'!$AC:$AC)</f>
        <v>0</v>
      </c>
      <c r="AP225" s="6">
        <f>SUMIF('Eredeti fejléccel'!$B:$B,'Felosztás eredménykim'!$B225,'Eredeti fejléccel'!$AD:$AD)</f>
        <v>0</v>
      </c>
      <c r="AQ225" s="6">
        <f>SUMIF('Eredeti fejléccel'!$B:$B,'Felosztás eredménykim'!$B225,'Eredeti fejléccel'!$AE:$AE)</f>
        <v>0</v>
      </c>
      <c r="AR225" s="6">
        <f>SUMIF('Eredeti fejléccel'!$B:$B,'Felosztás eredménykim'!$B225,'Eredeti fejléccel'!$AG:$AG)</f>
        <v>0</v>
      </c>
      <c r="AS225" s="6">
        <f t="shared" si="292"/>
        <v>0</v>
      </c>
      <c r="AT225" s="36">
        <f t="shared" si="472"/>
        <v>0</v>
      </c>
      <c r="AU225" s="8">
        <f t="shared" si="401"/>
        <v>0</v>
      </c>
      <c r="AV225" s="6">
        <f>SUMIF('Eredeti fejléccel'!$B:$B,'Felosztás eredménykim'!$B225,'Eredeti fejléccel'!$AI:$AI)</f>
        <v>0</v>
      </c>
      <c r="AW225" s="6">
        <f>SUMIF('Eredeti fejléccel'!$B:$B,'Felosztás eredménykim'!$B225,'Eredeti fejléccel'!$AJ:$AJ)</f>
        <v>0</v>
      </c>
      <c r="AX225" s="6">
        <f>SUMIF('Eredeti fejléccel'!$B:$B,'Felosztás eredménykim'!$B225,'Eredeti fejléccel'!$AK:$AK)</f>
        <v>0</v>
      </c>
      <c r="AY225" s="6">
        <f>SUMIF('Eredeti fejléccel'!$B:$B,'Felosztás eredménykim'!$B225,'Eredeti fejléccel'!$AL:$AL)</f>
        <v>0</v>
      </c>
      <c r="AZ225" s="6">
        <f>SUMIF('Eredeti fejléccel'!$B:$B,'Felosztás eredménykim'!$B225,'Eredeti fejléccel'!$AM:$AM)</f>
        <v>0</v>
      </c>
      <c r="BA225" s="6">
        <f>SUMIF('Eredeti fejléccel'!$B:$B,'Felosztás eredménykim'!$B225,'Eredeti fejléccel'!$AN:$AN)</f>
        <v>0</v>
      </c>
      <c r="BB225" s="6">
        <f>SUMIF('Eredeti fejléccel'!$B:$B,'Felosztás eredménykim'!$B225,'Eredeti fejléccel'!$AP:$AP)</f>
        <v>0</v>
      </c>
      <c r="BD225" s="6">
        <f>SUMIF('Eredeti fejléccel'!$B:$B,'Felosztás eredménykim'!$B225,'Eredeti fejléccel'!$AS:$AS)</f>
        <v>0</v>
      </c>
      <c r="BE225" s="8">
        <f t="shared" si="523"/>
        <v>0</v>
      </c>
      <c r="BF225" s="36">
        <f t="shared" si="473"/>
        <v>0</v>
      </c>
      <c r="BG225" s="8">
        <f t="shared" si="402"/>
        <v>0</v>
      </c>
      <c r="BH225" s="6">
        <f t="shared" si="293"/>
        <v>0</v>
      </c>
      <c r="BI225" s="6">
        <f>SUMIF('Eredeti fejléccel'!$B:$B,'Felosztás eredménykim'!$B225,'Eredeti fejléccel'!$AH:$AH)</f>
        <v>0</v>
      </c>
      <c r="BJ225" s="6">
        <f>SUMIF('Eredeti fejléccel'!$B:$B,'Felosztás eredménykim'!$B225,'Eredeti fejléccel'!$AO:$AO)</f>
        <v>0</v>
      </c>
      <c r="BK225" s="6">
        <f>SUMIF('Eredeti fejléccel'!$B:$B,'Felosztás eredménykim'!$B225,'Eredeti fejléccel'!$BF:$BF)</f>
        <v>0</v>
      </c>
      <c r="BL225" s="8">
        <f t="shared" si="294"/>
        <v>0</v>
      </c>
      <c r="BM225" s="36">
        <f t="shared" si="474"/>
        <v>0</v>
      </c>
      <c r="BN225" s="8">
        <f t="shared" si="403"/>
        <v>0</v>
      </c>
      <c r="BP225" s="8">
        <f t="shared" si="295"/>
        <v>0</v>
      </c>
      <c r="BQ225" s="6">
        <f>SUMIF('Eredeti fejléccel'!$B:$B,'Felosztás eredménykim'!$B225,'Eredeti fejléccel'!$N:$N)</f>
        <v>0</v>
      </c>
      <c r="BR225" s="6">
        <f>SUMIF('Eredeti fejléccel'!$B:$B,'Felosztás eredménykim'!$B225,'Eredeti fejléccel'!$S:$S)</f>
        <v>0</v>
      </c>
      <c r="BT225" s="6">
        <f>SUMIF('Eredeti fejléccel'!$B:$B,'Felosztás eredménykim'!$B225,'Eredeti fejléccel'!$AR:$AR)</f>
        <v>0</v>
      </c>
      <c r="BU225" s="6">
        <f>SUMIF('Eredeti fejléccel'!$B:$B,'Felosztás eredménykim'!$B225,'Eredeti fejléccel'!$AU:$AU)</f>
        <v>0</v>
      </c>
      <c r="BV225" s="6">
        <f>SUMIF('Eredeti fejléccel'!$B:$B,'Felosztás eredménykim'!$B225,'Eredeti fejléccel'!$AV:$AV)</f>
        <v>0</v>
      </c>
      <c r="BW225" s="6">
        <f>SUMIF('Eredeti fejléccel'!$B:$B,'Felosztás eredménykim'!$B225,'Eredeti fejléccel'!$AW:$AW)</f>
        <v>0</v>
      </c>
      <c r="BX225" s="6">
        <f>SUMIF('Eredeti fejléccel'!$B:$B,'Felosztás eredménykim'!$B225,'Eredeti fejléccel'!$AX:$AX)</f>
        <v>0</v>
      </c>
      <c r="BY225" s="6">
        <f>SUMIF('Eredeti fejléccel'!$B:$B,'Felosztás eredménykim'!$B225,'Eredeti fejléccel'!$AY:$AY)</f>
        <v>0</v>
      </c>
      <c r="BZ225" s="6">
        <f>SUMIF('Eredeti fejléccel'!$B:$B,'Felosztás eredménykim'!$B225,'Eredeti fejléccel'!$AZ:$AZ)</f>
        <v>0</v>
      </c>
      <c r="CA225" s="6">
        <f>SUMIF('Eredeti fejléccel'!$B:$B,'Felosztás eredménykim'!$B225,'Eredeti fejléccel'!$BA:$BA)</f>
        <v>0</v>
      </c>
      <c r="CB225" s="6">
        <f t="shared" si="481"/>
        <v>0</v>
      </c>
      <c r="CC225" s="36">
        <f t="shared" si="475"/>
        <v>0</v>
      </c>
      <c r="CD225" s="8">
        <f t="shared" si="404"/>
        <v>0</v>
      </c>
      <c r="CE225" s="6">
        <f>SUMIF('Eredeti fejléccel'!$B:$B,'Felosztás eredménykim'!$B225,'Eredeti fejléccel'!$BC:$BC)</f>
        <v>0</v>
      </c>
      <c r="CF225" s="8">
        <f t="shared" si="300"/>
        <v>0</v>
      </c>
      <c r="CG225" s="6">
        <f>SUMIF('Eredeti fejléccel'!$B:$B,'Felosztás eredménykim'!$B225,'Eredeti fejléccel'!$H:$H)</f>
        <v>0</v>
      </c>
      <c r="CH225" s="6">
        <f>SUMIF('Eredeti fejléccel'!$B:$B,'Felosztás eredménykim'!$B225,'Eredeti fejléccel'!$BE:$BE)</f>
        <v>0</v>
      </c>
      <c r="CI225" s="6">
        <f t="shared" si="524"/>
        <v>0</v>
      </c>
      <c r="CJ225" s="36">
        <f t="shared" si="476"/>
        <v>0</v>
      </c>
      <c r="CK225" s="8">
        <f t="shared" si="405"/>
        <v>0</v>
      </c>
      <c r="CL225" s="8">
        <f t="shared" si="301"/>
        <v>0</v>
      </c>
      <c r="CM225" s="6">
        <f>SUMIF('Eredeti fejléccel'!$B:$B,'Felosztás eredménykim'!$B225,'Eredeti fejléccel'!$BD:$BD)</f>
        <v>0</v>
      </c>
      <c r="CN225" s="8">
        <f t="shared" si="525"/>
        <v>0</v>
      </c>
      <c r="CO225" s="8">
        <f t="shared" si="482"/>
        <v>0</v>
      </c>
      <c r="CR225" s="36">
        <f t="shared" si="406"/>
        <v>0</v>
      </c>
      <c r="CS225" s="6">
        <f>SUMIF('Eredeti fejléccel'!$B:$B,'Felosztás eredménykim'!$B225,'Eredeti fejléccel'!$I:$I)</f>
        <v>0</v>
      </c>
      <c r="CT225" s="6">
        <f>SUMIF('Eredeti fejléccel'!$B:$B,'Felosztás eredménykim'!$B225,'Eredeti fejléccel'!$BG:$BG)</f>
        <v>0</v>
      </c>
      <c r="CU225" s="6">
        <f>SUMIF('Eredeti fejléccel'!$B:$B,'Felosztás eredménykim'!$B225,'Eredeti fejléccel'!$BH:$BH)</f>
        <v>0</v>
      </c>
      <c r="CV225" s="6">
        <f>SUMIF('Eredeti fejléccel'!$B:$B,'Felosztás eredménykim'!$B225,'Eredeti fejléccel'!$BI:$BI)</f>
        <v>0</v>
      </c>
      <c r="CW225" s="6">
        <f>SUMIF('Eredeti fejléccel'!$B:$B,'Felosztás eredménykim'!$B225,'Eredeti fejléccel'!$BL:$BL)</f>
        <v>129664.45999999999</v>
      </c>
      <c r="CX225" s="6">
        <f t="shared" si="526"/>
        <v>129664.45999999999</v>
      </c>
      <c r="CY225" s="6">
        <f>SUMIF('Eredeti fejléccel'!$B:$B,'Felosztás eredménykim'!$B225,'Eredeti fejléccel'!$BJ:$BJ)</f>
        <v>19845.54</v>
      </c>
      <c r="CZ225" s="6">
        <f>SUMIF('Eredeti fejléccel'!$B:$B,'Felosztás eredménykim'!$B225,'Eredeti fejléccel'!$BK:$BK)</f>
        <v>0</v>
      </c>
      <c r="DA225" s="99">
        <f t="shared" si="415"/>
        <v>149510</v>
      </c>
      <c r="DC225" s="36">
        <f t="shared" si="407"/>
        <v>0</v>
      </c>
      <c r="DD225" s="6">
        <f>SUMIF('Eredeti fejléccel'!$B:$B,'Felosztás eredménykim'!$B225,'Eredeti fejléccel'!$J:$J)</f>
        <v>0</v>
      </c>
      <c r="DE225" s="6">
        <f>SUMIF('Eredeti fejléccel'!$B:$B,'Felosztás eredménykim'!$B225,'Eredeti fejléccel'!$BM:$BM)</f>
        <v>0</v>
      </c>
      <c r="DF225" s="6">
        <f t="shared" si="296"/>
        <v>0</v>
      </c>
      <c r="DG225" s="8">
        <f t="shared" si="483"/>
        <v>0</v>
      </c>
      <c r="DH225" s="8">
        <f t="shared" si="297"/>
        <v>0</v>
      </c>
      <c r="DJ225" s="6">
        <f>SUMIF('Eredeti fejléccel'!$B:$B,'Felosztás eredménykim'!$B225,'Eredeti fejléccel'!$BN:$BN)</f>
        <v>0</v>
      </c>
      <c r="DK225" s="6">
        <f>SUMIF('Eredeti fejléccel'!$B:$B,'Felosztás eredménykim'!$B225,'Eredeti fejléccel'!$BZ:$BZ)</f>
        <v>0</v>
      </c>
      <c r="DL225" s="8">
        <f t="shared" si="298"/>
        <v>0</v>
      </c>
      <c r="DM225" s="6">
        <f>SUMIF('Eredeti fejléccel'!$B:$B,'Felosztás eredménykim'!$B225,'Eredeti fejléccel'!$BR:$BR)</f>
        <v>0</v>
      </c>
      <c r="DN225" s="6">
        <f>SUMIF('Eredeti fejléccel'!$B:$B,'Felosztás eredménykim'!$B225,'Eredeti fejléccel'!$BS:$BS)</f>
        <v>0</v>
      </c>
      <c r="DO225" s="6">
        <f>SUMIF('Eredeti fejléccel'!$B:$B,'Felosztás eredménykim'!$B225,'Eredeti fejléccel'!$BO:$BO)</f>
        <v>0</v>
      </c>
      <c r="DP225" s="6">
        <f>SUMIF('Eredeti fejléccel'!$B:$B,'Felosztás eredménykim'!$B225,'Eredeti fejléccel'!$BP:$BP)</f>
        <v>0</v>
      </c>
      <c r="DQ225" s="6">
        <f>SUMIF('Eredeti fejléccel'!$B:$B,'Felosztás eredménykim'!$B225,'Eredeti fejléccel'!$BQ:$BQ)</f>
        <v>0</v>
      </c>
      <c r="DS225" s="8"/>
      <c r="DU225" s="6">
        <f>SUMIF('Eredeti fejléccel'!$B:$B,'Felosztás eredménykim'!$B225,'Eredeti fejléccel'!$BT:$BT)</f>
        <v>0</v>
      </c>
      <c r="DV225" s="6">
        <f>SUMIF('Eredeti fejléccel'!$B:$B,'Felosztás eredménykim'!$B225,'Eredeti fejléccel'!$BU:$BU)</f>
        <v>0</v>
      </c>
      <c r="DW225" s="6">
        <f>SUMIF('Eredeti fejléccel'!$B:$B,'Felosztás eredménykim'!$B225,'Eredeti fejléccel'!$BV:$BV)</f>
        <v>0</v>
      </c>
      <c r="DX225" s="6">
        <f>SUMIF('Eredeti fejléccel'!$B:$B,'Felosztás eredménykim'!$B225,'Eredeti fejléccel'!$BW:$BW)</f>
        <v>0</v>
      </c>
      <c r="DY225" s="6">
        <f>SUMIF('Eredeti fejléccel'!$B:$B,'Felosztás eredménykim'!$B225,'Eredeti fejléccel'!$BX:$BX)</f>
        <v>0</v>
      </c>
      <c r="EA225" s="6"/>
      <c r="EC225" s="6"/>
      <c r="EE225" s="6">
        <f>SUMIF('Eredeti fejléccel'!$B:$B,'Felosztás eredménykim'!$B225,'Eredeti fejléccel'!$CA:$CA)</f>
        <v>0</v>
      </c>
      <c r="EF225" s="6">
        <f>SUMIF('Eredeti fejléccel'!$B:$B,'Felosztás eredménykim'!$B225,'Eredeti fejléccel'!$CB:$CB)</f>
        <v>0</v>
      </c>
      <c r="EG225" s="6">
        <f>SUMIF('Eredeti fejléccel'!$B:$B,'Felosztás eredménykim'!$B225,'Eredeti fejléccel'!$CC:$CC)</f>
        <v>0</v>
      </c>
      <c r="EH225" s="6">
        <f>SUMIF('Eredeti fejléccel'!$B:$B,'Felosztás eredménykim'!$B225,'Eredeti fejléccel'!$CD:$CD)</f>
        <v>0</v>
      </c>
      <c r="EK225" s="6">
        <f>SUMIF('Eredeti fejléccel'!$B:$B,'Felosztás eredménykim'!$B225,'Eredeti fejléccel'!$CE:$CE)</f>
        <v>0</v>
      </c>
      <c r="EN225" s="6">
        <f>SUMIF('Eredeti fejléccel'!$B:$B,'Felosztás eredménykim'!$B225,'Eredeti fejléccel'!$CF:$CF)</f>
        <v>0</v>
      </c>
      <c r="EP225" s="6">
        <f>SUMIF('Eredeti fejléccel'!$B:$B,'Felosztás eredménykim'!$B225,'Eredeti fejléccel'!$CG:$CG)</f>
        <v>0</v>
      </c>
      <c r="ES225" s="6">
        <f>SUMIF('Eredeti fejléccel'!$B:$B,'Felosztás eredménykim'!$B225,'Eredeti fejléccel'!$CH:$CH)</f>
        <v>0</v>
      </c>
      <c r="ET225" s="6">
        <f>SUMIF('Eredeti fejléccel'!$B:$B,'Felosztás eredménykim'!$B225,'Eredeti fejléccel'!$CI:$CI)</f>
        <v>0</v>
      </c>
      <c r="EW225" s="8">
        <f t="shared" si="535"/>
        <v>0</v>
      </c>
      <c r="EX225" s="8">
        <f t="shared" si="527"/>
        <v>0</v>
      </c>
      <c r="EY225" s="8">
        <f t="shared" si="416"/>
        <v>0</v>
      </c>
      <c r="EZ225" s="8">
        <f t="shared" si="536"/>
        <v>0</v>
      </c>
      <c r="FA225" s="8">
        <f t="shared" si="537"/>
        <v>0</v>
      </c>
      <c r="FC225" s="6">
        <f>SUMIF('Eredeti fejléccel'!$B:$B,'Felosztás eredménykim'!$B225,'Eredeti fejléccel'!$L:$L)</f>
        <v>0</v>
      </c>
      <c r="FD225" s="6">
        <f>SUMIF('Eredeti fejléccel'!$B:$B,'Felosztás eredménykim'!$B225,'Eredeti fejléccel'!$CJ:$CJ)</f>
        <v>149039.00000000003</v>
      </c>
      <c r="FE225" s="6">
        <f>SUMIF('Eredeti fejléccel'!$B:$B,'Felosztás eredménykim'!$B225,'Eredeti fejléccel'!$CL:$CL)</f>
        <v>0</v>
      </c>
      <c r="FG225" s="99">
        <f t="shared" si="528"/>
        <v>149039.00000000003</v>
      </c>
      <c r="FH225" s="6">
        <f>SUMIF('Eredeti fejléccel'!$B:$B,'Felosztás eredménykim'!$B225,'Eredeti fejléccel'!$CK:$CK)</f>
        <v>0</v>
      </c>
      <c r="FI225" s="36">
        <f t="shared" si="477"/>
        <v>0</v>
      </c>
      <c r="FJ225" s="101">
        <f t="shared" si="408"/>
        <v>33048.825949878745</v>
      </c>
      <c r="FK225" s="6">
        <f>SUMIF('Eredeti fejléccel'!$B:$B,'Felosztás eredménykim'!$B225,'Eredeti fejléccel'!$CM:$CM)</f>
        <v>0</v>
      </c>
      <c r="FL225" s="6">
        <f>SUMIF('Eredeti fejléccel'!$B:$B,'Felosztás eredménykim'!$B225,'Eredeti fejléccel'!$CN:$CN)</f>
        <v>0</v>
      </c>
      <c r="FM225" s="8">
        <f t="shared" si="529"/>
        <v>33048.825949878745</v>
      </c>
      <c r="FN225" s="36">
        <f t="shared" si="478"/>
        <v>0</v>
      </c>
      <c r="FO225" s="101">
        <f t="shared" si="409"/>
        <v>28096.923848019407</v>
      </c>
      <c r="FP225" s="6">
        <f>SUMIF('Eredeti fejléccel'!$B:$B,'Felosztás eredménykim'!$B225,'Eredeti fejléccel'!$CO:$CO)</f>
        <v>0</v>
      </c>
      <c r="FQ225" s="6">
        <f>'Eredeti fejléccel'!CP225</f>
        <v>0</v>
      </c>
      <c r="FR225" s="6">
        <f>'Eredeti fejléccel'!CQ225</f>
        <v>0</v>
      </c>
      <c r="FS225" s="103">
        <f t="shared" si="417"/>
        <v>28096.923848019407</v>
      </c>
      <c r="FT225" s="36">
        <f t="shared" si="479"/>
        <v>0</v>
      </c>
      <c r="FU225" s="101">
        <f t="shared" si="410"/>
        <v>77555.702748585318</v>
      </c>
      <c r="FV225" s="101"/>
      <c r="FW225" s="6">
        <f>SUMIF('Eredeti fejléccel'!$B:$B,'Felosztás eredménykim'!$B225,'Eredeti fejléccel'!$CR:$CR)</f>
        <v>0</v>
      </c>
      <c r="FX225" s="6">
        <f>SUMIF('Eredeti fejléccel'!$B:$B,'Felosztás eredménykim'!$B225,'Eredeti fejléccel'!$CS:$CS)</f>
        <v>0</v>
      </c>
      <c r="FY225" s="6">
        <f>SUMIF('Eredeti fejléccel'!$B:$B,'Felosztás eredménykim'!$B225,'Eredeti fejléccel'!$CT:$CT)</f>
        <v>0</v>
      </c>
      <c r="FZ225" s="6">
        <f>SUMIF('Eredeti fejléccel'!$B:$B,'Felosztás eredménykim'!$B225,'Eredeti fejléccel'!$CU:$CU)</f>
        <v>0</v>
      </c>
      <c r="GA225" s="103">
        <f t="shared" si="530"/>
        <v>77555.702748585318</v>
      </c>
      <c r="GB225" s="36">
        <f t="shared" si="480"/>
        <v>0</v>
      </c>
      <c r="GC225" s="101">
        <f t="shared" si="411"/>
        <v>10337.547453516574</v>
      </c>
      <c r="GD225" s="6">
        <f>SUMIF('Eredeti fejléccel'!$B:$B,'Felosztás eredménykim'!$B225,'Eredeti fejléccel'!$CV:$CV)</f>
        <v>0</v>
      </c>
      <c r="GE225" s="6">
        <f>SUMIF('Eredeti fejléccel'!$B:$B,'Felosztás eredménykim'!$B225,'Eredeti fejléccel'!$CW:$CW)</f>
        <v>0</v>
      </c>
      <c r="GF225" s="103">
        <f t="shared" si="531"/>
        <v>10337.547453516574</v>
      </c>
      <c r="GG225" s="36">
        <f t="shared" si="412"/>
        <v>0</v>
      </c>
      <c r="GM225" s="6">
        <f>SUMIF('Eredeti fejléccel'!$B:$B,'Felosztás eredménykim'!$B225,'Eredeti fejléccel'!$CX:$CX)</f>
        <v>0</v>
      </c>
      <c r="GN225" s="6">
        <f>SUMIF('Eredeti fejléccel'!$B:$B,'Felosztás eredménykim'!$B225,'Eredeti fejléccel'!$CY:$CY)</f>
        <v>0</v>
      </c>
      <c r="GO225" s="6">
        <f>SUMIF('Eredeti fejléccel'!$B:$B,'Felosztás eredménykim'!$B225,'Eredeti fejléccel'!$CZ:$CZ)</f>
        <v>0</v>
      </c>
      <c r="GP225" s="6">
        <f>SUMIF('Eredeti fejléccel'!$B:$B,'Felosztás eredménykim'!$B225,'Eredeti fejléccel'!$DA:$DA)</f>
        <v>0</v>
      </c>
      <c r="GQ225" s="6">
        <f>SUMIF('Eredeti fejléccel'!$B:$B,'Felosztás eredménykim'!$B225,'Eredeti fejléccel'!$DB:$DB)</f>
        <v>0</v>
      </c>
      <c r="GR225" s="103">
        <f t="shared" si="532"/>
        <v>0</v>
      </c>
      <c r="GW225" s="36">
        <f t="shared" si="413"/>
        <v>0</v>
      </c>
      <c r="GX225" s="6">
        <f>SUMIF('Eredeti fejléccel'!$B:$B,'Felosztás eredménykim'!$B225,'Eredeti fejléccel'!$M:$M)</f>
        <v>0</v>
      </c>
      <c r="GY225" s="6">
        <f>SUMIF('Eredeti fejléccel'!$B:$B,'Felosztás eredménykim'!$B225,'Eredeti fejléccel'!$DC:$DC)</f>
        <v>0</v>
      </c>
      <c r="GZ225" s="6">
        <f>SUMIF('Eredeti fejléccel'!$B:$B,'Felosztás eredménykim'!$B225,'Eredeti fejléccel'!$DD:$DD)</f>
        <v>0</v>
      </c>
      <c r="HA225" s="6">
        <f>SUMIF('Eredeti fejléccel'!$B:$B,'Felosztás eredménykim'!$B225,'Eredeti fejléccel'!$DE:$DE)</f>
        <v>0</v>
      </c>
      <c r="HB225" s="103">
        <f t="shared" si="533"/>
        <v>0</v>
      </c>
      <c r="HD225" s="9">
        <f t="shared" si="429"/>
        <v>298549.00000000012</v>
      </c>
      <c r="HE225" s="9">
        <v>298549</v>
      </c>
      <c r="HF225" s="476"/>
      <c r="HH225" s="557">
        <f t="shared" si="534"/>
        <v>0</v>
      </c>
      <c r="HI225" s="31">
        <f>HD225</f>
        <v>298549.00000000012</v>
      </c>
      <c r="HJ225" s="31">
        <f>HE225</f>
        <v>298549</v>
      </c>
    </row>
    <row r="226" spans="1:218" x14ac:dyDescent="0.25">
      <c r="A226" s="4" t="s">
        <v>299</v>
      </c>
      <c r="B226" s="4" t="s">
        <v>299</v>
      </c>
      <c r="C226" s="1" t="s">
        <v>300</v>
      </c>
      <c r="D226" s="6">
        <f>SUMIF('Eredeti fejléccel'!$B:$B,'Felosztás eredménykim'!$B226,'Eredeti fejléccel'!$D:$D)</f>
        <v>0</v>
      </c>
      <c r="E226" s="6">
        <f>SUMIF('Eredeti fejléccel'!$B:$B,'Felosztás eredménykim'!$B226,'Eredeti fejléccel'!$E:$E)</f>
        <v>0</v>
      </c>
      <c r="F226" s="6">
        <f>SUMIF('Eredeti fejléccel'!$B:$B,'Felosztás eredménykim'!$B226,'Eredeti fejléccel'!$F:$F)</f>
        <v>0</v>
      </c>
      <c r="G226" s="6">
        <f>SUMIF('Eredeti fejléccel'!$B:$B,'Felosztás eredménykim'!$B226,'Eredeti fejléccel'!$G:$G)</f>
        <v>0</v>
      </c>
      <c r="H226" s="6"/>
      <c r="I226" s="6">
        <f>SUMIF('Eredeti fejléccel'!$B:$B,'Felosztás eredménykim'!$B226,'Eredeti fejléccel'!$O:$O)</f>
        <v>0</v>
      </c>
      <c r="J226" s="6">
        <f>SUMIF('Eredeti fejléccel'!$B:$B,'Felosztás eredménykim'!$B226,'Eredeti fejléccel'!$P:$P)</f>
        <v>0</v>
      </c>
      <c r="K226" s="6">
        <f>SUMIF('Eredeti fejléccel'!$B:$B,'Felosztás eredménykim'!$B226,'Eredeti fejléccel'!$Q:$Q)</f>
        <v>0</v>
      </c>
      <c r="L226" s="6">
        <f>SUMIF('Eredeti fejléccel'!$B:$B,'Felosztás eredménykim'!$B226,'Eredeti fejléccel'!$R:$R)</f>
        <v>0</v>
      </c>
      <c r="M226" s="6">
        <f>SUMIF('Eredeti fejléccel'!$B:$B,'Felosztás eredménykim'!$B226,'Eredeti fejléccel'!$T:$T)</f>
        <v>0</v>
      </c>
      <c r="N226" s="6">
        <f>SUMIF('Eredeti fejléccel'!$B:$B,'Felosztás eredménykim'!$B226,'Eredeti fejléccel'!$U:$U)</f>
        <v>0</v>
      </c>
      <c r="O226" s="6">
        <f>SUMIF('Eredeti fejléccel'!$B:$B,'Felosztás eredménykim'!$B226,'Eredeti fejléccel'!$V:$V)</f>
        <v>0</v>
      </c>
      <c r="P226" s="6">
        <f>SUMIF('Eredeti fejléccel'!$B:$B,'Felosztás eredménykim'!$B226,'Eredeti fejléccel'!$W:$W)</f>
        <v>0</v>
      </c>
      <c r="Q226" s="6">
        <f>SUMIF('Eredeti fejléccel'!$B:$B,'Felosztás eredménykim'!$B226,'Eredeti fejléccel'!$X:$X)</f>
        <v>0</v>
      </c>
      <c r="R226" s="6">
        <f>SUMIF('Eredeti fejléccel'!$B:$B,'Felosztás eredménykim'!$B226,'Eredeti fejléccel'!$Y:$Y)</f>
        <v>0</v>
      </c>
      <c r="S226" s="6">
        <f>SUMIF('Eredeti fejléccel'!$B:$B,'Felosztás eredménykim'!$B226,'Eredeti fejléccel'!$Z:$Z)</f>
        <v>0</v>
      </c>
      <c r="T226" s="6">
        <f>SUMIF('Eredeti fejléccel'!$B:$B,'Felosztás eredménykim'!$B226,'Eredeti fejléccel'!$AA:$AA)</f>
        <v>0</v>
      </c>
      <c r="U226" s="6">
        <f>SUMIF('Eredeti fejléccel'!$B:$B,'Felosztás eredménykim'!$B226,'Eredeti fejléccel'!$D:$D)</f>
        <v>0</v>
      </c>
      <c r="V226" s="6">
        <f>SUMIF('Eredeti fejléccel'!$B:$B,'Felosztás eredménykim'!$B226,'Eredeti fejléccel'!$AT:$AT)</f>
        <v>0</v>
      </c>
      <c r="X226" s="36">
        <f t="shared" si="414"/>
        <v>0</v>
      </c>
      <c r="Z226" s="6">
        <f>SUMIF('Eredeti fejléccel'!$B:$B,'Felosztás eredménykim'!$B226,'Eredeti fejléccel'!$K:$K)</f>
        <v>0</v>
      </c>
      <c r="AB226" s="6">
        <f>SUMIF('Eredeti fejléccel'!$B:$B,'Felosztás eredménykim'!$B226,'Eredeti fejléccel'!$AB:$AB)</f>
        <v>0</v>
      </c>
      <c r="AC226" s="6">
        <f>SUMIF('Eredeti fejléccel'!$B:$B,'Felosztás eredménykim'!$B226,'Eredeti fejléccel'!$AQ:$AQ)</f>
        <v>0</v>
      </c>
      <c r="AE226" s="73">
        <f t="shared" si="299"/>
        <v>0</v>
      </c>
      <c r="AF226" s="36">
        <f t="shared" si="470"/>
        <v>0</v>
      </c>
      <c r="AG226" s="8">
        <f t="shared" si="399"/>
        <v>0</v>
      </c>
      <c r="AI226" s="6">
        <f>SUMIF('Eredeti fejléccel'!$B:$B,'Felosztás eredménykim'!$B226,'Eredeti fejléccel'!$BB:$BB)</f>
        <v>0</v>
      </c>
      <c r="AJ226" s="6">
        <f>SUMIF('Eredeti fejléccel'!$B:$B,'Felosztás eredménykim'!$B226,'Eredeti fejléccel'!$AF:$AF)</f>
        <v>0</v>
      </c>
      <c r="AK226" s="8">
        <f t="shared" si="522"/>
        <v>0</v>
      </c>
      <c r="AL226" s="36">
        <f t="shared" si="471"/>
        <v>0</v>
      </c>
      <c r="AM226" s="8">
        <f t="shared" si="400"/>
        <v>0</v>
      </c>
      <c r="AN226" s="6">
        <f t="shared" si="291"/>
        <v>0</v>
      </c>
      <c r="AO226" s="6">
        <f>SUMIF('Eredeti fejléccel'!$B:$B,'Felosztás eredménykim'!$B226,'Eredeti fejléccel'!$AC:$AC)</f>
        <v>0</v>
      </c>
      <c r="AP226" s="6">
        <f>SUMIF('Eredeti fejléccel'!$B:$B,'Felosztás eredménykim'!$B226,'Eredeti fejléccel'!$AD:$AD)</f>
        <v>-47213484</v>
      </c>
      <c r="AQ226" s="6">
        <f>SUMIF('Eredeti fejléccel'!$B:$B,'Felosztás eredménykim'!$B226,'Eredeti fejléccel'!$AE:$AE)</f>
        <v>-43115154</v>
      </c>
      <c r="AR226" s="6">
        <f>SUMIF('Eredeti fejléccel'!$B:$B,'Felosztás eredménykim'!$B226,'Eredeti fejléccel'!$AG:$AG)</f>
        <v>0</v>
      </c>
      <c r="AS226" s="6">
        <f t="shared" si="292"/>
        <v>-90328638</v>
      </c>
      <c r="AT226" s="36">
        <f t="shared" si="472"/>
        <v>0</v>
      </c>
      <c r="AU226" s="8">
        <f t="shared" si="401"/>
        <v>0</v>
      </c>
      <c r="AV226" s="6">
        <f>SUMIF('Eredeti fejléccel'!$B:$B,'Felosztás eredménykim'!$B226,'Eredeti fejléccel'!$AI:$AI)</f>
        <v>0</v>
      </c>
      <c r="AW226" s="6">
        <f>SUMIF('Eredeti fejléccel'!$B:$B,'Felosztás eredménykim'!$B226,'Eredeti fejléccel'!$AJ:$AJ)</f>
        <v>0</v>
      </c>
      <c r="AX226" s="6">
        <f>SUMIF('Eredeti fejléccel'!$B:$B,'Felosztás eredménykim'!$B226,'Eredeti fejléccel'!$AK:$AK)</f>
        <v>0</v>
      </c>
      <c r="AY226" s="6">
        <f>SUMIF('Eredeti fejléccel'!$B:$B,'Felosztás eredménykim'!$B226,'Eredeti fejléccel'!$AL:$AL)</f>
        <v>0</v>
      </c>
      <c r="AZ226" s="6">
        <f>SUMIF('Eredeti fejléccel'!$B:$B,'Felosztás eredménykim'!$B226,'Eredeti fejléccel'!$AM:$AM)</f>
        <v>0</v>
      </c>
      <c r="BA226" s="6">
        <f>SUMIF('Eredeti fejléccel'!$B:$B,'Felosztás eredménykim'!$B226,'Eredeti fejléccel'!$AN:$AN)</f>
        <v>0</v>
      </c>
      <c r="BB226" s="6">
        <f>SUMIF('Eredeti fejléccel'!$B:$B,'Felosztás eredménykim'!$B226,'Eredeti fejléccel'!$AP:$AP)</f>
        <v>0</v>
      </c>
      <c r="BD226" s="6">
        <f>SUMIF('Eredeti fejléccel'!$B:$B,'Felosztás eredménykim'!$B226,'Eredeti fejléccel'!$AS:$AS)</f>
        <v>0</v>
      </c>
      <c r="BE226" s="8">
        <f t="shared" si="523"/>
        <v>0</v>
      </c>
      <c r="BF226" s="36">
        <f t="shared" si="473"/>
        <v>0</v>
      </c>
      <c r="BG226" s="8">
        <f t="shared" si="402"/>
        <v>0</v>
      </c>
      <c r="BH226" s="6">
        <f t="shared" si="293"/>
        <v>0</v>
      </c>
      <c r="BI226" s="6">
        <f>SUMIF('Eredeti fejléccel'!$B:$B,'Felosztás eredménykim'!$B226,'Eredeti fejléccel'!$AH:$AH)</f>
        <v>0</v>
      </c>
      <c r="BJ226" s="6">
        <f>SUMIF('Eredeti fejléccel'!$B:$B,'Felosztás eredménykim'!$B226,'Eredeti fejléccel'!$AO:$AO)</f>
        <v>0</v>
      </c>
      <c r="BK226" s="6">
        <f>SUMIF('Eredeti fejléccel'!$B:$B,'Felosztás eredménykim'!$B226,'Eredeti fejléccel'!$BF:$BF)</f>
        <v>0</v>
      </c>
      <c r="BL226" s="8">
        <f t="shared" si="294"/>
        <v>0</v>
      </c>
      <c r="BM226" s="36">
        <f t="shared" si="474"/>
        <v>0</v>
      </c>
      <c r="BN226" s="8">
        <f t="shared" si="403"/>
        <v>0</v>
      </c>
      <c r="BP226" s="8">
        <f t="shared" si="295"/>
        <v>0</v>
      </c>
      <c r="BQ226" s="6">
        <f>SUMIF('Eredeti fejléccel'!$B:$B,'Felosztás eredménykim'!$B226,'Eredeti fejléccel'!$N:$N)</f>
        <v>0</v>
      </c>
      <c r="BR226" s="6">
        <f>SUMIF('Eredeti fejléccel'!$B:$B,'Felosztás eredménykim'!$B226,'Eredeti fejléccel'!$S:$S)</f>
        <v>0</v>
      </c>
      <c r="BT226" s="6">
        <f>SUMIF('Eredeti fejléccel'!$B:$B,'Felosztás eredménykim'!$B226,'Eredeti fejléccel'!$AR:$AR)</f>
        <v>0</v>
      </c>
      <c r="BU226" s="6">
        <f>SUMIF('Eredeti fejléccel'!$B:$B,'Felosztás eredménykim'!$B226,'Eredeti fejléccel'!$AU:$AU)</f>
        <v>0</v>
      </c>
      <c r="BV226" s="6">
        <f>SUMIF('Eredeti fejléccel'!$B:$B,'Felosztás eredménykim'!$B226,'Eredeti fejléccel'!$AV:$AV)</f>
        <v>0</v>
      </c>
      <c r="BW226" s="6">
        <f>SUMIF('Eredeti fejléccel'!$B:$B,'Felosztás eredménykim'!$B226,'Eredeti fejléccel'!$AW:$AW)</f>
        <v>0</v>
      </c>
      <c r="BX226" s="6">
        <f>SUMIF('Eredeti fejléccel'!$B:$B,'Felosztás eredménykim'!$B226,'Eredeti fejléccel'!$AX:$AX)</f>
        <v>0</v>
      </c>
      <c r="BY226" s="6">
        <f>SUMIF('Eredeti fejléccel'!$B:$B,'Felosztás eredménykim'!$B226,'Eredeti fejléccel'!$AY:$AY)</f>
        <v>0</v>
      </c>
      <c r="BZ226" s="6">
        <f>SUMIF('Eredeti fejléccel'!$B:$B,'Felosztás eredménykim'!$B226,'Eredeti fejléccel'!$AZ:$AZ)</f>
        <v>0</v>
      </c>
      <c r="CA226" s="6">
        <f>SUMIF('Eredeti fejléccel'!$B:$B,'Felosztás eredménykim'!$B226,'Eredeti fejléccel'!$BA:$BA)</f>
        <v>0</v>
      </c>
      <c r="CB226" s="6">
        <f t="shared" si="481"/>
        <v>0</v>
      </c>
      <c r="CC226" s="36">
        <f t="shared" si="475"/>
        <v>0</v>
      </c>
      <c r="CD226" s="8">
        <f t="shared" si="404"/>
        <v>0</v>
      </c>
      <c r="CE226" s="6">
        <f>SUMIF('Eredeti fejléccel'!$B:$B,'Felosztás eredménykim'!$B226,'Eredeti fejléccel'!$BC:$BC)</f>
        <v>0</v>
      </c>
      <c r="CF226" s="8">
        <f t="shared" si="300"/>
        <v>0</v>
      </c>
      <c r="CG226" s="6">
        <f>SUMIF('Eredeti fejléccel'!$B:$B,'Felosztás eredménykim'!$B226,'Eredeti fejléccel'!$H:$H)</f>
        <v>0</v>
      </c>
      <c r="CH226" s="6">
        <f>SUMIF('Eredeti fejléccel'!$B:$B,'Felosztás eredménykim'!$B226,'Eredeti fejléccel'!$BE:$BE)</f>
        <v>0</v>
      </c>
      <c r="CI226" s="6">
        <f t="shared" si="524"/>
        <v>0</v>
      </c>
      <c r="CJ226" s="36">
        <f t="shared" si="476"/>
        <v>0</v>
      </c>
      <c r="CK226" s="8">
        <f t="shared" si="405"/>
        <v>0</v>
      </c>
      <c r="CL226" s="8">
        <f t="shared" si="301"/>
        <v>0</v>
      </c>
      <c r="CM226" s="6">
        <f>SUMIF('Eredeti fejléccel'!$B:$B,'Felosztás eredménykim'!$B226,'Eredeti fejléccel'!$BD:$BD)</f>
        <v>0</v>
      </c>
      <c r="CN226" s="8">
        <f t="shared" si="525"/>
        <v>0</v>
      </c>
      <c r="CO226" s="8">
        <f t="shared" si="482"/>
        <v>-90328638</v>
      </c>
      <c r="CR226" s="36">
        <f t="shared" si="406"/>
        <v>0</v>
      </c>
      <c r="CS226" s="6">
        <f>SUMIF('Eredeti fejléccel'!$B:$B,'Felosztás eredménykim'!$B226,'Eredeti fejléccel'!$I:$I)</f>
        <v>0</v>
      </c>
      <c r="CT226" s="6">
        <f>SUMIF('Eredeti fejléccel'!$B:$B,'Felosztás eredménykim'!$B226,'Eredeti fejléccel'!$BG:$BG)</f>
        <v>0</v>
      </c>
      <c r="CU226" s="6">
        <f>SUMIF('Eredeti fejléccel'!$B:$B,'Felosztás eredménykim'!$B226,'Eredeti fejléccel'!$BH:$BH)</f>
        <v>0</v>
      </c>
      <c r="CV226" s="6">
        <f>SUMIF('Eredeti fejléccel'!$B:$B,'Felosztás eredménykim'!$B226,'Eredeti fejléccel'!$BI:$BI)</f>
        <v>0</v>
      </c>
      <c r="CW226" s="6">
        <f>SUMIF('Eredeti fejléccel'!$B:$B,'Felosztás eredménykim'!$B226,'Eredeti fejléccel'!$BL:$BL)</f>
        <v>0</v>
      </c>
      <c r="CX226" s="6">
        <f t="shared" si="526"/>
        <v>0</v>
      </c>
      <c r="CY226" s="6">
        <f>SUMIF('Eredeti fejléccel'!$B:$B,'Felosztás eredménykim'!$B226,'Eredeti fejléccel'!$BJ:$BJ)</f>
        <v>0</v>
      </c>
      <c r="CZ226" s="6">
        <f>SUMIF('Eredeti fejléccel'!$B:$B,'Felosztás eredménykim'!$B226,'Eredeti fejléccel'!$BK:$BK)</f>
        <v>0</v>
      </c>
      <c r="DA226" s="99">
        <f t="shared" si="415"/>
        <v>0</v>
      </c>
      <c r="DC226" s="36">
        <f t="shared" si="407"/>
        <v>0</v>
      </c>
      <c r="DD226" s="6">
        <f>SUMIF('Eredeti fejléccel'!$B:$B,'Felosztás eredménykim'!$B226,'Eredeti fejléccel'!$J:$J)</f>
        <v>0</v>
      </c>
      <c r="DE226" s="6">
        <f>SUMIF('Eredeti fejléccel'!$B:$B,'Felosztás eredménykim'!$B226,'Eredeti fejléccel'!$BM:$BM)</f>
        <v>0</v>
      </c>
      <c r="DF226" s="6">
        <f t="shared" si="296"/>
        <v>0</v>
      </c>
      <c r="DG226" s="8">
        <f t="shared" si="483"/>
        <v>0</v>
      </c>
      <c r="DH226" s="8">
        <f t="shared" si="297"/>
        <v>0</v>
      </c>
      <c r="DJ226" s="6">
        <f>SUMIF('Eredeti fejléccel'!$B:$B,'Felosztás eredménykim'!$B226,'Eredeti fejléccel'!$BN:$BN)</f>
        <v>0</v>
      </c>
      <c r="DK226" s="6">
        <f>SUMIF('Eredeti fejléccel'!$B:$B,'Felosztás eredménykim'!$B226,'Eredeti fejléccel'!$BZ:$BZ)</f>
        <v>0</v>
      </c>
      <c r="DL226" s="8">
        <f t="shared" si="298"/>
        <v>0</v>
      </c>
      <c r="DM226" s="6">
        <f>SUMIF('Eredeti fejléccel'!$B:$B,'Felosztás eredménykim'!$B226,'Eredeti fejléccel'!$BR:$BR)</f>
        <v>0</v>
      </c>
      <c r="DN226" s="6">
        <f>SUMIF('Eredeti fejléccel'!$B:$B,'Felosztás eredménykim'!$B226,'Eredeti fejléccel'!$BS:$BS)</f>
        <v>0</v>
      </c>
      <c r="DO226" s="6">
        <f>SUMIF('Eredeti fejléccel'!$B:$B,'Felosztás eredménykim'!$B226,'Eredeti fejléccel'!$BO:$BO)</f>
        <v>0</v>
      </c>
      <c r="DP226" s="6">
        <f>SUMIF('Eredeti fejléccel'!$B:$B,'Felosztás eredménykim'!$B226,'Eredeti fejléccel'!$BP:$BP)</f>
        <v>0</v>
      </c>
      <c r="DQ226" s="6">
        <f>SUMIF('Eredeti fejléccel'!$B:$B,'Felosztás eredménykim'!$B226,'Eredeti fejléccel'!$BQ:$BQ)</f>
        <v>0</v>
      </c>
      <c r="DS226" s="8"/>
      <c r="DU226" s="6">
        <f>SUMIF('Eredeti fejléccel'!$B:$B,'Felosztás eredménykim'!$B226,'Eredeti fejléccel'!$BT:$BT)</f>
        <v>0</v>
      </c>
      <c r="DV226" s="6">
        <f>SUMIF('Eredeti fejléccel'!$B:$B,'Felosztás eredménykim'!$B226,'Eredeti fejléccel'!$BU:$BU)</f>
        <v>0</v>
      </c>
      <c r="DW226" s="6">
        <f>SUMIF('Eredeti fejléccel'!$B:$B,'Felosztás eredménykim'!$B226,'Eredeti fejléccel'!$BV:$BV)</f>
        <v>0</v>
      </c>
      <c r="DX226" s="6">
        <f>SUMIF('Eredeti fejléccel'!$B:$B,'Felosztás eredménykim'!$B226,'Eredeti fejléccel'!$BW:$BW)</f>
        <v>0</v>
      </c>
      <c r="DY226" s="6">
        <f>SUMIF('Eredeti fejléccel'!$B:$B,'Felosztás eredménykim'!$B226,'Eredeti fejléccel'!$BX:$BX)</f>
        <v>0</v>
      </c>
      <c r="EA226" s="6"/>
      <c r="EC226" s="6"/>
      <c r="EE226" s="6">
        <f>SUMIF('Eredeti fejléccel'!$B:$B,'Felosztás eredménykim'!$B226,'Eredeti fejléccel'!$CA:$CA)</f>
        <v>0</v>
      </c>
      <c r="EF226" s="6">
        <f>SUMIF('Eredeti fejléccel'!$B:$B,'Felosztás eredménykim'!$B226,'Eredeti fejléccel'!$CB:$CB)</f>
        <v>0</v>
      </c>
      <c r="EG226" s="6">
        <f>SUMIF('Eredeti fejléccel'!$B:$B,'Felosztás eredménykim'!$B226,'Eredeti fejléccel'!$CC:$CC)</f>
        <v>0</v>
      </c>
      <c r="EH226" s="6">
        <f>SUMIF('Eredeti fejléccel'!$B:$B,'Felosztás eredménykim'!$B226,'Eredeti fejléccel'!$CD:$CD)</f>
        <v>0</v>
      </c>
      <c r="EK226" s="6">
        <f>SUMIF('Eredeti fejléccel'!$B:$B,'Felosztás eredménykim'!$B226,'Eredeti fejléccel'!$CE:$CE)</f>
        <v>0</v>
      </c>
      <c r="EN226" s="6">
        <f>SUMIF('Eredeti fejléccel'!$B:$B,'Felosztás eredménykim'!$B226,'Eredeti fejléccel'!$CF:$CF)</f>
        <v>0</v>
      </c>
      <c r="EP226" s="6">
        <f>SUMIF('Eredeti fejléccel'!$B:$B,'Felosztás eredménykim'!$B226,'Eredeti fejléccel'!$CG:$CG)</f>
        <v>0</v>
      </c>
      <c r="ES226" s="6">
        <f>SUMIF('Eredeti fejléccel'!$B:$B,'Felosztás eredménykim'!$B226,'Eredeti fejléccel'!$CH:$CH)</f>
        <v>0</v>
      </c>
      <c r="ET226" s="6">
        <f>SUMIF('Eredeti fejléccel'!$B:$B,'Felosztás eredménykim'!$B226,'Eredeti fejléccel'!$CI:$CI)</f>
        <v>0</v>
      </c>
      <c r="EW226" s="8">
        <f t="shared" si="535"/>
        <v>0</v>
      </c>
      <c r="EX226" s="8">
        <f t="shared" si="527"/>
        <v>0</v>
      </c>
      <c r="EY226" s="8">
        <f t="shared" si="416"/>
        <v>0</v>
      </c>
      <c r="EZ226" s="8">
        <f t="shared" si="536"/>
        <v>0</v>
      </c>
      <c r="FA226" s="8">
        <f t="shared" si="537"/>
        <v>0</v>
      </c>
      <c r="FC226" s="6">
        <f>SUMIF('Eredeti fejléccel'!$B:$B,'Felosztás eredménykim'!$B226,'Eredeti fejléccel'!$L:$L)</f>
        <v>0</v>
      </c>
      <c r="FD226" s="6">
        <f>SUMIF('Eredeti fejléccel'!$B:$B,'Felosztás eredménykim'!$B226,'Eredeti fejléccel'!$CJ:$CJ)</f>
        <v>0</v>
      </c>
      <c r="FE226" s="6">
        <f>SUMIF('Eredeti fejléccel'!$B:$B,'Felosztás eredménykim'!$B226,'Eredeti fejléccel'!$CL:$CL)</f>
        <v>0</v>
      </c>
      <c r="FG226" s="99">
        <f t="shared" si="528"/>
        <v>0</v>
      </c>
      <c r="FH226" s="6">
        <f>SUMIF('Eredeti fejléccel'!$B:$B,'Felosztás eredménykim'!$B226,'Eredeti fejléccel'!$CK:$CK)</f>
        <v>0</v>
      </c>
      <c r="FI226" s="36">
        <f t="shared" si="477"/>
        <v>0</v>
      </c>
      <c r="FJ226" s="101">
        <f t="shared" si="408"/>
        <v>0</v>
      </c>
      <c r="FK226" s="6">
        <f>SUMIF('Eredeti fejléccel'!$B:$B,'Felosztás eredménykim'!$B226,'Eredeti fejléccel'!$CM:$CM)</f>
        <v>0</v>
      </c>
      <c r="FL226" s="6">
        <f>SUMIF('Eredeti fejléccel'!$B:$B,'Felosztás eredménykim'!$B226,'Eredeti fejléccel'!$CN:$CN)</f>
        <v>0</v>
      </c>
      <c r="FM226" s="8">
        <f t="shared" si="529"/>
        <v>0</v>
      </c>
      <c r="FN226" s="36">
        <f t="shared" si="478"/>
        <v>0</v>
      </c>
      <c r="FO226" s="101">
        <f t="shared" si="409"/>
        <v>0</v>
      </c>
      <c r="FP226" s="6">
        <f>SUMIF('Eredeti fejléccel'!$B:$B,'Felosztás eredménykim'!$B226,'Eredeti fejléccel'!$CO:$CO)</f>
        <v>0</v>
      </c>
      <c r="FQ226" s="6">
        <f>'Eredeti fejléccel'!CP226</f>
        <v>0</v>
      </c>
      <c r="FR226" s="6">
        <f>'Eredeti fejléccel'!CQ226</f>
        <v>0</v>
      </c>
      <c r="FS226" s="103">
        <f t="shared" si="417"/>
        <v>0</v>
      </c>
      <c r="FT226" s="36">
        <f t="shared" si="479"/>
        <v>0</v>
      </c>
      <c r="FU226" s="101">
        <f t="shared" si="410"/>
        <v>0</v>
      </c>
      <c r="FV226" s="101"/>
      <c r="FW226" s="6">
        <f>SUMIF('Eredeti fejléccel'!$B:$B,'Felosztás eredménykim'!$B226,'Eredeti fejléccel'!$CR:$CR)</f>
        <v>0</v>
      </c>
      <c r="FX226" s="6">
        <f>SUMIF('Eredeti fejléccel'!$B:$B,'Felosztás eredménykim'!$B226,'Eredeti fejléccel'!$CS:$CS)</f>
        <v>0</v>
      </c>
      <c r="FY226" s="6">
        <f>SUMIF('Eredeti fejléccel'!$B:$B,'Felosztás eredménykim'!$B226,'Eredeti fejléccel'!$CT:$CT)</f>
        <v>0</v>
      </c>
      <c r="FZ226" s="6">
        <f>SUMIF('Eredeti fejléccel'!$B:$B,'Felosztás eredménykim'!$B226,'Eredeti fejléccel'!$CU:$CU)</f>
        <v>0</v>
      </c>
      <c r="GA226" s="103">
        <f t="shared" si="530"/>
        <v>0</v>
      </c>
      <c r="GB226" s="36">
        <f t="shared" si="480"/>
        <v>0</v>
      </c>
      <c r="GC226" s="101">
        <f t="shared" si="411"/>
        <v>0</v>
      </c>
      <c r="GD226" s="6">
        <f>SUMIF('Eredeti fejléccel'!$B:$B,'Felosztás eredménykim'!$B226,'Eredeti fejléccel'!$CV:$CV)</f>
        <v>0</v>
      </c>
      <c r="GE226" s="6">
        <f>SUMIF('Eredeti fejléccel'!$B:$B,'Felosztás eredménykim'!$B226,'Eredeti fejléccel'!$CW:$CW)</f>
        <v>0</v>
      </c>
      <c r="GF226" s="103">
        <f t="shared" si="531"/>
        <v>0</v>
      </c>
      <c r="GG226" s="36">
        <f t="shared" si="412"/>
        <v>0</v>
      </c>
      <c r="GM226" s="6">
        <f>SUMIF('Eredeti fejléccel'!$B:$B,'Felosztás eredménykim'!$B226,'Eredeti fejléccel'!$CX:$CX)</f>
        <v>0</v>
      </c>
      <c r="GN226" s="6">
        <f>SUMIF('Eredeti fejléccel'!$B:$B,'Felosztás eredménykim'!$B226,'Eredeti fejléccel'!$CY:$CY)</f>
        <v>0</v>
      </c>
      <c r="GO226" s="6">
        <f>SUMIF('Eredeti fejléccel'!$B:$B,'Felosztás eredménykim'!$B226,'Eredeti fejléccel'!$CZ:$CZ)</f>
        <v>0</v>
      </c>
      <c r="GP226" s="6">
        <f>SUMIF('Eredeti fejléccel'!$B:$B,'Felosztás eredménykim'!$B226,'Eredeti fejléccel'!$DA:$DA)</f>
        <v>0</v>
      </c>
      <c r="GQ226" s="6">
        <f>SUMIF('Eredeti fejléccel'!$B:$B,'Felosztás eredménykim'!$B226,'Eredeti fejléccel'!$DB:$DB)</f>
        <v>0</v>
      </c>
      <c r="GR226" s="103">
        <f t="shared" si="532"/>
        <v>0</v>
      </c>
      <c r="GW226" s="36">
        <f t="shared" si="413"/>
        <v>0</v>
      </c>
      <c r="GX226" s="6">
        <f>SUMIF('Eredeti fejléccel'!$B:$B,'Felosztás eredménykim'!$B226,'Eredeti fejléccel'!$M:$M)</f>
        <v>0</v>
      </c>
      <c r="GY226" s="6">
        <f>SUMIF('Eredeti fejléccel'!$B:$B,'Felosztás eredménykim'!$B226,'Eredeti fejléccel'!$DC:$DC)</f>
        <v>0</v>
      </c>
      <c r="GZ226" s="6">
        <f>SUMIF('Eredeti fejléccel'!$B:$B,'Felosztás eredménykim'!$B226,'Eredeti fejléccel'!$DD:$DD)</f>
        <v>0</v>
      </c>
      <c r="HA226" s="6">
        <f>SUMIF('Eredeti fejléccel'!$B:$B,'Felosztás eredménykim'!$B226,'Eredeti fejléccel'!$DE:$DE)</f>
        <v>0</v>
      </c>
      <c r="HB226" s="103">
        <f t="shared" si="533"/>
        <v>0</v>
      </c>
      <c r="HD226" s="9">
        <f t="shared" si="429"/>
        <v>-90328638</v>
      </c>
      <c r="HE226" s="9">
        <v>-90328638</v>
      </c>
      <c r="HF226" s="476"/>
      <c r="HH226" s="34">
        <f t="shared" si="534"/>
        <v>0</v>
      </c>
    </row>
    <row r="227" spans="1:218" x14ac:dyDescent="0.25">
      <c r="A227" s="4" t="s">
        <v>301</v>
      </c>
      <c r="B227" s="4" t="s">
        <v>301</v>
      </c>
      <c r="C227" s="1" t="s">
        <v>302</v>
      </c>
      <c r="D227" s="6">
        <f>SUMIF('Eredeti fejléccel'!$B:$B,'Felosztás eredménykim'!$B227,'Eredeti fejléccel'!$D:$D)</f>
        <v>0</v>
      </c>
      <c r="E227" s="6">
        <f>SUMIF('Eredeti fejléccel'!$B:$B,'Felosztás eredménykim'!$B227,'Eredeti fejléccel'!$E:$E)</f>
        <v>0</v>
      </c>
      <c r="F227" s="6">
        <f>SUMIF('Eredeti fejléccel'!$B:$B,'Felosztás eredménykim'!$B227,'Eredeti fejléccel'!$F:$F)</f>
        <v>0</v>
      </c>
      <c r="G227" s="6">
        <f>SUMIF('Eredeti fejléccel'!$B:$B,'Felosztás eredménykim'!$B227,'Eredeti fejléccel'!$G:$G)</f>
        <v>0</v>
      </c>
      <c r="H227" s="6"/>
      <c r="I227" s="6">
        <f>SUMIF('Eredeti fejléccel'!$B:$B,'Felosztás eredménykim'!$B227,'Eredeti fejléccel'!$O:$O)</f>
        <v>0</v>
      </c>
      <c r="J227" s="6">
        <f>SUMIF('Eredeti fejléccel'!$B:$B,'Felosztás eredménykim'!$B227,'Eredeti fejléccel'!$P:$P)</f>
        <v>0</v>
      </c>
      <c r="K227" s="6">
        <f>SUMIF('Eredeti fejléccel'!$B:$B,'Felosztás eredménykim'!$B227,'Eredeti fejléccel'!$Q:$Q)</f>
        <v>0</v>
      </c>
      <c r="L227" s="6">
        <f>SUMIF('Eredeti fejléccel'!$B:$B,'Felosztás eredménykim'!$B227,'Eredeti fejléccel'!$R:$R)</f>
        <v>0</v>
      </c>
      <c r="M227" s="6">
        <f>SUMIF('Eredeti fejléccel'!$B:$B,'Felosztás eredménykim'!$B227,'Eredeti fejléccel'!$T:$T)</f>
        <v>0</v>
      </c>
      <c r="N227" s="6">
        <f>SUMIF('Eredeti fejléccel'!$B:$B,'Felosztás eredménykim'!$B227,'Eredeti fejléccel'!$U:$U)</f>
        <v>0</v>
      </c>
      <c r="O227" s="6">
        <f>SUMIF('Eredeti fejléccel'!$B:$B,'Felosztás eredménykim'!$B227,'Eredeti fejléccel'!$V:$V)</f>
        <v>0</v>
      </c>
      <c r="P227" s="6">
        <f>SUMIF('Eredeti fejléccel'!$B:$B,'Felosztás eredménykim'!$B227,'Eredeti fejléccel'!$W:$W)</f>
        <v>0</v>
      </c>
      <c r="Q227" s="6">
        <f>SUMIF('Eredeti fejléccel'!$B:$B,'Felosztás eredménykim'!$B227,'Eredeti fejléccel'!$X:$X)</f>
        <v>0</v>
      </c>
      <c r="R227" s="6">
        <f>SUMIF('Eredeti fejléccel'!$B:$B,'Felosztás eredménykim'!$B227,'Eredeti fejléccel'!$Y:$Y)</f>
        <v>0</v>
      </c>
      <c r="S227" s="6">
        <f>SUMIF('Eredeti fejléccel'!$B:$B,'Felosztás eredménykim'!$B227,'Eredeti fejléccel'!$Z:$Z)</f>
        <v>0</v>
      </c>
      <c r="T227" s="6">
        <f>SUMIF('Eredeti fejléccel'!$B:$B,'Felosztás eredménykim'!$B227,'Eredeti fejléccel'!$AA:$AA)</f>
        <v>0</v>
      </c>
      <c r="U227" s="6">
        <f>SUMIF('Eredeti fejléccel'!$B:$B,'Felosztás eredménykim'!$B227,'Eredeti fejléccel'!$D:$D)</f>
        <v>0</v>
      </c>
      <c r="V227" s="6">
        <f>SUMIF('Eredeti fejléccel'!$B:$B,'Felosztás eredménykim'!$B227,'Eredeti fejléccel'!$AT:$AT)</f>
        <v>0</v>
      </c>
      <c r="X227" s="36">
        <f t="shared" si="414"/>
        <v>0</v>
      </c>
      <c r="Z227" s="6">
        <f>SUMIF('Eredeti fejléccel'!$B:$B,'Felosztás eredménykim'!$B227,'Eredeti fejléccel'!$K:$K)</f>
        <v>0</v>
      </c>
      <c r="AB227" s="6">
        <f>SUMIF('Eredeti fejléccel'!$B:$B,'Felosztás eredménykim'!$B227,'Eredeti fejléccel'!$AB:$AB)</f>
        <v>0</v>
      </c>
      <c r="AC227" s="6">
        <f>SUMIF('Eredeti fejléccel'!$B:$B,'Felosztás eredménykim'!$B227,'Eredeti fejléccel'!$AQ:$AQ)</f>
        <v>0</v>
      </c>
      <c r="AE227" s="73">
        <f t="shared" si="299"/>
        <v>0</v>
      </c>
      <c r="AF227" s="36">
        <f t="shared" si="470"/>
        <v>0</v>
      </c>
      <c r="AG227" s="8">
        <f t="shared" si="399"/>
        <v>0</v>
      </c>
      <c r="AI227" s="6">
        <f>SUMIF('Eredeti fejléccel'!$B:$B,'Felosztás eredménykim'!$B227,'Eredeti fejléccel'!$BB:$BB)</f>
        <v>0</v>
      </c>
      <c r="AJ227" s="6">
        <f>SUMIF('Eredeti fejléccel'!$B:$B,'Felosztás eredménykim'!$B227,'Eredeti fejléccel'!$AF:$AF)</f>
        <v>0</v>
      </c>
      <c r="AK227" s="8">
        <f t="shared" si="522"/>
        <v>0</v>
      </c>
      <c r="AL227" s="36">
        <f t="shared" si="471"/>
        <v>0</v>
      </c>
      <c r="AM227" s="8">
        <f t="shared" si="400"/>
        <v>0</v>
      </c>
      <c r="AN227" s="6">
        <f t="shared" si="291"/>
        <v>0</v>
      </c>
      <c r="AO227" s="6">
        <f>SUMIF('Eredeti fejléccel'!$B:$B,'Felosztás eredménykim'!$B227,'Eredeti fejléccel'!$AC:$AC)</f>
        <v>0</v>
      </c>
      <c r="AP227" s="6">
        <f>SUMIF('Eredeti fejléccel'!$B:$B,'Felosztás eredménykim'!$B227,'Eredeti fejléccel'!$AD:$AD)</f>
        <v>-1148652</v>
      </c>
      <c r="AQ227" s="6">
        <f>SUMIF('Eredeti fejléccel'!$B:$B,'Felosztás eredménykim'!$B227,'Eredeti fejléccel'!$AE:$AE)</f>
        <v>-1690020</v>
      </c>
      <c r="AR227" s="6">
        <f>SUMIF('Eredeti fejléccel'!$B:$B,'Felosztás eredménykim'!$B227,'Eredeti fejléccel'!$AG:$AG)</f>
        <v>0</v>
      </c>
      <c r="AS227" s="6">
        <f t="shared" si="292"/>
        <v>-2838672</v>
      </c>
      <c r="AT227" s="36">
        <f t="shared" si="472"/>
        <v>0</v>
      </c>
      <c r="AU227" s="8">
        <f t="shared" si="401"/>
        <v>0</v>
      </c>
      <c r="AV227" s="6">
        <f>SUMIF('Eredeti fejléccel'!$B:$B,'Felosztás eredménykim'!$B227,'Eredeti fejléccel'!$AI:$AI)</f>
        <v>0</v>
      </c>
      <c r="AW227" s="6">
        <f>SUMIF('Eredeti fejléccel'!$B:$B,'Felosztás eredménykim'!$B227,'Eredeti fejléccel'!$AJ:$AJ)</f>
        <v>0</v>
      </c>
      <c r="AX227" s="6">
        <f>SUMIF('Eredeti fejléccel'!$B:$B,'Felosztás eredménykim'!$B227,'Eredeti fejléccel'!$AK:$AK)</f>
        <v>0</v>
      </c>
      <c r="AY227" s="6">
        <f>SUMIF('Eredeti fejléccel'!$B:$B,'Felosztás eredménykim'!$B227,'Eredeti fejléccel'!$AL:$AL)</f>
        <v>0</v>
      </c>
      <c r="AZ227" s="6">
        <f>SUMIF('Eredeti fejléccel'!$B:$B,'Felosztás eredménykim'!$B227,'Eredeti fejléccel'!$AM:$AM)</f>
        <v>0</v>
      </c>
      <c r="BA227" s="6">
        <f>SUMIF('Eredeti fejléccel'!$B:$B,'Felosztás eredménykim'!$B227,'Eredeti fejléccel'!$AN:$AN)</f>
        <v>0</v>
      </c>
      <c r="BB227" s="6">
        <f>SUMIF('Eredeti fejléccel'!$B:$B,'Felosztás eredménykim'!$B227,'Eredeti fejléccel'!$AP:$AP)</f>
        <v>0</v>
      </c>
      <c r="BD227" s="6">
        <f>SUMIF('Eredeti fejléccel'!$B:$B,'Felosztás eredménykim'!$B227,'Eredeti fejléccel'!$AS:$AS)</f>
        <v>0</v>
      </c>
      <c r="BE227" s="8">
        <f t="shared" si="523"/>
        <v>0</v>
      </c>
      <c r="BF227" s="36">
        <f t="shared" si="473"/>
        <v>0</v>
      </c>
      <c r="BG227" s="8">
        <f t="shared" si="402"/>
        <v>0</v>
      </c>
      <c r="BH227" s="6">
        <f t="shared" si="293"/>
        <v>0</v>
      </c>
      <c r="BI227" s="6">
        <f>SUMIF('Eredeti fejléccel'!$B:$B,'Felosztás eredménykim'!$B227,'Eredeti fejléccel'!$AH:$AH)</f>
        <v>0</v>
      </c>
      <c r="BJ227" s="6">
        <f>SUMIF('Eredeti fejléccel'!$B:$B,'Felosztás eredménykim'!$B227,'Eredeti fejléccel'!$AO:$AO)</f>
        <v>0</v>
      </c>
      <c r="BK227" s="6">
        <f>SUMIF('Eredeti fejléccel'!$B:$B,'Felosztás eredménykim'!$B227,'Eredeti fejléccel'!$BF:$BF)</f>
        <v>0</v>
      </c>
      <c r="BL227" s="8">
        <f t="shared" si="294"/>
        <v>0</v>
      </c>
      <c r="BM227" s="36">
        <f t="shared" si="474"/>
        <v>0</v>
      </c>
      <c r="BN227" s="8">
        <f t="shared" si="403"/>
        <v>0</v>
      </c>
      <c r="BP227" s="8">
        <f t="shared" si="295"/>
        <v>0</v>
      </c>
      <c r="BQ227" s="6">
        <f>SUMIF('Eredeti fejléccel'!$B:$B,'Felosztás eredménykim'!$B227,'Eredeti fejléccel'!$N:$N)</f>
        <v>0</v>
      </c>
      <c r="BR227" s="6">
        <f>SUMIF('Eredeti fejléccel'!$B:$B,'Felosztás eredménykim'!$B227,'Eredeti fejléccel'!$S:$S)</f>
        <v>0</v>
      </c>
      <c r="BT227" s="6">
        <f>SUMIF('Eredeti fejléccel'!$B:$B,'Felosztás eredménykim'!$B227,'Eredeti fejléccel'!$AR:$AR)</f>
        <v>0</v>
      </c>
      <c r="BU227" s="6">
        <f>SUMIF('Eredeti fejléccel'!$B:$B,'Felosztás eredménykim'!$B227,'Eredeti fejléccel'!$AU:$AU)</f>
        <v>0</v>
      </c>
      <c r="BV227" s="6">
        <f>SUMIF('Eredeti fejléccel'!$B:$B,'Felosztás eredménykim'!$B227,'Eredeti fejléccel'!$AV:$AV)</f>
        <v>0</v>
      </c>
      <c r="BW227" s="6">
        <f>SUMIF('Eredeti fejléccel'!$B:$B,'Felosztás eredménykim'!$B227,'Eredeti fejléccel'!$AW:$AW)</f>
        <v>0</v>
      </c>
      <c r="BX227" s="6">
        <f>SUMIF('Eredeti fejléccel'!$B:$B,'Felosztás eredménykim'!$B227,'Eredeti fejléccel'!$AX:$AX)</f>
        <v>0</v>
      </c>
      <c r="BY227" s="6">
        <f>SUMIF('Eredeti fejléccel'!$B:$B,'Felosztás eredménykim'!$B227,'Eredeti fejléccel'!$AY:$AY)</f>
        <v>0</v>
      </c>
      <c r="BZ227" s="6">
        <f>SUMIF('Eredeti fejléccel'!$B:$B,'Felosztás eredménykim'!$B227,'Eredeti fejléccel'!$AZ:$AZ)</f>
        <v>0</v>
      </c>
      <c r="CA227" s="6">
        <f>SUMIF('Eredeti fejléccel'!$B:$B,'Felosztás eredménykim'!$B227,'Eredeti fejléccel'!$BA:$BA)</f>
        <v>0</v>
      </c>
      <c r="CB227" s="6">
        <f t="shared" si="481"/>
        <v>0</v>
      </c>
      <c r="CC227" s="36">
        <f t="shared" si="475"/>
        <v>0</v>
      </c>
      <c r="CD227" s="8">
        <f t="shared" si="404"/>
        <v>0</v>
      </c>
      <c r="CE227" s="6">
        <f>SUMIF('Eredeti fejléccel'!$B:$B,'Felosztás eredménykim'!$B227,'Eredeti fejléccel'!$BC:$BC)</f>
        <v>0</v>
      </c>
      <c r="CF227" s="8">
        <f t="shared" si="300"/>
        <v>0</v>
      </c>
      <c r="CG227" s="6">
        <f>SUMIF('Eredeti fejléccel'!$B:$B,'Felosztás eredménykim'!$B227,'Eredeti fejléccel'!$H:$H)</f>
        <v>0</v>
      </c>
      <c r="CH227" s="6">
        <f>SUMIF('Eredeti fejléccel'!$B:$B,'Felosztás eredménykim'!$B227,'Eredeti fejléccel'!$BE:$BE)</f>
        <v>0</v>
      </c>
      <c r="CI227" s="6">
        <f t="shared" si="524"/>
        <v>0</v>
      </c>
      <c r="CJ227" s="36">
        <f t="shared" si="476"/>
        <v>0</v>
      </c>
      <c r="CK227" s="8">
        <f t="shared" si="405"/>
        <v>0</v>
      </c>
      <c r="CL227" s="8">
        <f t="shared" si="301"/>
        <v>0</v>
      </c>
      <c r="CM227" s="6">
        <f>SUMIF('Eredeti fejléccel'!$B:$B,'Felosztás eredménykim'!$B227,'Eredeti fejléccel'!$BD:$BD)</f>
        <v>0</v>
      </c>
      <c r="CN227" s="8">
        <f t="shared" si="525"/>
        <v>0</v>
      </c>
      <c r="CO227" s="8">
        <f t="shared" si="482"/>
        <v>-2838672</v>
      </c>
      <c r="CR227" s="36">
        <f t="shared" si="406"/>
        <v>0</v>
      </c>
      <c r="CS227" s="6">
        <f>SUMIF('Eredeti fejléccel'!$B:$B,'Felosztás eredménykim'!$B227,'Eredeti fejléccel'!$I:$I)</f>
        <v>0</v>
      </c>
      <c r="CT227" s="6">
        <f>SUMIF('Eredeti fejléccel'!$B:$B,'Felosztás eredménykim'!$B227,'Eredeti fejléccel'!$BG:$BG)</f>
        <v>0</v>
      </c>
      <c r="CU227" s="6">
        <f>SUMIF('Eredeti fejléccel'!$B:$B,'Felosztás eredménykim'!$B227,'Eredeti fejléccel'!$BH:$BH)</f>
        <v>0</v>
      </c>
      <c r="CV227" s="6">
        <f>SUMIF('Eredeti fejléccel'!$B:$B,'Felosztás eredménykim'!$B227,'Eredeti fejléccel'!$BI:$BI)</f>
        <v>0</v>
      </c>
      <c r="CW227" s="6">
        <f>SUMIF('Eredeti fejléccel'!$B:$B,'Felosztás eredménykim'!$B227,'Eredeti fejléccel'!$BL:$BL)</f>
        <v>0</v>
      </c>
      <c r="CX227" s="6">
        <f t="shared" si="526"/>
        <v>0</v>
      </c>
      <c r="CY227" s="6">
        <f>SUMIF('Eredeti fejléccel'!$B:$B,'Felosztás eredménykim'!$B227,'Eredeti fejléccel'!$BJ:$BJ)</f>
        <v>0</v>
      </c>
      <c r="CZ227" s="6">
        <f>SUMIF('Eredeti fejléccel'!$B:$B,'Felosztás eredménykim'!$B227,'Eredeti fejléccel'!$BK:$BK)</f>
        <v>0</v>
      </c>
      <c r="DA227" s="99">
        <f t="shared" si="415"/>
        <v>0</v>
      </c>
      <c r="DC227" s="36">
        <f t="shared" si="407"/>
        <v>0</v>
      </c>
      <c r="DD227" s="6">
        <f>SUMIF('Eredeti fejléccel'!$B:$B,'Felosztás eredménykim'!$B227,'Eredeti fejléccel'!$J:$J)</f>
        <v>0</v>
      </c>
      <c r="DE227" s="6">
        <f>SUMIF('Eredeti fejléccel'!$B:$B,'Felosztás eredménykim'!$B227,'Eredeti fejléccel'!$BM:$BM)</f>
        <v>0</v>
      </c>
      <c r="DF227" s="6">
        <f t="shared" si="296"/>
        <v>0</v>
      </c>
      <c r="DG227" s="8">
        <f t="shared" si="483"/>
        <v>0</v>
      </c>
      <c r="DH227" s="8">
        <f t="shared" si="297"/>
        <v>0</v>
      </c>
      <c r="DJ227" s="6">
        <f>SUMIF('Eredeti fejléccel'!$B:$B,'Felosztás eredménykim'!$B227,'Eredeti fejléccel'!$BN:$BN)</f>
        <v>0</v>
      </c>
      <c r="DK227" s="6">
        <f>SUMIF('Eredeti fejléccel'!$B:$B,'Felosztás eredménykim'!$B227,'Eredeti fejléccel'!$BZ:$BZ)</f>
        <v>0</v>
      </c>
      <c r="DL227" s="8">
        <f t="shared" si="298"/>
        <v>0</v>
      </c>
      <c r="DM227" s="6">
        <f>SUMIF('Eredeti fejléccel'!$B:$B,'Felosztás eredménykim'!$B227,'Eredeti fejléccel'!$BR:$BR)</f>
        <v>0</v>
      </c>
      <c r="DN227" s="6">
        <f>SUMIF('Eredeti fejléccel'!$B:$B,'Felosztás eredménykim'!$B227,'Eredeti fejléccel'!$BS:$BS)</f>
        <v>0</v>
      </c>
      <c r="DO227" s="6">
        <f>SUMIF('Eredeti fejléccel'!$B:$B,'Felosztás eredménykim'!$B227,'Eredeti fejléccel'!$BO:$BO)</f>
        <v>0</v>
      </c>
      <c r="DP227" s="6">
        <f>SUMIF('Eredeti fejléccel'!$B:$B,'Felosztás eredménykim'!$B227,'Eredeti fejléccel'!$BP:$BP)</f>
        <v>0</v>
      </c>
      <c r="DQ227" s="6">
        <f>SUMIF('Eredeti fejléccel'!$B:$B,'Felosztás eredménykim'!$B227,'Eredeti fejléccel'!$BQ:$BQ)</f>
        <v>0</v>
      </c>
      <c r="DS227" s="8"/>
      <c r="DU227" s="6">
        <f>SUMIF('Eredeti fejléccel'!$B:$B,'Felosztás eredménykim'!$B227,'Eredeti fejléccel'!$BT:$BT)</f>
        <v>0</v>
      </c>
      <c r="DV227" s="6">
        <f>SUMIF('Eredeti fejléccel'!$B:$B,'Felosztás eredménykim'!$B227,'Eredeti fejléccel'!$BU:$BU)</f>
        <v>0</v>
      </c>
      <c r="DW227" s="6">
        <f>SUMIF('Eredeti fejléccel'!$B:$B,'Felosztás eredménykim'!$B227,'Eredeti fejléccel'!$BV:$BV)</f>
        <v>0</v>
      </c>
      <c r="DX227" s="6">
        <f>SUMIF('Eredeti fejléccel'!$B:$B,'Felosztás eredménykim'!$B227,'Eredeti fejléccel'!$BW:$BW)</f>
        <v>0</v>
      </c>
      <c r="DY227" s="6">
        <f>SUMIF('Eredeti fejléccel'!$B:$B,'Felosztás eredménykim'!$B227,'Eredeti fejléccel'!$BX:$BX)</f>
        <v>0</v>
      </c>
      <c r="EA227" s="6"/>
      <c r="EC227" s="6"/>
      <c r="EE227" s="6">
        <f>SUMIF('Eredeti fejléccel'!$B:$B,'Felosztás eredménykim'!$B227,'Eredeti fejléccel'!$CA:$CA)</f>
        <v>0</v>
      </c>
      <c r="EF227" s="6">
        <f>SUMIF('Eredeti fejléccel'!$B:$B,'Felosztás eredménykim'!$B227,'Eredeti fejléccel'!$CB:$CB)</f>
        <v>0</v>
      </c>
      <c r="EG227" s="6">
        <f>SUMIF('Eredeti fejléccel'!$B:$B,'Felosztás eredménykim'!$B227,'Eredeti fejléccel'!$CC:$CC)</f>
        <v>0</v>
      </c>
      <c r="EH227" s="6">
        <f>SUMIF('Eredeti fejléccel'!$B:$B,'Felosztás eredménykim'!$B227,'Eredeti fejléccel'!$CD:$CD)</f>
        <v>0</v>
      </c>
      <c r="EK227" s="6">
        <f>SUMIF('Eredeti fejléccel'!$B:$B,'Felosztás eredménykim'!$B227,'Eredeti fejléccel'!$CE:$CE)</f>
        <v>0</v>
      </c>
      <c r="EN227" s="6">
        <f>SUMIF('Eredeti fejléccel'!$B:$B,'Felosztás eredménykim'!$B227,'Eredeti fejléccel'!$CF:$CF)</f>
        <v>0</v>
      </c>
      <c r="EP227" s="6">
        <f>SUMIF('Eredeti fejléccel'!$B:$B,'Felosztás eredménykim'!$B227,'Eredeti fejléccel'!$CG:$CG)</f>
        <v>0</v>
      </c>
      <c r="ES227" s="6">
        <f>SUMIF('Eredeti fejléccel'!$B:$B,'Felosztás eredménykim'!$B227,'Eredeti fejléccel'!$CH:$CH)</f>
        <v>0</v>
      </c>
      <c r="ET227" s="6">
        <f>SUMIF('Eredeti fejléccel'!$B:$B,'Felosztás eredménykim'!$B227,'Eredeti fejléccel'!$CI:$CI)</f>
        <v>0</v>
      </c>
      <c r="EW227" s="8">
        <f t="shared" si="535"/>
        <v>0</v>
      </c>
      <c r="EX227" s="8">
        <f t="shared" si="527"/>
        <v>0</v>
      </c>
      <c r="EY227" s="8">
        <f t="shared" si="416"/>
        <v>0</v>
      </c>
      <c r="EZ227" s="8">
        <f t="shared" si="536"/>
        <v>0</v>
      </c>
      <c r="FA227" s="8">
        <f t="shared" si="537"/>
        <v>0</v>
      </c>
      <c r="FC227" s="6">
        <f>SUMIF('Eredeti fejléccel'!$B:$B,'Felosztás eredménykim'!$B227,'Eredeti fejléccel'!$L:$L)</f>
        <v>0</v>
      </c>
      <c r="FD227" s="6">
        <f>SUMIF('Eredeti fejléccel'!$B:$B,'Felosztás eredménykim'!$B227,'Eredeti fejléccel'!$CJ:$CJ)</f>
        <v>0</v>
      </c>
      <c r="FE227" s="6">
        <f>SUMIF('Eredeti fejléccel'!$B:$B,'Felosztás eredménykim'!$B227,'Eredeti fejléccel'!$CL:$CL)</f>
        <v>0</v>
      </c>
      <c r="FG227" s="99">
        <f t="shared" si="528"/>
        <v>0</v>
      </c>
      <c r="FH227" s="6">
        <f>SUMIF('Eredeti fejléccel'!$B:$B,'Felosztás eredménykim'!$B227,'Eredeti fejléccel'!$CK:$CK)</f>
        <v>0</v>
      </c>
      <c r="FI227" s="36">
        <f t="shared" si="477"/>
        <v>0</v>
      </c>
      <c r="FJ227" s="101">
        <f t="shared" si="408"/>
        <v>0</v>
      </c>
      <c r="FK227" s="6">
        <f>SUMIF('Eredeti fejléccel'!$B:$B,'Felosztás eredménykim'!$B227,'Eredeti fejléccel'!$CM:$CM)</f>
        <v>0</v>
      </c>
      <c r="FL227" s="6">
        <f>SUMIF('Eredeti fejléccel'!$B:$B,'Felosztás eredménykim'!$B227,'Eredeti fejléccel'!$CN:$CN)</f>
        <v>0</v>
      </c>
      <c r="FM227" s="8">
        <f t="shared" si="529"/>
        <v>0</v>
      </c>
      <c r="FN227" s="36">
        <f t="shared" si="478"/>
        <v>0</v>
      </c>
      <c r="FO227" s="101">
        <f t="shared" si="409"/>
        <v>0</v>
      </c>
      <c r="FP227" s="6">
        <f>SUMIF('Eredeti fejléccel'!$B:$B,'Felosztás eredménykim'!$B227,'Eredeti fejléccel'!$CO:$CO)</f>
        <v>0</v>
      </c>
      <c r="FQ227" s="6">
        <f>'Eredeti fejléccel'!CP227</f>
        <v>0</v>
      </c>
      <c r="FR227" s="6">
        <f>'Eredeti fejléccel'!CQ227</f>
        <v>0</v>
      </c>
      <c r="FS227" s="103">
        <f t="shared" si="417"/>
        <v>0</v>
      </c>
      <c r="FT227" s="36">
        <f t="shared" si="479"/>
        <v>0</v>
      </c>
      <c r="FU227" s="101">
        <f t="shared" si="410"/>
        <v>0</v>
      </c>
      <c r="FV227" s="101"/>
      <c r="FW227" s="6">
        <f>SUMIF('Eredeti fejléccel'!$B:$B,'Felosztás eredménykim'!$B227,'Eredeti fejléccel'!$CR:$CR)</f>
        <v>0</v>
      </c>
      <c r="FX227" s="6">
        <f>SUMIF('Eredeti fejléccel'!$B:$B,'Felosztás eredménykim'!$B227,'Eredeti fejléccel'!$CS:$CS)</f>
        <v>0</v>
      </c>
      <c r="FY227" s="6">
        <f>SUMIF('Eredeti fejléccel'!$B:$B,'Felosztás eredménykim'!$B227,'Eredeti fejléccel'!$CT:$CT)</f>
        <v>0</v>
      </c>
      <c r="FZ227" s="6">
        <f>SUMIF('Eredeti fejléccel'!$B:$B,'Felosztás eredménykim'!$B227,'Eredeti fejléccel'!$CU:$CU)</f>
        <v>0</v>
      </c>
      <c r="GA227" s="103">
        <f t="shared" si="530"/>
        <v>0</v>
      </c>
      <c r="GB227" s="36">
        <f t="shared" si="480"/>
        <v>0</v>
      </c>
      <c r="GC227" s="101">
        <f t="shared" si="411"/>
        <v>0</v>
      </c>
      <c r="GD227" s="6">
        <f>SUMIF('Eredeti fejléccel'!$B:$B,'Felosztás eredménykim'!$B227,'Eredeti fejléccel'!$CV:$CV)</f>
        <v>0</v>
      </c>
      <c r="GE227" s="6">
        <f>SUMIF('Eredeti fejléccel'!$B:$B,'Felosztás eredménykim'!$B227,'Eredeti fejléccel'!$CW:$CW)</f>
        <v>0</v>
      </c>
      <c r="GF227" s="103">
        <f t="shared" si="531"/>
        <v>0</v>
      </c>
      <c r="GG227" s="36">
        <f t="shared" si="412"/>
        <v>0</v>
      </c>
      <c r="GM227" s="6">
        <f>SUMIF('Eredeti fejléccel'!$B:$B,'Felosztás eredménykim'!$B227,'Eredeti fejléccel'!$CX:$CX)</f>
        <v>0</v>
      </c>
      <c r="GN227" s="6">
        <f>SUMIF('Eredeti fejléccel'!$B:$B,'Felosztás eredménykim'!$B227,'Eredeti fejléccel'!$CY:$CY)</f>
        <v>0</v>
      </c>
      <c r="GO227" s="6">
        <f>SUMIF('Eredeti fejléccel'!$B:$B,'Felosztás eredménykim'!$B227,'Eredeti fejléccel'!$CZ:$CZ)</f>
        <v>0</v>
      </c>
      <c r="GP227" s="6">
        <f>SUMIF('Eredeti fejléccel'!$B:$B,'Felosztás eredménykim'!$B227,'Eredeti fejléccel'!$DA:$DA)</f>
        <v>0</v>
      </c>
      <c r="GQ227" s="6">
        <f>SUMIF('Eredeti fejléccel'!$B:$B,'Felosztás eredménykim'!$B227,'Eredeti fejléccel'!$DB:$DB)</f>
        <v>0</v>
      </c>
      <c r="GR227" s="103">
        <f t="shared" si="532"/>
        <v>0</v>
      </c>
      <c r="GW227" s="36">
        <f t="shared" si="413"/>
        <v>0</v>
      </c>
      <c r="GX227" s="6">
        <f>SUMIF('Eredeti fejléccel'!$B:$B,'Felosztás eredménykim'!$B227,'Eredeti fejléccel'!$M:$M)</f>
        <v>0</v>
      </c>
      <c r="GY227" s="6">
        <f>SUMIF('Eredeti fejléccel'!$B:$B,'Felosztás eredménykim'!$B227,'Eredeti fejléccel'!$DC:$DC)</f>
        <v>0</v>
      </c>
      <c r="GZ227" s="6">
        <f>SUMIF('Eredeti fejléccel'!$B:$B,'Felosztás eredménykim'!$B227,'Eredeti fejléccel'!$DD:$DD)</f>
        <v>0</v>
      </c>
      <c r="HA227" s="6">
        <f>SUMIF('Eredeti fejléccel'!$B:$B,'Felosztás eredménykim'!$B227,'Eredeti fejléccel'!$DE:$DE)</f>
        <v>0</v>
      </c>
      <c r="HB227" s="103">
        <f t="shared" si="533"/>
        <v>0</v>
      </c>
      <c r="HD227" s="9">
        <f t="shared" si="429"/>
        <v>-2838672</v>
      </c>
      <c r="HE227" s="9">
        <v>-2838672</v>
      </c>
      <c r="HF227" s="476"/>
      <c r="HH227" s="34">
        <f t="shared" si="534"/>
        <v>0</v>
      </c>
    </row>
    <row r="228" spans="1:218" x14ac:dyDescent="0.25">
      <c r="A228" s="4" t="s">
        <v>303</v>
      </c>
      <c r="B228" s="4" t="s">
        <v>303</v>
      </c>
      <c r="C228" s="1" t="s">
        <v>304</v>
      </c>
      <c r="D228" s="6">
        <f>SUMIF('Eredeti fejléccel'!$B:$B,'Felosztás eredménykim'!$B228,'Eredeti fejléccel'!$D:$D)</f>
        <v>0</v>
      </c>
      <c r="E228" s="6">
        <f>SUMIF('Eredeti fejléccel'!$B:$B,'Felosztás eredménykim'!$B228,'Eredeti fejléccel'!$E:$E)</f>
        <v>0</v>
      </c>
      <c r="F228" s="6">
        <f>SUMIF('Eredeti fejléccel'!$B:$B,'Felosztás eredménykim'!$B228,'Eredeti fejléccel'!$F:$F)</f>
        <v>0</v>
      </c>
      <c r="G228" s="6">
        <f>SUMIF('Eredeti fejléccel'!$B:$B,'Felosztás eredménykim'!$B228,'Eredeti fejléccel'!$G:$G)</f>
        <v>0</v>
      </c>
      <c r="H228" s="6"/>
      <c r="I228" s="6">
        <f>SUMIF('Eredeti fejléccel'!$B:$B,'Felosztás eredménykim'!$B228,'Eredeti fejléccel'!$O:$O)</f>
        <v>0</v>
      </c>
      <c r="J228" s="6">
        <f>SUMIF('Eredeti fejléccel'!$B:$B,'Felosztás eredménykim'!$B228,'Eredeti fejléccel'!$P:$P)</f>
        <v>0</v>
      </c>
      <c r="K228" s="6">
        <f>SUMIF('Eredeti fejléccel'!$B:$B,'Felosztás eredménykim'!$B228,'Eredeti fejléccel'!$Q:$Q)</f>
        <v>0</v>
      </c>
      <c r="L228" s="6">
        <f>SUMIF('Eredeti fejléccel'!$B:$B,'Felosztás eredménykim'!$B228,'Eredeti fejléccel'!$R:$R)</f>
        <v>0</v>
      </c>
      <c r="M228" s="6">
        <f>SUMIF('Eredeti fejléccel'!$B:$B,'Felosztás eredménykim'!$B228,'Eredeti fejléccel'!$T:$T)</f>
        <v>0</v>
      </c>
      <c r="N228" s="6">
        <f>SUMIF('Eredeti fejléccel'!$B:$B,'Felosztás eredménykim'!$B228,'Eredeti fejléccel'!$U:$U)</f>
        <v>0</v>
      </c>
      <c r="O228" s="6">
        <f>SUMIF('Eredeti fejléccel'!$B:$B,'Felosztás eredménykim'!$B228,'Eredeti fejléccel'!$V:$V)</f>
        <v>0</v>
      </c>
      <c r="P228" s="6">
        <f>SUMIF('Eredeti fejléccel'!$B:$B,'Felosztás eredménykim'!$B228,'Eredeti fejléccel'!$W:$W)</f>
        <v>0</v>
      </c>
      <c r="Q228" s="6">
        <f>SUMIF('Eredeti fejléccel'!$B:$B,'Felosztás eredménykim'!$B228,'Eredeti fejléccel'!$X:$X)</f>
        <v>0</v>
      </c>
      <c r="R228" s="6">
        <f>SUMIF('Eredeti fejléccel'!$B:$B,'Felosztás eredménykim'!$B228,'Eredeti fejléccel'!$Y:$Y)</f>
        <v>0</v>
      </c>
      <c r="S228" s="6">
        <f>SUMIF('Eredeti fejléccel'!$B:$B,'Felosztás eredménykim'!$B228,'Eredeti fejléccel'!$Z:$Z)</f>
        <v>0</v>
      </c>
      <c r="T228" s="6">
        <f>SUMIF('Eredeti fejléccel'!$B:$B,'Felosztás eredménykim'!$B228,'Eredeti fejléccel'!$AA:$AA)</f>
        <v>0</v>
      </c>
      <c r="U228" s="6">
        <f>SUMIF('Eredeti fejléccel'!$B:$B,'Felosztás eredménykim'!$B228,'Eredeti fejléccel'!$D:$D)</f>
        <v>0</v>
      </c>
      <c r="V228" s="6">
        <f>SUMIF('Eredeti fejléccel'!$B:$B,'Felosztás eredménykim'!$B228,'Eredeti fejléccel'!$AT:$AT)</f>
        <v>0</v>
      </c>
      <c r="X228" s="36">
        <f t="shared" si="414"/>
        <v>0</v>
      </c>
      <c r="Z228" s="6">
        <f>SUMIF('Eredeti fejléccel'!$B:$B,'Felosztás eredménykim'!$B228,'Eredeti fejléccel'!$K:$K)</f>
        <v>0</v>
      </c>
      <c r="AB228" s="6">
        <f>SUMIF('Eredeti fejléccel'!$B:$B,'Felosztás eredménykim'!$B228,'Eredeti fejléccel'!$AB:$AB)</f>
        <v>0</v>
      </c>
      <c r="AC228" s="6">
        <f>SUMIF('Eredeti fejléccel'!$B:$B,'Felosztás eredménykim'!$B228,'Eredeti fejléccel'!$AQ:$AQ)</f>
        <v>0</v>
      </c>
      <c r="AE228" s="73">
        <f t="shared" si="299"/>
        <v>0</v>
      </c>
      <c r="AF228" s="36">
        <f t="shared" si="470"/>
        <v>0</v>
      </c>
      <c r="AG228" s="8">
        <f t="shared" si="399"/>
        <v>0</v>
      </c>
      <c r="AI228" s="6">
        <f>SUMIF('Eredeti fejléccel'!$B:$B,'Felosztás eredménykim'!$B228,'Eredeti fejléccel'!$BB:$BB)</f>
        <v>0</v>
      </c>
      <c r="AJ228" s="6">
        <f>SUMIF('Eredeti fejléccel'!$B:$B,'Felosztás eredménykim'!$B228,'Eredeti fejléccel'!$AF:$AF)</f>
        <v>0</v>
      </c>
      <c r="AK228" s="8">
        <f t="shared" si="522"/>
        <v>0</v>
      </c>
      <c r="AL228" s="36">
        <f t="shared" si="471"/>
        <v>0</v>
      </c>
      <c r="AM228" s="8">
        <f t="shared" si="400"/>
        <v>0</v>
      </c>
      <c r="AN228" s="6">
        <f t="shared" si="291"/>
        <v>0</v>
      </c>
      <c r="AO228" s="6">
        <f>SUMIF('Eredeti fejléccel'!$B:$B,'Felosztás eredménykim'!$B228,'Eredeti fejléccel'!$AC:$AC)</f>
        <v>0</v>
      </c>
      <c r="AP228" s="6">
        <f>SUMIF('Eredeti fejléccel'!$B:$B,'Felosztás eredménykim'!$B228,'Eredeti fejléccel'!$AD:$AD)</f>
        <v>-5617324</v>
      </c>
      <c r="AQ228" s="6">
        <f>SUMIF('Eredeti fejléccel'!$B:$B,'Felosztás eredménykim'!$B228,'Eredeti fejléccel'!$AE:$AE)</f>
        <v>-3440388</v>
      </c>
      <c r="AR228" s="6">
        <f>SUMIF('Eredeti fejléccel'!$B:$B,'Felosztás eredménykim'!$B228,'Eredeti fejléccel'!$AG:$AG)</f>
        <v>0</v>
      </c>
      <c r="AS228" s="6">
        <f t="shared" si="292"/>
        <v>-9057712</v>
      </c>
      <c r="AT228" s="36">
        <f t="shared" si="472"/>
        <v>0</v>
      </c>
      <c r="AU228" s="8">
        <f t="shared" si="401"/>
        <v>0</v>
      </c>
      <c r="AV228" s="6">
        <f>SUMIF('Eredeti fejléccel'!$B:$B,'Felosztás eredménykim'!$B228,'Eredeti fejléccel'!$AI:$AI)</f>
        <v>0</v>
      </c>
      <c r="AW228" s="6">
        <f>SUMIF('Eredeti fejléccel'!$B:$B,'Felosztás eredménykim'!$B228,'Eredeti fejléccel'!$AJ:$AJ)</f>
        <v>0</v>
      </c>
      <c r="AX228" s="6">
        <f>SUMIF('Eredeti fejléccel'!$B:$B,'Felosztás eredménykim'!$B228,'Eredeti fejléccel'!$AK:$AK)</f>
        <v>0</v>
      </c>
      <c r="AY228" s="6">
        <f>SUMIF('Eredeti fejléccel'!$B:$B,'Felosztás eredménykim'!$B228,'Eredeti fejléccel'!$AL:$AL)</f>
        <v>0</v>
      </c>
      <c r="AZ228" s="6">
        <f>SUMIF('Eredeti fejléccel'!$B:$B,'Felosztás eredménykim'!$B228,'Eredeti fejléccel'!$AM:$AM)</f>
        <v>0</v>
      </c>
      <c r="BA228" s="6">
        <f>SUMIF('Eredeti fejléccel'!$B:$B,'Felosztás eredménykim'!$B228,'Eredeti fejléccel'!$AN:$AN)</f>
        <v>0</v>
      </c>
      <c r="BB228" s="6">
        <f>SUMIF('Eredeti fejléccel'!$B:$B,'Felosztás eredménykim'!$B228,'Eredeti fejléccel'!$AP:$AP)</f>
        <v>0</v>
      </c>
      <c r="BD228" s="6">
        <f>SUMIF('Eredeti fejléccel'!$B:$B,'Felosztás eredménykim'!$B228,'Eredeti fejléccel'!$AS:$AS)</f>
        <v>0</v>
      </c>
      <c r="BE228" s="8">
        <f t="shared" si="523"/>
        <v>0</v>
      </c>
      <c r="BF228" s="36">
        <f t="shared" si="473"/>
        <v>0</v>
      </c>
      <c r="BG228" s="8">
        <f t="shared" si="402"/>
        <v>0</v>
      </c>
      <c r="BH228" s="6">
        <f t="shared" si="293"/>
        <v>0</v>
      </c>
      <c r="BI228" s="6">
        <f>SUMIF('Eredeti fejléccel'!$B:$B,'Felosztás eredménykim'!$B228,'Eredeti fejléccel'!$AH:$AH)</f>
        <v>0</v>
      </c>
      <c r="BJ228" s="6">
        <f>SUMIF('Eredeti fejléccel'!$B:$B,'Felosztás eredménykim'!$B228,'Eredeti fejléccel'!$AO:$AO)</f>
        <v>0</v>
      </c>
      <c r="BK228" s="6">
        <f>SUMIF('Eredeti fejléccel'!$B:$B,'Felosztás eredménykim'!$B228,'Eredeti fejléccel'!$BF:$BF)</f>
        <v>0</v>
      </c>
      <c r="BL228" s="8">
        <f t="shared" si="294"/>
        <v>0</v>
      </c>
      <c r="BM228" s="36">
        <f t="shared" si="474"/>
        <v>0</v>
      </c>
      <c r="BN228" s="8">
        <f t="shared" si="403"/>
        <v>0</v>
      </c>
      <c r="BP228" s="8">
        <f t="shared" si="295"/>
        <v>0</v>
      </c>
      <c r="BQ228" s="6">
        <f>SUMIF('Eredeti fejléccel'!$B:$B,'Felosztás eredménykim'!$B228,'Eredeti fejléccel'!$N:$N)</f>
        <v>0</v>
      </c>
      <c r="BR228" s="6">
        <f>SUMIF('Eredeti fejléccel'!$B:$B,'Felosztás eredménykim'!$B228,'Eredeti fejléccel'!$S:$S)</f>
        <v>0</v>
      </c>
      <c r="BT228" s="6">
        <f>SUMIF('Eredeti fejléccel'!$B:$B,'Felosztás eredménykim'!$B228,'Eredeti fejléccel'!$AR:$AR)</f>
        <v>0</v>
      </c>
      <c r="BU228" s="6">
        <f>SUMIF('Eredeti fejléccel'!$B:$B,'Felosztás eredménykim'!$B228,'Eredeti fejléccel'!$AU:$AU)</f>
        <v>0</v>
      </c>
      <c r="BV228" s="6">
        <f>SUMIF('Eredeti fejléccel'!$B:$B,'Felosztás eredménykim'!$B228,'Eredeti fejléccel'!$AV:$AV)</f>
        <v>0</v>
      </c>
      <c r="BW228" s="6">
        <f>SUMIF('Eredeti fejléccel'!$B:$B,'Felosztás eredménykim'!$B228,'Eredeti fejléccel'!$AW:$AW)</f>
        <v>0</v>
      </c>
      <c r="BX228" s="6">
        <f>SUMIF('Eredeti fejléccel'!$B:$B,'Felosztás eredménykim'!$B228,'Eredeti fejléccel'!$AX:$AX)</f>
        <v>0</v>
      </c>
      <c r="BY228" s="6">
        <f>SUMIF('Eredeti fejléccel'!$B:$B,'Felosztás eredménykim'!$B228,'Eredeti fejléccel'!$AY:$AY)</f>
        <v>0</v>
      </c>
      <c r="BZ228" s="6">
        <f>SUMIF('Eredeti fejléccel'!$B:$B,'Felosztás eredménykim'!$B228,'Eredeti fejléccel'!$AZ:$AZ)</f>
        <v>0</v>
      </c>
      <c r="CA228" s="6">
        <f>SUMIF('Eredeti fejléccel'!$B:$B,'Felosztás eredménykim'!$B228,'Eredeti fejléccel'!$BA:$BA)</f>
        <v>0</v>
      </c>
      <c r="CB228" s="6">
        <f t="shared" si="481"/>
        <v>0</v>
      </c>
      <c r="CC228" s="36">
        <f t="shared" si="475"/>
        <v>0</v>
      </c>
      <c r="CD228" s="8">
        <f t="shared" si="404"/>
        <v>0</v>
      </c>
      <c r="CE228" s="6">
        <f>SUMIF('Eredeti fejléccel'!$B:$B,'Felosztás eredménykim'!$B228,'Eredeti fejléccel'!$BC:$BC)</f>
        <v>0</v>
      </c>
      <c r="CF228" s="8">
        <f t="shared" si="300"/>
        <v>0</v>
      </c>
      <c r="CG228" s="6">
        <f>SUMIF('Eredeti fejléccel'!$B:$B,'Felosztás eredménykim'!$B228,'Eredeti fejléccel'!$H:$H)</f>
        <v>0</v>
      </c>
      <c r="CH228" s="6">
        <f>SUMIF('Eredeti fejléccel'!$B:$B,'Felosztás eredménykim'!$B228,'Eredeti fejléccel'!$BE:$BE)</f>
        <v>0</v>
      </c>
      <c r="CI228" s="6">
        <f t="shared" si="524"/>
        <v>0</v>
      </c>
      <c r="CJ228" s="36">
        <f t="shared" si="476"/>
        <v>0</v>
      </c>
      <c r="CK228" s="8">
        <f t="shared" si="405"/>
        <v>0</v>
      </c>
      <c r="CL228" s="8">
        <f t="shared" si="301"/>
        <v>0</v>
      </c>
      <c r="CM228" s="6">
        <f>SUMIF('Eredeti fejléccel'!$B:$B,'Felosztás eredménykim'!$B228,'Eredeti fejléccel'!$BD:$BD)</f>
        <v>0</v>
      </c>
      <c r="CN228" s="8">
        <f t="shared" si="525"/>
        <v>0</v>
      </c>
      <c r="CO228" s="8">
        <f t="shared" si="482"/>
        <v>-9057712</v>
      </c>
      <c r="CR228" s="36">
        <f t="shared" si="406"/>
        <v>0</v>
      </c>
      <c r="CS228" s="6">
        <f>SUMIF('Eredeti fejléccel'!$B:$B,'Felosztás eredménykim'!$B228,'Eredeti fejléccel'!$I:$I)</f>
        <v>0</v>
      </c>
      <c r="CT228" s="6">
        <f>SUMIF('Eredeti fejléccel'!$B:$B,'Felosztás eredménykim'!$B228,'Eredeti fejléccel'!$BG:$BG)</f>
        <v>0</v>
      </c>
      <c r="CU228" s="6">
        <f>SUMIF('Eredeti fejléccel'!$B:$B,'Felosztás eredménykim'!$B228,'Eredeti fejléccel'!$BH:$BH)</f>
        <v>0</v>
      </c>
      <c r="CV228" s="6">
        <f>SUMIF('Eredeti fejléccel'!$B:$B,'Felosztás eredménykim'!$B228,'Eredeti fejléccel'!$BI:$BI)</f>
        <v>0</v>
      </c>
      <c r="CW228" s="6">
        <f>SUMIF('Eredeti fejléccel'!$B:$B,'Felosztás eredménykim'!$B228,'Eredeti fejléccel'!$BL:$BL)</f>
        <v>0</v>
      </c>
      <c r="CX228" s="6">
        <f t="shared" si="526"/>
        <v>0</v>
      </c>
      <c r="CY228" s="6">
        <f>SUMIF('Eredeti fejléccel'!$B:$B,'Felosztás eredménykim'!$B228,'Eredeti fejléccel'!$BJ:$BJ)</f>
        <v>0</v>
      </c>
      <c r="CZ228" s="6">
        <f>SUMIF('Eredeti fejléccel'!$B:$B,'Felosztás eredménykim'!$B228,'Eredeti fejléccel'!$BK:$BK)</f>
        <v>0</v>
      </c>
      <c r="DA228" s="99">
        <f t="shared" si="415"/>
        <v>0</v>
      </c>
      <c r="DC228" s="36">
        <f t="shared" si="407"/>
        <v>0</v>
      </c>
      <c r="DD228" s="6">
        <f>SUMIF('Eredeti fejléccel'!$B:$B,'Felosztás eredménykim'!$B228,'Eredeti fejléccel'!$J:$J)</f>
        <v>0</v>
      </c>
      <c r="DE228" s="6">
        <f>SUMIF('Eredeti fejléccel'!$B:$B,'Felosztás eredménykim'!$B228,'Eredeti fejléccel'!$BM:$BM)</f>
        <v>0</v>
      </c>
      <c r="DF228" s="6">
        <f t="shared" si="296"/>
        <v>0</v>
      </c>
      <c r="DG228" s="8">
        <f t="shared" si="483"/>
        <v>0</v>
      </c>
      <c r="DH228" s="8">
        <f t="shared" si="297"/>
        <v>0</v>
      </c>
      <c r="DJ228" s="6">
        <f>SUMIF('Eredeti fejléccel'!$B:$B,'Felosztás eredménykim'!$B228,'Eredeti fejléccel'!$BN:$BN)</f>
        <v>0</v>
      </c>
      <c r="DK228" s="6">
        <f>SUMIF('Eredeti fejléccel'!$B:$B,'Felosztás eredménykim'!$B228,'Eredeti fejléccel'!$BZ:$BZ)</f>
        <v>0</v>
      </c>
      <c r="DL228" s="8">
        <f t="shared" si="298"/>
        <v>0</v>
      </c>
      <c r="DM228" s="6">
        <f>SUMIF('Eredeti fejléccel'!$B:$B,'Felosztás eredménykim'!$B228,'Eredeti fejléccel'!$BR:$BR)</f>
        <v>0</v>
      </c>
      <c r="DN228" s="6">
        <f>SUMIF('Eredeti fejléccel'!$B:$B,'Felosztás eredménykim'!$B228,'Eredeti fejléccel'!$BS:$BS)</f>
        <v>0</v>
      </c>
      <c r="DO228" s="6">
        <f>SUMIF('Eredeti fejléccel'!$B:$B,'Felosztás eredménykim'!$B228,'Eredeti fejléccel'!$BO:$BO)</f>
        <v>0</v>
      </c>
      <c r="DP228" s="6">
        <f>SUMIF('Eredeti fejléccel'!$B:$B,'Felosztás eredménykim'!$B228,'Eredeti fejléccel'!$BP:$BP)</f>
        <v>0</v>
      </c>
      <c r="DQ228" s="6">
        <f>SUMIF('Eredeti fejléccel'!$B:$B,'Felosztás eredménykim'!$B228,'Eredeti fejléccel'!$BQ:$BQ)</f>
        <v>0</v>
      </c>
      <c r="DS228" s="8"/>
      <c r="DU228" s="6">
        <f>SUMIF('Eredeti fejléccel'!$B:$B,'Felosztás eredménykim'!$B228,'Eredeti fejléccel'!$BT:$BT)</f>
        <v>0</v>
      </c>
      <c r="DV228" s="6">
        <f>SUMIF('Eredeti fejléccel'!$B:$B,'Felosztás eredménykim'!$B228,'Eredeti fejléccel'!$BU:$BU)</f>
        <v>0</v>
      </c>
      <c r="DW228" s="6">
        <f>SUMIF('Eredeti fejléccel'!$B:$B,'Felosztás eredménykim'!$B228,'Eredeti fejléccel'!$BV:$BV)</f>
        <v>0</v>
      </c>
      <c r="DX228" s="6">
        <f>SUMIF('Eredeti fejléccel'!$B:$B,'Felosztás eredménykim'!$B228,'Eredeti fejléccel'!$BW:$BW)</f>
        <v>0</v>
      </c>
      <c r="DY228" s="6">
        <f>SUMIF('Eredeti fejléccel'!$B:$B,'Felosztás eredménykim'!$B228,'Eredeti fejléccel'!$BX:$BX)</f>
        <v>0</v>
      </c>
      <c r="EA228" s="6"/>
      <c r="EC228" s="6"/>
      <c r="EE228" s="6">
        <f>SUMIF('Eredeti fejléccel'!$B:$B,'Felosztás eredménykim'!$B228,'Eredeti fejléccel'!$CA:$CA)</f>
        <v>0</v>
      </c>
      <c r="EF228" s="6">
        <f>SUMIF('Eredeti fejléccel'!$B:$B,'Felosztás eredménykim'!$B228,'Eredeti fejléccel'!$CB:$CB)</f>
        <v>0</v>
      </c>
      <c r="EG228" s="6">
        <f>SUMIF('Eredeti fejléccel'!$B:$B,'Felosztás eredménykim'!$B228,'Eredeti fejléccel'!$CC:$CC)</f>
        <v>0</v>
      </c>
      <c r="EH228" s="6">
        <f>SUMIF('Eredeti fejléccel'!$B:$B,'Felosztás eredménykim'!$B228,'Eredeti fejléccel'!$CD:$CD)</f>
        <v>0</v>
      </c>
      <c r="EK228" s="6">
        <f>SUMIF('Eredeti fejléccel'!$B:$B,'Felosztás eredménykim'!$B228,'Eredeti fejléccel'!$CE:$CE)</f>
        <v>0</v>
      </c>
      <c r="EN228" s="6">
        <f>SUMIF('Eredeti fejléccel'!$B:$B,'Felosztás eredménykim'!$B228,'Eredeti fejléccel'!$CF:$CF)</f>
        <v>0</v>
      </c>
      <c r="EP228" s="6">
        <f>SUMIF('Eredeti fejléccel'!$B:$B,'Felosztás eredménykim'!$B228,'Eredeti fejléccel'!$CG:$CG)</f>
        <v>0</v>
      </c>
      <c r="ES228" s="6">
        <f>SUMIF('Eredeti fejléccel'!$B:$B,'Felosztás eredménykim'!$B228,'Eredeti fejléccel'!$CH:$CH)</f>
        <v>0</v>
      </c>
      <c r="ET228" s="6">
        <f>SUMIF('Eredeti fejléccel'!$B:$B,'Felosztás eredménykim'!$B228,'Eredeti fejléccel'!$CI:$CI)</f>
        <v>0</v>
      </c>
      <c r="EW228" s="8">
        <f t="shared" si="535"/>
        <v>0</v>
      </c>
      <c r="EX228" s="8">
        <f t="shared" si="527"/>
        <v>0</v>
      </c>
      <c r="EY228" s="8">
        <f t="shared" si="416"/>
        <v>0</v>
      </c>
      <c r="EZ228" s="8">
        <f t="shared" si="536"/>
        <v>0</v>
      </c>
      <c r="FA228" s="8">
        <f t="shared" si="537"/>
        <v>0</v>
      </c>
      <c r="FC228" s="6">
        <f>SUMIF('Eredeti fejléccel'!$B:$B,'Felosztás eredménykim'!$B228,'Eredeti fejléccel'!$L:$L)</f>
        <v>0</v>
      </c>
      <c r="FD228" s="6">
        <f>SUMIF('Eredeti fejléccel'!$B:$B,'Felosztás eredménykim'!$B228,'Eredeti fejléccel'!$CJ:$CJ)</f>
        <v>0</v>
      </c>
      <c r="FE228" s="6">
        <f>SUMIF('Eredeti fejléccel'!$B:$B,'Felosztás eredménykim'!$B228,'Eredeti fejléccel'!$CL:$CL)</f>
        <v>0</v>
      </c>
      <c r="FG228" s="99">
        <f t="shared" si="528"/>
        <v>0</v>
      </c>
      <c r="FH228" s="6">
        <f>SUMIF('Eredeti fejléccel'!$B:$B,'Felosztás eredménykim'!$B228,'Eredeti fejléccel'!$CK:$CK)</f>
        <v>0</v>
      </c>
      <c r="FI228" s="36">
        <f t="shared" si="477"/>
        <v>0</v>
      </c>
      <c r="FJ228" s="101">
        <f t="shared" si="408"/>
        <v>0</v>
      </c>
      <c r="FK228" s="6">
        <f>SUMIF('Eredeti fejléccel'!$B:$B,'Felosztás eredménykim'!$B228,'Eredeti fejléccel'!$CM:$CM)</f>
        <v>0</v>
      </c>
      <c r="FL228" s="6">
        <f>SUMIF('Eredeti fejléccel'!$B:$B,'Felosztás eredménykim'!$B228,'Eredeti fejléccel'!$CN:$CN)</f>
        <v>0</v>
      </c>
      <c r="FM228" s="8">
        <f t="shared" si="529"/>
        <v>0</v>
      </c>
      <c r="FN228" s="36">
        <f t="shared" si="478"/>
        <v>0</v>
      </c>
      <c r="FO228" s="101">
        <f t="shared" si="409"/>
        <v>0</v>
      </c>
      <c r="FP228" s="6">
        <f>SUMIF('Eredeti fejléccel'!$B:$B,'Felosztás eredménykim'!$B228,'Eredeti fejléccel'!$CO:$CO)</f>
        <v>0</v>
      </c>
      <c r="FQ228" s="6">
        <f>'Eredeti fejléccel'!CP228</f>
        <v>0</v>
      </c>
      <c r="FR228" s="6">
        <f>'Eredeti fejléccel'!CQ228</f>
        <v>0</v>
      </c>
      <c r="FS228" s="103">
        <f t="shared" si="417"/>
        <v>0</v>
      </c>
      <c r="FT228" s="36">
        <f t="shared" si="479"/>
        <v>0</v>
      </c>
      <c r="FU228" s="101">
        <f t="shared" si="410"/>
        <v>0</v>
      </c>
      <c r="FV228" s="101"/>
      <c r="FW228" s="6">
        <f>SUMIF('Eredeti fejléccel'!$B:$B,'Felosztás eredménykim'!$B228,'Eredeti fejléccel'!$CR:$CR)</f>
        <v>0</v>
      </c>
      <c r="FX228" s="6">
        <f>SUMIF('Eredeti fejléccel'!$B:$B,'Felosztás eredménykim'!$B228,'Eredeti fejléccel'!$CS:$CS)</f>
        <v>0</v>
      </c>
      <c r="FY228" s="6">
        <f>SUMIF('Eredeti fejléccel'!$B:$B,'Felosztás eredménykim'!$B228,'Eredeti fejléccel'!$CT:$CT)</f>
        <v>0</v>
      </c>
      <c r="FZ228" s="6">
        <f>SUMIF('Eredeti fejléccel'!$B:$B,'Felosztás eredménykim'!$B228,'Eredeti fejléccel'!$CU:$CU)</f>
        <v>0</v>
      </c>
      <c r="GA228" s="103">
        <f t="shared" si="530"/>
        <v>0</v>
      </c>
      <c r="GB228" s="36">
        <f t="shared" si="480"/>
        <v>0</v>
      </c>
      <c r="GC228" s="101">
        <f t="shared" si="411"/>
        <v>0</v>
      </c>
      <c r="GD228" s="6">
        <f>SUMIF('Eredeti fejléccel'!$B:$B,'Felosztás eredménykim'!$B228,'Eredeti fejléccel'!$CV:$CV)</f>
        <v>0</v>
      </c>
      <c r="GE228" s="6">
        <f>SUMIF('Eredeti fejléccel'!$B:$B,'Felosztás eredménykim'!$B228,'Eredeti fejléccel'!$CW:$CW)</f>
        <v>0</v>
      </c>
      <c r="GF228" s="103">
        <f t="shared" si="531"/>
        <v>0</v>
      </c>
      <c r="GG228" s="36">
        <f t="shared" si="412"/>
        <v>0</v>
      </c>
      <c r="GM228" s="6">
        <f>SUMIF('Eredeti fejléccel'!$B:$B,'Felosztás eredménykim'!$B228,'Eredeti fejléccel'!$CX:$CX)</f>
        <v>0</v>
      </c>
      <c r="GN228" s="6">
        <f>SUMIF('Eredeti fejléccel'!$B:$B,'Felosztás eredménykim'!$B228,'Eredeti fejléccel'!$CY:$CY)</f>
        <v>0</v>
      </c>
      <c r="GO228" s="6">
        <f>SUMIF('Eredeti fejléccel'!$B:$B,'Felosztás eredménykim'!$B228,'Eredeti fejléccel'!$CZ:$CZ)</f>
        <v>0</v>
      </c>
      <c r="GP228" s="6">
        <f>SUMIF('Eredeti fejléccel'!$B:$B,'Felosztás eredménykim'!$B228,'Eredeti fejléccel'!$DA:$DA)</f>
        <v>0</v>
      </c>
      <c r="GQ228" s="6">
        <f>SUMIF('Eredeti fejléccel'!$B:$B,'Felosztás eredménykim'!$B228,'Eredeti fejléccel'!$DB:$DB)</f>
        <v>0</v>
      </c>
      <c r="GR228" s="103">
        <f t="shared" si="532"/>
        <v>0</v>
      </c>
      <c r="GW228" s="36">
        <f t="shared" si="413"/>
        <v>0</v>
      </c>
      <c r="GX228" s="6">
        <f>SUMIF('Eredeti fejléccel'!$B:$B,'Felosztás eredménykim'!$B228,'Eredeti fejléccel'!$M:$M)</f>
        <v>0</v>
      </c>
      <c r="GY228" s="6">
        <f>SUMIF('Eredeti fejléccel'!$B:$B,'Felosztás eredménykim'!$B228,'Eredeti fejléccel'!$DC:$DC)</f>
        <v>0</v>
      </c>
      <c r="GZ228" s="6">
        <f>SUMIF('Eredeti fejléccel'!$B:$B,'Felosztás eredménykim'!$B228,'Eredeti fejléccel'!$DD:$DD)</f>
        <v>0</v>
      </c>
      <c r="HA228" s="6">
        <f>SUMIF('Eredeti fejléccel'!$B:$B,'Felosztás eredménykim'!$B228,'Eredeti fejléccel'!$DE:$DE)</f>
        <v>0</v>
      </c>
      <c r="HB228" s="103">
        <f t="shared" si="533"/>
        <v>0</v>
      </c>
      <c r="HD228" s="9">
        <f t="shared" si="429"/>
        <v>-9057712</v>
      </c>
      <c r="HE228" s="9">
        <v>-9057712</v>
      </c>
      <c r="HF228" s="476"/>
      <c r="HH228" s="34">
        <f t="shared" si="534"/>
        <v>0</v>
      </c>
    </row>
    <row r="229" spans="1:218" x14ac:dyDescent="0.25">
      <c r="A229" s="4" t="s">
        <v>305</v>
      </c>
      <c r="B229" s="4" t="s">
        <v>305</v>
      </c>
      <c r="C229" s="1" t="s">
        <v>306</v>
      </c>
      <c r="D229" s="6">
        <f>SUMIF('Eredeti fejléccel'!$B:$B,'Felosztás eredménykim'!$B229,'Eredeti fejléccel'!$D:$D)</f>
        <v>0</v>
      </c>
      <c r="E229" s="6">
        <f>SUMIF('Eredeti fejléccel'!$B:$B,'Felosztás eredménykim'!$B229,'Eredeti fejléccel'!$E:$E)</f>
        <v>0</v>
      </c>
      <c r="F229" s="6">
        <f>SUMIF('Eredeti fejléccel'!$B:$B,'Felosztás eredménykim'!$B229,'Eredeti fejléccel'!$F:$F)</f>
        <v>0</v>
      </c>
      <c r="G229" s="6">
        <f>SUMIF('Eredeti fejléccel'!$B:$B,'Felosztás eredménykim'!$B229,'Eredeti fejléccel'!$G:$G)</f>
        <v>0</v>
      </c>
      <c r="H229" s="6"/>
      <c r="I229" s="6">
        <f>SUMIF('Eredeti fejléccel'!$B:$B,'Felosztás eredménykim'!$B229,'Eredeti fejléccel'!$O:$O)</f>
        <v>0</v>
      </c>
      <c r="J229" s="6">
        <f>SUMIF('Eredeti fejléccel'!$B:$B,'Felosztás eredménykim'!$B229,'Eredeti fejléccel'!$P:$P)</f>
        <v>0</v>
      </c>
      <c r="K229" s="6">
        <f>SUMIF('Eredeti fejléccel'!$B:$B,'Felosztás eredménykim'!$B229,'Eredeti fejléccel'!$Q:$Q)</f>
        <v>0</v>
      </c>
      <c r="L229" s="6">
        <f>SUMIF('Eredeti fejléccel'!$B:$B,'Felosztás eredménykim'!$B229,'Eredeti fejléccel'!$R:$R)</f>
        <v>0</v>
      </c>
      <c r="M229" s="6">
        <f>SUMIF('Eredeti fejléccel'!$B:$B,'Felosztás eredménykim'!$B229,'Eredeti fejléccel'!$T:$T)</f>
        <v>0</v>
      </c>
      <c r="N229" s="6">
        <f>SUMIF('Eredeti fejléccel'!$B:$B,'Felosztás eredménykim'!$B229,'Eredeti fejléccel'!$U:$U)</f>
        <v>0</v>
      </c>
      <c r="O229" s="6">
        <f>SUMIF('Eredeti fejléccel'!$B:$B,'Felosztás eredménykim'!$B229,'Eredeti fejléccel'!$V:$V)</f>
        <v>0</v>
      </c>
      <c r="P229" s="6">
        <f>SUMIF('Eredeti fejléccel'!$B:$B,'Felosztás eredménykim'!$B229,'Eredeti fejléccel'!$W:$W)</f>
        <v>0</v>
      </c>
      <c r="Q229" s="6">
        <f>SUMIF('Eredeti fejléccel'!$B:$B,'Felosztás eredménykim'!$B229,'Eredeti fejléccel'!$X:$X)</f>
        <v>0</v>
      </c>
      <c r="R229" s="6">
        <f>SUMIF('Eredeti fejléccel'!$B:$B,'Felosztás eredménykim'!$B229,'Eredeti fejléccel'!$Y:$Y)</f>
        <v>0</v>
      </c>
      <c r="S229" s="6">
        <f>SUMIF('Eredeti fejléccel'!$B:$B,'Felosztás eredménykim'!$B229,'Eredeti fejléccel'!$Z:$Z)</f>
        <v>0</v>
      </c>
      <c r="T229" s="6">
        <f>SUMIF('Eredeti fejléccel'!$B:$B,'Felosztás eredménykim'!$B229,'Eredeti fejléccel'!$AA:$AA)</f>
        <v>0</v>
      </c>
      <c r="U229" s="6">
        <f>SUMIF('Eredeti fejléccel'!$B:$B,'Felosztás eredménykim'!$B229,'Eredeti fejléccel'!$D:$D)</f>
        <v>0</v>
      </c>
      <c r="V229" s="6">
        <f>SUMIF('Eredeti fejléccel'!$B:$B,'Felosztás eredménykim'!$B229,'Eredeti fejléccel'!$AT:$AT)</f>
        <v>0</v>
      </c>
      <c r="X229" s="36">
        <f t="shared" si="414"/>
        <v>0</v>
      </c>
      <c r="Z229" s="6">
        <f>SUMIF('Eredeti fejléccel'!$B:$B,'Felosztás eredménykim'!$B229,'Eredeti fejléccel'!$K:$K)</f>
        <v>0</v>
      </c>
      <c r="AB229" s="6">
        <f>SUMIF('Eredeti fejléccel'!$B:$B,'Felosztás eredménykim'!$B229,'Eredeti fejléccel'!$AB:$AB)</f>
        <v>0</v>
      </c>
      <c r="AC229" s="6">
        <f>SUMIF('Eredeti fejléccel'!$B:$B,'Felosztás eredménykim'!$B229,'Eredeti fejléccel'!$AQ:$AQ)</f>
        <v>0</v>
      </c>
      <c r="AE229" s="73">
        <f t="shared" si="299"/>
        <v>0</v>
      </c>
      <c r="AF229" s="36">
        <f t="shared" si="470"/>
        <v>0</v>
      </c>
      <c r="AG229" s="8">
        <f t="shared" si="399"/>
        <v>0</v>
      </c>
      <c r="AI229" s="6">
        <f>SUMIF('Eredeti fejléccel'!$B:$B,'Felosztás eredménykim'!$B229,'Eredeti fejléccel'!$BB:$BB)</f>
        <v>0</v>
      </c>
      <c r="AJ229" s="6">
        <f>SUMIF('Eredeti fejléccel'!$B:$B,'Felosztás eredménykim'!$B229,'Eredeti fejléccel'!$AF:$AF)</f>
        <v>0</v>
      </c>
      <c r="AK229" s="8">
        <f t="shared" si="522"/>
        <v>0</v>
      </c>
      <c r="AL229" s="36">
        <f t="shared" si="471"/>
        <v>0</v>
      </c>
      <c r="AM229" s="8">
        <f t="shared" si="400"/>
        <v>0</v>
      </c>
      <c r="AN229" s="6">
        <f t="shared" si="291"/>
        <v>0</v>
      </c>
      <c r="AO229" s="6">
        <f>SUMIF('Eredeti fejléccel'!$B:$B,'Felosztás eredménykim'!$B229,'Eredeti fejléccel'!$AC:$AC)</f>
        <v>0</v>
      </c>
      <c r="AP229" s="6">
        <f>SUMIF('Eredeti fejléccel'!$B:$B,'Felosztás eredménykim'!$B229,'Eredeti fejléccel'!$AD:$AD)</f>
        <v>0</v>
      </c>
      <c r="AQ229" s="6">
        <f>SUMIF('Eredeti fejléccel'!$B:$B,'Felosztás eredménykim'!$B229,'Eredeti fejléccel'!$AE:$AE)</f>
        <v>0</v>
      </c>
      <c r="AR229" s="6">
        <f>SUMIF('Eredeti fejléccel'!$B:$B,'Felosztás eredménykim'!$B229,'Eredeti fejléccel'!$AG:$AG)</f>
        <v>0</v>
      </c>
      <c r="AS229" s="6">
        <f t="shared" si="292"/>
        <v>0</v>
      </c>
      <c r="AT229" s="36">
        <f t="shared" si="472"/>
        <v>0</v>
      </c>
      <c r="AU229" s="8">
        <f t="shared" si="401"/>
        <v>0</v>
      </c>
      <c r="AV229" s="6">
        <f>SUMIF('Eredeti fejléccel'!$B:$B,'Felosztás eredménykim'!$B229,'Eredeti fejléccel'!$AI:$AI)</f>
        <v>0</v>
      </c>
      <c r="AW229" s="6">
        <f>SUMIF('Eredeti fejléccel'!$B:$B,'Felosztás eredménykim'!$B229,'Eredeti fejléccel'!$AJ:$AJ)</f>
        <v>0</v>
      </c>
      <c r="AX229" s="6">
        <f>SUMIF('Eredeti fejléccel'!$B:$B,'Felosztás eredménykim'!$B229,'Eredeti fejléccel'!$AK:$AK)</f>
        <v>0</v>
      </c>
      <c r="AY229" s="6">
        <f>SUMIF('Eredeti fejléccel'!$B:$B,'Felosztás eredménykim'!$B229,'Eredeti fejléccel'!$AL:$AL)</f>
        <v>0</v>
      </c>
      <c r="AZ229" s="6">
        <f>SUMIF('Eredeti fejléccel'!$B:$B,'Felosztás eredménykim'!$B229,'Eredeti fejléccel'!$AM:$AM)</f>
        <v>0</v>
      </c>
      <c r="BA229" s="6">
        <f>SUMIF('Eredeti fejléccel'!$B:$B,'Felosztás eredménykim'!$B229,'Eredeti fejléccel'!$AN:$AN)</f>
        <v>0</v>
      </c>
      <c r="BB229" s="6">
        <f>SUMIF('Eredeti fejléccel'!$B:$B,'Felosztás eredménykim'!$B229,'Eredeti fejléccel'!$AP:$AP)</f>
        <v>0</v>
      </c>
      <c r="BD229" s="6">
        <f>SUMIF('Eredeti fejléccel'!$B:$B,'Felosztás eredménykim'!$B229,'Eredeti fejléccel'!$AS:$AS)</f>
        <v>0</v>
      </c>
      <c r="BE229" s="8">
        <f t="shared" si="523"/>
        <v>0</v>
      </c>
      <c r="BF229" s="36">
        <f t="shared" si="473"/>
        <v>0</v>
      </c>
      <c r="BG229" s="8">
        <f t="shared" si="402"/>
        <v>0</v>
      </c>
      <c r="BH229" s="6">
        <f t="shared" si="293"/>
        <v>0</v>
      </c>
      <c r="BI229" s="6">
        <f>SUMIF('Eredeti fejléccel'!$B:$B,'Felosztás eredménykim'!$B229,'Eredeti fejléccel'!$AH:$AH)</f>
        <v>0</v>
      </c>
      <c r="BJ229" s="6">
        <f>SUMIF('Eredeti fejléccel'!$B:$B,'Felosztás eredménykim'!$B229,'Eredeti fejléccel'!$AO:$AO)</f>
        <v>0</v>
      </c>
      <c r="BK229" s="6">
        <f>SUMIF('Eredeti fejléccel'!$B:$B,'Felosztás eredménykim'!$B229,'Eredeti fejléccel'!$BF:$BF)</f>
        <v>0</v>
      </c>
      <c r="BL229" s="8">
        <f t="shared" si="294"/>
        <v>0</v>
      </c>
      <c r="BM229" s="36">
        <f t="shared" si="474"/>
        <v>0</v>
      </c>
      <c r="BN229" s="8">
        <f t="shared" si="403"/>
        <v>0</v>
      </c>
      <c r="BP229" s="8">
        <f t="shared" si="295"/>
        <v>0</v>
      </c>
      <c r="BQ229" s="6">
        <f>SUMIF('Eredeti fejléccel'!$B:$B,'Felosztás eredménykim'!$B229,'Eredeti fejléccel'!$N:$N)</f>
        <v>0</v>
      </c>
      <c r="BR229" s="6">
        <f>SUMIF('Eredeti fejléccel'!$B:$B,'Felosztás eredménykim'!$B229,'Eredeti fejléccel'!$S:$S)</f>
        <v>0</v>
      </c>
      <c r="BT229" s="6">
        <f>SUMIF('Eredeti fejléccel'!$B:$B,'Felosztás eredménykim'!$B229,'Eredeti fejléccel'!$AR:$AR)</f>
        <v>0</v>
      </c>
      <c r="BU229" s="6">
        <f>SUMIF('Eredeti fejléccel'!$B:$B,'Felosztás eredménykim'!$B229,'Eredeti fejléccel'!$AU:$AU)</f>
        <v>0</v>
      </c>
      <c r="BV229" s="6">
        <f>SUMIF('Eredeti fejléccel'!$B:$B,'Felosztás eredménykim'!$B229,'Eredeti fejléccel'!$AV:$AV)</f>
        <v>0</v>
      </c>
      <c r="BW229" s="6">
        <f>SUMIF('Eredeti fejléccel'!$B:$B,'Felosztás eredménykim'!$B229,'Eredeti fejléccel'!$AW:$AW)</f>
        <v>0</v>
      </c>
      <c r="BX229" s="6">
        <f>SUMIF('Eredeti fejléccel'!$B:$B,'Felosztás eredménykim'!$B229,'Eredeti fejléccel'!$AX:$AX)</f>
        <v>0</v>
      </c>
      <c r="BY229" s="6">
        <f>SUMIF('Eredeti fejléccel'!$B:$B,'Felosztás eredménykim'!$B229,'Eredeti fejléccel'!$AY:$AY)</f>
        <v>0</v>
      </c>
      <c r="BZ229" s="6">
        <f>SUMIF('Eredeti fejléccel'!$B:$B,'Felosztás eredménykim'!$B229,'Eredeti fejléccel'!$AZ:$AZ)</f>
        <v>0</v>
      </c>
      <c r="CA229" s="6">
        <f>SUMIF('Eredeti fejléccel'!$B:$B,'Felosztás eredménykim'!$B229,'Eredeti fejléccel'!$BA:$BA)</f>
        <v>0</v>
      </c>
      <c r="CB229" s="6">
        <f t="shared" si="481"/>
        <v>0</v>
      </c>
      <c r="CC229" s="36">
        <f t="shared" si="475"/>
        <v>0</v>
      </c>
      <c r="CD229" s="8">
        <f t="shared" si="404"/>
        <v>0</v>
      </c>
      <c r="CE229" s="6">
        <f>SUMIF('Eredeti fejléccel'!$B:$B,'Felosztás eredménykim'!$B229,'Eredeti fejléccel'!$BC:$BC)</f>
        <v>0</v>
      </c>
      <c r="CF229" s="8">
        <f t="shared" si="300"/>
        <v>0</v>
      </c>
      <c r="CG229" s="6">
        <f>SUMIF('Eredeti fejléccel'!$B:$B,'Felosztás eredménykim'!$B229,'Eredeti fejléccel'!$H:$H)</f>
        <v>0</v>
      </c>
      <c r="CH229" s="6">
        <f>SUMIF('Eredeti fejléccel'!$B:$B,'Felosztás eredménykim'!$B229,'Eredeti fejléccel'!$BE:$BE)</f>
        <v>0</v>
      </c>
      <c r="CI229" s="6">
        <f t="shared" si="524"/>
        <v>0</v>
      </c>
      <c r="CJ229" s="36">
        <f t="shared" si="476"/>
        <v>0</v>
      </c>
      <c r="CK229" s="8">
        <f t="shared" si="405"/>
        <v>0</v>
      </c>
      <c r="CL229" s="8">
        <f t="shared" si="301"/>
        <v>0</v>
      </c>
      <c r="CM229" s="6">
        <f>SUMIF('Eredeti fejléccel'!$B:$B,'Felosztás eredménykim'!$B229,'Eredeti fejléccel'!$BD:$BD)</f>
        <v>0</v>
      </c>
      <c r="CN229" s="8">
        <f t="shared" si="525"/>
        <v>0</v>
      </c>
      <c r="CO229" s="8">
        <f t="shared" si="482"/>
        <v>0</v>
      </c>
      <c r="CR229" s="36">
        <f t="shared" si="406"/>
        <v>0</v>
      </c>
      <c r="CS229" s="6">
        <f>SUMIF('Eredeti fejléccel'!$B:$B,'Felosztás eredménykim'!$B229,'Eredeti fejléccel'!$I:$I)</f>
        <v>0</v>
      </c>
      <c r="CT229" s="6">
        <f>SUMIF('Eredeti fejléccel'!$B:$B,'Felosztás eredménykim'!$B229,'Eredeti fejléccel'!$BG:$BG)</f>
        <v>0</v>
      </c>
      <c r="CU229" s="6">
        <f>SUMIF('Eredeti fejléccel'!$B:$B,'Felosztás eredménykim'!$B229,'Eredeti fejléccel'!$BH:$BH)</f>
        <v>0</v>
      </c>
      <c r="CV229" s="6">
        <f>SUMIF('Eredeti fejléccel'!$B:$B,'Felosztás eredménykim'!$B229,'Eredeti fejléccel'!$BI:$BI)</f>
        <v>0</v>
      </c>
      <c r="CW229" s="6">
        <f>SUMIF('Eredeti fejléccel'!$B:$B,'Felosztás eredménykim'!$B229,'Eredeti fejléccel'!$BL:$BL)</f>
        <v>0</v>
      </c>
      <c r="CX229" s="6">
        <f t="shared" si="526"/>
        <v>0</v>
      </c>
      <c r="CY229" s="6">
        <f>SUMIF('Eredeti fejléccel'!$B:$B,'Felosztás eredménykim'!$B229,'Eredeti fejléccel'!$BJ:$BJ)</f>
        <v>0</v>
      </c>
      <c r="CZ229" s="6">
        <f>SUMIF('Eredeti fejléccel'!$B:$B,'Felosztás eredménykim'!$B229,'Eredeti fejléccel'!$BK:$BK)</f>
        <v>0</v>
      </c>
      <c r="DA229" s="99">
        <f t="shared" si="415"/>
        <v>0</v>
      </c>
      <c r="DC229" s="36">
        <f t="shared" si="407"/>
        <v>0</v>
      </c>
      <c r="DD229" s="6">
        <f>SUMIF('Eredeti fejléccel'!$B:$B,'Felosztás eredménykim'!$B229,'Eredeti fejléccel'!$J:$J)</f>
        <v>0</v>
      </c>
      <c r="DE229" s="6">
        <f>SUMIF('Eredeti fejléccel'!$B:$B,'Felosztás eredménykim'!$B229,'Eredeti fejléccel'!$BM:$BM)</f>
        <v>0</v>
      </c>
      <c r="DF229" s="6">
        <f t="shared" si="296"/>
        <v>0</v>
      </c>
      <c r="DG229" s="8">
        <f t="shared" si="483"/>
        <v>0</v>
      </c>
      <c r="DH229" s="8">
        <f t="shared" si="297"/>
        <v>0</v>
      </c>
      <c r="DJ229" s="6">
        <f>SUMIF('Eredeti fejléccel'!$B:$B,'Felosztás eredménykim'!$B229,'Eredeti fejléccel'!$BN:$BN)</f>
        <v>0</v>
      </c>
      <c r="DK229" s="6">
        <f>SUMIF('Eredeti fejléccel'!$B:$B,'Felosztás eredménykim'!$B229,'Eredeti fejléccel'!$BZ:$BZ)</f>
        <v>0</v>
      </c>
      <c r="DL229" s="8">
        <f t="shared" si="298"/>
        <v>0</v>
      </c>
      <c r="DM229" s="6">
        <f>SUMIF('Eredeti fejléccel'!$B:$B,'Felosztás eredménykim'!$B229,'Eredeti fejléccel'!$BR:$BR)</f>
        <v>0</v>
      </c>
      <c r="DN229" s="6">
        <f>SUMIF('Eredeti fejléccel'!$B:$B,'Felosztás eredménykim'!$B229,'Eredeti fejléccel'!$BS:$BS)</f>
        <v>0</v>
      </c>
      <c r="DO229" s="6">
        <f>SUMIF('Eredeti fejléccel'!$B:$B,'Felosztás eredménykim'!$B229,'Eredeti fejléccel'!$BO:$BO)</f>
        <v>0</v>
      </c>
      <c r="DP229" s="6">
        <f>SUMIF('Eredeti fejléccel'!$B:$B,'Felosztás eredménykim'!$B229,'Eredeti fejléccel'!$BP:$BP)</f>
        <v>0</v>
      </c>
      <c r="DQ229" s="6">
        <f>SUMIF('Eredeti fejléccel'!$B:$B,'Felosztás eredménykim'!$B229,'Eredeti fejléccel'!$BQ:$BQ)</f>
        <v>0</v>
      </c>
      <c r="DS229" s="8"/>
      <c r="DU229" s="6">
        <f>SUMIF('Eredeti fejléccel'!$B:$B,'Felosztás eredménykim'!$B229,'Eredeti fejléccel'!$BT:$BT)</f>
        <v>0</v>
      </c>
      <c r="DV229" s="6">
        <f>SUMIF('Eredeti fejléccel'!$B:$B,'Felosztás eredménykim'!$B229,'Eredeti fejléccel'!$BU:$BU)</f>
        <v>0</v>
      </c>
      <c r="DW229" s="6">
        <f>SUMIF('Eredeti fejléccel'!$B:$B,'Felosztás eredménykim'!$B229,'Eredeti fejléccel'!$BV:$BV)</f>
        <v>0</v>
      </c>
      <c r="DX229" s="6">
        <f>SUMIF('Eredeti fejléccel'!$B:$B,'Felosztás eredménykim'!$B229,'Eredeti fejléccel'!$BW:$BW)</f>
        <v>0</v>
      </c>
      <c r="DY229" s="6">
        <f>SUMIF('Eredeti fejléccel'!$B:$B,'Felosztás eredménykim'!$B229,'Eredeti fejléccel'!$BX:$BX)</f>
        <v>0</v>
      </c>
      <c r="EA229" s="6"/>
      <c r="EC229" s="6"/>
      <c r="EE229" s="6">
        <f>SUMIF('Eredeti fejléccel'!$B:$B,'Felosztás eredménykim'!$B229,'Eredeti fejléccel'!$CA:$CA)</f>
        <v>0</v>
      </c>
      <c r="EF229" s="6">
        <f>SUMIF('Eredeti fejléccel'!$B:$B,'Felosztás eredménykim'!$B229,'Eredeti fejléccel'!$CB:$CB)</f>
        <v>0</v>
      </c>
      <c r="EG229" s="6">
        <f>SUMIF('Eredeti fejléccel'!$B:$B,'Felosztás eredménykim'!$B229,'Eredeti fejléccel'!$CC:$CC)</f>
        <v>0</v>
      </c>
      <c r="EH229" s="6">
        <f>SUMIF('Eredeti fejléccel'!$B:$B,'Felosztás eredménykim'!$B229,'Eredeti fejléccel'!$CD:$CD)</f>
        <v>0</v>
      </c>
      <c r="EK229" s="6">
        <f>SUMIF('Eredeti fejléccel'!$B:$B,'Felosztás eredménykim'!$B229,'Eredeti fejléccel'!$CE:$CE)</f>
        <v>0</v>
      </c>
      <c r="EN229" s="6">
        <f>SUMIF('Eredeti fejléccel'!$B:$B,'Felosztás eredménykim'!$B229,'Eredeti fejléccel'!$CF:$CF)</f>
        <v>0</v>
      </c>
      <c r="EP229" s="6">
        <f>SUMIF('Eredeti fejléccel'!$B:$B,'Felosztás eredménykim'!$B229,'Eredeti fejléccel'!$CG:$CG)</f>
        <v>0</v>
      </c>
      <c r="ES229" s="6">
        <f>SUMIF('Eredeti fejléccel'!$B:$B,'Felosztás eredménykim'!$B229,'Eredeti fejléccel'!$CH:$CH)</f>
        <v>0</v>
      </c>
      <c r="ET229" s="6">
        <f>SUMIF('Eredeti fejléccel'!$B:$B,'Felosztás eredménykim'!$B229,'Eredeti fejléccel'!$CI:$CI)</f>
        <v>0</v>
      </c>
      <c r="EW229" s="8">
        <f t="shared" si="535"/>
        <v>0</v>
      </c>
      <c r="EX229" s="8">
        <f t="shared" si="527"/>
        <v>0</v>
      </c>
      <c r="EY229" s="8">
        <f t="shared" si="416"/>
        <v>0</v>
      </c>
      <c r="EZ229" s="8">
        <f t="shared" si="536"/>
        <v>0</v>
      </c>
      <c r="FA229" s="8">
        <f t="shared" si="537"/>
        <v>0</v>
      </c>
      <c r="FC229" s="6">
        <f>SUMIF('Eredeti fejléccel'!$B:$B,'Felosztás eredménykim'!$B229,'Eredeti fejléccel'!$L:$L)</f>
        <v>0</v>
      </c>
      <c r="FD229" s="6">
        <f>SUMIF('Eredeti fejléccel'!$B:$B,'Felosztás eredménykim'!$B229,'Eredeti fejléccel'!$CJ:$CJ)</f>
        <v>0</v>
      </c>
      <c r="FE229" s="6">
        <f>SUMIF('Eredeti fejléccel'!$B:$B,'Felosztás eredménykim'!$B229,'Eredeti fejléccel'!$CL:$CL)</f>
        <v>0</v>
      </c>
      <c r="FG229" s="99">
        <f t="shared" si="528"/>
        <v>0</v>
      </c>
      <c r="FH229" s="6">
        <f>SUMIF('Eredeti fejléccel'!$B:$B,'Felosztás eredménykim'!$B229,'Eredeti fejléccel'!$CK:$CK)</f>
        <v>0</v>
      </c>
      <c r="FI229" s="36">
        <f t="shared" si="477"/>
        <v>0</v>
      </c>
      <c r="FJ229" s="101">
        <f t="shared" si="408"/>
        <v>0</v>
      </c>
      <c r="FK229" s="6">
        <f>SUMIF('Eredeti fejléccel'!$B:$B,'Felosztás eredménykim'!$B229,'Eredeti fejléccel'!$CM:$CM)</f>
        <v>0</v>
      </c>
      <c r="FL229" s="6">
        <f>SUMIF('Eredeti fejléccel'!$B:$B,'Felosztás eredménykim'!$B229,'Eredeti fejléccel'!$CN:$CN)</f>
        <v>0</v>
      </c>
      <c r="FM229" s="8">
        <f t="shared" si="529"/>
        <v>0</v>
      </c>
      <c r="FN229" s="36">
        <f t="shared" si="478"/>
        <v>0</v>
      </c>
      <c r="FO229" s="101">
        <f t="shared" si="409"/>
        <v>0</v>
      </c>
      <c r="FP229" s="6">
        <f>SUMIF('Eredeti fejléccel'!$B:$B,'Felosztás eredménykim'!$B229,'Eredeti fejléccel'!$CO:$CO)</f>
        <v>0</v>
      </c>
      <c r="FQ229" s="6">
        <f>'Eredeti fejléccel'!CP229</f>
        <v>0</v>
      </c>
      <c r="FR229" s="6">
        <f>'Eredeti fejléccel'!CQ229</f>
        <v>0</v>
      </c>
      <c r="FS229" s="103">
        <f t="shared" si="417"/>
        <v>0</v>
      </c>
      <c r="FT229" s="36">
        <f t="shared" si="479"/>
        <v>0</v>
      </c>
      <c r="FU229" s="101">
        <f t="shared" si="410"/>
        <v>0</v>
      </c>
      <c r="FV229" s="101"/>
      <c r="FW229" s="6">
        <f>SUMIF('Eredeti fejléccel'!$B:$B,'Felosztás eredménykim'!$B229,'Eredeti fejléccel'!$CR:$CR)</f>
        <v>0</v>
      </c>
      <c r="FX229" s="6">
        <f>SUMIF('Eredeti fejléccel'!$B:$B,'Felosztás eredménykim'!$B229,'Eredeti fejléccel'!$CS:$CS)</f>
        <v>0</v>
      </c>
      <c r="FY229" s="6">
        <f>SUMIF('Eredeti fejléccel'!$B:$B,'Felosztás eredménykim'!$B229,'Eredeti fejléccel'!$CT:$CT)</f>
        <v>0</v>
      </c>
      <c r="FZ229" s="6">
        <f>SUMIF('Eredeti fejléccel'!$B:$B,'Felosztás eredménykim'!$B229,'Eredeti fejléccel'!$CU:$CU)</f>
        <v>0</v>
      </c>
      <c r="GA229" s="103">
        <f t="shared" si="530"/>
        <v>0</v>
      </c>
      <c r="GB229" s="36">
        <f t="shared" si="480"/>
        <v>0</v>
      </c>
      <c r="GC229" s="101">
        <f t="shared" si="411"/>
        <v>0</v>
      </c>
      <c r="GD229" s="6">
        <f>SUMIF('Eredeti fejléccel'!$B:$B,'Felosztás eredménykim'!$B229,'Eredeti fejléccel'!$CV:$CV)</f>
        <v>0</v>
      </c>
      <c r="GE229" s="6">
        <f>SUMIF('Eredeti fejléccel'!$B:$B,'Felosztás eredménykim'!$B229,'Eredeti fejléccel'!$CW:$CW)</f>
        <v>0</v>
      </c>
      <c r="GF229" s="103">
        <f t="shared" si="531"/>
        <v>0</v>
      </c>
      <c r="GG229" s="36">
        <f t="shared" si="412"/>
        <v>0</v>
      </c>
      <c r="GM229" s="6">
        <f>SUMIF('Eredeti fejléccel'!$B:$B,'Felosztás eredménykim'!$B229,'Eredeti fejléccel'!$CX:$CX)</f>
        <v>0</v>
      </c>
      <c r="GN229" s="6">
        <f>SUMIF('Eredeti fejléccel'!$B:$B,'Felosztás eredménykim'!$B229,'Eredeti fejléccel'!$CY:$CY)</f>
        <v>0</v>
      </c>
      <c r="GO229" s="6">
        <f>SUMIF('Eredeti fejléccel'!$B:$B,'Felosztás eredménykim'!$B229,'Eredeti fejléccel'!$CZ:$CZ)</f>
        <v>0</v>
      </c>
      <c r="GP229" s="6">
        <f>SUMIF('Eredeti fejléccel'!$B:$B,'Felosztás eredménykim'!$B229,'Eredeti fejléccel'!$DA:$DA)</f>
        <v>0</v>
      </c>
      <c r="GQ229" s="6">
        <f>SUMIF('Eredeti fejléccel'!$B:$B,'Felosztás eredménykim'!$B229,'Eredeti fejléccel'!$DB:$DB)</f>
        <v>0</v>
      </c>
      <c r="GR229" s="103">
        <f t="shared" si="532"/>
        <v>0</v>
      </c>
      <c r="GW229" s="36">
        <f t="shared" si="413"/>
        <v>0</v>
      </c>
      <c r="GX229" s="6">
        <f>SUMIF('Eredeti fejléccel'!$B:$B,'Felosztás eredménykim'!$B229,'Eredeti fejléccel'!$M:$M)</f>
        <v>0</v>
      </c>
      <c r="GY229" s="6">
        <f>SUMIF('Eredeti fejléccel'!$B:$B,'Felosztás eredménykim'!$B229,'Eredeti fejléccel'!$DC:$DC)</f>
        <v>0</v>
      </c>
      <c r="GZ229" s="6">
        <f>SUMIF('Eredeti fejléccel'!$B:$B,'Felosztás eredménykim'!$B229,'Eredeti fejléccel'!$DD:$DD)</f>
        <v>0</v>
      </c>
      <c r="HA229" s="6">
        <f>SUMIF('Eredeti fejléccel'!$B:$B,'Felosztás eredménykim'!$B229,'Eredeti fejléccel'!$DE:$DE)</f>
        <v>0</v>
      </c>
      <c r="HB229" s="103">
        <f t="shared" si="533"/>
        <v>0</v>
      </c>
      <c r="HD229" s="9">
        <f t="shared" si="429"/>
        <v>0</v>
      </c>
      <c r="HE229" s="9"/>
      <c r="HF229" s="476"/>
      <c r="HH229" s="34">
        <f t="shared" si="534"/>
        <v>0</v>
      </c>
    </row>
    <row r="230" spans="1:218" x14ac:dyDescent="0.25">
      <c r="A230" s="4" t="s">
        <v>307</v>
      </c>
      <c r="B230" s="4" t="s">
        <v>307</v>
      </c>
      <c r="C230" s="1" t="s">
        <v>308</v>
      </c>
      <c r="D230" s="6">
        <f>SUMIF('Eredeti fejléccel'!$B:$B,'Felosztás eredménykim'!$B230,'Eredeti fejléccel'!$D:$D)</f>
        <v>0</v>
      </c>
      <c r="E230" s="6">
        <f>SUMIF('Eredeti fejléccel'!$B:$B,'Felosztás eredménykim'!$B230,'Eredeti fejléccel'!$E:$E)</f>
        <v>0</v>
      </c>
      <c r="F230" s="6">
        <f>SUMIF('Eredeti fejléccel'!$B:$B,'Felosztás eredménykim'!$B230,'Eredeti fejléccel'!$F:$F)</f>
        <v>0</v>
      </c>
      <c r="G230" s="6">
        <f>SUMIF('Eredeti fejléccel'!$B:$B,'Felosztás eredménykim'!$B230,'Eredeti fejléccel'!$G:$G)</f>
        <v>0</v>
      </c>
      <c r="H230" s="6"/>
      <c r="I230" s="6">
        <f>SUMIF('Eredeti fejléccel'!$B:$B,'Felosztás eredménykim'!$B230,'Eredeti fejléccel'!$O:$O)</f>
        <v>0</v>
      </c>
      <c r="J230" s="6">
        <f>SUMIF('Eredeti fejléccel'!$B:$B,'Felosztás eredménykim'!$B230,'Eredeti fejléccel'!$P:$P)</f>
        <v>0</v>
      </c>
      <c r="K230" s="6">
        <f>SUMIF('Eredeti fejléccel'!$B:$B,'Felosztás eredménykim'!$B230,'Eredeti fejléccel'!$Q:$Q)</f>
        <v>0</v>
      </c>
      <c r="L230" s="6">
        <f>SUMIF('Eredeti fejléccel'!$B:$B,'Felosztás eredménykim'!$B230,'Eredeti fejléccel'!$R:$R)</f>
        <v>0</v>
      </c>
      <c r="M230" s="6">
        <f>SUMIF('Eredeti fejléccel'!$B:$B,'Felosztás eredménykim'!$B230,'Eredeti fejléccel'!$T:$T)</f>
        <v>0</v>
      </c>
      <c r="N230" s="6">
        <f>SUMIF('Eredeti fejléccel'!$B:$B,'Felosztás eredménykim'!$B230,'Eredeti fejléccel'!$U:$U)</f>
        <v>0</v>
      </c>
      <c r="O230" s="6">
        <f>SUMIF('Eredeti fejléccel'!$B:$B,'Felosztás eredménykim'!$B230,'Eredeti fejléccel'!$V:$V)</f>
        <v>0</v>
      </c>
      <c r="P230" s="6">
        <f>SUMIF('Eredeti fejléccel'!$B:$B,'Felosztás eredménykim'!$B230,'Eredeti fejléccel'!$W:$W)</f>
        <v>0</v>
      </c>
      <c r="Q230" s="6">
        <f>SUMIF('Eredeti fejléccel'!$B:$B,'Felosztás eredménykim'!$B230,'Eredeti fejléccel'!$X:$X)</f>
        <v>0</v>
      </c>
      <c r="R230" s="6">
        <f>SUMIF('Eredeti fejléccel'!$B:$B,'Felosztás eredménykim'!$B230,'Eredeti fejléccel'!$Y:$Y)</f>
        <v>0</v>
      </c>
      <c r="S230" s="6">
        <f>SUMIF('Eredeti fejléccel'!$B:$B,'Felosztás eredménykim'!$B230,'Eredeti fejléccel'!$Z:$Z)</f>
        <v>0</v>
      </c>
      <c r="T230" s="6">
        <f>SUMIF('Eredeti fejléccel'!$B:$B,'Felosztás eredménykim'!$B230,'Eredeti fejléccel'!$AA:$AA)</f>
        <v>0</v>
      </c>
      <c r="U230" s="6">
        <f>SUMIF('Eredeti fejléccel'!$B:$B,'Felosztás eredménykim'!$B230,'Eredeti fejléccel'!$D:$D)</f>
        <v>0</v>
      </c>
      <c r="V230" s="6">
        <f>SUMIF('Eredeti fejléccel'!$B:$B,'Felosztás eredménykim'!$B230,'Eredeti fejléccel'!$AT:$AT)</f>
        <v>0</v>
      </c>
      <c r="X230" s="36">
        <f t="shared" si="414"/>
        <v>0</v>
      </c>
      <c r="Z230" s="6">
        <f>SUMIF('Eredeti fejléccel'!$B:$B,'Felosztás eredménykim'!$B230,'Eredeti fejléccel'!$K:$K)</f>
        <v>0</v>
      </c>
      <c r="AB230" s="6">
        <f>SUMIF('Eredeti fejléccel'!$B:$B,'Felosztás eredménykim'!$B230,'Eredeti fejléccel'!$AB:$AB)</f>
        <v>0</v>
      </c>
      <c r="AC230" s="6">
        <f>SUMIF('Eredeti fejléccel'!$B:$B,'Felosztás eredménykim'!$B230,'Eredeti fejléccel'!$AQ:$AQ)</f>
        <v>0</v>
      </c>
      <c r="AE230" s="73">
        <f t="shared" si="299"/>
        <v>0</v>
      </c>
      <c r="AF230" s="36">
        <f t="shared" si="470"/>
        <v>0</v>
      </c>
      <c r="AG230" s="8">
        <f t="shared" si="399"/>
        <v>0</v>
      </c>
      <c r="AI230" s="6">
        <f>SUMIF('Eredeti fejléccel'!$B:$B,'Felosztás eredménykim'!$B230,'Eredeti fejléccel'!$BB:$BB)</f>
        <v>0</v>
      </c>
      <c r="AJ230" s="6">
        <f>SUMIF('Eredeti fejléccel'!$B:$B,'Felosztás eredménykim'!$B230,'Eredeti fejléccel'!$AF:$AF)</f>
        <v>0</v>
      </c>
      <c r="AK230" s="8">
        <f t="shared" si="522"/>
        <v>0</v>
      </c>
      <c r="AL230" s="36">
        <f t="shared" si="471"/>
        <v>0</v>
      </c>
      <c r="AM230" s="8">
        <f t="shared" si="400"/>
        <v>0</v>
      </c>
      <c r="AN230" s="6">
        <f t="shared" si="291"/>
        <v>0</v>
      </c>
      <c r="AO230" s="6">
        <f>SUMIF('Eredeti fejléccel'!$B:$B,'Felosztás eredménykim'!$B230,'Eredeti fejléccel'!$AC:$AC)</f>
        <v>0</v>
      </c>
      <c r="AP230" s="6">
        <f>SUMIF('Eredeti fejléccel'!$B:$B,'Felosztás eredménykim'!$B230,'Eredeti fejléccel'!$AD:$AD)</f>
        <v>0</v>
      </c>
      <c r="AQ230" s="6">
        <f>SUMIF('Eredeti fejléccel'!$B:$B,'Felosztás eredménykim'!$B230,'Eredeti fejléccel'!$AE:$AE)</f>
        <v>0</v>
      </c>
      <c r="AR230" s="6">
        <f>SUMIF('Eredeti fejléccel'!$B:$B,'Felosztás eredménykim'!$B230,'Eredeti fejléccel'!$AG:$AG)</f>
        <v>0</v>
      </c>
      <c r="AS230" s="6">
        <f t="shared" si="292"/>
        <v>0</v>
      </c>
      <c r="AT230" s="36">
        <f t="shared" si="472"/>
        <v>0</v>
      </c>
      <c r="AU230" s="8">
        <f t="shared" si="401"/>
        <v>0</v>
      </c>
      <c r="AV230" s="6">
        <f>SUMIF('Eredeti fejléccel'!$B:$B,'Felosztás eredménykim'!$B230,'Eredeti fejléccel'!$AI:$AI)</f>
        <v>0</v>
      </c>
      <c r="AW230" s="6">
        <f>SUMIF('Eredeti fejléccel'!$B:$B,'Felosztás eredménykim'!$B230,'Eredeti fejléccel'!$AJ:$AJ)</f>
        <v>0</v>
      </c>
      <c r="AX230" s="6">
        <f>SUMIF('Eredeti fejléccel'!$B:$B,'Felosztás eredménykim'!$B230,'Eredeti fejléccel'!$AK:$AK)</f>
        <v>0</v>
      </c>
      <c r="AY230" s="6">
        <f>SUMIF('Eredeti fejléccel'!$B:$B,'Felosztás eredménykim'!$B230,'Eredeti fejléccel'!$AL:$AL)</f>
        <v>0</v>
      </c>
      <c r="AZ230" s="6">
        <f>SUMIF('Eredeti fejléccel'!$B:$B,'Felosztás eredménykim'!$B230,'Eredeti fejléccel'!$AM:$AM)</f>
        <v>0</v>
      </c>
      <c r="BA230" s="6">
        <f>SUMIF('Eredeti fejléccel'!$B:$B,'Felosztás eredménykim'!$B230,'Eredeti fejléccel'!$AN:$AN)</f>
        <v>0</v>
      </c>
      <c r="BB230" s="6">
        <f>SUMIF('Eredeti fejléccel'!$B:$B,'Felosztás eredménykim'!$B230,'Eredeti fejléccel'!$AP:$AP)</f>
        <v>0</v>
      </c>
      <c r="BD230" s="6">
        <f>SUMIF('Eredeti fejléccel'!$B:$B,'Felosztás eredménykim'!$B230,'Eredeti fejléccel'!$AS:$AS)</f>
        <v>0</v>
      </c>
      <c r="BE230" s="8">
        <f t="shared" si="523"/>
        <v>0</v>
      </c>
      <c r="BF230" s="36">
        <f t="shared" si="473"/>
        <v>0</v>
      </c>
      <c r="BG230" s="8">
        <f t="shared" si="402"/>
        <v>0</v>
      </c>
      <c r="BH230" s="6">
        <f t="shared" si="293"/>
        <v>0</v>
      </c>
      <c r="BI230" s="6">
        <f>SUMIF('Eredeti fejléccel'!$B:$B,'Felosztás eredménykim'!$B230,'Eredeti fejléccel'!$AH:$AH)</f>
        <v>0</v>
      </c>
      <c r="BJ230" s="6">
        <f>SUMIF('Eredeti fejléccel'!$B:$B,'Felosztás eredménykim'!$B230,'Eredeti fejléccel'!$AO:$AO)</f>
        <v>0</v>
      </c>
      <c r="BK230" s="6">
        <f>SUMIF('Eredeti fejléccel'!$B:$B,'Felosztás eredménykim'!$B230,'Eredeti fejléccel'!$BF:$BF)</f>
        <v>0</v>
      </c>
      <c r="BL230" s="8">
        <f t="shared" si="294"/>
        <v>0</v>
      </c>
      <c r="BM230" s="36">
        <f t="shared" si="474"/>
        <v>0</v>
      </c>
      <c r="BN230" s="8">
        <f t="shared" si="403"/>
        <v>0</v>
      </c>
      <c r="BP230" s="8">
        <f t="shared" si="295"/>
        <v>0</v>
      </c>
      <c r="BQ230" s="6">
        <f>SUMIF('Eredeti fejléccel'!$B:$B,'Felosztás eredménykim'!$B230,'Eredeti fejléccel'!$N:$N)</f>
        <v>0</v>
      </c>
      <c r="BR230" s="6">
        <f>SUMIF('Eredeti fejléccel'!$B:$B,'Felosztás eredménykim'!$B230,'Eredeti fejléccel'!$S:$S)</f>
        <v>0</v>
      </c>
      <c r="BT230" s="6">
        <f>SUMIF('Eredeti fejléccel'!$B:$B,'Felosztás eredménykim'!$B230,'Eredeti fejléccel'!$AR:$AR)</f>
        <v>0</v>
      </c>
      <c r="BU230" s="6">
        <f>SUMIF('Eredeti fejléccel'!$B:$B,'Felosztás eredménykim'!$B230,'Eredeti fejléccel'!$AU:$AU)</f>
        <v>0</v>
      </c>
      <c r="BV230" s="6">
        <f>SUMIF('Eredeti fejléccel'!$B:$B,'Felosztás eredménykim'!$B230,'Eredeti fejléccel'!$AV:$AV)</f>
        <v>0</v>
      </c>
      <c r="BW230" s="6">
        <f>SUMIF('Eredeti fejléccel'!$B:$B,'Felosztás eredménykim'!$B230,'Eredeti fejléccel'!$AW:$AW)</f>
        <v>0</v>
      </c>
      <c r="BX230" s="6">
        <f>SUMIF('Eredeti fejléccel'!$B:$B,'Felosztás eredménykim'!$B230,'Eredeti fejléccel'!$AX:$AX)</f>
        <v>0</v>
      </c>
      <c r="BY230" s="6">
        <f>SUMIF('Eredeti fejléccel'!$B:$B,'Felosztás eredménykim'!$B230,'Eredeti fejléccel'!$AY:$AY)</f>
        <v>0</v>
      </c>
      <c r="BZ230" s="6">
        <f>SUMIF('Eredeti fejléccel'!$B:$B,'Felosztás eredménykim'!$B230,'Eredeti fejléccel'!$AZ:$AZ)</f>
        <v>0</v>
      </c>
      <c r="CA230" s="6">
        <f>SUMIF('Eredeti fejléccel'!$B:$B,'Felosztás eredménykim'!$B230,'Eredeti fejléccel'!$BA:$BA)</f>
        <v>0</v>
      </c>
      <c r="CB230" s="6">
        <f t="shared" si="481"/>
        <v>0</v>
      </c>
      <c r="CC230" s="36">
        <f t="shared" si="475"/>
        <v>0</v>
      </c>
      <c r="CD230" s="8">
        <f t="shared" si="404"/>
        <v>0</v>
      </c>
      <c r="CE230" s="6">
        <f>SUMIF('Eredeti fejléccel'!$B:$B,'Felosztás eredménykim'!$B230,'Eredeti fejléccel'!$BC:$BC)</f>
        <v>0</v>
      </c>
      <c r="CF230" s="8">
        <f t="shared" si="300"/>
        <v>0</v>
      </c>
      <c r="CG230" s="6">
        <f>SUMIF('Eredeti fejléccel'!$B:$B,'Felosztás eredménykim'!$B230,'Eredeti fejléccel'!$H:$H)</f>
        <v>0</v>
      </c>
      <c r="CH230" s="6">
        <f>SUMIF('Eredeti fejléccel'!$B:$B,'Felosztás eredménykim'!$B230,'Eredeti fejléccel'!$BE:$BE)</f>
        <v>0</v>
      </c>
      <c r="CI230" s="6">
        <f t="shared" si="524"/>
        <v>0</v>
      </c>
      <c r="CJ230" s="36">
        <f t="shared" si="476"/>
        <v>0</v>
      </c>
      <c r="CK230" s="8">
        <f t="shared" si="405"/>
        <v>0</v>
      </c>
      <c r="CL230" s="8">
        <f t="shared" si="301"/>
        <v>0</v>
      </c>
      <c r="CM230" s="6">
        <f>SUMIF('Eredeti fejléccel'!$B:$B,'Felosztás eredménykim'!$B230,'Eredeti fejléccel'!$BD:$BD)</f>
        <v>-192500</v>
      </c>
      <c r="CN230" s="8">
        <f t="shared" si="525"/>
        <v>-192500</v>
      </c>
      <c r="CO230" s="8">
        <f t="shared" si="482"/>
        <v>-192500</v>
      </c>
      <c r="CR230" s="36">
        <f t="shared" si="406"/>
        <v>0</v>
      </c>
      <c r="CS230" s="6">
        <f>SUMIF('Eredeti fejléccel'!$B:$B,'Felosztás eredménykim'!$B230,'Eredeti fejléccel'!$I:$I)</f>
        <v>0</v>
      </c>
      <c r="CT230" s="6">
        <f>SUMIF('Eredeti fejléccel'!$B:$B,'Felosztás eredménykim'!$B230,'Eredeti fejléccel'!$BG:$BG)</f>
        <v>0</v>
      </c>
      <c r="CU230" s="6">
        <f>SUMIF('Eredeti fejléccel'!$B:$B,'Felosztás eredménykim'!$B230,'Eredeti fejléccel'!$BH:$BH)</f>
        <v>0</v>
      </c>
      <c r="CV230" s="6">
        <f>SUMIF('Eredeti fejléccel'!$B:$B,'Felosztás eredménykim'!$B230,'Eredeti fejléccel'!$BI:$BI)</f>
        <v>0</v>
      </c>
      <c r="CW230" s="6">
        <f>SUMIF('Eredeti fejléccel'!$B:$B,'Felosztás eredménykim'!$B230,'Eredeti fejléccel'!$BL:$BL)</f>
        <v>0</v>
      </c>
      <c r="CX230" s="6">
        <f t="shared" si="526"/>
        <v>0</v>
      </c>
      <c r="CY230" s="6">
        <f>SUMIF('Eredeti fejléccel'!$B:$B,'Felosztás eredménykim'!$B230,'Eredeti fejléccel'!$BJ:$BJ)</f>
        <v>0</v>
      </c>
      <c r="CZ230" s="6">
        <f>SUMIF('Eredeti fejléccel'!$B:$B,'Felosztás eredménykim'!$B230,'Eredeti fejléccel'!$BK:$BK)</f>
        <v>0</v>
      </c>
      <c r="DA230" s="99">
        <f t="shared" si="415"/>
        <v>0</v>
      </c>
      <c r="DC230" s="36">
        <f t="shared" si="407"/>
        <v>0</v>
      </c>
      <c r="DD230" s="6">
        <f>SUMIF('Eredeti fejléccel'!$B:$B,'Felosztás eredménykim'!$B230,'Eredeti fejléccel'!$J:$J)</f>
        <v>0</v>
      </c>
      <c r="DE230" s="6">
        <f>SUMIF('Eredeti fejléccel'!$B:$B,'Felosztás eredménykim'!$B230,'Eredeti fejléccel'!$BM:$BM)</f>
        <v>0</v>
      </c>
      <c r="DF230" s="6">
        <f t="shared" si="296"/>
        <v>0</v>
      </c>
      <c r="DG230" s="8">
        <f t="shared" si="483"/>
        <v>0</v>
      </c>
      <c r="DH230" s="8">
        <f t="shared" si="297"/>
        <v>0</v>
      </c>
      <c r="DJ230" s="6">
        <f>SUMIF('Eredeti fejléccel'!$B:$B,'Felosztás eredménykim'!$B230,'Eredeti fejléccel'!$BN:$BN)</f>
        <v>0</v>
      </c>
      <c r="DK230" s="6">
        <f>SUMIF('Eredeti fejléccel'!$B:$B,'Felosztás eredménykim'!$B230,'Eredeti fejléccel'!$BZ:$BZ)</f>
        <v>0</v>
      </c>
      <c r="DL230" s="8">
        <f t="shared" si="298"/>
        <v>0</v>
      </c>
      <c r="DM230" s="6">
        <f>SUMIF('Eredeti fejléccel'!$B:$B,'Felosztás eredménykim'!$B230,'Eredeti fejléccel'!$BR:$BR)</f>
        <v>0</v>
      </c>
      <c r="DN230" s="6">
        <f>SUMIF('Eredeti fejléccel'!$B:$B,'Felosztás eredménykim'!$B230,'Eredeti fejléccel'!$BS:$BS)</f>
        <v>0</v>
      </c>
      <c r="DO230" s="6">
        <f>SUMIF('Eredeti fejléccel'!$B:$B,'Felosztás eredménykim'!$B230,'Eredeti fejléccel'!$BO:$BO)</f>
        <v>0</v>
      </c>
      <c r="DP230" s="6">
        <f>SUMIF('Eredeti fejléccel'!$B:$B,'Felosztás eredménykim'!$B230,'Eredeti fejléccel'!$BP:$BP)</f>
        <v>0</v>
      </c>
      <c r="DQ230" s="6">
        <f>SUMIF('Eredeti fejléccel'!$B:$B,'Felosztás eredménykim'!$B230,'Eredeti fejléccel'!$BQ:$BQ)</f>
        <v>0</v>
      </c>
      <c r="DS230" s="8"/>
      <c r="DU230" s="6">
        <f>SUMIF('Eredeti fejléccel'!$B:$B,'Felosztás eredménykim'!$B230,'Eredeti fejléccel'!$BT:$BT)</f>
        <v>0</v>
      </c>
      <c r="DV230" s="6">
        <f>SUMIF('Eredeti fejléccel'!$B:$B,'Felosztás eredménykim'!$B230,'Eredeti fejléccel'!$BU:$BU)</f>
        <v>0</v>
      </c>
      <c r="DW230" s="6">
        <f>SUMIF('Eredeti fejléccel'!$B:$B,'Felosztás eredménykim'!$B230,'Eredeti fejléccel'!$BV:$BV)</f>
        <v>0</v>
      </c>
      <c r="DX230" s="6">
        <f>SUMIF('Eredeti fejléccel'!$B:$B,'Felosztás eredménykim'!$B230,'Eredeti fejléccel'!$BW:$BW)</f>
        <v>0</v>
      </c>
      <c r="DY230" s="6">
        <f>SUMIF('Eredeti fejléccel'!$B:$B,'Felosztás eredménykim'!$B230,'Eredeti fejléccel'!$BX:$BX)</f>
        <v>0</v>
      </c>
      <c r="EA230" s="6"/>
      <c r="EC230" s="6"/>
      <c r="EE230" s="6">
        <f>SUMIF('Eredeti fejléccel'!$B:$B,'Felosztás eredménykim'!$B230,'Eredeti fejléccel'!$CA:$CA)</f>
        <v>0</v>
      </c>
      <c r="EF230" s="6">
        <f>SUMIF('Eredeti fejléccel'!$B:$B,'Felosztás eredménykim'!$B230,'Eredeti fejléccel'!$CB:$CB)</f>
        <v>0</v>
      </c>
      <c r="EG230" s="6">
        <f>SUMIF('Eredeti fejléccel'!$B:$B,'Felosztás eredménykim'!$B230,'Eredeti fejléccel'!$CC:$CC)</f>
        <v>0</v>
      </c>
      <c r="EH230" s="6">
        <f>SUMIF('Eredeti fejléccel'!$B:$B,'Felosztás eredménykim'!$B230,'Eredeti fejléccel'!$CD:$CD)</f>
        <v>0</v>
      </c>
      <c r="EK230" s="6">
        <f>SUMIF('Eredeti fejléccel'!$B:$B,'Felosztás eredménykim'!$B230,'Eredeti fejléccel'!$CE:$CE)</f>
        <v>0</v>
      </c>
      <c r="EN230" s="6">
        <f>SUMIF('Eredeti fejléccel'!$B:$B,'Felosztás eredménykim'!$B230,'Eredeti fejléccel'!$CF:$CF)</f>
        <v>0</v>
      </c>
      <c r="EP230" s="6">
        <f>SUMIF('Eredeti fejléccel'!$B:$B,'Felosztás eredménykim'!$B230,'Eredeti fejléccel'!$CG:$CG)</f>
        <v>0</v>
      </c>
      <c r="ES230" s="6">
        <f>SUMIF('Eredeti fejléccel'!$B:$B,'Felosztás eredménykim'!$B230,'Eredeti fejléccel'!$CH:$CH)</f>
        <v>0</v>
      </c>
      <c r="ET230" s="6">
        <f>SUMIF('Eredeti fejléccel'!$B:$B,'Felosztás eredménykim'!$B230,'Eredeti fejléccel'!$CI:$CI)</f>
        <v>0</v>
      </c>
      <c r="EW230" s="8">
        <f t="shared" si="535"/>
        <v>0</v>
      </c>
      <c r="EX230" s="8">
        <f t="shared" si="527"/>
        <v>0</v>
      </c>
      <c r="EY230" s="8">
        <f t="shared" si="416"/>
        <v>0</v>
      </c>
      <c r="EZ230" s="8">
        <f t="shared" si="536"/>
        <v>0</v>
      </c>
      <c r="FA230" s="8">
        <f t="shared" si="537"/>
        <v>0</v>
      </c>
      <c r="FC230" s="6">
        <f>SUMIF('Eredeti fejléccel'!$B:$B,'Felosztás eredménykim'!$B230,'Eredeti fejléccel'!$L:$L)</f>
        <v>0</v>
      </c>
      <c r="FD230" s="6">
        <f>SUMIF('Eredeti fejléccel'!$B:$B,'Felosztás eredménykim'!$B230,'Eredeti fejléccel'!$CJ:$CJ)</f>
        <v>0</v>
      </c>
      <c r="FE230" s="6">
        <f>SUMIF('Eredeti fejléccel'!$B:$B,'Felosztás eredménykim'!$B230,'Eredeti fejléccel'!$CL:$CL)</f>
        <v>0</v>
      </c>
      <c r="FG230" s="99">
        <f t="shared" si="528"/>
        <v>0</v>
      </c>
      <c r="FH230" s="6">
        <f>SUMIF('Eredeti fejléccel'!$B:$B,'Felosztás eredménykim'!$B230,'Eredeti fejléccel'!$CK:$CK)</f>
        <v>0</v>
      </c>
      <c r="FI230" s="36">
        <f t="shared" si="477"/>
        <v>0</v>
      </c>
      <c r="FJ230" s="101">
        <f t="shared" si="408"/>
        <v>0</v>
      </c>
      <c r="FK230" s="6">
        <f>SUMIF('Eredeti fejléccel'!$B:$B,'Felosztás eredménykim'!$B230,'Eredeti fejléccel'!$CM:$CM)</f>
        <v>0</v>
      </c>
      <c r="FL230" s="6">
        <f>SUMIF('Eredeti fejléccel'!$B:$B,'Felosztás eredménykim'!$B230,'Eredeti fejléccel'!$CN:$CN)</f>
        <v>0</v>
      </c>
      <c r="FM230" s="8">
        <f t="shared" si="529"/>
        <v>0</v>
      </c>
      <c r="FN230" s="36">
        <f t="shared" si="478"/>
        <v>0</v>
      </c>
      <c r="FO230" s="101">
        <f t="shared" si="409"/>
        <v>0</v>
      </c>
      <c r="FP230" s="6">
        <f>SUMIF('Eredeti fejléccel'!$B:$B,'Felosztás eredménykim'!$B230,'Eredeti fejléccel'!$CO:$CO)</f>
        <v>0</v>
      </c>
      <c r="FQ230" s="6">
        <f>'Eredeti fejléccel'!CP230</f>
        <v>0</v>
      </c>
      <c r="FR230" s="6">
        <f>'Eredeti fejléccel'!CQ230</f>
        <v>0</v>
      </c>
      <c r="FS230" s="103">
        <f t="shared" si="417"/>
        <v>0</v>
      </c>
      <c r="FT230" s="36">
        <f t="shared" si="479"/>
        <v>0</v>
      </c>
      <c r="FU230" s="101">
        <f t="shared" si="410"/>
        <v>0</v>
      </c>
      <c r="FV230" s="101"/>
      <c r="FW230" s="6">
        <f>SUMIF('Eredeti fejléccel'!$B:$B,'Felosztás eredménykim'!$B230,'Eredeti fejléccel'!$CR:$CR)</f>
        <v>0</v>
      </c>
      <c r="FX230" s="6">
        <f>SUMIF('Eredeti fejléccel'!$B:$B,'Felosztás eredménykim'!$B230,'Eredeti fejléccel'!$CS:$CS)</f>
        <v>0</v>
      </c>
      <c r="FY230" s="6">
        <f>SUMIF('Eredeti fejléccel'!$B:$B,'Felosztás eredménykim'!$B230,'Eredeti fejléccel'!$CT:$CT)</f>
        <v>0</v>
      </c>
      <c r="FZ230" s="6">
        <f>SUMIF('Eredeti fejléccel'!$B:$B,'Felosztás eredménykim'!$B230,'Eredeti fejléccel'!$CU:$CU)</f>
        <v>0</v>
      </c>
      <c r="GA230" s="103">
        <f t="shared" si="530"/>
        <v>0</v>
      </c>
      <c r="GB230" s="36">
        <f t="shared" si="480"/>
        <v>0</v>
      </c>
      <c r="GC230" s="101">
        <f t="shared" si="411"/>
        <v>0</v>
      </c>
      <c r="GD230" s="6">
        <f>SUMIF('Eredeti fejléccel'!$B:$B,'Felosztás eredménykim'!$B230,'Eredeti fejléccel'!$CV:$CV)</f>
        <v>0</v>
      </c>
      <c r="GE230" s="6">
        <f>SUMIF('Eredeti fejléccel'!$B:$B,'Felosztás eredménykim'!$B230,'Eredeti fejléccel'!$CW:$CW)</f>
        <v>0</v>
      </c>
      <c r="GF230" s="103">
        <f t="shared" si="531"/>
        <v>0</v>
      </c>
      <c r="GG230" s="36">
        <f t="shared" si="412"/>
        <v>0</v>
      </c>
      <c r="GM230" s="6">
        <f>SUMIF('Eredeti fejléccel'!$B:$B,'Felosztás eredménykim'!$B230,'Eredeti fejléccel'!$CX:$CX)</f>
        <v>0</v>
      </c>
      <c r="GN230" s="6">
        <f>SUMIF('Eredeti fejléccel'!$B:$B,'Felosztás eredménykim'!$B230,'Eredeti fejléccel'!$CY:$CY)</f>
        <v>0</v>
      </c>
      <c r="GO230" s="6">
        <f>SUMIF('Eredeti fejléccel'!$B:$B,'Felosztás eredménykim'!$B230,'Eredeti fejléccel'!$CZ:$CZ)</f>
        <v>0</v>
      </c>
      <c r="GP230" s="6">
        <f>SUMIF('Eredeti fejléccel'!$B:$B,'Felosztás eredménykim'!$B230,'Eredeti fejléccel'!$DA:$DA)</f>
        <v>0</v>
      </c>
      <c r="GQ230" s="6">
        <f>SUMIF('Eredeti fejléccel'!$B:$B,'Felosztás eredménykim'!$B230,'Eredeti fejléccel'!$DB:$DB)</f>
        <v>0</v>
      </c>
      <c r="GR230" s="103">
        <f t="shared" si="532"/>
        <v>0</v>
      </c>
      <c r="GW230" s="36">
        <f t="shared" si="413"/>
        <v>0</v>
      </c>
      <c r="GX230" s="6">
        <f>SUMIF('Eredeti fejléccel'!$B:$B,'Felosztás eredménykim'!$B230,'Eredeti fejléccel'!$M:$M)</f>
        <v>0</v>
      </c>
      <c r="GY230" s="6">
        <f>SUMIF('Eredeti fejléccel'!$B:$B,'Felosztás eredménykim'!$B230,'Eredeti fejléccel'!$DC:$DC)</f>
        <v>0</v>
      </c>
      <c r="GZ230" s="6">
        <f>SUMIF('Eredeti fejléccel'!$B:$B,'Felosztás eredménykim'!$B230,'Eredeti fejléccel'!$DD:$DD)</f>
        <v>0</v>
      </c>
      <c r="HA230" s="6">
        <f>SUMIF('Eredeti fejléccel'!$B:$B,'Felosztás eredménykim'!$B230,'Eredeti fejléccel'!$DE:$DE)</f>
        <v>0</v>
      </c>
      <c r="HB230" s="103">
        <f t="shared" si="533"/>
        <v>0</v>
      </c>
      <c r="HD230" s="9">
        <f t="shared" si="429"/>
        <v>-192500</v>
      </c>
      <c r="HE230" s="9">
        <v>-192500</v>
      </c>
      <c r="HF230" s="476"/>
      <c r="HH230" s="34">
        <f t="shared" si="534"/>
        <v>0</v>
      </c>
    </row>
    <row r="231" spans="1:218" x14ac:dyDescent="0.25">
      <c r="A231" s="4" t="s">
        <v>309</v>
      </c>
      <c r="B231" s="4" t="s">
        <v>309</v>
      </c>
      <c r="C231" s="1" t="s">
        <v>310</v>
      </c>
      <c r="D231" s="6">
        <f>SUMIF('Eredeti fejléccel'!$B:$B,'Felosztás eredménykim'!$B231,'Eredeti fejléccel'!$D:$D)</f>
        <v>0</v>
      </c>
      <c r="E231" s="6">
        <f>SUMIF('Eredeti fejléccel'!$B:$B,'Felosztás eredménykim'!$B231,'Eredeti fejléccel'!$E:$E)</f>
        <v>0</v>
      </c>
      <c r="F231" s="6">
        <f>SUMIF('Eredeti fejléccel'!$B:$B,'Felosztás eredménykim'!$B231,'Eredeti fejléccel'!$F:$F)</f>
        <v>0</v>
      </c>
      <c r="G231" s="6">
        <f>SUMIF('Eredeti fejléccel'!$B:$B,'Felosztás eredménykim'!$B231,'Eredeti fejléccel'!$G:$G)</f>
        <v>0</v>
      </c>
      <c r="H231" s="6"/>
      <c r="I231" s="6">
        <f>SUMIF('Eredeti fejléccel'!$B:$B,'Felosztás eredménykim'!$B231,'Eredeti fejléccel'!$O:$O)</f>
        <v>0</v>
      </c>
      <c r="J231" s="6">
        <f>SUMIF('Eredeti fejléccel'!$B:$B,'Felosztás eredménykim'!$B231,'Eredeti fejléccel'!$P:$P)</f>
        <v>0</v>
      </c>
      <c r="K231" s="6">
        <f>SUMIF('Eredeti fejléccel'!$B:$B,'Felosztás eredménykim'!$B231,'Eredeti fejléccel'!$Q:$Q)</f>
        <v>0</v>
      </c>
      <c r="L231" s="6">
        <f>SUMIF('Eredeti fejléccel'!$B:$B,'Felosztás eredménykim'!$B231,'Eredeti fejléccel'!$R:$R)</f>
        <v>0</v>
      </c>
      <c r="M231" s="6">
        <f>SUMIF('Eredeti fejléccel'!$B:$B,'Felosztás eredménykim'!$B231,'Eredeti fejléccel'!$T:$T)</f>
        <v>0</v>
      </c>
      <c r="N231" s="6">
        <f>SUMIF('Eredeti fejléccel'!$B:$B,'Felosztás eredménykim'!$B231,'Eredeti fejléccel'!$U:$U)</f>
        <v>0</v>
      </c>
      <c r="O231" s="6">
        <f>SUMIF('Eredeti fejléccel'!$B:$B,'Felosztás eredménykim'!$B231,'Eredeti fejléccel'!$V:$V)</f>
        <v>0</v>
      </c>
      <c r="P231" s="6">
        <f>SUMIF('Eredeti fejléccel'!$B:$B,'Felosztás eredménykim'!$B231,'Eredeti fejléccel'!$W:$W)</f>
        <v>0</v>
      </c>
      <c r="Q231" s="6">
        <f>SUMIF('Eredeti fejléccel'!$B:$B,'Felosztás eredménykim'!$B231,'Eredeti fejléccel'!$X:$X)</f>
        <v>0</v>
      </c>
      <c r="R231" s="6">
        <f>SUMIF('Eredeti fejléccel'!$B:$B,'Felosztás eredménykim'!$B231,'Eredeti fejléccel'!$Y:$Y)</f>
        <v>0</v>
      </c>
      <c r="S231" s="6">
        <f>SUMIF('Eredeti fejléccel'!$B:$B,'Felosztás eredménykim'!$B231,'Eredeti fejléccel'!$Z:$Z)</f>
        <v>0</v>
      </c>
      <c r="T231" s="6">
        <f>SUMIF('Eredeti fejléccel'!$B:$B,'Felosztás eredménykim'!$B231,'Eredeti fejléccel'!$AA:$AA)</f>
        <v>0</v>
      </c>
      <c r="U231" s="6">
        <f>SUMIF('Eredeti fejléccel'!$B:$B,'Felosztás eredménykim'!$B231,'Eredeti fejléccel'!$D:$D)</f>
        <v>0</v>
      </c>
      <c r="V231" s="6">
        <f>SUMIF('Eredeti fejléccel'!$B:$B,'Felosztás eredménykim'!$B231,'Eredeti fejléccel'!$AT:$AT)</f>
        <v>0</v>
      </c>
      <c r="X231" s="36">
        <f t="shared" si="414"/>
        <v>0</v>
      </c>
      <c r="Z231" s="6">
        <f>SUMIF('Eredeti fejléccel'!$B:$B,'Felosztás eredménykim'!$B231,'Eredeti fejléccel'!$K:$K)</f>
        <v>0</v>
      </c>
      <c r="AB231" s="6">
        <f>SUMIF('Eredeti fejléccel'!$B:$B,'Felosztás eredménykim'!$B231,'Eredeti fejléccel'!$AB:$AB)</f>
        <v>0</v>
      </c>
      <c r="AC231" s="6">
        <f>SUMIF('Eredeti fejléccel'!$B:$B,'Felosztás eredménykim'!$B231,'Eredeti fejléccel'!$AQ:$AQ)</f>
        <v>0</v>
      </c>
      <c r="AE231" s="73">
        <f t="shared" si="299"/>
        <v>0</v>
      </c>
      <c r="AF231" s="36">
        <f t="shared" si="470"/>
        <v>0</v>
      </c>
      <c r="AG231" s="8">
        <f t="shared" si="399"/>
        <v>0</v>
      </c>
      <c r="AI231" s="6">
        <f>SUMIF('Eredeti fejléccel'!$B:$B,'Felosztás eredménykim'!$B231,'Eredeti fejléccel'!$BB:$BB)</f>
        <v>0</v>
      </c>
      <c r="AJ231" s="6">
        <f>SUMIF('Eredeti fejléccel'!$B:$B,'Felosztás eredménykim'!$B231,'Eredeti fejléccel'!$AF:$AF)</f>
        <v>0</v>
      </c>
      <c r="AK231" s="8">
        <f t="shared" si="522"/>
        <v>0</v>
      </c>
      <c r="AL231" s="36">
        <f t="shared" si="471"/>
        <v>0</v>
      </c>
      <c r="AM231" s="8">
        <f t="shared" si="400"/>
        <v>0</v>
      </c>
      <c r="AN231" s="6">
        <f t="shared" si="291"/>
        <v>0</v>
      </c>
      <c r="AO231" s="6">
        <f>SUMIF('Eredeti fejléccel'!$B:$B,'Felosztás eredménykim'!$B231,'Eredeti fejléccel'!$AC:$AC)</f>
        <v>0</v>
      </c>
      <c r="AP231" s="6">
        <f>SUMIF('Eredeti fejléccel'!$B:$B,'Felosztás eredménykim'!$B231,'Eredeti fejléccel'!$AD:$AD)</f>
        <v>0</v>
      </c>
      <c r="AQ231" s="6">
        <f>SUMIF('Eredeti fejléccel'!$B:$B,'Felosztás eredménykim'!$B231,'Eredeti fejléccel'!$AE:$AE)</f>
        <v>0</v>
      </c>
      <c r="AR231" s="6">
        <f>SUMIF('Eredeti fejléccel'!$B:$B,'Felosztás eredménykim'!$B231,'Eredeti fejléccel'!$AG:$AG)</f>
        <v>0</v>
      </c>
      <c r="AS231" s="6">
        <f t="shared" si="292"/>
        <v>0</v>
      </c>
      <c r="AT231" s="36">
        <f t="shared" si="472"/>
        <v>0</v>
      </c>
      <c r="AU231" s="8">
        <f t="shared" si="401"/>
        <v>0</v>
      </c>
      <c r="AV231" s="6">
        <f>SUMIF('Eredeti fejléccel'!$B:$B,'Felosztás eredménykim'!$B231,'Eredeti fejléccel'!$AI:$AI)</f>
        <v>0</v>
      </c>
      <c r="AW231" s="6">
        <f>SUMIF('Eredeti fejléccel'!$B:$B,'Felosztás eredménykim'!$B231,'Eredeti fejléccel'!$AJ:$AJ)</f>
        <v>0</v>
      </c>
      <c r="AX231" s="6">
        <f>SUMIF('Eredeti fejléccel'!$B:$B,'Felosztás eredménykim'!$B231,'Eredeti fejléccel'!$AK:$AK)</f>
        <v>0</v>
      </c>
      <c r="AY231" s="6">
        <f>SUMIF('Eredeti fejléccel'!$B:$B,'Felosztás eredménykim'!$B231,'Eredeti fejléccel'!$AL:$AL)</f>
        <v>0</v>
      </c>
      <c r="AZ231" s="6">
        <f>SUMIF('Eredeti fejléccel'!$B:$B,'Felosztás eredménykim'!$B231,'Eredeti fejléccel'!$AM:$AM)</f>
        <v>0</v>
      </c>
      <c r="BA231" s="6">
        <f>SUMIF('Eredeti fejléccel'!$B:$B,'Felosztás eredménykim'!$B231,'Eredeti fejléccel'!$AN:$AN)</f>
        <v>0</v>
      </c>
      <c r="BB231" s="6">
        <f>SUMIF('Eredeti fejléccel'!$B:$B,'Felosztás eredménykim'!$B231,'Eredeti fejléccel'!$AP:$AP)</f>
        <v>0</v>
      </c>
      <c r="BD231" s="6">
        <f>SUMIF('Eredeti fejléccel'!$B:$B,'Felosztás eredménykim'!$B231,'Eredeti fejléccel'!$AS:$AS)</f>
        <v>0</v>
      </c>
      <c r="BE231" s="8">
        <f t="shared" si="523"/>
        <v>0</v>
      </c>
      <c r="BF231" s="36">
        <f t="shared" si="473"/>
        <v>0</v>
      </c>
      <c r="BG231" s="8">
        <f t="shared" si="402"/>
        <v>0</v>
      </c>
      <c r="BH231" s="6">
        <f t="shared" si="293"/>
        <v>0</v>
      </c>
      <c r="BI231" s="6">
        <f>SUMIF('Eredeti fejléccel'!$B:$B,'Felosztás eredménykim'!$B231,'Eredeti fejléccel'!$AH:$AH)</f>
        <v>0</v>
      </c>
      <c r="BJ231" s="6">
        <f>SUMIF('Eredeti fejléccel'!$B:$B,'Felosztás eredménykim'!$B231,'Eredeti fejléccel'!$AO:$AO)</f>
        <v>0</v>
      </c>
      <c r="BK231" s="6">
        <f>SUMIF('Eredeti fejléccel'!$B:$B,'Felosztás eredménykim'!$B231,'Eredeti fejléccel'!$BF:$BF)</f>
        <v>0</v>
      </c>
      <c r="BL231" s="8">
        <f t="shared" si="294"/>
        <v>0</v>
      </c>
      <c r="BM231" s="36">
        <f t="shared" si="474"/>
        <v>0</v>
      </c>
      <c r="BN231" s="8">
        <f t="shared" si="403"/>
        <v>0</v>
      </c>
      <c r="BP231" s="8">
        <f t="shared" si="295"/>
        <v>0</v>
      </c>
      <c r="BQ231" s="6">
        <f>SUMIF('Eredeti fejléccel'!$B:$B,'Felosztás eredménykim'!$B231,'Eredeti fejléccel'!$N:$N)</f>
        <v>0</v>
      </c>
      <c r="BR231" s="6">
        <f>SUMIF('Eredeti fejléccel'!$B:$B,'Felosztás eredménykim'!$B231,'Eredeti fejléccel'!$S:$S)</f>
        <v>0</v>
      </c>
      <c r="BT231" s="6">
        <f>SUMIF('Eredeti fejléccel'!$B:$B,'Felosztás eredménykim'!$B231,'Eredeti fejléccel'!$AR:$AR)</f>
        <v>0</v>
      </c>
      <c r="BU231" s="6">
        <f>SUMIF('Eredeti fejléccel'!$B:$B,'Felosztás eredménykim'!$B231,'Eredeti fejléccel'!$AU:$AU)</f>
        <v>0</v>
      </c>
      <c r="BV231" s="6">
        <f>SUMIF('Eredeti fejléccel'!$B:$B,'Felosztás eredménykim'!$B231,'Eredeti fejléccel'!$AV:$AV)</f>
        <v>0</v>
      </c>
      <c r="BW231" s="6">
        <f>SUMIF('Eredeti fejléccel'!$B:$B,'Felosztás eredménykim'!$B231,'Eredeti fejléccel'!$AW:$AW)</f>
        <v>0</v>
      </c>
      <c r="BX231" s="6">
        <f>SUMIF('Eredeti fejléccel'!$B:$B,'Felosztás eredménykim'!$B231,'Eredeti fejléccel'!$AX:$AX)</f>
        <v>0</v>
      </c>
      <c r="BY231" s="6">
        <f>SUMIF('Eredeti fejléccel'!$B:$B,'Felosztás eredménykim'!$B231,'Eredeti fejléccel'!$AY:$AY)</f>
        <v>0</v>
      </c>
      <c r="BZ231" s="6">
        <f>SUMIF('Eredeti fejléccel'!$B:$B,'Felosztás eredménykim'!$B231,'Eredeti fejléccel'!$AZ:$AZ)</f>
        <v>0</v>
      </c>
      <c r="CA231" s="6">
        <f>SUMIF('Eredeti fejléccel'!$B:$B,'Felosztás eredménykim'!$B231,'Eredeti fejléccel'!$BA:$BA)</f>
        <v>0</v>
      </c>
      <c r="CB231" s="6">
        <f t="shared" si="481"/>
        <v>0</v>
      </c>
      <c r="CC231" s="36">
        <f t="shared" si="475"/>
        <v>0</v>
      </c>
      <c r="CD231" s="8">
        <f t="shared" si="404"/>
        <v>0</v>
      </c>
      <c r="CE231" s="6">
        <f>SUMIF('Eredeti fejléccel'!$B:$B,'Felosztás eredménykim'!$B231,'Eredeti fejléccel'!$BC:$BC)</f>
        <v>0</v>
      </c>
      <c r="CF231" s="8">
        <f t="shared" si="300"/>
        <v>0</v>
      </c>
      <c r="CG231" s="6">
        <f>SUMIF('Eredeti fejléccel'!$B:$B,'Felosztás eredménykim'!$B231,'Eredeti fejléccel'!$H:$H)</f>
        <v>0</v>
      </c>
      <c r="CH231" s="6">
        <f>SUMIF('Eredeti fejléccel'!$B:$B,'Felosztás eredménykim'!$B231,'Eredeti fejléccel'!$BE:$BE)</f>
        <v>-1180000</v>
      </c>
      <c r="CI231" s="6">
        <f t="shared" si="524"/>
        <v>-1180000</v>
      </c>
      <c r="CJ231" s="36">
        <f t="shared" si="476"/>
        <v>0</v>
      </c>
      <c r="CK231" s="8">
        <f t="shared" si="405"/>
        <v>0</v>
      </c>
      <c r="CL231" s="8">
        <f t="shared" si="301"/>
        <v>0</v>
      </c>
      <c r="CM231" s="6">
        <f>SUMIF('Eredeti fejléccel'!$B:$B,'Felosztás eredménykim'!$B231,'Eredeti fejléccel'!$BD:$BD)</f>
        <v>-150000</v>
      </c>
      <c r="CN231" s="8">
        <f t="shared" si="525"/>
        <v>-150000</v>
      </c>
      <c r="CO231" s="8">
        <f t="shared" si="482"/>
        <v>-1330000</v>
      </c>
      <c r="CR231" s="36">
        <f t="shared" si="406"/>
        <v>0</v>
      </c>
      <c r="CS231" s="6">
        <f>SUMIF('Eredeti fejléccel'!$B:$B,'Felosztás eredménykim'!$B231,'Eredeti fejléccel'!$I:$I)</f>
        <v>0</v>
      </c>
      <c r="CT231" s="6">
        <f>SUMIF('Eredeti fejléccel'!$B:$B,'Felosztás eredménykim'!$B231,'Eredeti fejléccel'!$BG:$BG)</f>
        <v>0</v>
      </c>
      <c r="CU231" s="6">
        <f>SUMIF('Eredeti fejléccel'!$B:$B,'Felosztás eredménykim'!$B231,'Eredeti fejléccel'!$BH:$BH)</f>
        <v>0</v>
      </c>
      <c r="CV231" s="6">
        <f>SUMIF('Eredeti fejléccel'!$B:$B,'Felosztás eredménykim'!$B231,'Eredeti fejléccel'!$BI:$BI)</f>
        <v>0</v>
      </c>
      <c r="CW231" s="6">
        <f>SUMIF('Eredeti fejléccel'!$B:$B,'Felosztás eredménykim'!$B231,'Eredeti fejléccel'!$BL:$BL)</f>
        <v>0</v>
      </c>
      <c r="CX231" s="6">
        <f t="shared" si="526"/>
        <v>0</v>
      </c>
      <c r="CY231" s="6">
        <f>SUMIF('Eredeti fejléccel'!$B:$B,'Felosztás eredménykim'!$B231,'Eredeti fejléccel'!$BJ:$BJ)</f>
        <v>0</v>
      </c>
      <c r="CZ231" s="6">
        <f>SUMIF('Eredeti fejléccel'!$B:$B,'Felosztás eredménykim'!$B231,'Eredeti fejléccel'!$BK:$BK)</f>
        <v>0</v>
      </c>
      <c r="DA231" s="99">
        <f t="shared" si="415"/>
        <v>0</v>
      </c>
      <c r="DC231" s="36">
        <f t="shared" si="407"/>
        <v>0</v>
      </c>
      <c r="DD231" s="6">
        <f>SUMIF('Eredeti fejléccel'!$B:$B,'Felosztás eredménykim'!$B231,'Eredeti fejléccel'!$J:$J)</f>
        <v>0</v>
      </c>
      <c r="DE231" s="6">
        <f>SUMIF('Eredeti fejléccel'!$B:$B,'Felosztás eredménykim'!$B231,'Eredeti fejléccel'!$BM:$BM)</f>
        <v>0</v>
      </c>
      <c r="DF231" s="6">
        <f t="shared" si="296"/>
        <v>0</v>
      </c>
      <c r="DG231" s="8">
        <f t="shared" si="483"/>
        <v>0</v>
      </c>
      <c r="DH231" s="8">
        <f t="shared" si="297"/>
        <v>0</v>
      </c>
      <c r="DJ231" s="6">
        <f>SUMIF('Eredeti fejléccel'!$B:$B,'Felosztás eredménykim'!$B231,'Eredeti fejléccel'!$BN:$BN)</f>
        <v>0</v>
      </c>
      <c r="DK231" s="6">
        <f>SUMIF('Eredeti fejléccel'!$B:$B,'Felosztás eredménykim'!$B231,'Eredeti fejléccel'!$BZ:$BZ)</f>
        <v>0</v>
      </c>
      <c r="DL231" s="8">
        <f t="shared" si="298"/>
        <v>0</v>
      </c>
      <c r="DM231" s="6">
        <f>SUMIF('Eredeti fejléccel'!$B:$B,'Felosztás eredménykim'!$B231,'Eredeti fejléccel'!$BR:$BR)</f>
        <v>0</v>
      </c>
      <c r="DN231" s="6">
        <f>SUMIF('Eredeti fejléccel'!$B:$B,'Felosztás eredménykim'!$B231,'Eredeti fejléccel'!$BS:$BS)</f>
        <v>0</v>
      </c>
      <c r="DO231" s="6">
        <f>SUMIF('Eredeti fejléccel'!$B:$B,'Felosztás eredménykim'!$B231,'Eredeti fejléccel'!$BO:$BO)</f>
        <v>0</v>
      </c>
      <c r="DP231" s="6">
        <f>SUMIF('Eredeti fejléccel'!$B:$B,'Felosztás eredménykim'!$B231,'Eredeti fejléccel'!$BP:$BP)</f>
        <v>0</v>
      </c>
      <c r="DQ231" s="6">
        <f>SUMIF('Eredeti fejléccel'!$B:$B,'Felosztás eredménykim'!$B231,'Eredeti fejléccel'!$BQ:$BQ)</f>
        <v>0</v>
      </c>
      <c r="DS231" s="8"/>
      <c r="DU231" s="6">
        <f>SUMIF('Eredeti fejléccel'!$B:$B,'Felosztás eredménykim'!$B231,'Eredeti fejléccel'!$BT:$BT)</f>
        <v>0</v>
      </c>
      <c r="DV231" s="6">
        <f>SUMIF('Eredeti fejléccel'!$B:$B,'Felosztás eredménykim'!$B231,'Eredeti fejléccel'!$BU:$BU)</f>
        <v>0</v>
      </c>
      <c r="DW231" s="6">
        <f>SUMIF('Eredeti fejléccel'!$B:$B,'Felosztás eredménykim'!$B231,'Eredeti fejléccel'!$BV:$BV)</f>
        <v>0</v>
      </c>
      <c r="DX231" s="6">
        <f>SUMIF('Eredeti fejléccel'!$B:$B,'Felosztás eredménykim'!$B231,'Eredeti fejléccel'!$BW:$BW)</f>
        <v>0</v>
      </c>
      <c r="DY231" s="6">
        <f>SUMIF('Eredeti fejléccel'!$B:$B,'Felosztás eredménykim'!$B231,'Eredeti fejléccel'!$BX:$BX)</f>
        <v>0</v>
      </c>
      <c r="EA231" s="6"/>
      <c r="EC231" s="6"/>
      <c r="EE231" s="6">
        <f>SUMIF('Eredeti fejléccel'!$B:$B,'Felosztás eredménykim'!$B231,'Eredeti fejléccel'!$CA:$CA)</f>
        <v>0</v>
      </c>
      <c r="EF231" s="6">
        <f>SUMIF('Eredeti fejléccel'!$B:$B,'Felosztás eredménykim'!$B231,'Eredeti fejléccel'!$CB:$CB)</f>
        <v>0</v>
      </c>
      <c r="EG231" s="6">
        <f>SUMIF('Eredeti fejléccel'!$B:$B,'Felosztás eredménykim'!$B231,'Eredeti fejléccel'!$CC:$CC)</f>
        <v>0</v>
      </c>
      <c r="EH231" s="6">
        <f>SUMIF('Eredeti fejléccel'!$B:$B,'Felosztás eredménykim'!$B231,'Eredeti fejléccel'!$CD:$CD)</f>
        <v>0</v>
      </c>
      <c r="EK231" s="6">
        <f>SUMIF('Eredeti fejléccel'!$B:$B,'Felosztás eredménykim'!$B231,'Eredeti fejléccel'!$CE:$CE)</f>
        <v>0</v>
      </c>
      <c r="EN231" s="6">
        <f>SUMIF('Eredeti fejléccel'!$B:$B,'Felosztás eredménykim'!$B231,'Eredeti fejléccel'!$CF:$CF)</f>
        <v>0</v>
      </c>
      <c r="EP231" s="6">
        <f>SUMIF('Eredeti fejléccel'!$B:$B,'Felosztás eredménykim'!$B231,'Eredeti fejléccel'!$CG:$CG)</f>
        <v>0</v>
      </c>
      <c r="ES231" s="6">
        <f>SUMIF('Eredeti fejléccel'!$B:$B,'Felosztás eredménykim'!$B231,'Eredeti fejléccel'!$CH:$CH)</f>
        <v>0</v>
      </c>
      <c r="ET231" s="6">
        <f>SUMIF('Eredeti fejléccel'!$B:$B,'Felosztás eredménykim'!$B231,'Eredeti fejléccel'!$CI:$CI)</f>
        <v>0</v>
      </c>
      <c r="EW231" s="8">
        <f t="shared" si="535"/>
        <v>0</v>
      </c>
      <c r="EX231" s="8">
        <f t="shared" si="527"/>
        <v>0</v>
      </c>
      <c r="EY231" s="8">
        <f t="shared" si="416"/>
        <v>0</v>
      </c>
      <c r="EZ231" s="8">
        <f t="shared" si="536"/>
        <v>0</v>
      </c>
      <c r="FA231" s="8">
        <f t="shared" si="537"/>
        <v>0</v>
      </c>
      <c r="FC231" s="6">
        <f>SUMIF('Eredeti fejléccel'!$B:$B,'Felosztás eredménykim'!$B231,'Eredeti fejléccel'!$L:$L)</f>
        <v>0</v>
      </c>
      <c r="FD231" s="6">
        <f>SUMIF('Eredeti fejléccel'!$B:$B,'Felosztás eredménykim'!$B231,'Eredeti fejléccel'!$CJ:$CJ)</f>
        <v>0</v>
      </c>
      <c r="FE231" s="6">
        <f>SUMIF('Eredeti fejléccel'!$B:$B,'Felosztás eredménykim'!$B231,'Eredeti fejléccel'!$CL:$CL)</f>
        <v>0</v>
      </c>
      <c r="FG231" s="99">
        <f t="shared" si="528"/>
        <v>0</v>
      </c>
      <c r="FH231" s="6">
        <f>SUMIF('Eredeti fejléccel'!$B:$B,'Felosztás eredménykim'!$B231,'Eredeti fejléccel'!$CK:$CK)</f>
        <v>0</v>
      </c>
      <c r="FI231" s="36">
        <f t="shared" si="477"/>
        <v>0</v>
      </c>
      <c r="FJ231" s="101">
        <f t="shared" si="408"/>
        <v>0</v>
      </c>
      <c r="FK231" s="6">
        <f>SUMIF('Eredeti fejléccel'!$B:$B,'Felosztás eredménykim'!$B231,'Eredeti fejléccel'!$CM:$CM)</f>
        <v>0</v>
      </c>
      <c r="FL231" s="6">
        <f>SUMIF('Eredeti fejléccel'!$B:$B,'Felosztás eredménykim'!$B231,'Eredeti fejléccel'!$CN:$CN)</f>
        <v>0</v>
      </c>
      <c r="FM231" s="8">
        <f t="shared" si="529"/>
        <v>0</v>
      </c>
      <c r="FN231" s="36">
        <f t="shared" si="478"/>
        <v>0</v>
      </c>
      <c r="FO231" s="101">
        <f t="shared" si="409"/>
        <v>0</v>
      </c>
      <c r="FP231" s="6">
        <f>SUMIF('Eredeti fejléccel'!$B:$B,'Felosztás eredménykim'!$B231,'Eredeti fejléccel'!$CO:$CO)</f>
        <v>0</v>
      </c>
      <c r="FQ231" s="6">
        <f>'Eredeti fejléccel'!CP231</f>
        <v>0</v>
      </c>
      <c r="FR231" s="6">
        <f>'Eredeti fejléccel'!CQ231</f>
        <v>0</v>
      </c>
      <c r="FS231" s="103">
        <f t="shared" si="417"/>
        <v>0</v>
      </c>
      <c r="FT231" s="36">
        <f t="shared" si="479"/>
        <v>0</v>
      </c>
      <c r="FU231" s="101">
        <f t="shared" si="410"/>
        <v>0</v>
      </c>
      <c r="FV231" s="101"/>
      <c r="FW231" s="6">
        <f>SUMIF('Eredeti fejléccel'!$B:$B,'Felosztás eredménykim'!$B231,'Eredeti fejléccel'!$CR:$CR)</f>
        <v>0</v>
      </c>
      <c r="FX231" s="6">
        <f>SUMIF('Eredeti fejléccel'!$B:$B,'Felosztás eredménykim'!$B231,'Eredeti fejléccel'!$CS:$CS)</f>
        <v>0</v>
      </c>
      <c r="FY231" s="6">
        <f>SUMIF('Eredeti fejléccel'!$B:$B,'Felosztás eredménykim'!$B231,'Eredeti fejléccel'!$CT:$CT)</f>
        <v>0</v>
      </c>
      <c r="FZ231" s="6">
        <f>SUMIF('Eredeti fejléccel'!$B:$B,'Felosztás eredménykim'!$B231,'Eredeti fejléccel'!$CU:$CU)</f>
        <v>0</v>
      </c>
      <c r="GA231" s="103">
        <f t="shared" si="530"/>
        <v>0</v>
      </c>
      <c r="GB231" s="36">
        <f t="shared" si="480"/>
        <v>0</v>
      </c>
      <c r="GC231" s="101">
        <f t="shared" si="411"/>
        <v>0</v>
      </c>
      <c r="GD231" s="6">
        <f>SUMIF('Eredeti fejléccel'!$B:$B,'Felosztás eredménykim'!$B231,'Eredeti fejléccel'!$CV:$CV)</f>
        <v>0</v>
      </c>
      <c r="GE231" s="6">
        <f>SUMIF('Eredeti fejléccel'!$B:$B,'Felosztás eredménykim'!$B231,'Eredeti fejléccel'!$CW:$CW)</f>
        <v>0</v>
      </c>
      <c r="GF231" s="103">
        <f t="shared" si="531"/>
        <v>0</v>
      </c>
      <c r="GG231" s="36">
        <f t="shared" si="412"/>
        <v>0</v>
      </c>
      <c r="GM231" s="6">
        <f>SUMIF('Eredeti fejléccel'!$B:$B,'Felosztás eredménykim'!$B231,'Eredeti fejléccel'!$CX:$CX)</f>
        <v>0</v>
      </c>
      <c r="GN231" s="6">
        <f>SUMIF('Eredeti fejléccel'!$B:$B,'Felosztás eredménykim'!$B231,'Eredeti fejléccel'!$CY:$CY)</f>
        <v>0</v>
      </c>
      <c r="GO231" s="6">
        <f>SUMIF('Eredeti fejléccel'!$B:$B,'Felosztás eredménykim'!$B231,'Eredeti fejléccel'!$CZ:$CZ)</f>
        <v>0</v>
      </c>
      <c r="GP231" s="6">
        <f>SUMIF('Eredeti fejléccel'!$B:$B,'Felosztás eredménykim'!$B231,'Eredeti fejléccel'!$DA:$DA)</f>
        <v>0</v>
      </c>
      <c r="GQ231" s="6">
        <f>SUMIF('Eredeti fejléccel'!$B:$B,'Felosztás eredménykim'!$B231,'Eredeti fejléccel'!$DB:$DB)</f>
        <v>0</v>
      </c>
      <c r="GR231" s="103">
        <f t="shared" si="532"/>
        <v>0</v>
      </c>
      <c r="GW231" s="36">
        <f t="shared" si="413"/>
        <v>0</v>
      </c>
      <c r="GX231" s="6">
        <f>SUMIF('Eredeti fejléccel'!$B:$B,'Felosztás eredménykim'!$B231,'Eredeti fejléccel'!$M:$M)</f>
        <v>0</v>
      </c>
      <c r="GY231" s="6">
        <f>SUMIF('Eredeti fejléccel'!$B:$B,'Felosztás eredménykim'!$B231,'Eredeti fejléccel'!$DC:$DC)</f>
        <v>0</v>
      </c>
      <c r="GZ231" s="6">
        <f>SUMIF('Eredeti fejléccel'!$B:$B,'Felosztás eredménykim'!$B231,'Eredeti fejléccel'!$DD:$DD)</f>
        <v>0</v>
      </c>
      <c r="HA231" s="6">
        <f>SUMIF('Eredeti fejléccel'!$B:$B,'Felosztás eredménykim'!$B231,'Eredeti fejléccel'!$DE:$DE)</f>
        <v>0</v>
      </c>
      <c r="HB231" s="103">
        <f t="shared" si="533"/>
        <v>0</v>
      </c>
      <c r="HD231" s="9">
        <f t="shared" si="429"/>
        <v>-1330000</v>
      </c>
      <c r="HE231" s="9">
        <v>-1330000</v>
      </c>
      <c r="HF231" s="476"/>
      <c r="HH231" s="34">
        <f t="shared" si="534"/>
        <v>0</v>
      </c>
    </row>
    <row r="232" spans="1:218" x14ac:dyDescent="0.25">
      <c r="A232" s="4" t="s">
        <v>311</v>
      </c>
      <c r="B232" s="4" t="s">
        <v>311</v>
      </c>
      <c r="C232" s="1" t="s">
        <v>312</v>
      </c>
      <c r="D232" s="6">
        <f>SUMIF('Eredeti fejléccel'!$B:$B,'Felosztás eredménykim'!$B232,'Eredeti fejléccel'!$D:$D)</f>
        <v>0</v>
      </c>
      <c r="E232" s="6">
        <f>SUMIF('Eredeti fejléccel'!$B:$B,'Felosztás eredménykim'!$B232,'Eredeti fejléccel'!$E:$E)</f>
        <v>0</v>
      </c>
      <c r="F232" s="6">
        <f>SUMIF('Eredeti fejléccel'!$B:$B,'Felosztás eredménykim'!$B232,'Eredeti fejléccel'!$F:$F)</f>
        <v>0</v>
      </c>
      <c r="G232" s="6">
        <f>SUMIF('Eredeti fejléccel'!$B:$B,'Felosztás eredménykim'!$B232,'Eredeti fejléccel'!$G:$G)</f>
        <v>0</v>
      </c>
      <c r="H232" s="6"/>
      <c r="I232" s="6">
        <f>SUMIF('Eredeti fejléccel'!$B:$B,'Felosztás eredménykim'!$B232,'Eredeti fejléccel'!$O:$O)</f>
        <v>0</v>
      </c>
      <c r="J232" s="6">
        <f>SUMIF('Eredeti fejléccel'!$B:$B,'Felosztás eredménykim'!$B232,'Eredeti fejléccel'!$P:$P)</f>
        <v>0</v>
      </c>
      <c r="K232" s="6">
        <f>SUMIF('Eredeti fejléccel'!$B:$B,'Felosztás eredménykim'!$B232,'Eredeti fejléccel'!$Q:$Q)</f>
        <v>0</v>
      </c>
      <c r="L232" s="6">
        <f>SUMIF('Eredeti fejléccel'!$B:$B,'Felosztás eredménykim'!$B232,'Eredeti fejléccel'!$R:$R)</f>
        <v>0</v>
      </c>
      <c r="M232" s="6">
        <f>SUMIF('Eredeti fejléccel'!$B:$B,'Felosztás eredménykim'!$B232,'Eredeti fejléccel'!$T:$T)</f>
        <v>0</v>
      </c>
      <c r="N232" s="6">
        <f>SUMIF('Eredeti fejléccel'!$B:$B,'Felosztás eredménykim'!$B232,'Eredeti fejléccel'!$U:$U)</f>
        <v>0</v>
      </c>
      <c r="O232" s="6">
        <f>SUMIF('Eredeti fejléccel'!$B:$B,'Felosztás eredménykim'!$B232,'Eredeti fejléccel'!$V:$V)</f>
        <v>0</v>
      </c>
      <c r="P232" s="6">
        <f>SUMIF('Eredeti fejléccel'!$B:$B,'Felosztás eredménykim'!$B232,'Eredeti fejléccel'!$W:$W)</f>
        <v>0</v>
      </c>
      <c r="Q232" s="6">
        <f>SUMIF('Eredeti fejléccel'!$B:$B,'Felosztás eredménykim'!$B232,'Eredeti fejléccel'!$X:$X)</f>
        <v>0</v>
      </c>
      <c r="R232" s="6">
        <f>SUMIF('Eredeti fejléccel'!$B:$B,'Felosztás eredménykim'!$B232,'Eredeti fejléccel'!$Y:$Y)</f>
        <v>0</v>
      </c>
      <c r="S232" s="6">
        <f>SUMIF('Eredeti fejléccel'!$B:$B,'Felosztás eredménykim'!$B232,'Eredeti fejléccel'!$Z:$Z)</f>
        <v>0</v>
      </c>
      <c r="T232" s="6">
        <f>SUMIF('Eredeti fejléccel'!$B:$B,'Felosztás eredménykim'!$B232,'Eredeti fejléccel'!$AA:$AA)</f>
        <v>0</v>
      </c>
      <c r="U232" s="6">
        <f>SUMIF('Eredeti fejléccel'!$B:$B,'Felosztás eredménykim'!$B232,'Eredeti fejléccel'!$D:$D)</f>
        <v>0</v>
      </c>
      <c r="V232" s="6">
        <f>SUMIF('Eredeti fejléccel'!$B:$B,'Felosztás eredménykim'!$B232,'Eredeti fejléccel'!$AT:$AT)</f>
        <v>0</v>
      </c>
      <c r="X232" s="36">
        <f t="shared" si="414"/>
        <v>0</v>
      </c>
      <c r="Z232" s="6">
        <f>SUMIF('Eredeti fejléccel'!$B:$B,'Felosztás eredménykim'!$B232,'Eredeti fejléccel'!$K:$K)</f>
        <v>0</v>
      </c>
      <c r="AB232" s="6">
        <f>SUMIF('Eredeti fejléccel'!$B:$B,'Felosztás eredménykim'!$B232,'Eredeti fejléccel'!$AB:$AB)</f>
        <v>0</v>
      </c>
      <c r="AC232" s="6">
        <f>SUMIF('Eredeti fejléccel'!$B:$B,'Felosztás eredménykim'!$B232,'Eredeti fejléccel'!$AQ:$AQ)</f>
        <v>0</v>
      </c>
      <c r="AE232" s="73">
        <f t="shared" si="299"/>
        <v>0</v>
      </c>
      <c r="AF232" s="36">
        <f t="shared" si="470"/>
        <v>0</v>
      </c>
      <c r="AG232" s="8">
        <f t="shared" si="399"/>
        <v>0</v>
      </c>
      <c r="AI232" s="6">
        <f>SUMIF('Eredeti fejléccel'!$B:$B,'Felosztás eredménykim'!$B232,'Eredeti fejléccel'!$BB:$BB)</f>
        <v>0</v>
      </c>
      <c r="AJ232" s="6">
        <f>SUMIF('Eredeti fejléccel'!$B:$B,'Felosztás eredménykim'!$B232,'Eredeti fejléccel'!$AF:$AF)</f>
        <v>0</v>
      </c>
      <c r="AK232" s="8">
        <f t="shared" si="522"/>
        <v>0</v>
      </c>
      <c r="AL232" s="36">
        <f t="shared" si="471"/>
        <v>0</v>
      </c>
      <c r="AM232" s="8">
        <f t="shared" si="400"/>
        <v>0</v>
      </c>
      <c r="AN232" s="6">
        <f t="shared" ref="AN232:AN280" si="538">-AO232/2</f>
        <v>0</v>
      </c>
      <c r="AO232" s="6">
        <f>SUMIF('Eredeti fejléccel'!$B:$B,'Felosztás eredménykim'!$B232,'Eredeti fejléccel'!$AC:$AC)</f>
        <v>0</v>
      </c>
      <c r="AP232" s="6">
        <f>SUMIF('Eredeti fejléccel'!$B:$B,'Felosztás eredménykim'!$B232,'Eredeti fejléccel'!$AD:$AD)</f>
        <v>0</v>
      </c>
      <c r="AQ232" s="6">
        <f>SUMIF('Eredeti fejléccel'!$B:$B,'Felosztás eredménykim'!$B232,'Eredeti fejléccel'!$AE:$AE)</f>
        <v>0</v>
      </c>
      <c r="AR232" s="6">
        <f>SUMIF('Eredeti fejléccel'!$B:$B,'Felosztás eredménykim'!$B232,'Eredeti fejléccel'!$AG:$AG)</f>
        <v>0</v>
      </c>
      <c r="AS232" s="6">
        <f t="shared" ref="AS232:AS280" si="539">SUM(AM232:AR232)</f>
        <v>0</v>
      </c>
      <c r="AT232" s="36">
        <f t="shared" si="472"/>
        <v>0</v>
      </c>
      <c r="AU232" s="8">
        <f t="shared" si="401"/>
        <v>0</v>
      </c>
      <c r="AV232" s="6">
        <f>SUMIF('Eredeti fejléccel'!$B:$B,'Felosztás eredménykim'!$B232,'Eredeti fejléccel'!$AI:$AI)</f>
        <v>0</v>
      </c>
      <c r="AW232" s="6">
        <f>SUMIF('Eredeti fejléccel'!$B:$B,'Felosztás eredménykim'!$B232,'Eredeti fejléccel'!$AJ:$AJ)</f>
        <v>0</v>
      </c>
      <c r="AX232" s="6">
        <f>SUMIF('Eredeti fejléccel'!$B:$B,'Felosztás eredménykim'!$B232,'Eredeti fejléccel'!$AK:$AK)</f>
        <v>0</v>
      </c>
      <c r="AY232" s="6">
        <f>SUMIF('Eredeti fejléccel'!$B:$B,'Felosztás eredménykim'!$B232,'Eredeti fejléccel'!$AL:$AL)</f>
        <v>0</v>
      </c>
      <c r="AZ232" s="6">
        <f>SUMIF('Eredeti fejléccel'!$B:$B,'Felosztás eredménykim'!$B232,'Eredeti fejléccel'!$AM:$AM)</f>
        <v>0</v>
      </c>
      <c r="BA232" s="6">
        <f>SUMIF('Eredeti fejléccel'!$B:$B,'Felosztás eredménykim'!$B232,'Eredeti fejléccel'!$AN:$AN)</f>
        <v>0</v>
      </c>
      <c r="BB232" s="6">
        <f>SUMIF('Eredeti fejléccel'!$B:$B,'Felosztás eredménykim'!$B232,'Eredeti fejléccel'!$AP:$AP)</f>
        <v>0</v>
      </c>
      <c r="BD232" s="6">
        <f>SUMIF('Eredeti fejléccel'!$B:$B,'Felosztás eredménykim'!$B232,'Eredeti fejléccel'!$AS:$AS)</f>
        <v>0</v>
      </c>
      <c r="BE232" s="8">
        <f t="shared" si="523"/>
        <v>0</v>
      </c>
      <c r="BF232" s="36">
        <f t="shared" si="473"/>
        <v>0</v>
      </c>
      <c r="BG232" s="8">
        <f t="shared" si="402"/>
        <v>0</v>
      </c>
      <c r="BH232" s="6">
        <f t="shared" ref="BH232:BH280" si="540">AO232/2</f>
        <v>0</v>
      </c>
      <c r="BI232" s="6">
        <f>SUMIF('Eredeti fejléccel'!$B:$B,'Felosztás eredménykim'!$B232,'Eredeti fejléccel'!$AH:$AH)</f>
        <v>0</v>
      </c>
      <c r="BJ232" s="6">
        <f>SUMIF('Eredeti fejléccel'!$B:$B,'Felosztás eredménykim'!$B232,'Eredeti fejléccel'!$AO:$AO)</f>
        <v>0</v>
      </c>
      <c r="BK232" s="6">
        <f>SUMIF('Eredeti fejléccel'!$B:$B,'Felosztás eredménykim'!$B232,'Eredeti fejléccel'!$BF:$BF)</f>
        <v>0</v>
      </c>
      <c r="BL232" s="8">
        <f t="shared" ref="BL232:BL280" si="541">SUM(BG232:BK232)</f>
        <v>0</v>
      </c>
      <c r="BM232" s="36">
        <f t="shared" si="474"/>
        <v>0</v>
      </c>
      <c r="BN232" s="8">
        <f t="shared" si="403"/>
        <v>0</v>
      </c>
      <c r="BP232" s="8">
        <f t="shared" ref="BP232:BP280" si="542">-FV232</f>
        <v>0</v>
      </c>
      <c r="BQ232" s="6">
        <f>SUMIF('Eredeti fejléccel'!$B:$B,'Felosztás eredménykim'!$B232,'Eredeti fejléccel'!$N:$N)</f>
        <v>0</v>
      </c>
      <c r="BR232" s="6">
        <f>SUMIF('Eredeti fejléccel'!$B:$B,'Felosztás eredménykim'!$B232,'Eredeti fejléccel'!$S:$S)</f>
        <v>0</v>
      </c>
      <c r="BT232" s="6">
        <f>SUMIF('Eredeti fejléccel'!$B:$B,'Felosztás eredménykim'!$B232,'Eredeti fejléccel'!$AR:$AR)</f>
        <v>0</v>
      </c>
      <c r="BU232" s="6">
        <f>SUMIF('Eredeti fejléccel'!$B:$B,'Felosztás eredménykim'!$B232,'Eredeti fejléccel'!$AU:$AU)</f>
        <v>0</v>
      </c>
      <c r="BV232" s="6">
        <f>SUMIF('Eredeti fejléccel'!$B:$B,'Felosztás eredménykim'!$B232,'Eredeti fejléccel'!$AV:$AV)</f>
        <v>0</v>
      </c>
      <c r="BW232" s="6">
        <f>SUMIF('Eredeti fejléccel'!$B:$B,'Felosztás eredménykim'!$B232,'Eredeti fejléccel'!$AW:$AW)</f>
        <v>0</v>
      </c>
      <c r="BX232" s="6">
        <f>SUMIF('Eredeti fejléccel'!$B:$B,'Felosztás eredménykim'!$B232,'Eredeti fejléccel'!$AX:$AX)</f>
        <v>0</v>
      </c>
      <c r="BY232" s="6">
        <f>SUMIF('Eredeti fejléccel'!$B:$B,'Felosztás eredménykim'!$B232,'Eredeti fejléccel'!$AY:$AY)</f>
        <v>0</v>
      </c>
      <c r="BZ232" s="6">
        <f>SUMIF('Eredeti fejléccel'!$B:$B,'Felosztás eredménykim'!$B232,'Eredeti fejléccel'!$AZ:$AZ)</f>
        <v>0</v>
      </c>
      <c r="CA232" s="6">
        <f>SUMIF('Eredeti fejléccel'!$B:$B,'Felosztás eredménykim'!$B232,'Eredeti fejléccel'!$BA:$BA)</f>
        <v>0</v>
      </c>
      <c r="CB232" s="6">
        <f t="shared" si="481"/>
        <v>0</v>
      </c>
      <c r="CC232" s="36">
        <f t="shared" si="475"/>
        <v>0</v>
      </c>
      <c r="CD232" s="8">
        <f t="shared" si="404"/>
        <v>0</v>
      </c>
      <c r="CE232" s="6">
        <f>SUMIF('Eredeti fejléccel'!$B:$B,'Felosztás eredménykim'!$B232,'Eredeti fejléccel'!$BC:$BC)</f>
        <v>0</v>
      </c>
      <c r="CF232" s="8">
        <f t="shared" si="300"/>
        <v>0</v>
      </c>
      <c r="CG232" s="6">
        <f>SUMIF('Eredeti fejléccel'!$B:$B,'Felosztás eredménykim'!$B232,'Eredeti fejléccel'!$H:$H)</f>
        <v>0</v>
      </c>
      <c r="CH232" s="6">
        <f>SUMIF('Eredeti fejléccel'!$B:$B,'Felosztás eredménykim'!$B232,'Eredeti fejléccel'!$BE:$BE)</f>
        <v>0</v>
      </c>
      <c r="CI232" s="6">
        <f t="shared" si="524"/>
        <v>0</v>
      </c>
      <c r="CJ232" s="36">
        <f t="shared" si="476"/>
        <v>0</v>
      </c>
      <c r="CK232" s="8">
        <f t="shared" si="405"/>
        <v>0</v>
      </c>
      <c r="CL232" s="8">
        <f t="shared" si="301"/>
        <v>0</v>
      </c>
      <c r="CM232" s="6">
        <f>SUMIF('Eredeti fejléccel'!$B:$B,'Felosztás eredménykim'!$B232,'Eredeti fejléccel'!$BD:$BD)</f>
        <v>-697263</v>
      </c>
      <c r="CN232" s="8">
        <f t="shared" si="525"/>
        <v>-697263</v>
      </c>
      <c r="CO232" s="8">
        <f t="shared" si="482"/>
        <v>-697263</v>
      </c>
      <c r="CR232" s="36">
        <f t="shared" si="406"/>
        <v>0</v>
      </c>
      <c r="CS232" s="6">
        <f>SUMIF('Eredeti fejléccel'!$B:$B,'Felosztás eredménykim'!$B232,'Eredeti fejléccel'!$I:$I)</f>
        <v>0</v>
      </c>
      <c r="CT232" s="6">
        <f>SUMIF('Eredeti fejléccel'!$B:$B,'Felosztás eredménykim'!$B232,'Eredeti fejléccel'!$BG:$BG)</f>
        <v>0</v>
      </c>
      <c r="CU232" s="6">
        <f>SUMIF('Eredeti fejléccel'!$B:$B,'Felosztás eredménykim'!$B232,'Eredeti fejléccel'!$BH:$BH)</f>
        <v>0</v>
      </c>
      <c r="CV232" s="6">
        <f>SUMIF('Eredeti fejléccel'!$B:$B,'Felosztás eredménykim'!$B232,'Eredeti fejléccel'!$BI:$BI)</f>
        <v>0</v>
      </c>
      <c r="CW232" s="6">
        <f>SUMIF('Eredeti fejléccel'!$B:$B,'Felosztás eredménykim'!$B232,'Eredeti fejléccel'!$BL:$BL)</f>
        <v>0</v>
      </c>
      <c r="CX232" s="6">
        <f t="shared" si="526"/>
        <v>0</v>
      </c>
      <c r="CY232" s="6">
        <f>SUMIF('Eredeti fejléccel'!$B:$B,'Felosztás eredménykim'!$B232,'Eredeti fejléccel'!$BJ:$BJ)</f>
        <v>0</v>
      </c>
      <c r="CZ232" s="6">
        <f>SUMIF('Eredeti fejléccel'!$B:$B,'Felosztás eredménykim'!$B232,'Eredeti fejléccel'!$BK:$BK)</f>
        <v>0</v>
      </c>
      <c r="DA232" s="99">
        <f t="shared" si="415"/>
        <v>0</v>
      </c>
      <c r="DC232" s="36">
        <f t="shared" si="407"/>
        <v>0</v>
      </c>
      <c r="DD232" s="6">
        <f>SUMIF('Eredeti fejléccel'!$B:$B,'Felosztás eredménykim'!$B232,'Eredeti fejléccel'!$J:$J)</f>
        <v>0</v>
      </c>
      <c r="DE232" s="6">
        <f>SUMIF('Eredeti fejléccel'!$B:$B,'Felosztás eredménykim'!$B232,'Eredeti fejléccel'!$BM:$BM)</f>
        <v>0</v>
      </c>
      <c r="DF232" s="6">
        <f t="shared" ref="DF232:DF280" si="543">-DI232</f>
        <v>0</v>
      </c>
      <c r="DG232" s="8">
        <f t="shared" si="483"/>
        <v>0</v>
      </c>
      <c r="DH232" s="8">
        <f t="shared" ref="DH232:DH280" si="544">SUM(DD232:DG232)</f>
        <v>0</v>
      </c>
      <c r="DJ232" s="6">
        <f>SUMIF('Eredeti fejléccel'!$B:$B,'Felosztás eredménykim'!$B232,'Eredeti fejléccel'!$BN:$BN)</f>
        <v>0</v>
      </c>
      <c r="DK232" s="6">
        <f>SUMIF('Eredeti fejléccel'!$B:$B,'Felosztás eredménykim'!$B232,'Eredeti fejléccel'!$BZ:$BZ)</f>
        <v>0</v>
      </c>
      <c r="DL232" s="8">
        <f t="shared" ref="DL232:DL280" si="545">SUM(DI232:DK232)</f>
        <v>0</v>
      </c>
      <c r="DM232" s="6">
        <f>SUMIF('Eredeti fejléccel'!$B:$B,'Felosztás eredménykim'!$B232,'Eredeti fejléccel'!$BR:$BR)</f>
        <v>0</v>
      </c>
      <c r="DN232" s="6">
        <f>SUMIF('Eredeti fejléccel'!$B:$B,'Felosztás eredménykim'!$B232,'Eredeti fejléccel'!$BS:$BS)</f>
        <v>0</v>
      </c>
      <c r="DO232" s="6">
        <f>SUMIF('Eredeti fejléccel'!$B:$B,'Felosztás eredménykim'!$B232,'Eredeti fejléccel'!$BO:$BO)</f>
        <v>0</v>
      </c>
      <c r="DP232" s="6">
        <f>SUMIF('Eredeti fejléccel'!$B:$B,'Felosztás eredménykim'!$B232,'Eredeti fejléccel'!$BP:$BP)</f>
        <v>0</v>
      </c>
      <c r="DQ232" s="6">
        <f>SUMIF('Eredeti fejléccel'!$B:$B,'Felosztás eredménykim'!$B232,'Eredeti fejléccel'!$BQ:$BQ)</f>
        <v>0</v>
      </c>
      <c r="DS232" s="8"/>
      <c r="DU232" s="6">
        <f>SUMIF('Eredeti fejléccel'!$B:$B,'Felosztás eredménykim'!$B232,'Eredeti fejléccel'!$BT:$BT)</f>
        <v>0</v>
      </c>
      <c r="DV232" s="6">
        <f>SUMIF('Eredeti fejléccel'!$B:$B,'Felosztás eredménykim'!$B232,'Eredeti fejléccel'!$BU:$BU)</f>
        <v>0</v>
      </c>
      <c r="DW232" s="6">
        <f>SUMIF('Eredeti fejléccel'!$B:$B,'Felosztás eredménykim'!$B232,'Eredeti fejléccel'!$BV:$BV)</f>
        <v>0</v>
      </c>
      <c r="DX232" s="6">
        <f>SUMIF('Eredeti fejléccel'!$B:$B,'Felosztás eredménykim'!$B232,'Eredeti fejléccel'!$BW:$BW)</f>
        <v>0</v>
      </c>
      <c r="DY232" s="6">
        <f>SUMIF('Eredeti fejléccel'!$B:$B,'Felosztás eredménykim'!$B232,'Eredeti fejléccel'!$BX:$BX)</f>
        <v>0</v>
      </c>
      <c r="EA232" s="6"/>
      <c r="EC232" s="6"/>
      <c r="EE232" s="6">
        <f>SUMIF('Eredeti fejléccel'!$B:$B,'Felosztás eredménykim'!$B232,'Eredeti fejléccel'!$CA:$CA)</f>
        <v>0</v>
      </c>
      <c r="EF232" s="6">
        <f>SUMIF('Eredeti fejléccel'!$B:$B,'Felosztás eredménykim'!$B232,'Eredeti fejléccel'!$CB:$CB)</f>
        <v>0</v>
      </c>
      <c r="EG232" s="6">
        <f>SUMIF('Eredeti fejléccel'!$B:$B,'Felosztás eredménykim'!$B232,'Eredeti fejléccel'!$CC:$CC)</f>
        <v>0</v>
      </c>
      <c r="EH232" s="6">
        <f>SUMIF('Eredeti fejléccel'!$B:$B,'Felosztás eredménykim'!$B232,'Eredeti fejléccel'!$CD:$CD)</f>
        <v>0</v>
      </c>
      <c r="EK232" s="6">
        <f>SUMIF('Eredeti fejléccel'!$B:$B,'Felosztás eredménykim'!$B232,'Eredeti fejléccel'!$CE:$CE)</f>
        <v>0</v>
      </c>
      <c r="EN232" s="6">
        <f>SUMIF('Eredeti fejléccel'!$B:$B,'Felosztás eredménykim'!$B232,'Eredeti fejléccel'!$CF:$CF)</f>
        <v>0</v>
      </c>
      <c r="EP232" s="6">
        <f>SUMIF('Eredeti fejléccel'!$B:$B,'Felosztás eredménykim'!$B232,'Eredeti fejléccel'!$CG:$CG)</f>
        <v>0</v>
      </c>
      <c r="ES232" s="6">
        <f>SUMIF('Eredeti fejléccel'!$B:$B,'Felosztás eredménykim'!$B232,'Eredeti fejléccel'!$CH:$CH)</f>
        <v>0</v>
      </c>
      <c r="ET232" s="6">
        <f>SUMIF('Eredeti fejléccel'!$B:$B,'Felosztás eredménykim'!$B232,'Eredeti fejléccel'!$CI:$CI)</f>
        <v>0</v>
      </c>
      <c r="EW232" s="8">
        <f t="shared" si="535"/>
        <v>0</v>
      </c>
      <c r="EX232" s="8">
        <f t="shared" si="527"/>
        <v>0</v>
      </c>
      <c r="EY232" s="8">
        <f t="shared" si="416"/>
        <v>0</v>
      </c>
      <c r="EZ232" s="8">
        <f t="shared" si="536"/>
        <v>0</v>
      </c>
      <c r="FA232" s="8">
        <f t="shared" si="537"/>
        <v>0</v>
      </c>
      <c r="FC232" s="6">
        <f>SUMIF('Eredeti fejléccel'!$B:$B,'Felosztás eredménykim'!$B232,'Eredeti fejléccel'!$L:$L)</f>
        <v>0</v>
      </c>
      <c r="FD232" s="6">
        <f>SUMIF('Eredeti fejléccel'!$B:$B,'Felosztás eredménykim'!$B232,'Eredeti fejléccel'!$CJ:$CJ)</f>
        <v>0</v>
      </c>
      <c r="FE232" s="6">
        <f>SUMIF('Eredeti fejléccel'!$B:$B,'Felosztás eredménykim'!$B232,'Eredeti fejléccel'!$CL:$CL)</f>
        <v>0</v>
      </c>
      <c r="FG232" s="99">
        <f t="shared" si="528"/>
        <v>0</v>
      </c>
      <c r="FH232" s="6">
        <f>SUMIF('Eredeti fejléccel'!$B:$B,'Felosztás eredménykim'!$B232,'Eredeti fejléccel'!$CK:$CK)</f>
        <v>0</v>
      </c>
      <c r="FI232" s="36">
        <f t="shared" si="477"/>
        <v>0</v>
      </c>
      <c r="FJ232" s="101">
        <f t="shared" si="408"/>
        <v>0</v>
      </c>
      <c r="FK232" s="6">
        <f>SUMIF('Eredeti fejléccel'!$B:$B,'Felosztás eredménykim'!$B232,'Eredeti fejléccel'!$CM:$CM)</f>
        <v>0</v>
      </c>
      <c r="FL232" s="6">
        <f>SUMIF('Eredeti fejléccel'!$B:$B,'Felosztás eredménykim'!$B232,'Eredeti fejléccel'!$CN:$CN)</f>
        <v>0</v>
      </c>
      <c r="FM232" s="8">
        <f t="shared" si="529"/>
        <v>0</v>
      </c>
      <c r="FN232" s="36">
        <f t="shared" si="478"/>
        <v>0</v>
      </c>
      <c r="FO232" s="101">
        <f t="shared" si="409"/>
        <v>0</v>
      </c>
      <c r="FP232" s="6">
        <f>SUMIF('Eredeti fejléccel'!$B:$B,'Felosztás eredménykim'!$B232,'Eredeti fejléccel'!$CO:$CO)</f>
        <v>0</v>
      </c>
      <c r="FQ232" s="6">
        <f>'Eredeti fejléccel'!CP232</f>
        <v>0</v>
      </c>
      <c r="FR232" s="6">
        <f>'Eredeti fejléccel'!CQ232</f>
        <v>0</v>
      </c>
      <c r="FS232" s="103">
        <f t="shared" si="417"/>
        <v>0</v>
      </c>
      <c r="FT232" s="36">
        <f t="shared" si="479"/>
        <v>0</v>
      </c>
      <c r="FU232" s="101">
        <f t="shared" si="410"/>
        <v>0</v>
      </c>
      <c r="FV232" s="101"/>
      <c r="FW232" s="6">
        <f>SUMIF('Eredeti fejléccel'!$B:$B,'Felosztás eredménykim'!$B232,'Eredeti fejléccel'!$CR:$CR)</f>
        <v>0</v>
      </c>
      <c r="FX232" s="6">
        <f>SUMIF('Eredeti fejléccel'!$B:$B,'Felosztás eredménykim'!$B232,'Eredeti fejléccel'!$CS:$CS)</f>
        <v>0</v>
      </c>
      <c r="FY232" s="6">
        <f>SUMIF('Eredeti fejléccel'!$B:$B,'Felosztás eredménykim'!$B232,'Eredeti fejléccel'!$CT:$CT)</f>
        <v>0</v>
      </c>
      <c r="FZ232" s="6">
        <f>SUMIF('Eredeti fejléccel'!$B:$B,'Felosztás eredménykim'!$B232,'Eredeti fejléccel'!$CU:$CU)</f>
        <v>0</v>
      </c>
      <c r="GA232" s="103">
        <f t="shared" si="530"/>
        <v>0</v>
      </c>
      <c r="GB232" s="36">
        <f t="shared" si="480"/>
        <v>0</v>
      </c>
      <c r="GC232" s="101">
        <f t="shared" si="411"/>
        <v>0</v>
      </c>
      <c r="GD232" s="6">
        <f>SUMIF('Eredeti fejléccel'!$B:$B,'Felosztás eredménykim'!$B232,'Eredeti fejléccel'!$CV:$CV)</f>
        <v>0</v>
      </c>
      <c r="GE232" s="6">
        <f>SUMIF('Eredeti fejléccel'!$B:$B,'Felosztás eredménykim'!$B232,'Eredeti fejléccel'!$CW:$CW)</f>
        <v>0</v>
      </c>
      <c r="GF232" s="103">
        <f t="shared" si="531"/>
        <v>0</v>
      </c>
      <c r="GG232" s="36">
        <f t="shared" si="412"/>
        <v>0</v>
      </c>
      <c r="GM232" s="6">
        <f>SUMIF('Eredeti fejléccel'!$B:$B,'Felosztás eredménykim'!$B232,'Eredeti fejléccel'!$CX:$CX)</f>
        <v>0</v>
      </c>
      <c r="GN232" s="6">
        <f>SUMIF('Eredeti fejléccel'!$B:$B,'Felosztás eredménykim'!$B232,'Eredeti fejléccel'!$CY:$CY)</f>
        <v>0</v>
      </c>
      <c r="GO232" s="6">
        <f>SUMIF('Eredeti fejléccel'!$B:$B,'Felosztás eredménykim'!$B232,'Eredeti fejléccel'!$CZ:$CZ)</f>
        <v>0</v>
      </c>
      <c r="GP232" s="6">
        <f>SUMIF('Eredeti fejléccel'!$B:$B,'Felosztás eredménykim'!$B232,'Eredeti fejléccel'!$DA:$DA)</f>
        <v>0</v>
      </c>
      <c r="GQ232" s="6">
        <f>SUMIF('Eredeti fejléccel'!$B:$B,'Felosztás eredménykim'!$B232,'Eredeti fejléccel'!$DB:$DB)</f>
        <v>0</v>
      </c>
      <c r="GR232" s="103">
        <f t="shared" si="532"/>
        <v>0</v>
      </c>
      <c r="GW232" s="36">
        <f t="shared" si="413"/>
        <v>0</v>
      </c>
      <c r="GX232" s="6">
        <f>SUMIF('Eredeti fejléccel'!$B:$B,'Felosztás eredménykim'!$B232,'Eredeti fejléccel'!$M:$M)</f>
        <v>0</v>
      </c>
      <c r="GY232" s="6">
        <f>SUMIF('Eredeti fejléccel'!$B:$B,'Felosztás eredménykim'!$B232,'Eredeti fejléccel'!$DC:$DC)</f>
        <v>0</v>
      </c>
      <c r="GZ232" s="6">
        <f>SUMIF('Eredeti fejléccel'!$B:$B,'Felosztás eredménykim'!$B232,'Eredeti fejléccel'!$DD:$DD)</f>
        <v>0</v>
      </c>
      <c r="HA232" s="6">
        <f>SUMIF('Eredeti fejléccel'!$B:$B,'Felosztás eredménykim'!$B232,'Eredeti fejléccel'!$DE:$DE)</f>
        <v>0</v>
      </c>
      <c r="HB232" s="103">
        <f t="shared" si="533"/>
        <v>0</v>
      </c>
      <c r="HD232" s="9">
        <f t="shared" si="429"/>
        <v>-697263</v>
      </c>
      <c r="HE232" s="9">
        <v>-697263</v>
      </c>
      <c r="HF232" s="476"/>
      <c r="HH232" s="34">
        <f t="shared" si="534"/>
        <v>0</v>
      </c>
    </row>
    <row r="233" spans="1:218" x14ac:dyDescent="0.25">
      <c r="A233" s="4" t="s">
        <v>313</v>
      </c>
      <c r="B233" s="4" t="s">
        <v>313</v>
      </c>
      <c r="C233" s="1" t="s">
        <v>314</v>
      </c>
      <c r="D233" s="6">
        <f>SUMIF('Eredeti fejléccel'!$B:$B,'Felosztás eredménykim'!$B233,'Eredeti fejléccel'!$D:$D)</f>
        <v>0</v>
      </c>
      <c r="E233" s="6">
        <f>SUMIF('Eredeti fejléccel'!$B:$B,'Felosztás eredménykim'!$B233,'Eredeti fejléccel'!$E:$E)</f>
        <v>0</v>
      </c>
      <c r="F233" s="6">
        <f>SUMIF('Eredeti fejléccel'!$B:$B,'Felosztás eredménykim'!$B233,'Eredeti fejléccel'!$F:$F)</f>
        <v>0</v>
      </c>
      <c r="G233" s="6">
        <f>SUMIF('Eredeti fejléccel'!$B:$B,'Felosztás eredménykim'!$B233,'Eredeti fejléccel'!$G:$G)</f>
        <v>0</v>
      </c>
      <c r="H233" s="6"/>
      <c r="I233" s="6">
        <f>SUMIF('Eredeti fejléccel'!$B:$B,'Felosztás eredménykim'!$B233,'Eredeti fejléccel'!$O:$O)</f>
        <v>0</v>
      </c>
      <c r="J233" s="6">
        <f>SUMIF('Eredeti fejléccel'!$B:$B,'Felosztás eredménykim'!$B233,'Eredeti fejléccel'!$P:$P)</f>
        <v>0</v>
      </c>
      <c r="K233" s="6">
        <f>SUMIF('Eredeti fejléccel'!$B:$B,'Felosztás eredménykim'!$B233,'Eredeti fejléccel'!$Q:$Q)</f>
        <v>0</v>
      </c>
      <c r="L233" s="6">
        <f>SUMIF('Eredeti fejléccel'!$B:$B,'Felosztás eredménykim'!$B233,'Eredeti fejléccel'!$R:$R)</f>
        <v>0</v>
      </c>
      <c r="M233" s="6">
        <f>SUMIF('Eredeti fejléccel'!$B:$B,'Felosztás eredménykim'!$B233,'Eredeti fejléccel'!$T:$T)</f>
        <v>0</v>
      </c>
      <c r="N233" s="6">
        <f>SUMIF('Eredeti fejléccel'!$B:$B,'Felosztás eredménykim'!$B233,'Eredeti fejléccel'!$U:$U)</f>
        <v>0</v>
      </c>
      <c r="O233" s="6">
        <f>SUMIF('Eredeti fejléccel'!$B:$B,'Felosztás eredménykim'!$B233,'Eredeti fejléccel'!$V:$V)</f>
        <v>0</v>
      </c>
      <c r="P233" s="6">
        <f>SUMIF('Eredeti fejléccel'!$B:$B,'Felosztás eredménykim'!$B233,'Eredeti fejléccel'!$W:$W)</f>
        <v>0</v>
      </c>
      <c r="Q233" s="6">
        <f>SUMIF('Eredeti fejléccel'!$B:$B,'Felosztás eredménykim'!$B233,'Eredeti fejléccel'!$X:$X)</f>
        <v>0</v>
      </c>
      <c r="R233" s="6">
        <f>SUMIF('Eredeti fejléccel'!$B:$B,'Felosztás eredménykim'!$B233,'Eredeti fejléccel'!$Y:$Y)</f>
        <v>0</v>
      </c>
      <c r="S233" s="6">
        <f>SUMIF('Eredeti fejléccel'!$B:$B,'Felosztás eredménykim'!$B233,'Eredeti fejléccel'!$Z:$Z)</f>
        <v>0</v>
      </c>
      <c r="T233" s="6">
        <f>SUMIF('Eredeti fejléccel'!$B:$B,'Felosztás eredménykim'!$B233,'Eredeti fejléccel'!$AA:$AA)</f>
        <v>0</v>
      </c>
      <c r="U233" s="6">
        <f>SUMIF('Eredeti fejléccel'!$B:$B,'Felosztás eredménykim'!$B233,'Eredeti fejléccel'!$D:$D)</f>
        <v>0</v>
      </c>
      <c r="V233" s="6">
        <f>SUMIF('Eredeti fejléccel'!$B:$B,'Felosztás eredménykim'!$B233,'Eredeti fejléccel'!$AT:$AT)</f>
        <v>0</v>
      </c>
      <c r="X233" s="36">
        <f t="shared" si="414"/>
        <v>0</v>
      </c>
      <c r="Z233" s="6">
        <f>SUMIF('Eredeti fejléccel'!$B:$B,'Felosztás eredménykim'!$B233,'Eredeti fejléccel'!$K:$K)+28389477-52327</f>
        <v>-68691783</v>
      </c>
      <c r="AB233" s="6">
        <f>SUMIF('Eredeti fejléccel'!$B:$B,'Felosztás eredménykim'!$B233,'Eredeti fejléccel'!$AB:$AB)</f>
        <v>0</v>
      </c>
      <c r="AC233" s="6">
        <f>SUMIF('Eredeti fejléccel'!$B:$B,'Felosztás eredménykim'!$B233,'Eredeti fejléccel'!$AQ:$AQ)</f>
        <v>0</v>
      </c>
      <c r="AD233" s="73">
        <f t="shared" ref="AD233:AD239" si="546">-Z233</f>
        <v>68691783</v>
      </c>
      <c r="AE233" s="73">
        <f t="shared" si="299"/>
        <v>0</v>
      </c>
      <c r="AF233" s="36">
        <f t="shared" si="470"/>
        <v>0</v>
      </c>
      <c r="AG233" s="8">
        <f t="shared" si="399"/>
        <v>0</v>
      </c>
      <c r="AI233" s="6">
        <f>SUMIF('Eredeti fejléccel'!$B:$B,'Felosztás eredménykim'!$B233,'Eredeti fejléccel'!$BB:$BB)</f>
        <v>0</v>
      </c>
      <c r="AJ233" s="6">
        <f>SUMIF('Eredeti fejléccel'!$B:$B,'Felosztás eredménykim'!$B233,'Eredeti fejléccel'!$AF:$AF)</f>
        <v>0</v>
      </c>
      <c r="AK233" s="8">
        <f t="shared" si="522"/>
        <v>0</v>
      </c>
      <c r="AL233" s="36">
        <f t="shared" si="471"/>
        <v>0</v>
      </c>
      <c r="AM233" s="8">
        <f t="shared" si="400"/>
        <v>0</v>
      </c>
      <c r="AN233" s="6">
        <f t="shared" si="538"/>
        <v>0</v>
      </c>
      <c r="AO233" s="6">
        <f>SUMIF('Eredeti fejléccel'!$B:$B,'Felosztás eredménykim'!$B233,'Eredeti fejléccel'!$AC:$AC)</f>
        <v>0</v>
      </c>
      <c r="AP233" s="6">
        <f>SUMIF('Eredeti fejléccel'!$B:$B,'Felosztás eredménykim'!$B233,'Eredeti fejléccel'!$AD:$AD)</f>
        <v>0</v>
      </c>
      <c r="AQ233" s="6">
        <f>SUMIF('Eredeti fejléccel'!$B:$B,'Felosztás eredménykim'!$B233,'Eredeti fejléccel'!$AE:$AE)</f>
        <v>0</v>
      </c>
      <c r="AR233" s="6">
        <f>SUMIF('Eredeti fejléccel'!$B:$B,'Felosztás eredménykim'!$B233,'Eredeti fejléccel'!$AG:$AG)</f>
        <v>0</v>
      </c>
      <c r="AS233" s="6">
        <f t="shared" si="539"/>
        <v>0</v>
      </c>
      <c r="AT233" s="36">
        <f t="shared" si="472"/>
        <v>0</v>
      </c>
      <c r="AU233" s="8">
        <f t="shared" si="401"/>
        <v>0</v>
      </c>
      <c r="AV233" s="6">
        <f>SUMIF('Eredeti fejléccel'!$B:$B,'Felosztás eredménykim'!$B233,'Eredeti fejléccel'!$AI:$AI)</f>
        <v>0</v>
      </c>
      <c r="AW233" s="6">
        <f>SUMIF('Eredeti fejléccel'!$B:$B,'Felosztás eredménykim'!$B233,'Eredeti fejléccel'!$AJ:$AJ)</f>
        <v>0</v>
      </c>
      <c r="AX233" s="6">
        <f>SUMIF('Eredeti fejléccel'!$B:$B,'Felosztás eredménykim'!$B233,'Eredeti fejléccel'!$AK:$AK)</f>
        <v>0</v>
      </c>
      <c r="AY233" s="6">
        <f>SUMIF('Eredeti fejléccel'!$B:$B,'Felosztás eredménykim'!$B233,'Eredeti fejléccel'!$AL:$AL)</f>
        <v>0</v>
      </c>
      <c r="AZ233" s="6">
        <f>SUMIF('Eredeti fejléccel'!$B:$B,'Felosztás eredménykim'!$B233,'Eredeti fejléccel'!$AM:$AM)</f>
        <v>0</v>
      </c>
      <c r="BA233" s="6">
        <f>SUMIF('Eredeti fejléccel'!$B:$B,'Felosztás eredménykim'!$B233,'Eredeti fejléccel'!$AN:$AN)</f>
        <v>0</v>
      </c>
      <c r="BB233" s="6">
        <f>SUMIF('Eredeti fejléccel'!$B:$B,'Felosztás eredménykim'!$B233,'Eredeti fejléccel'!$AP:$AP)</f>
        <v>0</v>
      </c>
      <c r="BD233" s="6">
        <f>SUMIF('Eredeti fejléccel'!$B:$B,'Felosztás eredménykim'!$B233,'Eredeti fejléccel'!$AS:$AS)</f>
        <v>0</v>
      </c>
      <c r="BE233" s="8">
        <f t="shared" si="523"/>
        <v>0</v>
      </c>
      <c r="BF233" s="36">
        <f t="shared" si="473"/>
        <v>0</v>
      </c>
      <c r="BG233" s="8">
        <f t="shared" si="402"/>
        <v>0</v>
      </c>
      <c r="BH233" s="6">
        <f t="shared" si="540"/>
        <v>0</v>
      </c>
      <c r="BI233" s="6">
        <f>SUMIF('Eredeti fejléccel'!$B:$B,'Felosztás eredménykim'!$B233,'Eredeti fejléccel'!$AH:$AH)</f>
        <v>0</v>
      </c>
      <c r="BJ233" s="6">
        <f>SUMIF('Eredeti fejléccel'!$B:$B,'Felosztás eredménykim'!$B233,'Eredeti fejléccel'!$AO:$AO)</f>
        <v>0</v>
      </c>
      <c r="BK233" s="6">
        <f>SUMIF('Eredeti fejléccel'!$B:$B,'Felosztás eredménykim'!$B233,'Eredeti fejléccel'!$BF:$BF)</f>
        <v>0</v>
      </c>
      <c r="BL233" s="8">
        <f t="shared" si="541"/>
        <v>0</v>
      </c>
      <c r="BM233" s="36">
        <f t="shared" si="474"/>
        <v>0</v>
      </c>
      <c r="BN233" s="8">
        <f t="shared" si="403"/>
        <v>0</v>
      </c>
      <c r="BP233" s="8">
        <f t="shared" si="542"/>
        <v>0</v>
      </c>
      <c r="BQ233" s="6">
        <f>SUMIF('Eredeti fejléccel'!$B:$B,'Felosztás eredménykim'!$B233,'Eredeti fejléccel'!$N:$N)</f>
        <v>0</v>
      </c>
      <c r="BR233" s="6">
        <f>SUMIF('Eredeti fejléccel'!$B:$B,'Felosztás eredménykim'!$B233,'Eredeti fejléccel'!$S:$S)</f>
        <v>0</v>
      </c>
      <c r="BT233" s="6">
        <f>SUMIF('Eredeti fejléccel'!$B:$B,'Felosztás eredménykim'!$B233,'Eredeti fejléccel'!$AR:$AR)</f>
        <v>0</v>
      </c>
      <c r="BU233" s="6">
        <f>SUMIF('Eredeti fejléccel'!$B:$B,'Felosztás eredménykim'!$B233,'Eredeti fejléccel'!$AU:$AU)</f>
        <v>0</v>
      </c>
      <c r="BV233" s="6">
        <f>SUMIF('Eredeti fejléccel'!$B:$B,'Felosztás eredménykim'!$B233,'Eredeti fejléccel'!$AV:$AV)</f>
        <v>0</v>
      </c>
      <c r="BW233" s="6">
        <f>SUMIF('Eredeti fejléccel'!$B:$B,'Felosztás eredménykim'!$B233,'Eredeti fejléccel'!$AW:$AW)</f>
        <v>0</v>
      </c>
      <c r="BX233" s="6">
        <f>SUMIF('Eredeti fejléccel'!$B:$B,'Felosztás eredménykim'!$B233,'Eredeti fejléccel'!$AX:$AX)</f>
        <v>0</v>
      </c>
      <c r="BY233" s="6">
        <f>SUMIF('Eredeti fejléccel'!$B:$B,'Felosztás eredménykim'!$B233,'Eredeti fejléccel'!$AY:$AY)</f>
        <v>0</v>
      </c>
      <c r="BZ233" s="6">
        <f>SUMIF('Eredeti fejléccel'!$B:$B,'Felosztás eredménykim'!$B233,'Eredeti fejléccel'!$AZ:$AZ)</f>
        <v>0</v>
      </c>
      <c r="CA233" s="6">
        <f>SUMIF('Eredeti fejléccel'!$B:$B,'Felosztás eredménykim'!$B233,'Eredeti fejléccel'!$BA:$BA)</f>
        <v>0</v>
      </c>
      <c r="CB233" s="6">
        <f t="shared" si="481"/>
        <v>0</v>
      </c>
      <c r="CC233" s="36">
        <f t="shared" si="475"/>
        <v>0</v>
      </c>
      <c r="CD233" s="8">
        <f t="shared" si="404"/>
        <v>0</v>
      </c>
      <c r="CE233" s="6">
        <f>SUMIF('Eredeti fejléccel'!$B:$B,'Felosztás eredménykim'!$B233,'Eredeti fejléccel'!$BC:$BC)</f>
        <v>0</v>
      </c>
      <c r="CF233" s="8">
        <f t="shared" si="300"/>
        <v>0</v>
      </c>
      <c r="CG233" s="6">
        <f>SUMIF('Eredeti fejléccel'!$B:$B,'Felosztás eredménykim'!$B233,'Eredeti fejléccel'!$H:$H)</f>
        <v>0</v>
      </c>
      <c r="CH233" s="6">
        <f>SUMIF('Eredeti fejléccel'!$B:$B,'Felosztás eredménykim'!$B233,'Eredeti fejléccel'!$BE:$BE)</f>
        <v>0</v>
      </c>
      <c r="CI233" s="6">
        <f t="shared" si="524"/>
        <v>0</v>
      </c>
      <c r="CJ233" s="36">
        <f t="shared" si="476"/>
        <v>0</v>
      </c>
      <c r="CK233" s="8">
        <f t="shared" si="405"/>
        <v>0</v>
      </c>
      <c r="CL233" s="8">
        <f t="shared" si="301"/>
        <v>0</v>
      </c>
      <c r="CM233" s="6">
        <f>SUMIF('Eredeti fejléccel'!$B:$B,'Felosztás eredménykim'!$B233,'Eredeti fejléccel'!$BD:$BD)</f>
        <v>0</v>
      </c>
      <c r="CN233" s="8">
        <f t="shared" si="525"/>
        <v>0</v>
      </c>
      <c r="CO233" s="8">
        <f t="shared" si="482"/>
        <v>0</v>
      </c>
      <c r="CR233" s="36">
        <f t="shared" si="406"/>
        <v>0</v>
      </c>
      <c r="CS233" s="6">
        <f>SUMIF('Eredeti fejléccel'!$B:$B,'Felosztás eredménykim'!$B233,'Eredeti fejléccel'!$I:$I)</f>
        <v>0</v>
      </c>
      <c r="CT233" s="6">
        <f>SUMIF('Eredeti fejléccel'!$B:$B,'Felosztás eredménykim'!$B233,'Eredeti fejléccel'!$BG:$BG)</f>
        <v>0</v>
      </c>
      <c r="CU233" s="6">
        <f>SUMIF('Eredeti fejléccel'!$B:$B,'Felosztás eredménykim'!$B233,'Eredeti fejléccel'!$BH:$BH)</f>
        <v>0</v>
      </c>
      <c r="CV233" s="6">
        <f>SUMIF('Eredeti fejléccel'!$B:$B,'Felosztás eredménykim'!$B233,'Eredeti fejléccel'!$BI:$BI)</f>
        <v>0</v>
      </c>
      <c r="CW233" s="6">
        <f>SUMIF('Eredeti fejléccel'!$B:$B,'Felosztás eredménykim'!$B233,'Eredeti fejléccel'!$BL:$BL)</f>
        <v>0</v>
      </c>
      <c r="CX233" s="6">
        <f t="shared" si="526"/>
        <v>0</v>
      </c>
      <c r="CY233" s="6">
        <f>SUMIF('Eredeti fejléccel'!$B:$B,'Felosztás eredménykim'!$B233,'Eredeti fejléccel'!$BJ:$BJ)</f>
        <v>0</v>
      </c>
      <c r="CZ233" s="6">
        <f>SUMIF('Eredeti fejléccel'!$B:$B,'Felosztás eredménykim'!$B233,'Eredeti fejléccel'!$BK:$BK)</f>
        <v>0</v>
      </c>
      <c r="DA233" s="99">
        <f t="shared" si="415"/>
        <v>0</v>
      </c>
      <c r="DC233" s="36">
        <f t="shared" si="407"/>
        <v>0</v>
      </c>
      <c r="DD233" s="6">
        <f>SUMIF('Eredeti fejléccel'!$B:$B,'Felosztás eredménykim'!$B233,'Eredeti fejléccel'!$J:$J)</f>
        <v>0</v>
      </c>
      <c r="DE233" s="6">
        <f>SUMIF('Eredeti fejléccel'!$B:$B,'Felosztás eredménykim'!$B233,'Eredeti fejléccel'!$BM:$BM)</f>
        <v>0</v>
      </c>
      <c r="DF233" s="6">
        <f t="shared" si="543"/>
        <v>0</v>
      </c>
      <c r="DG233" s="8">
        <f t="shared" si="483"/>
        <v>0</v>
      </c>
      <c r="DH233" s="8">
        <f t="shared" si="544"/>
        <v>0</v>
      </c>
      <c r="DJ233" s="6">
        <f>SUMIF('Eredeti fejléccel'!$B:$B,'Felosztás eredménykim'!$B233,'Eredeti fejléccel'!$BN:$BN)</f>
        <v>0</v>
      </c>
      <c r="DK233" s="6">
        <f>SUMIF('Eredeti fejléccel'!$B:$B,'Felosztás eredménykim'!$B233,'Eredeti fejléccel'!$BZ:$BZ)</f>
        <v>0</v>
      </c>
      <c r="DL233" s="8">
        <f t="shared" si="545"/>
        <v>0</v>
      </c>
      <c r="DM233" s="6">
        <f>SUMIF('Eredeti fejléccel'!$B:$B,'Felosztás eredménykim'!$B233,'Eredeti fejléccel'!$BR:$BR)</f>
        <v>0</v>
      </c>
      <c r="DN233" s="6">
        <f>SUMIF('Eredeti fejléccel'!$B:$B,'Felosztás eredménykim'!$B233,'Eredeti fejléccel'!$BS:$BS)</f>
        <v>0</v>
      </c>
      <c r="DO233" s="6">
        <f>SUMIF('Eredeti fejléccel'!$B:$B,'Felosztás eredménykim'!$B233,'Eredeti fejléccel'!$BO:$BO)</f>
        <v>0</v>
      </c>
      <c r="DP233" s="6">
        <f>SUMIF('Eredeti fejléccel'!$B:$B,'Felosztás eredménykim'!$B233,'Eredeti fejléccel'!$BP:$BP)</f>
        <v>0</v>
      </c>
      <c r="DQ233" s="6">
        <f>SUMIF('Eredeti fejléccel'!$B:$B,'Felosztás eredménykim'!$B233,'Eredeti fejléccel'!$BQ:$BQ)</f>
        <v>0</v>
      </c>
      <c r="DS233" s="8"/>
      <c r="DU233" s="6">
        <f>SUMIF('Eredeti fejléccel'!$B:$B,'Felosztás eredménykim'!$B233,'Eredeti fejléccel'!$BT:$BT)</f>
        <v>0</v>
      </c>
      <c r="DV233" s="6">
        <f>SUMIF('Eredeti fejléccel'!$B:$B,'Felosztás eredménykim'!$B233,'Eredeti fejléccel'!$BU:$BU)</f>
        <v>0</v>
      </c>
      <c r="DW233" s="6">
        <f>SUMIF('Eredeti fejléccel'!$B:$B,'Felosztás eredménykim'!$B233,'Eredeti fejléccel'!$BV:$BV)</f>
        <v>0</v>
      </c>
      <c r="DX233" s="6">
        <f>SUMIF('Eredeti fejléccel'!$B:$B,'Felosztás eredménykim'!$B233,'Eredeti fejléccel'!$BW:$BW)</f>
        <v>0</v>
      </c>
      <c r="DY233" s="6">
        <f>SUMIF('Eredeti fejléccel'!$B:$B,'Felosztás eredménykim'!$B233,'Eredeti fejléccel'!$BX:$BX)</f>
        <v>0</v>
      </c>
      <c r="EA233" s="6"/>
      <c r="EC233" s="6"/>
      <c r="EE233" s="6">
        <f>SUMIF('Eredeti fejléccel'!$B:$B,'Felosztás eredménykim'!$B233,'Eredeti fejléccel'!$CA:$CA)</f>
        <v>0</v>
      </c>
      <c r="EF233" s="6">
        <f>SUMIF('Eredeti fejléccel'!$B:$B,'Felosztás eredménykim'!$B233,'Eredeti fejléccel'!$CB:$CB)</f>
        <v>0</v>
      </c>
      <c r="EG233" s="6">
        <f>SUMIF('Eredeti fejléccel'!$B:$B,'Felosztás eredménykim'!$B233,'Eredeti fejléccel'!$CC:$CC)</f>
        <v>0</v>
      </c>
      <c r="EH233" s="6">
        <f>SUMIF('Eredeti fejléccel'!$B:$B,'Felosztás eredménykim'!$B233,'Eredeti fejléccel'!$CD:$CD)</f>
        <v>0</v>
      </c>
      <c r="EK233" s="6">
        <f>SUMIF('Eredeti fejléccel'!$B:$B,'Felosztás eredménykim'!$B233,'Eredeti fejléccel'!$CE:$CE)</f>
        <v>0</v>
      </c>
      <c r="EN233" s="6">
        <f>SUMIF('Eredeti fejléccel'!$B:$B,'Felosztás eredménykim'!$B233,'Eredeti fejléccel'!$CF:$CF)</f>
        <v>0</v>
      </c>
      <c r="EP233" s="6">
        <f>SUMIF('Eredeti fejléccel'!$B:$B,'Felosztás eredménykim'!$B233,'Eredeti fejléccel'!$CG:$CG)</f>
        <v>0</v>
      </c>
      <c r="ES233" s="6">
        <f>SUMIF('Eredeti fejléccel'!$B:$B,'Felosztás eredménykim'!$B233,'Eredeti fejléccel'!$CH:$CH)</f>
        <v>0</v>
      </c>
      <c r="ET233" s="6">
        <f>SUMIF('Eredeti fejléccel'!$B:$B,'Felosztás eredménykim'!$B233,'Eredeti fejléccel'!$CI:$CI)</f>
        <v>0</v>
      </c>
      <c r="EW233" s="8">
        <f t="shared" si="535"/>
        <v>0</v>
      </c>
      <c r="EX233" s="8">
        <f t="shared" si="527"/>
        <v>0</v>
      </c>
      <c r="EY233" s="8">
        <f t="shared" si="416"/>
        <v>0</v>
      </c>
      <c r="EZ233" s="8">
        <f t="shared" si="536"/>
        <v>0</v>
      </c>
      <c r="FA233" s="8">
        <f t="shared" si="537"/>
        <v>0</v>
      </c>
      <c r="FC233" s="6">
        <f>SUMIF('Eredeti fejléccel'!$B:$B,'Felosztás eredménykim'!$B233,'Eredeti fejléccel'!$L:$L)</f>
        <v>0</v>
      </c>
      <c r="FD233" s="6">
        <f>SUMIF('Eredeti fejléccel'!$B:$B,'Felosztás eredménykim'!$B233,'Eredeti fejléccel'!$CJ:$CJ)</f>
        <v>0</v>
      </c>
      <c r="FE233" s="6">
        <f>SUMIF('Eredeti fejléccel'!$B:$B,'Felosztás eredménykim'!$B233,'Eredeti fejléccel'!$CL:$CL)</f>
        <v>0</v>
      </c>
      <c r="FG233" s="99">
        <f t="shared" si="528"/>
        <v>0</v>
      </c>
      <c r="FH233" s="6">
        <f>SUMIF('Eredeti fejléccel'!$B:$B,'Felosztás eredménykim'!$B233,'Eredeti fejléccel'!$CK:$CK)</f>
        <v>0</v>
      </c>
      <c r="FI233" s="36">
        <f t="shared" si="477"/>
        <v>0</v>
      </c>
      <c r="FJ233" s="101">
        <f t="shared" si="408"/>
        <v>0</v>
      </c>
      <c r="FK233" s="6">
        <f>SUMIF('Eredeti fejléccel'!$B:$B,'Felosztás eredménykim'!$B233,'Eredeti fejléccel'!$CM:$CM)</f>
        <v>0</v>
      </c>
      <c r="FL233" s="6">
        <f>SUMIF('Eredeti fejléccel'!$B:$B,'Felosztás eredménykim'!$B233,'Eredeti fejléccel'!$CN:$CN)</f>
        <v>0</v>
      </c>
      <c r="FM233" s="8">
        <f t="shared" si="529"/>
        <v>0</v>
      </c>
      <c r="FN233" s="36">
        <f t="shared" si="478"/>
        <v>0</v>
      </c>
      <c r="FO233" s="101">
        <f t="shared" si="409"/>
        <v>0</v>
      </c>
      <c r="FP233" s="6">
        <f>SUMIF('Eredeti fejléccel'!$B:$B,'Felosztás eredménykim'!$B233,'Eredeti fejléccel'!$CO:$CO)</f>
        <v>0</v>
      </c>
      <c r="FQ233" s="6">
        <f>'Eredeti fejléccel'!CP233</f>
        <v>0</v>
      </c>
      <c r="FR233" s="6">
        <f>'Eredeti fejléccel'!CQ233</f>
        <v>0</v>
      </c>
      <c r="FS233" s="103">
        <f t="shared" si="417"/>
        <v>0</v>
      </c>
      <c r="FT233" s="36">
        <f t="shared" si="479"/>
        <v>0</v>
      </c>
      <c r="FU233" s="101">
        <f t="shared" si="410"/>
        <v>0</v>
      </c>
      <c r="FV233" s="101"/>
      <c r="FW233" s="6">
        <f>SUMIF('Eredeti fejléccel'!$B:$B,'Felosztás eredménykim'!$B233,'Eredeti fejléccel'!$CR:$CR)</f>
        <v>0</v>
      </c>
      <c r="FX233" s="6">
        <f>SUMIF('Eredeti fejléccel'!$B:$B,'Felosztás eredménykim'!$B233,'Eredeti fejléccel'!$CS:$CS)</f>
        <v>0</v>
      </c>
      <c r="FY233" s="6">
        <f>SUMIF('Eredeti fejléccel'!$B:$B,'Felosztás eredménykim'!$B233,'Eredeti fejléccel'!$CT:$CT)</f>
        <v>0</v>
      </c>
      <c r="FZ233" s="6">
        <f>SUMIF('Eredeti fejléccel'!$B:$B,'Felosztás eredménykim'!$B233,'Eredeti fejléccel'!$CU:$CU)</f>
        <v>0</v>
      </c>
      <c r="GA233" s="103">
        <f t="shared" si="530"/>
        <v>0</v>
      </c>
      <c r="GB233" s="36">
        <f t="shared" si="480"/>
        <v>0</v>
      </c>
      <c r="GC233" s="101">
        <f t="shared" si="411"/>
        <v>0</v>
      </c>
      <c r="GD233" s="6">
        <f>SUMIF('Eredeti fejléccel'!$B:$B,'Felosztás eredménykim'!$B233,'Eredeti fejléccel'!$CV:$CV)</f>
        <v>0</v>
      </c>
      <c r="GE233" s="6">
        <f>SUMIF('Eredeti fejléccel'!$B:$B,'Felosztás eredménykim'!$B233,'Eredeti fejléccel'!$CW:$CW)</f>
        <v>0</v>
      </c>
      <c r="GF233" s="103">
        <f t="shared" si="531"/>
        <v>0</v>
      </c>
      <c r="GG233" s="36">
        <f t="shared" si="412"/>
        <v>0</v>
      </c>
      <c r="GM233" s="6">
        <f>SUMIF('Eredeti fejléccel'!$B:$B,'Felosztás eredménykim'!$B233,'Eredeti fejléccel'!$CX:$CX)</f>
        <v>0</v>
      </c>
      <c r="GN233" s="6">
        <f>SUMIF('Eredeti fejléccel'!$B:$B,'Felosztás eredménykim'!$B233,'Eredeti fejléccel'!$CY:$CY)</f>
        <v>0</v>
      </c>
      <c r="GO233" s="6">
        <f>SUMIF('Eredeti fejléccel'!$B:$B,'Felosztás eredménykim'!$B233,'Eredeti fejléccel'!$CZ:$CZ)</f>
        <v>0</v>
      </c>
      <c r="GP233" s="6">
        <f>SUMIF('Eredeti fejléccel'!$B:$B,'Felosztás eredménykim'!$B233,'Eredeti fejléccel'!$DA:$DA)</f>
        <v>0</v>
      </c>
      <c r="GQ233" s="6">
        <f>SUMIF('Eredeti fejléccel'!$B:$B,'Felosztás eredménykim'!$B233,'Eredeti fejléccel'!$DB:$DB)</f>
        <v>0</v>
      </c>
      <c r="GR233" s="103">
        <f t="shared" si="532"/>
        <v>0</v>
      </c>
      <c r="GW233" s="36">
        <f t="shared" si="413"/>
        <v>0</v>
      </c>
      <c r="GX233" s="6">
        <f>SUMIF('Eredeti fejléccel'!$B:$B,'Felosztás eredménykim'!$B233,'Eredeti fejléccel'!$M:$M)</f>
        <v>0</v>
      </c>
      <c r="GY233" s="6">
        <f>SUMIF('Eredeti fejléccel'!$B:$B,'Felosztás eredménykim'!$B233,'Eredeti fejléccel'!$DC:$DC)</f>
        <v>0</v>
      </c>
      <c r="GZ233" s="6">
        <f>SUMIF('Eredeti fejléccel'!$B:$B,'Felosztás eredménykim'!$B233,'Eredeti fejléccel'!$DD:$DD)</f>
        <v>0</v>
      </c>
      <c r="HA233" s="6">
        <f>SUMIF('Eredeti fejléccel'!$B:$B,'Felosztás eredménykim'!$B233,'Eredeti fejléccel'!$DE:$DE)</f>
        <v>0</v>
      </c>
      <c r="HB233" s="103">
        <f t="shared" si="533"/>
        <v>0</v>
      </c>
      <c r="HD233" s="9">
        <f t="shared" si="429"/>
        <v>-68691783</v>
      </c>
      <c r="HE233" s="9">
        <v>-97028933</v>
      </c>
      <c r="HF233" s="476"/>
      <c r="HH233" s="34">
        <f t="shared" si="534"/>
        <v>28337150</v>
      </c>
    </row>
    <row r="234" spans="1:218" x14ac:dyDescent="0.25">
      <c r="A234" s="4" t="s">
        <v>315</v>
      </c>
      <c r="B234" s="4" t="s">
        <v>315</v>
      </c>
      <c r="C234" s="1" t="s">
        <v>316</v>
      </c>
      <c r="D234" s="6">
        <f>SUMIF('Eredeti fejléccel'!$B:$B,'Felosztás eredménykim'!$B234,'Eredeti fejléccel'!$D:$D)</f>
        <v>0</v>
      </c>
      <c r="E234" s="6">
        <f>SUMIF('Eredeti fejléccel'!$B:$B,'Felosztás eredménykim'!$B234,'Eredeti fejléccel'!$E:$E)</f>
        <v>-1350000</v>
      </c>
      <c r="F234" s="6">
        <f>SUMIF('Eredeti fejléccel'!$B:$B,'Felosztás eredménykim'!$B234,'Eredeti fejléccel'!$F:$F)</f>
        <v>0</v>
      </c>
      <c r="G234" s="6">
        <f>SUMIF('Eredeti fejléccel'!$B:$B,'Felosztás eredménykim'!$B234,'Eredeti fejléccel'!$G:$G)</f>
        <v>0</v>
      </c>
      <c r="H234" s="6"/>
      <c r="I234" s="6">
        <f>SUMIF('Eredeti fejléccel'!$B:$B,'Felosztás eredménykim'!$B234,'Eredeti fejléccel'!$O:$O)</f>
        <v>0</v>
      </c>
      <c r="J234" s="6">
        <f>SUMIF('Eredeti fejléccel'!$B:$B,'Felosztás eredménykim'!$B234,'Eredeti fejléccel'!$P:$P)</f>
        <v>0</v>
      </c>
      <c r="K234" s="6">
        <f>SUMIF('Eredeti fejléccel'!$B:$B,'Felosztás eredménykim'!$B234,'Eredeti fejléccel'!$Q:$Q)</f>
        <v>0</v>
      </c>
      <c r="L234" s="6">
        <f>SUMIF('Eredeti fejléccel'!$B:$B,'Felosztás eredménykim'!$B234,'Eredeti fejléccel'!$R:$R)</f>
        <v>0</v>
      </c>
      <c r="M234" s="6">
        <f>SUMIF('Eredeti fejléccel'!$B:$B,'Felosztás eredménykim'!$B234,'Eredeti fejléccel'!$T:$T)</f>
        <v>0</v>
      </c>
      <c r="N234" s="6">
        <f>SUMIF('Eredeti fejléccel'!$B:$B,'Felosztás eredménykim'!$B234,'Eredeti fejléccel'!$U:$U)</f>
        <v>0</v>
      </c>
      <c r="O234" s="6">
        <f>SUMIF('Eredeti fejléccel'!$B:$B,'Felosztás eredménykim'!$B234,'Eredeti fejléccel'!$V:$V)</f>
        <v>0</v>
      </c>
      <c r="P234" s="6">
        <f>SUMIF('Eredeti fejléccel'!$B:$B,'Felosztás eredménykim'!$B234,'Eredeti fejléccel'!$W:$W)</f>
        <v>0</v>
      </c>
      <c r="Q234" s="6">
        <f>SUMIF('Eredeti fejléccel'!$B:$B,'Felosztás eredménykim'!$B234,'Eredeti fejléccel'!$X:$X)</f>
        <v>0</v>
      </c>
      <c r="R234" s="6">
        <f>SUMIF('Eredeti fejléccel'!$B:$B,'Felosztás eredménykim'!$B234,'Eredeti fejléccel'!$Y:$Y)</f>
        <v>0</v>
      </c>
      <c r="S234" s="6">
        <f>SUMIF('Eredeti fejléccel'!$B:$B,'Felosztás eredménykim'!$B234,'Eredeti fejléccel'!$Z:$Z)</f>
        <v>0</v>
      </c>
      <c r="T234" s="6">
        <f>SUMIF('Eredeti fejléccel'!$B:$B,'Felosztás eredménykim'!$B234,'Eredeti fejléccel'!$AA:$AA)</f>
        <v>0</v>
      </c>
      <c r="U234" s="6">
        <f>SUMIF('Eredeti fejléccel'!$B:$B,'Felosztás eredménykim'!$B234,'Eredeti fejléccel'!$D:$D)</f>
        <v>0</v>
      </c>
      <c r="V234" s="6">
        <f>SUMIF('Eredeti fejléccel'!$B:$B,'Felosztás eredménykim'!$B234,'Eredeti fejléccel'!$AT:$AT)</f>
        <v>0</v>
      </c>
      <c r="W234" s="36">
        <v>1350000</v>
      </c>
      <c r="X234" s="36">
        <f t="shared" si="414"/>
        <v>0</v>
      </c>
      <c r="Z234" s="6">
        <f>SUMIF('Eredeti fejléccel'!$B:$B,'Felosztás eredménykim'!$B234,'Eredeti fejléccel'!$K:$K)</f>
        <v>0</v>
      </c>
      <c r="AB234" s="6">
        <f>SUMIF('Eredeti fejléccel'!$B:$B,'Felosztás eredménykim'!$B234,'Eredeti fejléccel'!$AB:$AB)</f>
        <v>0</v>
      </c>
      <c r="AC234" s="6">
        <f>SUMIF('Eredeti fejléccel'!$B:$B,'Felosztás eredménykim'!$B234,'Eredeti fejléccel'!$AQ:$AQ)</f>
        <v>0</v>
      </c>
      <c r="AD234" s="73">
        <v>0</v>
      </c>
      <c r="AE234" s="73">
        <f t="shared" si="299"/>
        <v>0</v>
      </c>
      <c r="AF234" s="36">
        <f t="shared" si="470"/>
        <v>0</v>
      </c>
      <c r="AG234" s="8">
        <f t="shared" si="399"/>
        <v>0</v>
      </c>
      <c r="AI234" s="6">
        <f>SUMIF('Eredeti fejléccel'!$B:$B,'Felosztás eredménykim'!$B234,'Eredeti fejléccel'!$BB:$BB)</f>
        <v>0</v>
      </c>
      <c r="AJ234" s="6">
        <f>SUMIF('Eredeti fejléccel'!$B:$B,'Felosztás eredménykim'!$B234,'Eredeti fejléccel'!$AF:$AF)</f>
        <v>0</v>
      </c>
      <c r="AK234" s="8">
        <f t="shared" si="522"/>
        <v>0</v>
      </c>
      <c r="AL234" s="36">
        <f t="shared" si="471"/>
        <v>0</v>
      </c>
      <c r="AM234" s="8">
        <f t="shared" si="400"/>
        <v>0</v>
      </c>
      <c r="AN234" s="6">
        <f t="shared" si="538"/>
        <v>0</v>
      </c>
      <c r="AO234" s="6">
        <f>SUMIF('Eredeti fejléccel'!$B:$B,'Felosztás eredménykim'!$B234,'Eredeti fejléccel'!$AC:$AC)</f>
        <v>0</v>
      </c>
      <c r="AP234" s="6">
        <f>SUMIF('Eredeti fejléccel'!$B:$B,'Felosztás eredménykim'!$B234,'Eredeti fejléccel'!$AD:$AD)</f>
        <v>0</v>
      </c>
      <c r="AQ234" s="6">
        <f>SUMIF('Eredeti fejléccel'!$B:$B,'Felosztás eredménykim'!$B234,'Eredeti fejléccel'!$AE:$AE)</f>
        <v>0</v>
      </c>
      <c r="AR234" s="6">
        <f>SUMIF('Eredeti fejléccel'!$B:$B,'Felosztás eredménykim'!$B234,'Eredeti fejléccel'!$AG:$AG)</f>
        <v>0</v>
      </c>
      <c r="AS234" s="6">
        <f t="shared" si="539"/>
        <v>0</v>
      </c>
      <c r="AT234" s="36">
        <f t="shared" si="472"/>
        <v>0</v>
      </c>
      <c r="AU234" s="8">
        <f t="shared" si="401"/>
        <v>0</v>
      </c>
      <c r="AV234" s="6">
        <f>SUMIF('Eredeti fejléccel'!$B:$B,'Felosztás eredménykim'!$B234,'Eredeti fejléccel'!$AI:$AI)</f>
        <v>0</v>
      </c>
      <c r="AW234" s="6">
        <f>SUMIF('Eredeti fejléccel'!$B:$B,'Felosztás eredménykim'!$B234,'Eredeti fejléccel'!$AJ:$AJ)</f>
        <v>0</v>
      </c>
      <c r="AX234" s="6">
        <f>SUMIF('Eredeti fejléccel'!$B:$B,'Felosztás eredménykim'!$B234,'Eredeti fejléccel'!$AK:$AK)</f>
        <v>0</v>
      </c>
      <c r="AY234" s="6">
        <f>SUMIF('Eredeti fejléccel'!$B:$B,'Felosztás eredménykim'!$B234,'Eredeti fejléccel'!$AL:$AL)</f>
        <v>0</v>
      </c>
      <c r="AZ234" s="6">
        <f>SUMIF('Eredeti fejléccel'!$B:$B,'Felosztás eredménykim'!$B234,'Eredeti fejléccel'!$AM:$AM)</f>
        <v>0</v>
      </c>
      <c r="BA234" s="6">
        <f>SUMIF('Eredeti fejléccel'!$B:$B,'Felosztás eredménykim'!$B234,'Eredeti fejléccel'!$AN:$AN)</f>
        <v>0</v>
      </c>
      <c r="BB234" s="6">
        <f>SUMIF('Eredeti fejléccel'!$B:$B,'Felosztás eredménykim'!$B234,'Eredeti fejléccel'!$AP:$AP)</f>
        <v>0</v>
      </c>
      <c r="BD234" s="6">
        <f>SUMIF('Eredeti fejléccel'!$B:$B,'Felosztás eredménykim'!$B234,'Eredeti fejléccel'!$AS:$AS)</f>
        <v>0</v>
      </c>
      <c r="BE234" s="8">
        <f t="shared" si="523"/>
        <v>0</v>
      </c>
      <c r="BF234" s="36">
        <f t="shared" si="473"/>
        <v>0</v>
      </c>
      <c r="BG234" s="8">
        <f t="shared" si="402"/>
        <v>0</v>
      </c>
      <c r="BH234" s="6">
        <f t="shared" si="540"/>
        <v>0</v>
      </c>
      <c r="BI234" s="6">
        <f>SUMIF('Eredeti fejléccel'!$B:$B,'Felosztás eredménykim'!$B234,'Eredeti fejléccel'!$AH:$AH)</f>
        <v>0</v>
      </c>
      <c r="BJ234" s="6">
        <f>SUMIF('Eredeti fejléccel'!$B:$B,'Felosztás eredménykim'!$B234,'Eredeti fejléccel'!$AO:$AO)</f>
        <v>0</v>
      </c>
      <c r="BK234" s="6">
        <f>SUMIF('Eredeti fejléccel'!$B:$B,'Felosztás eredménykim'!$B234,'Eredeti fejléccel'!$BF:$BF)</f>
        <v>0</v>
      </c>
      <c r="BL234" s="8">
        <f t="shared" si="541"/>
        <v>0</v>
      </c>
      <c r="BM234" s="36">
        <f t="shared" si="474"/>
        <v>0</v>
      </c>
      <c r="BN234" s="8">
        <f t="shared" si="403"/>
        <v>0</v>
      </c>
      <c r="BP234" s="8">
        <f t="shared" si="542"/>
        <v>0</v>
      </c>
      <c r="BQ234" s="6">
        <f>SUMIF('Eredeti fejléccel'!$B:$B,'Felosztás eredménykim'!$B234,'Eredeti fejléccel'!$N:$N)</f>
        <v>0</v>
      </c>
      <c r="BR234" s="6">
        <f>SUMIF('Eredeti fejléccel'!$B:$B,'Felosztás eredménykim'!$B234,'Eredeti fejléccel'!$S:$S)</f>
        <v>0</v>
      </c>
      <c r="BT234" s="6">
        <f>SUMIF('Eredeti fejléccel'!$B:$B,'Felosztás eredménykim'!$B234,'Eredeti fejléccel'!$AR:$AR)</f>
        <v>0</v>
      </c>
      <c r="BU234" s="6">
        <f>SUMIF('Eredeti fejléccel'!$B:$B,'Felosztás eredménykim'!$B234,'Eredeti fejléccel'!$AU:$AU)</f>
        <v>0</v>
      </c>
      <c r="BV234" s="6">
        <f>SUMIF('Eredeti fejléccel'!$B:$B,'Felosztás eredménykim'!$B234,'Eredeti fejléccel'!$AV:$AV)</f>
        <v>-2100000</v>
      </c>
      <c r="BW234" s="6">
        <f>SUMIF('Eredeti fejléccel'!$B:$B,'Felosztás eredménykim'!$B234,'Eredeti fejléccel'!$AW:$AW)</f>
        <v>0</v>
      </c>
      <c r="BX234" s="6">
        <f>SUMIF('Eredeti fejléccel'!$B:$B,'Felosztás eredménykim'!$B234,'Eredeti fejléccel'!$AX:$AX)</f>
        <v>0</v>
      </c>
      <c r="BY234" s="6">
        <f>SUMIF('Eredeti fejléccel'!$B:$B,'Felosztás eredménykim'!$B234,'Eredeti fejléccel'!$AY:$AY)</f>
        <v>0</v>
      </c>
      <c r="BZ234" s="6">
        <f>SUMIF('Eredeti fejléccel'!$B:$B,'Felosztás eredménykim'!$B234,'Eredeti fejléccel'!$AZ:$AZ)</f>
        <v>0</v>
      </c>
      <c r="CA234" s="6">
        <f>SUMIF('Eredeti fejléccel'!$B:$B,'Felosztás eredménykim'!$B234,'Eredeti fejléccel'!$BA:$BA)</f>
        <v>0</v>
      </c>
      <c r="CB234" s="6">
        <f t="shared" si="481"/>
        <v>-2100000</v>
      </c>
      <c r="CC234" s="36">
        <f t="shared" si="475"/>
        <v>0</v>
      </c>
      <c r="CD234" s="8">
        <f t="shared" si="404"/>
        <v>0</v>
      </c>
      <c r="CE234" s="6">
        <f>SUMIF('Eredeti fejléccel'!$B:$B,'Felosztás eredménykim'!$B234,'Eredeti fejléccel'!$BC:$BC)</f>
        <v>0</v>
      </c>
      <c r="CF234" s="8">
        <f t="shared" si="300"/>
        <v>0</v>
      </c>
      <c r="CG234" s="6">
        <f>SUMIF('Eredeti fejléccel'!$B:$B,'Felosztás eredménykim'!$B234,'Eredeti fejléccel'!$H:$H)</f>
        <v>0</v>
      </c>
      <c r="CH234" s="6">
        <f>SUMIF('Eredeti fejléccel'!$B:$B,'Felosztás eredménykim'!$B234,'Eredeti fejléccel'!$BE:$BE)</f>
        <v>0</v>
      </c>
      <c r="CI234" s="6">
        <f t="shared" si="524"/>
        <v>0</v>
      </c>
      <c r="CJ234" s="36">
        <f t="shared" si="476"/>
        <v>0</v>
      </c>
      <c r="CK234" s="8">
        <f t="shared" si="405"/>
        <v>0</v>
      </c>
      <c r="CL234" s="8">
        <f t="shared" si="301"/>
        <v>0</v>
      </c>
      <c r="CM234" s="6">
        <f>SUMIF('Eredeti fejléccel'!$B:$B,'Felosztás eredménykim'!$B234,'Eredeti fejléccel'!$BD:$BD)</f>
        <v>0</v>
      </c>
      <c r="CN234" s="8">
        <f t="shared" si="525"/>
        <v>0</v>
      </c>
      <c r="CO234" s="8">
        <f t="shared" si="482"/>
        <v>-2100000</v>
      </c>
      <c r="CR234" s="36">
        <f t="shared" si="406"/>
        <v>0</v>
      </c>
      <c r="CS234" s="6">
        <f>SUMIF('Eredeti fejléccel'!$B:$B,'Felosztás eredménykim'!$B234,'Eredeti fejléccel'!$I:$I)</f>
        <v>0</v>
      </c>
      <c r="CT234" s="6">
        <f>SUMIF('Eredeti fejléccel'!$B:$B,'Felosztás eredménykim'!$B234,'Eredeti fejléccel'!$BG:$BG)</f>
        <v>0</v>
      </c>
      <c r="CU234" s="6">
        <f>SUMIF('Eredeti fejléccel'!$B:$B,'Felosztás eredménykim'!$B234,'Eredeti fejléccel'!$BH:$BH)</f>
        <v>0</v>
      </c>
      <c r="CV234" s="6">
        <f>SUMIF('Eredeti fejléccel'!$B:$B,'Felosztás eredménykim'!$B234,'Eredeti fejléccel'!$BI:$BI)</f>
        <v>0</v>
      </c>
      <c r="CW234" s="6">
        <f>SUMIF('Eredeti fejléccel'!$B:$B,'Felosztás eredménykim'!$B234,'Eredeti fejléccel'!$BL:$BL)</f>
        <v>0</v>
      </c>
      <c r="CX234" s="6">
        <f t="shared" si="526"/>
        <v>0</v>
      </c>
      <c r="CY234" s="6">
        <f>SUMIF('Eredeti fejléccel'!$B:$B,'Felosztás eredménykim'!$B234,'Eredeti fejléccel'!$BJ:$BJ)</f>
        <v>0</v>
      </c>
      <c r="CZ234" s="6">
        <f>SUMIF('Eredeti fejléccel'!$B:$B,'Felosztás eredménykim'!$B234,'Eredeti fejléccel'!$BK:$BK)</f>
        <v>0</v>
      </c>
      <c r="DA234" s="99">
        <f t="shared" si="415"/>
        <v>0</v>
      </c>
      <c r="DC234" s="36">
        <f t="shared" si="407"/>
        <v>0</v>
      </c>
      <c r="DD234" s="6">
        <f>SUMIF('Eredeti fejléccel'!$B:$B,'Felosztás eredménykim'!$B234,'Eredeti fejléccel'!$J:$J)</f>
        <v>0</v>
      </c>
      <c r="DE234" s="6">
        <f>SUMIF('Eredeti fejléccel'!$B:$B,'Felosztás eredménykim'!$B234,'Eredeti fejléccel'!$BM:$BM)</f>
        <v>0</v>
      </c>
      <c r="DF234" s="6">
        <f t="shared" si="543"/>
        <v>0</v>
      </c>
      <c r="DG234" s="8">
        <f t="shared" si="483"/>
        <v>0</v>
      </c>
      <c r="DH234" s="8">
        <f t="shared" si="544"/>
        <v>0</v>
      </c>
      <c r="DJ234" s="6">
        <f>SUMIF('Eredeti fejléccel'!$B:$B,'Felosztás eredménykim'!$B234,'Eredeti fejléccel'!$BN:$BN)</f>
        <v>0</v>
      </c>
      <c r="DK234" s="6">
        <f>SUMIF('Eredeti fejléccel'!$B:$B,'Felosztás eredménykim'!$B234,'Eredeti fejléccel'!$BZ:$BZ)</f>
        <v>0</v>
      </c>
      <c r="DL234" s="8">
        <f t="shared" si="545"/>
        <v>0</v>
      </c>
      <c r="DM234" s="6">
        <f>SUMIF('Eredeti fejléccel'!$B:$B,'Felosztás eredménykim'!$B234,'Eredeti fejléccel'!$BR:$BR)</f>
        <v>0</v>
      </c>
      <c r="DN234" s="6">
        <f>SUMIF('Eredeti fejléccel'!$B:$B,'Felosztás eredménykim'!$B234,'Eredeti fejléccel'!$BS:$BS)</f>
        <v>0</v>
      </c>
      <c r="DO234" s="6">
        <f>SUMIF('Eredeti fejléccel'!$B:$B,'Felosztás eredménykim'!$B234,'Eredeti fejléccel'!$BO:$BO)</f>
        <v>0</v>
      </c>
      <c r="DP234" s="6">
        <f>SUMIF('Eredeti fejléccel'!$B:$B,'Felosztás eredménykim'!$B234,'Eredeti fejléccel'!$BP:$BP)</f>
        <v>0</v>
      </c>
      <c r="DQ234" s="6">
        <f>SUMIF('Eredeti fejléccel'!$B:$B,'Felosztás eredménykim'!$B234,'Eredeti fejléccel'!$BQ:$BQ)</f>
        <v>0</v>
      </c>
      <c r="DS234" s="8"/>
      <c r="DU234" s="6">
        <f>SUMIF('Eredeti fejléccel'!$B:$B,'Felosztás eredménykim'!$B234,'Eredeti fejléccel'!$BT:$BT)</f>
        <v>0</v>
      </c>
      <c r="DV234" s="6">
        <f>SUMIF('Eredeti fejléccel'!$B:$B,'Felosztás eredménykim'!$B234,'Eredeti fejléccel'!$BU:$BU)</f>
        <v>0</v>
      </c>
      <c r="DW234" s="6">
        <f>SUMIF('Eredeti fejléccel'!$B:$B,'Felosztás eredménykim'!$B234,'Eredeti fejléccel'!$BV:$BV)</f>
        <v>0</v>
      </c>
      <c r="DX234" s="6">
        <f>SUMIF('Eredeti fejléccel'!$B:$B,'Felosztás eredménykim'!$B234,'Eredeti fejléccel'!$BW:$BW)</f>
        <v>0</v>
      </c>
      <c r="DY234" s="6">
        <f>SUMIF('Eredeti fejléccel'!$B:$B,'Felosztás eredménykim'!$B234,'Eredeti fejléccel'!$BX:$BX)</f>
        <v>0</v>
      </c>
      <c r="EA234" s="6"/>
      <c r="EC234" s="6"/>
      <c r="EE234" s="6">
        <f>SUMIF('Eredeti fejléccel'!$B:$B,'Felosztás eredménykim'!$B234,'Eredeti fejléccel'!$CA:$CA)</f>
        <v>0</v>
      </c>
      <c r="EF234" s="6">
        <f>SUMIF('Eredeti fejléccel'!$B:$B,'Felosztás eredménykim'!$B234,'Eredeti fejléccel'!$CB:$CB)</f>
        <v>0</v>
      </c>
      <c r="EG234" s="6">
        <f>SUMIF('Eredeti fejléccel'!$B:$B,'Felosztás eredménykim'!$B234,'Eredeti fejléccel'!$CC:$CC)</f>
        <v>0</v>
      </c>
      <c r="EH234" s="6">
        <f>SUMIF('Eredeti fejléccel'!$B:$B,'Felosztás eredménykim'!$B234,'Eredeti fejléccel'!$CD:$CD)</f>
        <v>0</v>
      </c>
      <c r="EK234" s="6">
        <f>SUMIF('Eredeti fejléccel'!$B:$B,'Felosztás eredménykim'!$B234,'Eredeti fejléccel'!$CE:$CE)</f>
        <v>0</v>
      </c>
      <c r="EN234" s="6">
        <f>SUMIF('Eredeti fejléccel'!$B:$B,'Felosztás eredménykim'!$B234,'Eredeti fejléccel'!$CF:$CF)</f>
        <v>0</v>
      </c>
      <c r="EP234" s="6">
        <f>SUMIF('Eredeti fejléccel'!$B:$B,'Felosztás eredménykim'!$B234,'Eredeti fejléccel'!$CG:$CG)</f>
        <v>0</v>
      </c>
      <c r="ES234" s="6">
        <f>SUMIF('Eredeti fejléccel'!$B:$B,'Felosztás eredménykim'!$B234,'Eredeti fejléccel'!$CH:$CH)</f>
        <v>0</v>
      </c>
      <c r="ET234" s="6">
        <f>SUMIF('Eredeti fejléccel'!$B:$B,'Felosztás eredménykim'!$B234,'Eredeti fejléccel'!$CI:$CI)</f>
        <v>0</v>
      </c>
      <c r="EW234" s="8">
        <f t="shared" si="535"/>
        <v>0</v>
      </c>
      <c r="EX234" s="8">
        <f t="shared" si="527"/>
        <v>0</v>
      </c>
      <c r="EY234" s="8">
        <f t="shared" si="416"/>
        <v>0</v>
      </c>
      <c r="EZ234" s="8">
        <f t="shared" si="536"/>
        <v>0</v>
      </c>
      <c r="FA234" s="8">
        <f t="shared" si="537"/>
        <v>0</v>
      </c>
      <c r="FC234" s="6">
        <f>SUMIF('Eredeti fejléccel'!$B:$B,'Felosztás eredménykim'!$B234,'Eredeti fejléccel'!$L:$L)</f>
        <v>0</v>
      </c>
      <c r="FD234" s="6">
        <f>SUMIF('Eredeti fejléccel'!$B:$B,'Felosztás eredménykim'!$B234,'Eredeti fejléccel'!$CJ:$CJ)</f>
        <v>0</v>
      </c>
      <c r="FE234" s="6">
        <f>SUMIF('Eredeti fejléccel'!$B:$B,'Felosztás eredménykim'!$B234,'Eredeti fejléccel'!$CL:$CL)</f>
        <v>0</v>
      </c>
      <c r="FG234" s="99">
        <f t="shared" si="528"/>
        <v>0</v>
      </c>
      <c r="FH234" s="6">
        <f>SUMIF('Eredeti fejléccel'!$B:$B,'Felosztás eredménykim'!$B234,'Eredeti fejléccel'!$CK:$CK)</f>
        <v>0</v>
      </c>
      <c r="FI234" s="36">
        <f t="shared" si="477"/>
        <v>0</v>
      </c>
      <c r="FJ234" s="101">
        <f t="shared" si="408"/>
        <v>0</v>
      </c>
      <c r="FK234" s="6">
        <f>SUMIF('Eredeti fejléccel'!$B:$B,'Felosztás eredménykim'!$B234,'Eredeti fejléccel'!$CM:$CM)</f>
        <v>0</v>
      </c>
      <c r="FL234" s="6">
        <f>SUMIF('Eredeti fejléccel'!$B:$B,'Felosztás eredménykim'!$B234,'Eredeti fejléccel'!$CN:$CN)</f>
        <v>0</v>
      </c>
      <c r="FM234" s="8">
        <f t="shared" si="529"/>
        <v>0</v>
      </c>
      <c r="FN234" s="36">
        <f t="shared" si="478"/>
        <v>0</v>
      </c>
      <c r="FO234" s="101">
        <f t="shared" si="409"/>
        <v>0</v>
      </c>
      <c r="FP234" s="6">
        <f>SUMIF('Eredeti fejléccel'!$B:$B,'Felosztás eredménykim'!$B234,'Eredeti fejléccel'!$CO:$CO)</f>
        <v>0</v>
      </c>
      <c r="FQ234" s="6">
        <f>'Eredeti fejléccel'!CP234</f>
        <v>0</v>
      </c>
      <c r="FR234" s="6">
        <f>'Eredeti fejléccel'!CQ234</f>
        <v>0</v>
      </c>
      <c r="FS234" s="103">
        <f t="shared" si="417"/>
        <v>0</v>
      </c>
      <c r="FT234" s="36">
        <f t="shared" si="479"/>
        <v>0</v>
      </c>
      <c r="FU234" s="101">
        <f t="shared" si="410"/>
        <v>0</v>
      </c>
      <c r="FV234" s="101"/>
      <c r="FW234" s="6">
        <f>SUMIF('Eredeti fejléccel'!$B:$B,'Felosztás eredménykim'!$B234,'Eredeti fejléccel'!$CR:$CR)</f>
        <v>0</v>
      </c>
      <c r="FX234" s="6">
        <f>SUMIF('Eredeti fejléccel'!$B:$B,'Felosztás eredménykim'!$B234,'Eredeti fejléccel'!$CS:$CS)</f>
        <v>0</v>
      </c>
      <c r="FY234" s="6">
        <f>SUMIF('Eredeti fejléccel'!$B:$B,'Felosztás eredménykim'!$B234,'Eredeti fejléccel'!$CT:$CT)</f>
        <v>0</v>
      </c>
      <c r="FZ234" s="6">
        <f>SUMIF('Eredeti fejléccel'!$B:$B,'Felosztás eredménykim'!$B234,'Eredeti fejléccel'!$CU:$CU)</f>
        <v>0</v>
      </c>
      <c r="GA234" s="103">
        <f t="shared" si="530"/>
        <v>0</v>
      </c>
      <c r="GB234" s="36">
        <f t="shared" si="480"/>
        <v>0</v>
      </c>
      <c r="GC234" s="101">
        <f t="shared" si="411"/>
        <v>0</v>
      </c>
      <c r="GD234" s="6">
        <f>SUMIF('Eredeti fejléccel'!$B:$B,'Felosztás eredménykim'!$B234,'Eredeti fejléccel'!$CV:$CV)</f>
        <v>0</v>
      </c>
      <c r="GE234" s="6">
        <f>SUMIF('Eredeti fejléccel'!$B:$B,'Felosztás eredménykim'!$B234,'Eredeti fejléccel'!$CW:$CW)</f>
        <v>0</v>
      </c>
      <c r="GF234" s="103">
        <f t="shared" si="531"/>
        <v>0</v>
      </c>
      <c r="GG234" s="36">
        <f t="shared" si="412"/>
        <v>0</v>
      </c>
      <c r="GM234" s="6">
        <f>SUMIF('Eredeti fejléccel'!$B:$B,'Felosztás eredménykim'!$B234,'Eredeti fejléccel'!$CX:$CX)</f>
        <v>0</v>
      </c>
      <c r="GN234" s="6">
        <f>SUMIF('Eredeti fejléccel'!$B:$B,'Felosztás eredménykim'!$B234,'Eredeti fejléccel'!$CY:$CY)</f>
        <v>0</v>
      </c>
      <c r="GO234" s="6">
        <f>SUMIF('Eredeti fejléccel'!$B:$B,'Felosztás eredménykim'!$B234,'Eredeti fejléccel'!$CZ:$CZ)</f>
        <v>0</v>
      </c>
      <c r="GP234" s="6">
        <f>SUMIF('Eredeti fejléccel'!$B:$B,'Felosztás eredménykim'!$B234,'Eredeti fejléccel'!$DA:$DA)</f>
        <v>0</v>
      </c>
      <c r="GQ234" s="6">
        <f>SUMIF('Eredeti fejléccel'!$B:$B,'Felosztás eredménykim'!$B234,'Eredeti fejléccel'!$DB:$DB)</f>
        <v>0</v>
      </c>
      <c r="GR234" s="103">
        <f t="shared" si="532"/>
        <v>0</v>
      </c>
      <c r="GW234" s="36">
        <f t="shared" si="413"/>
        <v>0</v>
      </c>
      <c r="GX234" s="6">
        <f>SUMIF('Eredeti fejléccel'!$B:$B,'Felosztás eredménykim'!$B234,'Eredeti fejléccel'!$M:$M)</f>
        <v>0</v>
      </c>
      <c r="GY234" s="6">
        <f>SUMIF('Eredeti fejléccel'!$B:$B,'Felosztás eredménykim'!$B234,'Eredeti fejléccel'!$DC:$DC)</f>
        <v>0</v>
      </c>
      <c r="GZ234" s="6">
        <f>SUMIF('Eredeti fejléccel'!$B:$B,'Felosztás eredménykim'!$B234,'Eredeti fejléccel'!$DD:$DD)</f>
        <v>0</v>
      </c>
      <c r="HA234" s="6">
        <f>SUMIF('Eredeti fejléccel'!$B:$B,'Felosztás eredménykim'!$B234,'Eredeti fejléccel'!$DE:$DE)</f>
        <v>0</v>
      </c>
      <c r="HB234" s="103">
        <f t="shared" si="533"/>
        <v>0</v>
      </c>
      <c r="HD234" s="9">
        <f t="shared" si="429"/>
        <v>-3450000</v>
      </c>
      <c r="HE234" s="9">
        <v>-3450000</v>
      </c>
      <c r="HF234" s="476"/>
      <c r="HH234" s="34">
        <f t="shared" si="534"/>
        <v>0</v>
      </c>
    </row>
    <row r="235" spans="1:218" x14ac:dyDescent="0.25">
      <c r="A235" s="4" t="s">
        <v>962</v>
      </c>
      <c r="B235" s="4" t="s">
        <v>962</v>
      </c>
      <c r="C235" s="1" t="s">
        <v>963</v>
      </c>
      <c r="D235" s="6">
        <f>SUMIF('Eredeti fejléccel'!$B:$B,'Felosztás eredménykim'!$B235,'Eredeti fejléccel'!$D:$D)</f>
        <v>0</v>
      </c>
      <c r="E235" s="6">
        <f>SUMIF('Eredeti fejléccel'!$B:$B,'Felosztás eredménykim'!$B235,'Eredeti fejléccel'!$E:$E)</f>
        <v>0</v>
      </c>
      <c r="F235" s="6">
        <f>SUMIF('Eredeti fejléccel'!$B:$B,'Felosztás eredménykim'!$B235,'Eredeti fejléccel'!$F:$F)</f>
        <v>0</v>
      </c>
      <c r="G235" s="6">
        <f>SUMIF('Eredeti fejléccel'!$B:$B,'Felosztás eredménykim'!$B235,'Eredeti fejléccel'!$G:$G)</f>
        <v>0</v>
      </c>
      <c r="H235" s="6"/>
      <c r="I235" s="6">
        <f>SUMIF('Eredeti fejléccel'!$B:$B,'Felosztás eredménykim'!$B235,'Eredeti fejléccel'!$O:$O)</f>
        <v>0</v>
      </c>
      <c r="J235" s="6">
        <f>SUMIF('Eredeti fejléccel'!$B:$B,'Felosztás eredménykim'!$B235,'Eredeti fejléccel'!$P:$P)</f>
        <v>0</v>
      </c>
      <c r="K235" s="6">
        <f>SUMIF('Eredeti fejléccel'!$B:$B,'Felosztás eredménykim'!$B235,'Eredeti fejléccel'!$Q:$Q)</f>
        <v>0</v>
      </c>
      <c r="L235" s="6">
        <f>SUMIF('Eredeti fejléccel'!$B:$B,'Felosztás eredménykim'!$B235,'Eredeti fejléccel'!$R:$R)</f>
        <v>0</v>
      </c>
      <c r="M235" s="6">
        <f>SUMIF('Eredeti fejléccel'!$B:$B,'Felosztás eredménykim'!$B235,'Eredeti fejléccel'!$T:$T)</f>
        <v>0</v>
      </c>
      <c r="N235" s="6">
        <f>SUMIF('Eredeti fejléccel'!$B:$B,'Felosztás eredménykim'!$B235,'Eredeti fejléccel'!$U:$U)</f>
        <v>0</v>
      </c>
      <c r="O235" s="6">
        <f>SUMIF('Eredeti fejléccel'!$B:$B,'Felosztás eredménykim'!$B235,'Eredeti fejléccel'!$V:$V)</f>
        <v>0</v>
      </c>
      <c r="P235" s="6">
        <f>SUMIF('Eredeti fejléccel'!$B:$B,'Felosztás eredménykim'!$B235,'Eredeti fejléccel'!$W:$W)</f>
        <v>0</v>
      </c>
      <c r="Q235" s="6">
        <f>SUMIF('Eredeti fejléccel'!$B:$B,'Felosztás eredménykim'!$B235,'Eredeti fejléccel'!$X:$X)</f>
        <v>0</v>
      </c>
      <c r="R235" s="6">
        <f>SUMIF('Eredeti fejléccel'!$B:$B,'Felosztás eredménykim'!$B235,'Eredeti fejléccel'!$Y:$Y)</f>
        <v>0</v>
      </c>
      <c r="S235" s="6">
        <f>SUMIF('Eredeti fejléccel'!$B:$B,'Felosztás eredménykim'!$B235,'Eredeti fejléccel'!$Z:$Z)</f>
        <v>0</v>
      </c>
      <c r="T235" s="6">
        <f>SUMIF('Eredeti fejléccel'!$B:$B,'Felosztás eredménykim'!$B235,'Eredeti fejléccel'!$AA:$AA)</f>
        <v>0</v>
      </c>
      <c r="U235" s="6">
        <f>SUMIF('Eredeti fejléccel'!$B:$B,'Felosztás eredménykim'!$B235,'Eredeti fejléccel'!$D:$D)</f>
        <v>0</v>
      </c>
      <c r="V235" s="6">
        <f>SUMIF('Eredeti fejléccel'!$B:$B,'Felosztás eredménykim'!$B235,'Eredeti fejléccel'!$AT:$AT)</f>
        <v>0</v>
      </c>
      <c r="X235" s="36">
        <f t="shared" si="414"/>
        <v>0</v>
      </c>
      <c r="Z235" s="6">
        <f>SUMIF('Eredeti fejléccel'!$B:$B,'Felosztás eredménykim'!$B235,'Eredeti fejléccel'!$K:$K)+21759800-78864</f>
        <v>-75347778</v>
      </c>
      <c r="AB235" s="6">
        <f>SUMIF('Eredeti fejléccel'!$B:$B,'Felosztás eredménykim'!$B235,'Eredeti fejléccel'!$AB:$AB)</f>
        <v>0</v>
      </c>
      <c r="AC235" s="6">
        <f>SUMIF('Eredeti fejléccel'!$B:$B,'Felosztás eredménykim'!$B235,'Eredeti fejléccel'!$AQ:$AQ)</f>
        <v>0</v>
      </c>
      <c r="AD235" s="73">
        <f t="shared" si="546"/>
        <v>75347778</v>
      </c>
      <c r="AE235" s="73">
        <f>SUM(Z235:AD235)</f>
        <v>0</v>
      </c>
      <c r="AF235" s="36">
        <f t="shared" si="470"/>
        <v>0</v>
      </c>
      <c r="AG235" s="8">
        <f t="shared" si="399"/>
        <v>0</v>
      </c>
      <c r="AI235" s="6">
        <f>SUMIF('Eredeti fejléccel'!$B:$B,'Felosztás eredménykim'!$B235,'Eredeti fejléccel'!$BB:$BB)</f>
        <v>0</v>
      </c>
      <c r="AJ235" s="6">
        <f>SUMIF('Eredeti fejléccel'!$B:$B,'Felosztás eredménykim'!$B235,'Eredeti fejléccel'!$AF:$AF)</f>
        <v>0</v>
      </c>
      <c r="AK235" s="8">
        <f>SUM(AG235:AJ235)</f>
        <v>0</v>
      </c>
      <c r="AL235" s="36">
        <f t="shared" si="471"/>
        <v>0</v>
      </c>
      <c r="AM235" s="8">
        <f t="shared" si="400"/>
        <v>0</v>
      </c>
      <c r="AN235" s="6">
        <f>-AO235/2</f>
        <v>0</v>
      </c>
      <c r="AO235" s="6">
        <f>SUMIF('Eredeti fejléccel'!$B:$B,'Felosztás eredménykim'!$B235,'Eredeti fejléccel'!$AC:$AC)</f>
        <v>0</v>
      </c>
      <c r="AP235" s="6">
        <f>SUMIF('Eredeti fejléccel'!$B:$B,'Felosztás eredménykim'!$B235,'Eredeti fejléccel'!$AD:$AD)</f>
        <v>0</v>
      </c>
      <c r="AQ235" s="6">
        <f>SUMIF('Eredeti fejléccel'!$B:$B,'Felosztás eredménykim'!$B235,'Eredeti fejléccel'!$AE:$AE)</f>
        <v>0</v>
      </c>
      <c r="AR235" s="6">
        <f>SUMIF('Eredeti fejléccel'!$B:$B,'Felosztás eredménykim'!$B235,'Eredeti fejléccel'!$AG:$AG)</f>
        <v>0</v>
      </c>
      <c r="AS235" s="6">
        <f t="shared" si="539"/>
        <v>0</v>
      </c>
      <c r="AT235" s="36">
        <f t="shared" si="472"/>
        <v>0</v>
      </c>
      <c r="AU235" s="8">
        <f t="shared" si="401"/>
        <v>0</v>
      </c>
      <c r="AV235" s="6">
        <f>SUMIF('Eredeti fejléccel'!$B:$B,'Felosztás eredménykim'!$B235,'Eredeti fejléccel'!$AI:$AI)</f>
        <v>0</v>
      </c>
      <c r="AW235" s="6">
        <f>SUMIF('Eredeti fejléccel'!$B:$B,'Felosztás eredménykim'!$B235,'Eredeti fejléccel'!$AJ:$AJ)</f>
        <v>0</v>
      </c>
      <c r="AX235" s="6">
        <f>SUMIF('Eredeti fejléccel'!$B:$B,'Felosztás eredménykim'!$B235,'Eredeti fejléccel'!$AK:$AK)</f>
        <v>0</v>
      </c>
      <c r="AY235" s="6">
        <f>SUMIF('Eredeti fejléccel'!$B:$B,'Felosztás eredménykim'!$B235,'Eredeti fejléccel'!$AL:$AL)</f>
        <v>0</v>
      </c>
      <c r="AZ235" s="6">
        <f>SUMIF('Eredeti fejléccel'!$B:$B,'Felosztás eredménykim'!$B235,'Eredeti fejléccel'!$AM:$AM)</f>
        <v>0</v>
      </c>
      <c r="BA235" s="6">
        <f>SUMIF('Eredeti fejléccel'!$B:$B,'Felosztás eredménykim'!$B235,'Eredeti fejléccel'!$AN:$AN)</f>
        <v>0</v>
      </c>
      <c r="BB235" s="6">
        <f>SUMIF('Eredeti fejléccel'!$B:$B,'Felosztás eredménykim'!$B235,'Eredeti fejléccel'!$AP:$AP)</f>
        <v>0</v>
      </c>
      <c r="BD235" s="6">
        <f>SUMIF('Eredeti fejléccel'!$B:$B,'Felosztás eredménykim'!$B235,'Eredeti fejléccel'!$AS:$AS)</f>
        <v>0</v>
      </c>
      <c r="BE235" s="8">
        <f>SUM(AU235:BD235)</f>
        <v>0</v>
      </c>
      <c r="BF235" s="36">
        <f t="shared" si="473"/>
        <v>0</v>
      </c>
      <c r="BG235" s="8">
        <f t="shared" si="402"/>
        <v>0</v>
      </c>
      <c r="BH235" s="6">
        <f t="shared" si="540"/>
        <v>0</v>
      </c>
      <c r="BI235" s="6">
        <f>SUMIF('Eredeti fejléccel'!$B:$B,'Felosztás eredménykim'!$B235,'Eredeti fejléccel'!$AH:$AH)</f>
        <v>0</v>
      </c>
      <c r="BJ235" s="6">
        <f>SUMIF('Eredeti fejléccel'!$B:$B,'Felosztás eredménykim'!$B235,'Eredeti fejléccel'!$AO:$AO)</f>
        <v>0</v>
      </c>
      <c r="BK235" s="6">
        <f>SUMIF('Eredeti fejléccel'!$B:$B,'Felosztás eredménykim'!$B235,'Eredeti fejléccel'!$BF:$BF)</f>
        <v>0</v>
      </c>
      <c r="BL235" s="8">
        <f t="shared" si="541"/>
        <v>0</v>
      </c>
      <c r="BM235" s="36">
        <f t="shared" si="474"/>
        <v>0</v>
      </c>
      <c r="BN235" s="8">
        <f t="shared" si="403"/>
        <v>0</v>
      </c>
      <c r="BP235" s="8">
        <f t="shared" si="542"/>
        <v>0</v>
      </c>
      <c r="BQ235" s="6">
        <f>SUMIF('Eredeti fejléccel'!$B:$B,'Felosztás eredménykim'!$B235,'Eredeti fejléccel'!$N:$N)</f>
        <v>0</v>
      </c>
      <c r="BR235" s="6">
        <f>SUMIF('Eredeti fejléccel'!$B:$B,'Felosztás eredménykim'!$B235,'Eredeti fejléccel'!$S:$S)</f>
        <v>0</v>
      </c>
      <c r="BT235" s="6">
        <f>SUMIF('Eredeti fejléccel'!$B:$B,'Felosztás eredménykim'!$B235,'Eredeti fejléccel'!$AR:$AR)</f>
        <v>0</v>
      </c>
      <c r="BU235" s="6">
        <f>SUMIF('Eredeti fejléccel'!$B:$B,'Felosztás eredménykim'!$B235,'Eredeti fejléccel'!$AU:$AU)</f>
        <v>0</v>
      </c>
      <c r="BV235" s="6">
        <f>SUMIF('Eredeti fejléccel'!$B:$B,'Felosztás eredménykim'!$B235,'Eredeti fejléccel'!$AV:$AV)</f>
        <v>0</v>
      </c>
      <c r="BW235" s="6">
        <f>SUMIF('Eredeti fejléccel'!$B:$B,'Felosztás eredménykim'!$B235,'Eredeti fejléccel'!$AW:$AW)</f>
        <v>0</v>
      </c>
      <c r="BX235" s="6">
        <f>SUMIF('Eredeti fejléccel'!$B:$B,'Felosztás eredménykim'!$B235,'Eredeti fejléccel'!$AX:$AX)</f>
        <v>0</v>
      </c>
      <c r="BY235" s="6">
        <f>SUMIF('Eredeti fejléccel'!$B:$B,'Felosztás eredménykim'!$B235,'Eredeti fejléccel'!$AY:$AY)</f>
        <v>0</v>
      </c>
      <c r="BZ235" s="6">
        <f>SUMIF('Eredeti fejléccel'!$B:$B,'Felosztás eredménykim'!$B235,'Eredeti fejléccel'!$AZ:$AZ)</f>
        <v>0</v>
      </c>
      <c r="CA235" s="6">
        <f>SUMIF('Eredeti fejléccel'!$B:$B,'Felosztás eredménykim'!$B235,'Eredeti fejléccel'!$BA:$BA)</f>
        <v>0</v>
      </c>
      <c r="CB235" s="6">
        <f t="shared" si="481"/>
        <v>0</v>
      </c>
      <c r="CC235" s="36">
        <f t="shared" si="475"/>
        <v>0</v>
      </c>
      <c r="CD235" s="8">
        <f t="shared" si="404"/>
        <v>0</v>
      </c>
      <c r="CE235" s="6">
        <f>SUMIF('Eredeti fejléccel'!$B:$B,'Felosztás eredménykim'!$B235,'Eredeti fejléccel'!$BC:$BC)</f>
        <v>0</v>
      </c>
      <c r="CF235" s="8">
        <f t="shared" si="300"/>
        <v>0</v>
      </c>
      <c r="CG235" s="6">
        <f>SUMIF('Eredeti fejléccel'!$B:$B,'Felosztás eredménykim'!$B235,'Eredeti fejléccel'!$H:$H)</f>
        <v>0</v>
      </c>
      <c r="CH235" s="6">
        <f>SUMIF('Eredeti fejléccel'!$B:$B,'Felosztás eredménykim'!$B235,'Eredeti fejléccel'!$BE:$BE)</f>
        <v>0</v>
      </c>
      <c r="CI235" s="6">
        <f>SUM(CD235:CH235)</f>
        <v>0</v>
      </c>
      <c r="CJ235" s="36">
        <f t="shared" si="476"/>
        <v>0</v>
      </c>
      <c r="CK235" s="8">
        <f t="shared" si="405"/>
        <v>0</v>
      </c>
      <c r="CL235" s="8">
        <f t="shared" si="301"/>
        <v>0</v>
      </c>
      <c r="CM235" s="6">
        <f>SUMIF('Eredeti fejléccel'!$B:$B,'Felosztás eredménykim'!$B235,'Eredeti fejléccel'!$BD:$BD)</f>
        <v>0</v>
      </c>
      <c r="CN235" s="8">
        <f>SUM(CK235:CM235)</f>
        <v>0</v>
      </c>
      <c r="CO235" s="8">
        <f t="shared" si="482"/>
        <v>0</v>
      </c>
      <c r="CR235" s="36">
        <f t="shared" si="406"/>
        <v>0</v>
      </c>
      <c r="CS235" s="6">
        <f>SUMIF('Eredeti fejléccel'!$B:$B,'Felosztás eredménykim'!$B235,'Eredeti fejléccel'!$I:$I)</f>
        <v>0</v>
      </c>
      <c r="CT235" s="6">
        <f>SUMIF('Eredeti fejléccel'!$B:$B,'Felosztás eredménykim'!$B235,'Eredeti fejléccel'!$BG:$BG)</f>
        <v>0</v>
      </c>
      <c r="CU235" s="6">
        <f>SUMIF('Eredeti fejléccel'!$B:$B,'Felosztás eredménykim'!$B235,'Eredeti fejléccel'!$BH:$BH)</f>
        <v>0</v>
      </c>
      <c r="CV235" s="6">
        <f>SUMIF('Eredeti fejléccel'!$B:$B,'Felosztás eredménykim'!$B235,'Eredeti fejléccel'!$BI:$BI)</f>
        <v>0</v>
      </c>
      <c r="CW235" s="6">
        <f>SUMIF('Eredeti fejléccel'!$B:$B,'Felosztás eredménykim'!$B235,'Eredeti fejléccel'!$BL:$BL)</f>
        <v>0</v>
      </c>
      <c r="CX235" s="6">
        <f>SUM(CS235:CW235)</f>
        <v>0</v>
      </c>
      <c r="CY235" s="6">
        <f>SUMIF('Eredeti fejléccel'!$B:$B,'Felosztás eredménykim'!$B235,'Eredeti fejléccel'!$BJ:$BJ)</f>
        <v>0</v>
      </c>
      <c r="CZ235" s="6">
        <f>SUMIF('Eredeti fejléccel'!$B:$B,'Felosztás eredménykim'!$B235,'Eredeti fejléccel'!$BK:$BK)</f>
        <v>0</v>
      </c>
      <c r="DA235" s="99">
        <f t="shared" si="415"/>
        <v>0</v>
      </c>
      <c r="DC235" s="36">
        <f t="shared" si="407"/>
        <v>0</v>
      </c>
      <c r="DD235" s="6">
        <f>SUMIF('Eredeti fejléccel'!$B:$B,'Felosztás eredménykim'!$B235,'Eredeti fejléccel'!$J:$J)</f>
        <v>0</v>
      </c>
      <c r="DE235" s="6">
        <f>SUMIF('Eredeti fejléccel'!$B:$B,'Felosztás eredménykim'!$B235,'Eredeti fejléccel'!$BM:$BM)</f>
        <v>0</v>
      </c>
      <c r="DF235" s="6">
        <f>-DI235</f>
        <v>0</v>
      </c>
      <c r="DG235" s="8">
        <f t="shared" si="483"/>
        <v>0</v>
      </c>
      <c r="DH235" s="8">
        <f t="shared" si="544"/>
        <v>0</v>
      </c>
      <c r="DJ235" s="6">
        <f>SUMIF('Eredeti fejléccel'!$B:$B,'Felosztás eredménykim'!$B235,'Eredeti fejléccel'!$BN:$BN)</f>
        <v>0</v>
      </c>
      <c r="DK235" s="6">
        <f>SUMIF('Eredeti fejléccel'!$B:$B,'Felosztás eredménykim'!$B235,'Eredeti fejléccel'!$BZ:$BZ)</f>
        <v>0</v>
      </c>
      <c r="DL235" s="8">
        <f>SUM(DI235:DK235)</f>
        <v>0</v>
      </c>
      <c r="DM235" s="6">
        <f>SUMIF('Eredeti fejléccel'!$B:$B,'Felosztás eredménykim'!$B235,'Eredeti fejléccel'!$BR:$BR)</f>
        <v>0</v>
      </c>
      <c r="DN235" s="6">
        <f>SUMIF('Eredeti fejléccel'!$B:$B,'Felosztás eredménykim'!$B235,'Eredeti fejléccel'!$BS:$BS)</f>
        <v>0</v>
      </c>
      <c r="DO235" s="6">
        <f>SUMIF('Eredeti fejléccel'!$B:$B,'Felosztás eredménykim'!$B235,'Eredeti fejléccel'!$BO:$BO)</f>
        <v>0</v>
      </c>
      <c r="DP235" s="6">
        <f>SUMIF('Eredeti fejléccel'!$B:$B,'Felosztás eredménykim'!$B235,'Eredeti fejléccel'!$BP:$BP)</f>
        <v>0</v>
      </c>
      <c r="DQ235" s="6">
        <f>SUMIF('Eredeti fejléccel'!$B:$B,'Felosztás eredménykim'!$B235,'Eredeti fejléccel'!$BQ:$BQ)</f>
        <v>0</v>
      </c>
      <c r="DS235" s="8"/>
      <c r="DU235" s="6">
        <f>SUMIF('Eredeti fejléccel'!$B:$B,'Felosztás eredménykim'!$B235,'Eredeti fejléccel'!$BT:$BT)</f>
        <v>0</v>
      </c>
      <c r="DV235" s="6">
        <f>SUMIF('Eredeti fejléccel'!$B:$B,'Felosztás eredménykim'!$B235,'Eredeti fejléccel'!$BU:$BU)</f>
        <v>0</v>
      </c>
      <c r="DW235" s="6">
        <f>SUMIF('Eredeti fejléccel'!$B:$B,'Felosztás eredménykim'!$B235,'Eredeti fejléccel'!$BV:$BV)</f>
        <v>0</v>
      </c>
      <c r="DX235" s="6">
        <f>SUMIF('Eredeti fejléccel'!$B:$B,'Felosztás eredménykim'!$B235,'Eredeti fejléccel'!$BW:$BW)</f>
        <v>0</v>
      </c>
      <c r="DY235" s="6">
        <f>SUMIF('Eredeti fejléccel'!$B:$B,'Felosztás eredménykim'!$B235,'Eredeti fejléccel'!$BX:$BX)</f>
        <v>0</v>
      </c>
      <c r="EA235" s="6"/>
      <c r="EC235" s="6"/>
      <c r="EE235" s="6">
        <f>SUMIF('Eredeti fejléccel'!$B:$B,'Felosztás eredménykim'!$B235,'Eredeti fejléccel'!$CA:$CA)</f>
        <v>0</v>
      </c>
      <c r="EF235" s="6">
        <f>SUMIF('Eredeti fejléccel'!$B:$B,'Felosztás eredménykim'!$B235,'Eredeti fejléccel'!$CB:$CB)</f>
        <v>0</v>
      </c>
      <c r="EG235" s="6">
        <f>SUMIF('Eredeti fejléccel'!$B:$B,'Felosztás eredménykim'!$B235,'Eredeti fejléccel'!$CC:$CC)</f>
        <v>0</v>
      </c>
      <c r="EH235" s="6">
        <f>SUMIF('Eredeti fejléccel'!$B:$B,'Felosztás eredménykim'!$B235,'Eredeti fejléccel'!$CD:$CD)</f>
        <v>0</v>
      </c>
      <c r="EK235" s="6">
        <f>SUMIF('Eredeti fejléccel'!$B:$B,'Felosztás eredménykim'!$B235,'Eredeti fejléccel'!$CE:$CE)</f>
        <v>0</v>
      </c>
      <c r="EN235" s="6">
        <f>SUMIF('Eredeti fejléccel'!$B:$B,'Felosztás eredménykim'!$B235,'Eredeti fejléccel'!$CF:$CF)</f>
        <v>0</v>
      </c>
      <c r="EP235" s="6">
        <f>SUMIF('Eredeti fejléccel'!$B:$B,'Felosztás eredménykim'!$B235,'Eredeti fejléccel'!$CG:$CG)</f>
        <v>0</v>
      </c>
      <c r="ES235" s="6">
        <f>SUMIF('Eredeti fejléccel'!$B:$B,'Felosztás eredménykim'!$B235,'Eredeti fejléccel'!$CH:$CH)</f>
        <v>0</v>
      </c>
      <c r="ET235" s="6">
        <f>SUMIF('Eredeti fejléccel'!$B:$B,'Felosztás eredménykim'!$B235,'Eredeti fejléccel'!$CI:$CI)</f>
        <v>0</v>
      </c>
      <c r="EW235" s="8">
        <f t="shared" si="535"/>
        <v>0</v>
      </c>
      <c r="EX235" s="8">
        <f>SUM(EE235:EV235)</f>
        <v>0</v>
      </c>
      <c r="EY235" s="8">
        <f t="shared" si="416"/>
        <v>0</v>
      </c>
      <c r="EZ235" s="8">
        <f t="shared" si="536"/>
        <v>0</v>
      </c>
      <c r="FA235" s="8">
        <f t="shared" si="537"/>
        <v>0</v>
      </c>
      <c r="FC235" s="6">
        <f>SUMIF('Eredeti fejléccel'!$B:$B,'Felosztás eredménykim'!$B235,'Eredeti fejléccel'!$L:$L)</f>
        <v>0</v>
      </c>
      <c r="FD235" s="6">
        <f>SUMIF('Eredeti fejléccel'!$B:$B,'Felosztás eredménykim'!$B235,'Eredeti fejléccel'!$CJ:$CJ)</f>
        <v>0</v>
      </c>
      <c r="FE235" s="6">
        <f>SUMIF('Eredeti fejléccel'!$B:$B,'Felosztás eredménykim'!$B235,'Eredeti fejléccel'!$CL:$CL)</f>
        <v>0</v>
      </c>
      <c r="FG235" s="99">
        <f>SUM(FC235:FF235)</f>
        <v>0</v>
      </c>
      <c r="FH235" s="6">
        <f>SUMIF('Eredeti fejléccel'!$B:$B,'Felosztás eredménykim'!$B235,'Eredeti fejléccel'!$CK:$CK)</f>
        <v>0</v>
      </c>
      <c r="FI235" s="36">
        <f t="shared" si="477"/>
        <v>0</v>
      </c>
      <c r="FJ235" s="101">
        <f t="shared" si="408"/>
        <v>0</v>
      </c>
      <c r="FK235" s="6">
        <f>SUMIF('Eredeti fejléccel'!$B:$B,'Felosztás eredménykim'!$B235,'Eredeti fejléccel'!$CM:$CM)</f>
        <v>0</v>
      </c>
      <c r="FL235" s="6">
        <f>SUMIF('Eredeti fejléccel'!$B:$B,'Felosztás eredménykim'!$B235,'Eredeti fejléccel'!$CN:$CN)</f>
        <v>0</v>
      </c>
      <c r="FM235" s="8">
        <f>SUM(FJ235:FL235)</f>
        <v>0</v>
      </c>
      <c r="FN235" s="36">
        <f t="shared" si="478"/>
        <v>0</v>
      </c>
      <c r="FO235" s="101">
        <f t="shared" si="409"/>
        <v>0</v>
      </c>
      <c r="FP235" s="6">
        <f>SUMIF('Eredeti fejléccel'!$B:$B,'Felosztás eredménykim'!$B235,'Eredeti fejléccel'!$CO:$CO)</f>
        <v>0</v>
      </c>
      <c r="FQ235" s="6">
        <f>'Eredeti fejléccel'!CP235</f>
        <v>0</v>
      </c>
      <c r="FR235" s="6">
        <f>'Eredeti fejléccel'!CQ235</f>
        <v>0</v>
      </c>
      <c r="FS235" s="103">
        <f t="shared" si="417"/>
        <v>0</v>
      </c>
      <c r="FT235" s="36">
        <f t="shared" si="479"/>
        <v>0</v>
      </c>
      <c r="FU235" s="101">
        <f t="shared" si="410"/>
        <v>0</v>
      </c>
      <c r="FV235" s="101"/>
      <c r="FW235" s="6">
        <f>SUMIF('Eredeti fejléccel'!$B:$B,'Felosztás eredménykim'!$B235,'Eredeti fejléccel'!$CR:$CR)</f>
        <v>0</v>
      </c>
      <c r="FX235" s="6">
        <f>SUMIF('Eredeti fejléccel'!$B:$B,'Felosztás eredménykim'!$B235,'Eredeti fejléccel'!$CS:$CS)</f>
        <v>0</v>
      </c>
      <c r="FY235" s="6">
        <f>SUMIF('Eredeti fejléccel'!$B:$B,'Felosztás eredménykim'!$B235,'Eredeti fejléccel'!$CT:$CT)</f>
        <v>0</v>
      </c>
      <c r="FZ235" s="6">
        <f>SUMIF('Eredeti fejléccel'!$B:$B,'Felosztás eredménykim'!$B235,'Eredeti fejléccel'!$CU:$CU)</f>
        <v>0</v>
      </c>
      <c r="GA235" s="103">
        <f>SUM(FU235:FZ235)</f>
        <v>0</v>
      </c>
      <c r="GB235" s="36">
        <f t="shared" si="480"/>
        <v>0</v>
      </c>
      <c r="GC235" s="101">
        <f t="shared" si="411"/>
        <v>0</v>
      </c>
      <c r="GD235" s="6">
        <f>SUMIF('Eredeti fejléccel'!$B:$B,'Felosztás eredménykim'!$B235,'Eredeti fejléccel'!$CV:$CV)</f>
        <v>0</v>
      </c>
      <c r="GE235" s="6">
        <f>SUMIF('Eredeti fejléccel'!$B:$B,'Felosztás eredménykim'!$B235,'Eredeti fejléccel'!$CW:$CW)</f>
        <v>0</v>
      </c>
      <c r="GF235" s="103">
        <f>SUM(GC235:GE235)</f>
        <v>0</v>
      </c>
      <c r="GG235" s="36">
        <f t="shared" si="412"/>
        <v>0</v>
      </c>
      <c r="GM235" s="6">
        <f>SUMIF('Eredeti fejléccel'!$B:$B,'Felosztás eredménykim'!$B235,'Eredeti fejléccel'!$CX:$CX)</f>
        <v>0</v>
      </c>
      <c r="GN235" s="6">
        <f>SUMIF('Eredeti fejléccel'!$B:$B,'Felosztás eredménykim'!$B235,'Eredeti fejléccel'!$CY:$CY)</f>
        <v>0</v>
      </c>
      <c r="GO235" s="6">
        <f>SUMIF('Eredeti fejléccel'!$B:$B,'Felosztás eredménykim'!$B235,'Eredeti fejléccel'!$CZ:$CZ)</f>
        <v>0</v>
      </c>
      <c r="GP235" s="6">
        <f>SUMIF('Eredeti fejléccel'!$B:$B,'Felosztás eredménykim'!$B235,'Eredeti fejléccel'!$DA:$DA)</f>
        <v>0</v>
      </c>
      <c r="GQ235" s="6">
        <f>SUMIF('Eredeti fejléccel'!$B:$B,'Felosztás eredménykim'!$B235,'Eredeti fejléccel'!$DB:$DB)</f>
        <v>0</v>
      </c>
      <c r="GR235" s="103">
        <f>SUM(GH235:GQ235)</f>
        <v>0</v>
      </c>
      <c r="GW235" s="36">
        <f t="shared" si="413"/>
        <v>0</v>
      </c>
      <c r="GX235" s="6">
        <f>SUMIF('Eredeti fejléccel'!$B:$B,'Felosztás eredménykim'!$B235,'Eredeti fejléccel'!$M:$M)</f>
        <v>0</v>
      </c>
      <c r="GY235" s="6">
        <f>SUMIF('Eredeti fejléccel'!$B:$B,'Felosztás eredménykim'!$B235,'Eredeti fejléccel'!$DC:$DC)</f>
        <v>0</v>
      </c>
      <c r="GZ235" s="6">
        <f>SUMIF('Eredeti fejléccel'!$B:$B,'Felosztás eredménykim'!$B235,'Eredeti fejléccel'!$DD:$DD)</f>
        <v>0</v>
      </c>
      <c r="HA235" s="6">
        <f>SUMIF('Eredeti fejléccel'!$B:$B,'Felosztás eredménykim'!$B235,'Eredeti fejléccel'!$DE:$DE)</f>
        <v>0</v>
      </c>
      <c r="HB235" s="103">
        <f>SUM(GX235:HA235)</f>
        <v>0</v>
      </c>
      <c r="HD235" s="9">
        <f t="shared" si="429"/>
        <v>-75347778</v>
      </c>
      <c r="HE235" s="9">
        <v>-97028714</v>
      </c>
      <c r="HF235" s="476"/>
      <c r="HH235" s="34">
        <f>+HD235-HE235</f>
        <v>21680936</v>
      </c>
    </row>
    <row r="236" spans="1:218" x14ac:dyDescent="0.25">
      <c r="A236" s="4" t="s">
        <v>964</v>
      </c>
      <c r="B236" s="4" t="s">
        <v>964</v>
      </c>
      <c r="C236" s="1" t="s">
        <v>965</v>
      </c>
      <c r="D236" s="6">
        <f>SUMIF('Eredeti fejléccel'!$B:$B,'Felosztás eredménykim'!$B236,'Eredeti fejléccel'!$D:$D)</f>
        <v>0</v>
      </c>
      <c r="E236" s="6">
        <f>SUMIF('Eredeti fejléccel'!$B:$B,'Felosztás eredménykim'!$B236,'Eredeti fejléccel'!$E:$E)</f>
        <v>0</v>
      </c>
      <c r="F236" s="6">
        <f>SUMIF('Eredeti fejléccel'!$B:$B,'Felosztás eredménykim'!$B236,'Eredeti fejléccel'!$F:$F)</f>
        <v>0</v>
      </c>
      <c r="G236" s="6">
        <f>SUMIF('Eredeti fejléccel'!$B:$B,'Felosztás eredménykim'!$B236,'Eredeti fejléccel'!$G:$G)</f>
        <v>0</v>
      </c>
      <c r="H236" s="6"/>
      <c r="I236" s="6">
        <f>SUMIF('Eredeti fejléccel'!$B:$B,'Felosztás eredménykim'!$B236,'Eredeti fejléccel'!$O:$O)</f>
        <v>0</v>
      </c>
      <c r="J236" s="6">
        <f>SUMIF('Eredeti fejléccel'!$B:$B,'Felosztás eredménykim'!$B236,'Eredeti fejléccel'!$P:$P)</f>
        <v>0</v>
      </c>
      <c r="K236" s="6">
        <f>SUMIF('Eredeti fejléccel'!$B:$B,'Felosztás eredménykim'!$B236,'Eredeti fejléccel'!$Q:$Q)</f>
        <v>0</v>
      </c>
      <c r="L236" s="6">
        <f>SUMIF('Eredeti fejléccel'!$B:$B,'Felosztás eredménykim'!$B236,'Eredeti fejléccel'!$R:$R)</f>
        <v>0</v>
      </c>
      <c r="M236" s="6">
        <f>SUMIF('Eredeti fejléccel'!$B:$B,'Felosztás eredménykim'!$B236,'Eredeti fejléccel'!$T:$T)</f>
        <v>0</v>
      </c>
      <c r="N236" s="6">
        <f>SUMIF('Eredeti fejléccel'!$B:$B,'Felosztás eredménykim'!$B236,'Eredeti fejléccel'!$U:$U)</f>
        <v>0</v>
      </c>
      <c r="O236" s="6">
        <f>SUMIF('Eredeti fejléccel'!$B:$B,'Felosztás eredménykim'!$B236,'Eredeti fejléccel'!$V:$V)</f>
        <v>0</v>
      </c>
      <c r="P236" s="6">
        <f>SUMIF('Eredeti fejléccel'!$B:$B,'Felosztás eredménykim'!$B236,'Eredeti fejléccel'!$W:$W)</f>
        <v>0</v>
      </c>
      <c r="Q236" s="6">
        <f>SUMIF('Eredeti fejléccel'!$B:$B,'Felosztás eredménykim'!$B236,'Eredeti fejléccel'!$X:$X)</f>
        <v>0</v>
      </c>
      <c r="R236" s="6">
        <f>SUMIF('Eredeti fejléccel'!$B:$B,'Felosztás eredménykim'!$B236,'Eredeti fejléccel'!$Y:$Y)</f>
        <v>0</v>
      </c>
      <c r="S236" s="6">
        <f>SUMIF('Eredeti fejléccel'!$B:$B,'Felosztás eredménykim'!$B236,'Eredeti fejléccel'!$Z:$Z)</f>
        <v>0</v>
      </c>
      <c r="T236" s="6">
        <f>SUMIF('Eredeti fejléccel'!$B:$B,'Felosztás eredménykim'!$B236,'Eredeti fejléccel'!$AA:$AA)</f>
        <v>0</v>
      </c>
      <c r="U236" s="6">
        <f>SUMIF('Eredeti fejléccel'!$B:$B,'Felosztás eredménykim'!$B236,'Eredeti fejléccel'!$D:$D)</f>
        <v>0</v>
      </c>
      <c r="V236" s="6">
        <f>SUMIF('Eredeti fejléccel'!$B:$B,'Felosztás eredménykim'!$B236,'Eredeti fejléccel'!$AT:$AT)</f>
        <v>0</v>
      </c>
      <c r="X236" s="36">
        <f t="shared" si="414"/>
        <v>0</v>
      </c>
      <c r="Z236" s="6">
        <f>SUMIF('Eredeti fejléccel'!$B:$B,'Felosztás eredménykim'!$B236,'Eredeti fejléccel'!$K:$K)+17014637-42094</f>
        <v>-276119231</v>
      </c>
      <c r="AB236" s="6">
        <f>SUMIF('Eredeti fejléccel'!$B:$B,'Felosztás eredménykim'!$B236,'Eredeti fejléccel'!$AB:$AB)</f>
        <v>0</v>
      </c>
      <c r="AC236" s="6">
        <f>SUMIF('Eredeti fejléccel'!$B:$B,'Felosztás eredménykim'!$B236,'Eredeti fejléccel'!$AQ:$AQ)</f>
        <v>0</v>
      </c>
      <c r="AD236" s="73">
        <f t="shared" si="546"/>
        <v>276119231</v>
      </c>
      <c r="AE236" s="73">
        <f>SUM(Z236:AD236)</f>
        <v>0</v>
      </c>
      <c r="AF236" s="36">
        <f t="shared" si="470"/>
        <v>0</v>
      </c>
      <c r="AG236" s="8">
        <f t="shared" si="399"/>
        <v>0</v>
      </c>
      <c r="AI236" s="6">
        <f>SUMIF('Eredeti fejléccel'!$B:$B,'Felosztás eredménykim'!$B236,'Eredeti fejléccel'!$BB:$BB)</f>
        <v>0</v>
      </c>
      <c r="AJ236" s="6">
        <f>SUMIF('Eredeti fejléccel'!$B:$B,'Felosztás eredménykim'!$B236,'Eredeti fejléccel'!$AF:$AF)</f>
        <v>0</v>
      </c>
      <c r="AK236" s="8">
        <f>SUM(AG236:AJ236)</f>
        <v>0</v>
      </c>
      <c r="AL236" s="36">
        <f t="shared" si="471"/>
        <v>0</v>
      </c>
      <c r="AM236" s="8">
        <f t="shared" si="400"/>
        <v>0</v>
      </c>
      <c r="AN236" s="6">
        <f>-AO236/2</f>
        <v>0</v>
      </c>
      <c r="AO236" s="6">
        <f>SUMIF('Eredeti fejléccel'!$B:$B,'Felosztás eredménykim'!$B236,'Eredeti fejléccel'!$AC:$AC)</f>
        <v>0</v>
      </c>
      <c r="AP236" s="6">
        <f>SUMIF('Eredeti fejléccel'!$B:$B,'Felosztás eredménykim'!$B236,'Eredeti fejléccel'!$AD:$AD)</f>
        <v>0</v>
      </c>
      <c r="AQ236" s="6">
        <f>SUMIF('Eredeti fejléccel'!$B:$B,'Felosztás eredménykim'!$B236,'Eredeti fejléccel'!$AE:$AE)</f>
        <v>0</v>
      </c>
      <c r="AR236" s="6">
        <f>SUMIF('Eredeti fejléccel'!$B:$B,'Felosztás eredménykim'!$B236,'Eredeti fejléccel'!$AG:$AG)</f>
        <v>0</v>
      </c>
      <c r="AS236" s="6">
        <f t="shared" si="539"/>
        <v>0</v>
      </c>
      <c r="AT236" s="36">
        <f t="shared" si="472"/>
        <v>0</v>
      </c>
      <c r="AU236" s="8">
        <f t="shared" si="401"/>
        <v>0</v>
      </c>
      <c r="AV236" s="6">
        <f>SUMIF('Eredeti fejléccel'!$B:$B,'Felosztás eredménykim'!$B236,'Eredeti fejléccel'!$AI:$AI)</f>
        <v>0</v>
      </c>
      <c r="AW236" s="6">
        <f>SUMIF('Eredeti fejléccel'!$B:$B,'Felosztás eredménykim'!$B236,'Eredeti fejléccel'!$AJ:$AJ)</f>
        <v>0</v>
      </c>
      <c r="AX236" s="6">
        <f>SUMIF('Eredeti fejléccel'!$B:$B,'Felosztás eredménykim'!$B236,'Eredeti fejléccel'!$AK:$AK)</f>
        <v>0</v>
      </c>
      <c r="AY236" s="6">
        <f>SUMIF('Eredeti fejléccel'!$B:$B,'Felosztás eredménykim'!$B236,'Eredeti fejléccel'!$AL:$AL)</f>
        <v>0</v>
      </c>
      <c r="AZ236" s="6">
        <f>SUMIF('Eredeti fejléccel'!$B:$B,'Felosztás eredménykim'!$B236,'Eredeti fejléccel'!$AM:$AM)</f>
        <v>0</v>
      </c>
      <c r="BA236" s="6">
        <f>SUMIF('Eredeti fejléccel'!$B:$B,'Felosztás eredménykim'!$B236,'Eredeti fejléccel'!$AN:$AN)</f>
        <v>0</v>
      </c>
      <c r="BB236" s="6">
        <f>SUMIF('Eredeti fejléccel'!$B:$B,'Felosztás eredménykim'!$B236,'Eredeti fejléccel'!$AP:$AP)</f>
        <v>0</v>
      </c>
      <c r="BD236" s="6">
        <f>SUMIF('Eredeti fejléccel'!$B:$B,'Felosztás eredménykim'!$B236,'Eredeti fejléccel'!$AS:$AS)</f>
        <v>0</v>
      </c>
      <c r="BE236" s="8">
        <f>SUM(AU236:BD236)</f>
        <v>0</v>
      </c>
      <c r="BF236" s="36">
        <f t="shared" si="473"/>
        <v>0</v>
      </c>
      <c r="BG236" s="8">
        <f t="shared" si="402"/>
        <v>0</v>
      </c>
      <c r="BH236" s="6">
        <f t="shared" si="540"/>
        <v>0</v>
      </c>
      <c r="BI236" s="6">
        <f>SUMIF('Eredeti fejléccel'!$B:$B,'Felosztás eredménykim'!$B236,'Eredeti fejléccel'!$AH:$AH)</f>
        <v>0</v>
      </c>
      <c r="BJ236" s="6">
        <f>SUMIF('Eredeti fejléccel'!$B:$B,'Felosztás eredménykim'!$B236,'Eredeti fejléccel'!$AO:$AO)</f>
        <v>0</v>
      </c>
      <c r="BK236" s="6">
        <f>SUMIF('Eredeti fejléccel'!$B:$B,'Felosztás eredménykim'!$B236,'Eredeti fejléccel'!$BF:$BF)</f>
        <v>0</v>
      </c>
      <c r="BL236" s="8">
        <f t="shared" si="541"/>
        <v>0</v>
      </c>
      <c r="BM236" s="36">
        <f t="shared" si="474"/>
        <v>0</v>
      </c>
      <c r="BN236" s="8">
        <f t="shared" si="403"/>
        <v>0</v>
      </c>
      <c r="BP236" s="8">
        <f t="shared" si="542"/>
        <v>0</v>
      </c>
      <c r="BQ236" s="6">
        <f>SUMIF('Eredeti fejléccel'!$B:$B,'Felosztás eredménykim'!$B236,'Eredeti fejléccel'!$N:$N)</f>
        <v>0</v>
      </c>
      <c r="BR236" s="6">
        <f>SUMIF('Eredeti fejléccel'!$B:$B,'Felosztás eredménykim'!$B236,'Eredeti fejléccel'!$S:$S)</f>
        <v>0</v>
      </c>
      <c r="BT236" s="6">
        <f>SUMIF('Eredeti fejléccel'!$B:$B,'Felosztás eredménykim'!$B236,'Eredeti fejléccel'!$AR:$AR)</f>
        <v>0</v>
      </c>
      <c r="BU236" s="6">
        <f>SUMIF('Eredeti fejléccel'!$B:$B,'Felosztás eredménykim'!$B236,'Eredeti fejléccel'!$AU:$AU)</f>
        <v>0</v>
      </c>
      <c r="BV236" s="6">
        <f>SUMIF('Eredeti fejléccel'!$B:$B,'Felosztás eredménykim'!$B236,'Eredeti fejléccel'!$AV:$AV)</f>
        <v>0</v>
      </c>
      <c r="BW236" s="6">
        <f>SUMIF('Eredeti fejléccel'!$B:$B,'Felosztás eredménykim'!$B236,'Eredeti fejléccel'!$AW:$AW)</f>
        <v>0</v>
      </c>
      <c r="BX236" s="6">
        <f>SUMIF('Eredeti fejléccel'!$B:$B,'Felosztás eredménykim'!$B236,'Eredeti fejléccel'!$AX:$AX)</f>
        <v>0</v>
      </c>
      <c r="BY236" s="6">
        <f>SUMIF('Eredeti fejléccel'!$B:$B,'Felosztás eredménykim'!$B236,'Eredeti fejléccel'!$AY:$AY)</f>
        <v>0</v>
      </c>
      <c r="BZ236" s="6">
        <f>SUMIF('Eredeti fejléccel'!$B:$B,'Felosztás eredménykim'!$B236,'Eredeti fejléccel'!$AZ:$AZ)</f>
        <v>0</v>
      </c>
      <c r="CA236" s="6">
        <f>SUMIF('Eredeti fejléccel'!$B:$B,'Felosztás eredménykim'!$B236,'Eredeti fejléccel'!$BA:$BA)</f>
        <v>0</v>
      </c>
      <c r="CB236" s="6">
        <f t="shared" si="481"/>
        <v>0</v>
      </c>
      <c r="CC236" s="36">
        <f t="shared" si="475"/>
        <v>0</v>
      </c>
      <c r="CD236" s="8">
        <f t="shared" si="404"/>
        <v>0</v>
      </c>
      <c r="CE236" s="6">
        <f>SUMIF('Eredeti fejléccel'!$B:$B,'Felosztás eredménykim'!$B236,'Eredeti fejléccel'!$BC:$BC)</f>
        <v>0</v>
      </c>
      <c r="CF236" s="8">
        <f t="shared" si="300"/>
        <v>0</v>
      </c>
      <c r="CG236" s="6">
        <f>SUMIF('Eredeti fejléccel'!$B:$B,'Felosztás eredménykim'!$B236,'Eredeti fejléccel'!$H:$H)</f>
        <v>0</v>
      </c>
      <c r="CH236" s="6">
        <f>SUMIF('Eredeti fejléccel'!$B:$B,'Felosztás eredménykim'!$B236,'Eredeti fejléccel'!$BE:$BE)</f>
        <v>0</v>
      </c>
      <c r="CI236" s="6">
        <f>SUM(CD236:CH236)</f>
        <v>0</v>
      </c>
      <c r="CJ236" s="36">
        <f t="shared" si="476"/>
        <v>0</v>
      </c>
      <c r="CK236" s="8">
        <f t="shared" si="405"/>
        <v>0</v>
      </c>
      <c r="CL236" s="8">
        <f t="shared" si="301"/>
        <v>0</v>
      </c>
      <c r="CM236" s="6">
        <f>SUMIF('Eredeti fejléccel'!$B:$B,'Felosztás eredménykim'!$B236,'Eredeti fejléccel'!$BD:$BD)</f>
        <v>0</v>
      </c>
      <c r="CN236" s="8">
        <f>SUM(CK236:CM236)</f>
        <v>0</v>
      </c>
      <c r="CO236" s="8">
        <f t="shared" si="482"/>
        <v>0</v>
      </c>
      <c r="CR236" s="36">
        <f t="shared" si="406"/>
        <v>0</v>
      </c>
      <c r="CS236" s="6">
        <f>SUMIF('Eredeti fejléccel'!$B:$B,'Felosztás eredménykim'!$B236,'Eredeti fejléccel'!$I:$I)</f>
        <v>0</v>
      </c>
      <c r="CT236" s="6">
        <f>SUMIF('Eredeti fejléccel'!$B:$B,'Felosztás eredménykim'!$B236,'Eredeti fejléccel'!$BG:$BG)</f>
        <v>0</v>
      </c>
      <c r="CU236" s="6">
        <f>SUMIF('Eredeti fejléccel'!$B:$B,'Felosztás eredménykim'!$B236,'Eredeti fejléccel'!$BH:$BH)</f>
        <v>0</v>
      </c>
      <c r="CV236" s="6">
        <f>SUMIF('Eredeti fejléccel'!$B:$B,'Felosztás eredménykim'!$B236,'Eredeti fejléccel'!$BI:$BI)</f>
        <v>0</v>
      </c>
      <c r="CW236" s="6">
        <f>SUMIF('Eredeti fejléccel'!$B:$B,'Felosztás eredménykim'!$B236,'Eredeti fejléccel'!$BL:$BL)</f>
        <v>0</v>
      </c>
      <c r="CX236" s="6">
        <f>SUM(CS236:CW236)</f>
        <v>0</v>
      </c>
      <c r="CY236" s="6">
        <f>SUMIF('Eredeti fejléccel'!$B:$B,'Felosztás eredménykim'!$B236,'Eredeti fejléccel'!$BJ:$BJ)</f>
        <v>0</v>
      </c>
      <c r="CZ236" s="6">
        <f>SUMIF('Eredeti fejléccel'!$B:$B,'Felosztás eredménykim'!$B236,'Eredeti fejléccel'!$BK:$BK)</f>
        <v>0</v>
      </c>
      <c r="DA236" s="99">
        <f t="shared" si="415"/>
        <v>0</v>
      </c>
      <c r="DC236" s="36">
        <f t="shared" si="407"/>
        <v>0</v>
      </c>
      <c r="DD236" s="6">
        <f>SUMIF('Eredeti fejléccel'!$B:$B,'Felosztás eredménykim'!$B236,'Eredeti fejléccel'!$J:$J)</f>
        <v>0</v>
      </c>
      <c r="DE236" s="6">
        <f>SUMIF('Eredeti fejléccel'!$B:$B,'Felosztás eredménykim'!$B236,'Eredeti fejléccel'!$BM:$BM)</f>
        <v>0</v>
      </c>
      <c r="DF236" s="6">
        <f>-DI236</f>
        <v>0</v>
      </c>
      <c r="DG236" s="8">
        <f t="shared" si="483"/>
        <v>0</v>
      </c>
      <c r="DH236" s="8">
        <f t="shared" si="544"/>
        <v>0</v>
      </c>
      <c r="DJ236" s="6">
        <f>SUMIF('Eredeti fejléccel'!$B:$B,'Felosztás eredménykim'!$B236,'Eredeti fejléccel'!$BN:$BN)</f>
        <v>0</v>
      </c>
      <c r="DK236" s="6">
        <f>SUMIF('Eredeti fejléccel'!$B:$B,'Felosztás eredménykim'!$B236,'Eredeti fejléccel'!$BZ:$BZ)</f>
        <v>0</v>
      </c>
      <c r="DL236" s="8">
        <f>SUM(DI236:DK236)</f>
        <v>0</v>
      </c>
      <c r="DM236" s="6">
        <f>SUMIF('Eredeti fejléccel'!$B:$B,'Felosztás eredménykim'!$B236,'Eredeti fejléccel'!$BR:$BR)</f>
        <v>0</v>
      </c>
      <c r="DN236" s="6">
        <f>SUMIF('Eredeti fejléccel'!$B:$B,'Felosztás eredménykim'!$B236,'Eredeti fejléccel'!$BS:$BS)</f>
        <v>0</v>
      </c>
      <c r="DO236" s="6">
        <f>SUMIF('Eredeti fejléccel'!$B:$B,'Felosztás eredménykim'!$B236,'Eredeti fejléccel'!$BO:$BO)</f>
        <v>0</v>
      </c>
      <c r="DP236" s="6">
        <f>SUMIF('Eredeti fejléccel'!$B:$B,'Felosztás eredménykim'!$B236,'Eredeti fejléccel'!$BP:$BP)</f>
        <v>0</v>
      </c>
      <c r="DQ236" s="6">
        <f>SUMIF('Eredeti fejléccel'!$B:$B,'Felosztás eredménykim'!$B236,'Eredeti fejléccel'!$BQ:$BQ)</f>
        <v>0</v>
      </c>
      <c r="DS236" s="8"/>
      <c r="DU236" s="6">
        <f>SUMIF('Eredeti fejléccel'!$B:$B,'Felosztás eredménykim'!$B236,'Eredeti fejléccel'!$BT:$BT)</f>
        <v>0</v>
      </c>
      <c r="DV236" s="6">
        <f>SUMIF('Eredeti fejléccel'!$B:$B,'Felosztás eredménykim'!$B236,'Eredeti fejléccel'!$BU:$BU)</f>
        <v>0</v>
      </c>
      <c r="DW236" s="6">
        <f>SUMIF('Eredeti fejléccel'!$B:$B,'Felosztás eredménykim'!$B236,'Eredeti fejléccel'!$BV:$BV)</f>
        <v>0</v>
      </c>
      <c r="DX236" s="6">
        <f>SUMIF('Eredeti fejléccel'!$B:$B,'Felosztás eredménykim'!$B236,'Eredeti fejléccel'!$BW:$BW)</f>
        <v>0</v>
      </c>
      <c r="DY236" s="6">
        <f>SUMIF('Eredeti fejléccel'!$B:$B,'Felosztás eredménykim'!$B236,'Eredeti fejléccel'!$BX:$BX)</f>
        <v>0</v>
      </c>
      <c r="EA236" s="6"/>
      <c r="EC236" s="6"/>
      <c r="EE236" s="6">
        <f>SUMIF('Eredeti fejléccel'!$B:$B,'Felosztás eredménykim'!$B236,'Eredeti fejléccel'!$CA:$CA)</f>
        <v>0</v>
      </c>
      <c r="EF236" s="6">
        <f>SUMIF('Eredeti fejléccel'!$B:$B,'Felosztás eredménykim'!$B236,'Eredeti fejléccel'!$CB:$CB)</f>
        <v>0</v>
      </c>
      <c r="EG236" s="6">
        <f>SUMIF('Eredeti fejléccel'!$B:$B,'Felosztás eredménykim'!$B236,'Eredeti fejléccel'!$CC:$CC)</f>
        <v>0</v>
      </c>
      <c r="EH236" s="6">
        <f>SUMIF('Eredeti fejléccel'!$B:$B,'Felosztás eredménykim'!$B236,'Eredeti fejléccel'!$CD:$CD)</f>
        <v>0</v>
      </c>
      <c r="EK236" s="6">
        <f>SUMIF('Eredeti fejléccel'!$B:$B,'Felosztás eredménykim'!$B236,'Eredeti fejléccel'!$CE:$CE)</f>
        <v>0</v>
      </c>
      <c r="EN236" s="6">
        <f>SUMIF('Eredeti fejléccel'!$B:$B,'Felosztás eredménykim'!$B236,'Eredeti fejléccel'!$CF:$CF)</f>
        <v>0</v>
      </c>
      <c r="EP236" s="6">
        <f>SUMIF('Eredeti fejléccel'!$B:$B,'Felosztás eredménykim'!$B236,'Eredeti fejléccel'!$CG:$CG)</f>
        <v>0</v>
      </c>
      <c r="ES236" s="6">
        <f>SUMIF('Eredeti fejléccel'!$B:$B,'Felosztás eredménykim'!$B236,'Eredeti fejléccel'!$CH:$CH)</f>
        <v>0</v>
      </c>
      <c r="ET236" s="6">
        <f>SUMIF('Eredeti fejléccel'!$B:$B,'Felosztás eredménykim'!$B236,'Eredeti fejléccel'!$CI:$CI)</f>
        <v>0</v>
      </c>
      <c r="EW236" s="8">
        <f t="shared" si="535"/>
        <v>0</v>
      </c>
      <c r="EX236" s="8">
        <f>SUM(EE236:EV236)</f>
        <v>0</v>
      </c>
      <c r="EY236" s="8">
        <f t="shared" si="416"/>
        <v>0</v>
      </c>
      <c r="EZ236" s="8">
        <f t="shared" si="536"/>
        <v>0</v>
      </c>
      <c r="FA236" s="8">
        <f t="shared" si="537"/>
        <v>0</v>
      </c>
      <c r="FC236" s="6">
        <f>SUMIF('Eredeti fejléccel'!$B:$B,'Felosztás eredménykim'!$B236,'Eredeti fejléccel'!$L:$L)</f>
        <v>0</v>
      </c>
      <c r="FD236" s="6">
        <f>SUMIF('Eredeti fejléccel'!$B:$B,'Felosztás eredménykim'!$B236,'Eredeti fejléccel'!$CJ:$CJ)</f>
        <v>0</v>
      </c>
      <c r="FE236" s="6">
        <f>SUMIF('Eredeti fejléccel'!$B:$B,'Felosztás eredménykim'!$B236,'Eredeti fejléccel'!$CL:$CL)</f>
        <v>0</v>
      </c>
      <c r="FG236" s="99">
        <f>SUM(FC236:FF236)</f>
        <v>0</v>
      </c>
      <c r="FH236" s="6">
        <f>SUMIF('Eredeti fejléccel'!$B:$B,'Felosztás eredménykim'!$B236,'Eredeti fejléccel'!$CK:$CK)</f>
        <v>0</v>
      </c>
      <c r="FI236" s="36">
        <f t="shared" si="477"/>
        <v>0</v>
      </c>
      <c r="FJ236" s="101">
        <f t="shared" si="408"/>
        <v>0</v>
      </c>
      <c r="FK236" s="6">
        <f>SUMIF('Eredeti fejléccel'!$B:$B,'Felosztás eredménykim'!$B236,'Eredeti fejléccel'!$CM:$CM)</f>
        <v>0</v>
      </c>
      <c r="FL236" s="6">
        <f>SUMIF('Eredeti fejléccel'!$B:$B,'Felosztás eredménykim'!$B236,'Eredeti fejléccel'!$CN:$CN)</f>
        <v>0</v>
      </c>
      <c r="FM236" s="8">
        <f>SUM(FJ236:FL236)</f>
        <v>0</v>
      </c>
      <c r="FN236" s="36">
        <f t="shared" si="478"/>
        <v>0</v>
      </c>
      <c r="FO236" s="101">
        <f t="shared" si="409"/>
        <v>0</v>
      </c>
      <c r="FP236" s="6">
        <f>SUMIF('Eredeti fejléccel'!$B:$B,'Felosztás eredménykim'!$B236,'Eredeti fejléccel'!$CO:$CO)</f>
        <v>0</v>
      </c>
      <c r="FQ236" s="6">
        <f>'Eredeti fejléccel'!CP236</f>
        <v>0</v>
      </c>
      <c r="FR236" s="6">
        <f>'Eredeti fejléccel'!CQ236</f>
        <v>0</v>
      </c>
      <c r="FS236" s="103">
        <f t="shared" si="417"/>
        <v>0</v>
      </c>
      <c r="FT236" s="36">
        <f t="shared" si="479"/>
        <v>0</v>
      </c>
      <c r="FU236" s="101">
        <f t="shared" si="410"/>
        <v>0</v>
      </c>
      <c r="FV236" s="101"/>
      <c r="FW236" s="6">
        <f>SUMIF('Eredeti fejléccel'!$B:$B,'Felosztás eredménykim'!$B236,'Eredeti fejléccel'!$CR:$CR)</f>
        <v>0</v>
      </c>
      <c r="FX236" s="6">
        <f>SUMIF('Eredeti fejléccel'!$B:$B,'Felosztás eredménykim'!$B236,'Eredeti fejléccel'!$CS:$CS)</f>
        <v>0</v>
      </c>
      <c r="FY236" s="6">
        <f>SUMIF('Eredeti fejléccel'!$B:$B,'Felosztás eredménykim'!$B236,'Eredeti fejléccel'!$CT:$CT)</f>
        <v>0</v>
      </c>
      <c r="FZ236" s="6">
        <f>SUMIF('Eredeti fejléccel'!$B:$B,'Felosztás eredménykim'!$B236,'Eredeti fejléccel'!$CU:$CU)</f>
        <v>0</v>
      </c>
      <c r="GA236" s="103">
        <f>SUM(FU236:FZ236)</f>
        <v>0</v>
      </c>
      <c r="GB236" s="36">
        <f t="shared" si="480"/>
        <v>0</v>
      </c>
      <c r="GC236" s="101">
        <f t="shared" si="411"/>
        <v>0</v>
      </c>
      <c r="GD236" s="6">
        <f>SUMIF('Eredeti fejléccel'!$B:$B,'Felosztás eredménykim'!$B236,'Eredeti fejléccel'!$CV:$CV)</f>
        <v>0</v>
      </c>
      <c r="GE236" s="6">
        <f>SUMIF('Eredeti fejléccel'!$B:$B,'Felosztás eredménykim'!$B236,'Eredeti fejléccel'!$CW:$CW)</f>
        <v>0</v>
      </c>
      <c r="GF236" s="103">
        <f>SUM(GC236:GE236)</f>
        <v>0</v>
      </c>
      <c r="GG236" s="36">
        <f t="shared" si="412"/>
        <v>0</v>
      </c>
      <c r="GM236" s="6">
        <f>SUMIF('Eredeti fejléccel'!$B:$B,'Felosztás eredménykim'!$B236,'Eredeti fejléccel'!$CX:$CX)</f>
        <v>0</v>
      </c>
      <c r="GN236" s="6">
        <f>SUMIF('Eredeti fejléccel'!$B:$B,'Felosztás eredménykim'!$B236,'Eredeti fejléccel'!$CY:$CY)</f>
        <v>0</v>
      </c>
      <c r="GO236" s="6">
        <f>SUMIF('Eredeti fejléccel'!$B:$B,'Felosztás eredménykim'!$B236,'Eredeti fejléccel'!$CZ:$CZ)</f>
        <v>0</v>
      </c>
      <c r="GP236" s="6">
        <f>SUMIF('Eredeti fejléccel'!$B:$B,'Felosztás eredménykim'!$B236,'Eredeti fejléccel'!$DA:$DA)</f>
        <v>0</v>
      </c>
      <c r="GQ236" s="6">
        <f>SUMIF('Eredeti fejléccel'!$B:$B,'Felosztás eredménykim'!$B236,'Eredeti fejléccel'!$DB:$DB)</f>
        <v>0</v>
      </c>
      <c r="GR236" s="103">
        <f>SUM(GH236:GQ236)</f>
        <v>0</v>
      </c>
      <c r="GW236" s="36">
        <f t="shared" si="413"/>
        <v>0</v>
      </c>
      <c r="GX236" s="6">
        <f>SUMIF('Eredeti fejléccel'!$B:$B,'Felosztás eredménykim'!$B236,'Eredeti fejléccel'!$M:$M)</f>
        <v>0</v>
      </c>
      <c r="GY236" s="6">
        <f>SUMIF('Eredeti fejléccel'!$B:$B,'Felosztás eredménykim'!$B236,'Eredeti fejléccel'!$DC:$DC)</f>
        <v>0</v>
      </c>
      <c r="GZ236" s="6">
        <f>SUMIF('Eredeti fejléccel'!$B:$B,'Felosztás eredménykim'!$B236,'Eredeti fejléccel'!$DD:$DD)</f>
        <v>0</v>
      </c>
      <c r="HA236" s="6">
        <f>SUMIF('Eredeti fejléccel'!$B:$B,'Felosztás eredménykim'!$B236,'Eredeti fejléccel'!$DE:$DE)</f>
        <v>0</v>
      </c>
      <c r="HB236" s="103">
        <f>SUM(GX236:HA236)</f>
        <v>0</v>
      </c>
      <c r="HD236" s="9">
        <f t="shared" si="429"/>
        <v>-276119231</v>
      </c>
      <c r="HE236" s="9">
        <v>-293091774</v>
      </c>
      <c r="HF236" s="476"/>
      <c r="HH236" s="34">
        <f>+HD236-HE236</f>
        <v>16972543</v>
      </c>
    </row>
    <row r="237" spans="1:218" x14ac:dyDescent="0.25">
      <c r="A237" s="4" t="s">
        <v>966</v>
      </c>
      <c r="B237" s="4" t="s">
        <v>966</v>
      </c>
      <c r="C237" s="1" t="s">
        <v>967</v>
      </c>
      <c r="D237" s="6">
        <f>SUMIF('Eredeti fejléccel'!$B:$B,'Felosztás eredménykim'!$B237,'Eredeti fejléccel'!$D:$D)</f>
        <v>0</v>
      </c>
      <c r="E237" s="6">
        <f>SUMIF('Eredeti fejléccel'!$B:$B,'Felosztás eredménykim'!$B237,'Eredeti fejléccel'!$E:$E)</f>
        <v>0</v>
      </c>
      <c r="F237" s="6">
        <f>SUMIF('Eredeti fejléccel'!$B:$B,'Felosztás eredménykim'!$B237,'Eredeti fejléccel'!$F:$F)</f>
        <v>0</v>
      </c>
      <c r="G237" s="6">
        <f>SUMIF('Eredeti fejléccel'!$B:$B,'Felosztás eredménykim'!$B237,'Eredeti fejléccel'!$G:$G)</f>
        <v>0</v>
      </c>
      <c r="H237" s="6"/>
      <c r="I237" s="6">
        <f>SUMIF('Eredeti fejléccel'!$B:$B,'Felosztás eredménykim'!$B237,'Eredeti fejléccel'!$O:$O)</f>
        <v>0</v>
      </c>
      <c r="J237" s="6">
        <f>SUMIF('Eredeti fejléccel'!$B:$B,'Felosztás eredménykim'!$B237,'Eredeti fejléccel'!$P:$P)</f>
        <v>0</v>
      </c>
      <c r="K237" s="6">
        <f>SUMIF('Eredeti fejléccel'!$B:$B,'Felosztás eredménykim'!$B237,'Eredeti fejléccel'!$Q:$Q)</f>
        <v>0</v>
      </c>
      <c r="L237" s="6">
        <f>SUMIF('Eredeti fejléccel'!$B:$B,'Felosztás eredménykim'!$B237,'Eredeti fejléccel'!$R:$R)</f>
        <v>0</v>
      </c>
      <c r="M237" s="6">
        <f>SUMIF('Eredeti fejléccel'!$B:$B,'Felosztás eredménykim'!$B237,'Eredeti fejléccel'!$T:$T)</f>
        <v>0</v>
      </c>
      <c r="N237" s="6">
        <f>SUMIF('Eredeti fejléccel'!$B:$B,'Felosztás eredménykim'!$B237,'Eredeti fejléccel'!$U:$U)</f>
        <v>0</v>
      </c>
      <c r="O237" s="6">
        <f>SUMIF('Eredeti fejléccel'!$B:$B,'Felosztás eredménykim'!$B237,'Eredeti fejléccel'!$V:$V)</f>
        <v>0</v>
      </c>
      <c r="P237" s="6">
        <f>SUMIF('Eredeti fejléccel'!$B:$B,'Felosztás eredménykim'!$B237,'Eredeti fejléccel'!$W:$W)</f>
        <v>0</v>
      </c>
      <c r="Q237" s="6">
        <f>SUMIF('Eredeti fejléccel'!$B:$B,'Felosztás eredménykim'!$B237,'Eredeti fejléccel'!$X:$X)</f>
        <v>0</v>
      </c>
      <c r="R237" s="6">
        <f>SUMIF('Eredeti fejléccel'!$B:$B,'Felosztás eredménykim'!$B237,'Eredeti fejléccel'!$Y:$Y)</f>
        <v>0</v>
      </c>
      <c r="S237" s="6">
        <f>SUMIF('Eredeti fejléccel'!$B:$B,'Felosztás eredménykim'!$B237,'Eredeti fejléccel'!$Z:$Z)</f>
        <v>0</v>
      </c>
      <c r="T237" s="6">
        <f>SUMIF('Eredeti fejléccel'!$B:$B,'Felosztás eredménykim'!$B237,'Eredeti fejléccel'!$AA:$AA)</f>
        <v>0</v>
      </c>
      <c r="U237" s="6">
        <f>SUMIF('Eredeti fejléccel'!$B:$B,'Felosztás eredménykim'!$B237,'Eredeti fejléccel'!$D:$D)</f>
        <v>0</v>
      </c>
      <c r="V237" s="6">
        <f>SUMIF('Eredeti fejléccel'!$B:$B,'Felosztás eredménykim'!$B237,'Eredeti fejléccel'!$AT:$AT)</f>
        <v>0</v>
      </c>
      <c r="X237" s="36">
        <f t="shared" si="414"/>
        <v>0</v>
      </c>
      <c r="Z237" s="6">
        <f>SUMIF('Eredeti fejléccel'!$B:$B,'Felosztás eredménykim'!$B237,'Eredeti fejléccel'!$K:$K)-3665738-280014</f>
        <v>-172394418.47999993</v>
      </c>
      <c r="AB237" s="6">
        <f>SUMIF('Eredeti fejléccel'!$B:$B,'Felosztás eredménykim'!$B237,'Eredeti fejléccel'!$AB:$AB)</f>
        <v>0</v>
      </c>
      <c r="AC237" s="6">
        <f>SUMIF('Eredeti fejléccel'!$B:$B,'Felosztás eredménykim'!$B237,'Eredeti fejléccel'!$AQ:$AQ)</f>
        <v>0</v>
      </c>
      <c r="AD237" s="73">
        <f t="shared" si="546"/>
        <v>172394418.47999993</v>
      </c>
      <c r="AE237" s="73">
        <f>SUM(Z237:AD237)</f>
        <v>0</v>
      </c>
      <c r="AF237" s="36">
        <f t="shared" si="470"/>
        <v>0</v>
      </c>
      <c r="AG237" s="8">
        <f t="shared" si="399"/>
        <v>0</v>
      </c>
      <c r="AI237" s="6">
        <f>SUMIF('Eredeti fejléccel'!$B:$B,'Felosztás eredménykim'!$B237,'Eredeti fejléccel'!$BB:$BB)</f>
        <v>0</v>
      </c>
      <c r="AJ237" s="6">
        <f>SUMIF('Eredeti fejléccel'!$B:$B,'Felosztás eredménykim'!$B237,'Eredeti fejléccel'!$AF:$AF)</f>
        <v>0</v>
      </c>
      <c r="AK237" s="8">
        <f>SUM(AG237:AJ237)</f>
        <v>0</v>
      </c>
      <c r="AL237" s="36">
        <f t="shared" si="471"/>
        <v>0</v>
      </c>
      <c r="AM237" s="8">
        <f t="shared" si="400"/>
        <v>0</v>
      </c>
      <c r="AN237" s="6">
        <f>-AO237/2</f>
        <v>0</v>
      </c>
      <c r="AO237" s="6">
        <f>SUMIF('Eredeti fejléccel'!$B:$B,'Felosztás eredménykim'!$B237,'Eredeti fejléccel'!$AC:$AC)</f>
        <v>0</v>
      </c>
      <c r="AP237" s="6">
        <f>SUMIF('Eredeti fejléccel'!$B:$B,'Felosztás eredménykim'!$B237,'Eredeti fejléccel'!$AD:$AD)</f>
        <v>0</v>
      </c>
      <c r="AQ237" s="6">
        <f>SUMIF('Eredeti fejléccel'!$B:$B,'Felosztás eredménykim'!$B237,'Eredeti fejléccel'!$AE:$AE)</f>
        <v>0</v>
      </c>
      <c r="AR237" s="6">
        <f>SUMIF('Eredeti fejléccel'!$B:$B,'Felosztás eredménykim'!$B237,'Eredeti fejléccel'!$AG:$AG)</f>
        <v>0</v>
      </c>
      <c r="AS237" s="6">
        <f t="shared" si="539"/>
        <v>0</v>
      </c>
      <c r="AT237" s="36">
        <f t="shared" si="472"/>
        <v>0</v>
      </c>
      <c r="AU237" s="8">
        <f t="shared" si="401"/>
        <v>0</v>
      </c>
      <c r="AV237" s="6">
        <f>SUMIF('Eredeti fejléccel'!$B:$B,'Felosztás eredménykim'!$B237,'Eredeti fejléccel'!$AI:$AI)</f>
        <v>0</v>
      </c>
      <c r="AW237" s="6">
        <f>SUMIF('Eredeti fejléccel'!$B:$B,'Felosztás eredménykim'!$B237,'Eredeti fejléccel'!$AJ:$AJ)</f>
        <v>0</v>
      </c>
      <c r="AX237" s="6">
        <f>SUMIF('Eredeti fejléccel'!$B:$B,'Felosztás eredménykim'!$B237,'Eredeti fejléccel'!$AK:$AK)</f>
        <v>0</v>
      </c>
      <c r="AY237" s="6">
        <f>SUMIF('Eredeti fejléccel'!$B:$B,'Felosztás eredménykim'!$B237,'Eredeti fejléccel'!$AL:$AL)</f>
        <v>0</v>
      </c>
      <c r="AZ237" s="6">
        <f>SUMIF('Eredeti fejléccel'!$B:$B,'Felosztás eredménykim'!$B237,'Eredeti fejléccel'!$AM:$AM)</f>
        <v>0</v>
      </c>
      <c r="BA237" s="6">
        <f>SUMIF('Eredeti fejléccel'!$B:$B,'Felosztás eredménykim'!$B237,'Eredeti fejléccel'!$AN:$AN)</f>
        <v>0</v>
      </c>
      <c r="BB237" s="6">
        <f>SUMIF('Eredeti fejléccel'!$B:$B,'Felosztás eredménykim'!$B237,'Eredeti fejléccel'!$AP:$AP)</f>
        <v>0</v>
      </c>
      <c r="BD237" s="6">
        <f>SUMIF('Eredeti fejléccel'!$B:$B,'Felosztás eredménykim'!$B237,'Eredeti fejléccel'!$AS:$AS)</f>
        <v>0</v>
      </c>
      <c r="BE237" s="8">
        <f>SUM(AU237:BD237)</f>
        <v>0</v>
      </c>
      <c r="BF237" s="36">
        <f t="shared" si="473"/>
        <v>0</v>
      </c>
      <c r="BG237" s="8">
        <f t="shared" si="402"/>
        <v>0</v>
      </c>
      <c r="BH237" s="6">
        <f t="shared" si="540"/>
        <v>0</v>
      </c>
      <c r="BI237" s="6">
        <f>SUMIF('Eredeti fejléccel'!$B:$B,'Felosztás eredménykim'!$B237,'Eredeti fejléccel'!$AH:$AH)</f>
        <v>0</v>
      </c>
      <c r="BJ237" s="6">
        <f>SUMIF('Eredeti fejléccel'!$B:$B,'Felosztás eredménykim'!$B237,'Eredeti fejléccel'!$AO:$AO)</f>
        <v>0</v>
      </c>
      <c r="BK237" s="6">
        <f>SUMIF('Eredeti fejléccel'!$B:$B,'Felosztás eredménykim'!$B237,'Eredeti fejléccel'!$BF:$BF)</f>
        <v>0</v>
      </c>
      <c r="BL237" s="8">
        <f t="shared" si="541"/>
        <v>0</v>
      </c>
      <c r="BM237" s="36">
        <f t="shared" si="474"/>
        <v>0</v>
      </c>
      <c r="BN237" s="8">
        <f t="shared" si="403"/>
        <v>0</v>
      </c>
      <c r="BP237" s="8">
        <f t="shared" si="542"/>
        <v>0</v>
      </c>
      <c r="BQ237" s="6">
        <f>SUMIF('Eredeti fejléccel'!$B:$B,'Felosztás eredménykim'!$B237,'Eredeti fejléccel'!$N:$N)</f>
        <v>0</v>
      </c>
      <c r="BR237" s="6">
        <f>SUMIF('Eredeti fejléccel'!$B:$B,'Felosztás eredménykim'!$B237,'Eredeti fejléccel'!$S:$S)</f>
        <v>0</v>
      </c>
      <c r="BT237" s="6">
        <f>SUMIF('Eredeti fejléccel'!$B:$B,'Felosztás eredménykim'!$B237,'Eredeti fejléccel'!$AR:$AR)</f>
        <v>0</v>
      </c>
      <c r="BU237" s="6">
        <f>SUMIF('Eredeti fejléccel'!$B:$B,'Felosztás eredménykim'!$B237,'Eredeti fejléccel'!$AU:$AU)</f>
        <v>0</v>
      </c>
      <c r="BV237" s="6">
        <f>SUMIF('Eredeti fejléccel'!$B:$B,'Felosztás eredménykim'!$B237,'Eredeti fejléccel'!$AV:$AV)</f>
        <v>0</v>
      </c>
      <c r="BW237" s="6">
        <f>SUMIF('Eredeti fejléccel'!$B:$B,'Felosztás eredménykim'!$B237,'Eredeti fejléccel'!$AW:$AW)</f>
        <v>0</v>
      </c>
      <c r="BX237" s="6">
        <f>SUMIF('Eredeti fejléccel'!$B:$B,'Felosztás eredménykim'!$B237,'Eredeti fejléccel'!$AX:$AX)</f>
        <v>0</v>
      </c>
      <c r="BY237" s="6">
        <f>SUMIF('Eredeti fejléccel'!$B:$B,'Felosztás eredménykim'!$B237,'Eredeti fejléccel'!$AY:$AY)</f>
        <v>0</v>
      </c>
      <c r="BZ237" s="6">
        <f>SUMIF('Eredeti fejléccel'!$B:$B,'Felosztás eredménykim'!$B237,'Eredeti fejléccel'!$AZ:$AZ)</f>
        <v>0</v>
      </c>
      <c r="CA237" s="6">
        <f>SUMIF('Eredeti fejléccel'!$B:$B,'Felosztás eredménykim'!$B237,'Eredeti fejléccel'!$BA:$BA)</f>
        <v>0</v>
      </c>
      <c r="CB237" s="6">
        <f t="shared" si="481"/>
        <v>0</v>
      </c>
      <c r="CC237" s="36">
        <f t="shared" si="475"/>
        <v>0</v>
      </c>
      <c r="CD237" s="8">
        <f t="shared" si="404"/>
        <v>0</v>
      </c>
      <c r="CE237" s="6">
        <f>SUMIF('Eredeti fejléccel'!$B:$B,'Felosztás eredménykim'!$B237,'Eredeti fejléccel'!$BC:$BC)</f>
        <v>0</v>
      </c>
      <c r="CF237" s="8">
        <f t="shared" si="300"/>
        <v>0</v>
      </c>
      <c r="CG237" s="6">
        <f>SUMIF('Eredeti fejléccel'!$B:$B,'Felosztás eredménykim'!$B237,'Eredeti fejléccel'!$H:$H)</f>
        <v>0</v>
      </c>
      <c r="CH237" s="6">
        <f>SUMIF('Eredeti fejléccel'!$B:$B,'Felosztás eredménykim'!$B237,'Eredeti fejléccel'!$BE:$BE)</f>
        <v>0</v>
      </c>
      <c r="CI237" s="6">
        <f>SUM(CD237:CH237)</f>
        <v>0</v>
      </c>
      <c r="CJ237" s="36">
        <f t="shared" si="476"/>
        <v>0</v>
      </c>
      <c r="CK237" s="8">
        <f t="shared" si="405"/>
        <v>0</v>
      </c>
      <c r="CL237" s="8">
        <f t="shared" si="301"/>
        <v>0</v>
      </c>
      <c r="CM237" s="6">
        <f>SUMIF('Eredeti fejléccel'!$B:$B,'Felosztás eredménykim'!$B237,'Eredeti fejléccel'!$BD:$BD)</f>
        <v>0</v>
      </c>
      <c r="CN237" s="8">
        <f>SUM(CK237:CM237)</f>
        <v>0</v>
      </c>
      <c r="CO237" s="8">
        <f t="shared" si="482"/>
        <v>0</v>
      </c>
      <c r="CR237" s="36">
        <f t="shared" si="406"/>
        <v>0</v>
      </c>
      <c r="CS237" s="6">
        <f>SUMIF('Eredeti fejléccel'!$B:$B,'Felosztás eredménykim'!$B237,'Eredeti fejléccel'!$I:$I)</f>
        <v>0</v>
      </c>
      <c r="CT237" s="6">
        <f>SUMIF('Eredeti fejléccel'!$B:$B,'Felosztás eredménykim'!$B237,'Eredeti fejléccel'!$BG:$BG)</f>
        <v>0</v>
      </c>
      <c r="CU237" s="6">
        <f>SUMIF('Eredeti fejléccel'!$B:$B,'Felosztás eredménykim'!$B237,'Eredeti fejléccel'!$BH:$BH)</f>
        <v>0</v>
      </c>
      <c r="CV237" s="6">
        <f>SUMIF('Eredeti fejléccel'!$B:$B,'Felosztás eredménykim'!$B237,'Eredeti fejléccel'!$BI:$BI)</f>
        <v>0</v>
      </c>
      <c r="CW237" s="6">
        <f>SUMIF('Eredeti fejléccel'!$B:$B,'Felosztás eredménykim'!$B237,'Eredeti fejléccel'!$BL:$BL)</f>
        <v>0</v>
      </c>
      <c r="CX237" s="6">
        <f>SUM(CS237:CW237)</f>
        <v>0</v>
      </c>
      <c r="CY237" s="6">
        <f>SUMIF('Eredeti fejléccel'!$B:$B,'Felosztás eredménykim'!$B237,'Eredeti fejléccel'!$BJ:$BJ)</f>
        <v>0</v>
      </c>
      <c r="CZ237" s="6">
        <f>SUMIF('Eredeti fejléccel'!$B:$B,'Felosztás eredménykim'!$B237,'Eredeti fejléccel'!$BK:$BK)</f>
        <v>0</v>
      </c>
      <c r="DA237" s="99">
        <f t="shared" si="415"/>
        <v>0</v>
      </c>
      <c r="DC237" s="36">
        <f t="shared" si="407"/>
        <v>0</v>
      </c>
      <c r="DD237" s="6">
        <f>SUMIF('Eredeti fejléccel'!$B:$B,'Felosztás eredménykim'!$B237,'Eredeti fejléccel'!$J:$J)</f>
        <v>0</v>
      </c>
      <c r="DE237" s="6">
        <f>SUMIF('Eredeti fejléccel'!$B:$B,'Felosztás eredménykim'!$B237,'Eredeti fejléccel'!$BM:$BM)</f>
        <v>0</v>
      </c>
      <c r="DF237" s="6">
        <f>-DI237</f>
        <v>0</v>
      </c>
      <c r="DG237" s="8">
        <f t="shared" si="483"/>
        <v>0</v>
      </c>
      <c r="DH237" s="8">
        <f t="shared" si="544"/>
        <v>0</v>
      </c>
      <c r="DJ237" s="6">
        <f>SUMIF('Eredeti fejléccel'!$B:$B,'Felosztás eredménykim'!$B237,'Eredeti fejléccel'!$BN:$BN)</f>
        <v>0</v>
      </c>
      <c r="DK237" s="6">
        <f>SUMIF('Eredeti fejléccel'!$B:$B,'Felosztás eredménykim'!$B237,'Eredeti fejléccel'!$BZ:$BZ)</f>
        <v>0</v>
      </c>
      <c r="DL237" s="8">
        <f>SUM(DI237:DK237)</f>
        <v>0</v>
      </c>
      <c r="DM237" s="6">
        <f>SUMIF('Eredeti fejléccel'!$B:$B,'Felosztás eredménykim'!$B237,'Eredeti fejléccel'!$BR:$BR)</f>
        <v>0</v>
      </c>
      <c r="DN237" s="6">
        <f>SUMIF('Eredeti fejléccel'!$B:$B,'Felosztás eredménykim'!$B237,'Eredeti fejléccel'!$BS:$BS)</f>
        <v>0</v>
      </c>
      <c r="DO237" s="6">
        <f>SUMIF('Eredeti fejléccel'!$B:$B,'Felosztás eredménykim'!$B237,'Eredeti fejléccel'!$BO:$BO)</f>
        <v>0</v>
      </c>
      <c r="DP237" s="6">
        <f>SUMIF('Eredeti fejléccel'!$B:$B,'Felosztás eredménykim'!$B237,'Eredeti fejléccel'!$BP:$BP)</f>
        <v>0</v>
      </c>
      <c r="DQ237" s="6">
        <f>SUMIF('Eredeti fejléccel'!$B:$B,'Felosztás eredménykim'!$B237,'Eredeti fejléccel'!$BQ:$BQ)</f>
        <v>0</v>
      </c>
      <c r="DS237" s="8"/>
      <c r="DU237" s="6">
        <f>SUMIF('Eredeti fejléccel'!$B:$B,'Felosztás eredménykim'!$B237,'Eredeti fejléccel'!$BT:$BT)</f>
        <v>0</v>
      </c>
      <c r="DV237" s="6">
        <f>SUMIF('Eredeti fejléccel'!$B:$B,'Felosztás eredménykim'!$B237,'Eredeti fejléccel'!$BU:$BU)</f>
        <v>0</v>
      </c>
      <c r="DW237" s="6">
        <f>SUMIF('Eredeti fejléccel'!$B:$B,'Felosztás eredménykim'!$B237,'Eredeti fejléccel'!$BV:$BV)</f>
        <v>0</v>
      </c>
      <c r="DX237" s="6">
        <f>SUMIF('Eredeti fejléccel'!$B:$B,'Felosztás eredménykim'!$B237,'Eredeti fejléccel'!$BW:$BW)</f>
        <v>0</v>
      </c>
      <c r="DY237" s="6">
        <f>SUMIF('Eredeti fejléccel'!$B:$B,'Felosztás eredménykim'!$B237,'Eredeti fejléccel'!$BX:$BX)</f>
        <v>0</v>
      </c>
      <c r="EA237" s="6"/>
      <c r="EC237" s="6"/>
      <c r="EE237" s="6">
        <f>SUMIF('Eredeti fejléccel'!$B:$B,'Felosztás eredménykim'!$B237,'Eredeti fejléccel'!$CA:$CA)</f>
        <v>0</v>
      </c>
      <c r="EF237" s="6">
        <f>SUMIF('Eredeti fejléccel'!$B:$B,'Felosztás eredménykim'!$B237,'Eredeti fejléccel'!$CB:$CB)</f>
        <v>0</v>
      </c>
      <c r="EG237" s="6">
        <f>SUMIF('Eredeti fejléccel'!$B:$B,'Felosztás eredménykim'!$B237,'Eredeti fejléccel'!$CC:$CC)</f>
        <v>0</v>
      </c>
      <c r="EH237" s="6">
        <f>SUMIF('Eredeti fejléccel'!$B:$B,'Felosztás eredménykim'!$B237,'Eredeti fejléccel'!$CD:$CD)</f>
        <v>0</v>
      </c>
      <c r="EK237" s="6">
        <f>SUMIF('Eredeti fejléccel'!$B:$B,'Felosztás eredménykim'!$B237,'Eredeti fejléccel'!$CE:$CE)</f>
        <v>0</v>
      </c>
      <c r="EN237" s="6">
        <f>SUMIF('Eredeti fejléccel'!$B:$B,'Felosztás eredménykim'!$B237,'Eredeti fejléccel'!$CF:$CF)</f>
        <v>0</v>
      </c>
      <c r="EP237" s="6">
        <f>SUMIF('Eredeti fejléccel'!$B:$B,'Felosztás eredménykim'!$B237,'Eredeti fejléccel'!$CG:$CG)</f>
        <v>0</v>
      </c>
      <c r="ES237" s="6">
        <f>SUMIF('Eredeti fejléccel'!$B:$B,'Felosztás eredménykim'!$B237,'Eredeti fejléccel'!$CH:$CH)</f>
        <v>0</v>
      </c>
      <c r="ET237" s="6">
        <f>SUMIF('Eredeti fejléccel'!$B:$B,'Felosztás eredménykim'!$B237,'Eredeti fejléccel'!$CI:$CI)</f>
        <v>0</v>
      </c>
      <c r="EW237" s="8">
        <f t="shared" si="535"/>
        <v>0</v>
      </c>
      <c r="EX237" s="8">
        <f>SUM(EE237:EV237)</f>
        <v>0</v>
      </c>
      <c r="EY237" s="8">
        <f t="shared" si="416"/>
        <v>0</v>
      </c>
      <c r="EZ237" s="8">
        <f t="shared" si="536"/>
        <v>0</v>
      </c>
      <c r="FA237" s="8">
        <f t="shared" si="537"/>
        <v>0</v>
      </c>
      <c r="FC237" s="6">
        <f>SUMIF('Eredeti fejléccel'!$B:$B,'Felosztás eredménykim'!$B237,'Eredeti fejléccel'!$L:$L)</f>
        <v>0</v>
      </c>
      <c r="FD237" s="6">
        <f>SUMIF('Eredeti fejléccel'!$B:$B,'Felosztás eredménykim'!$B237,'Eredeti fejléccel'!$CJ:$CJ)</f>
        <v>0</v>
      </c>
      <c r="FE237" s="6">
        <f>SUMIF('Eredeti fejléccel'!$B:$B,'Felosztás eredménykim'!$B237,'Eredeti fejléccel'!$CL:$CL)</f>
        <v>0</v>
      </c>
      <c r="FG237" s="99">
        <f>SUM(FC237:FF237)</f>
        <v>0</v>
      </c>
      <c r="FH237" s="6">
        <f>SUMIF('Eredeti fejléccel'!$B:$B,'Felosztás eredménykim'!$B237,'Eredeti fejléccel'!$CK:$CK)</f>
        <v>0</v>
      </c>
      <c r="FI237" s="36">
        <f t="shared" si="477"/>
        <v>0</v>
      </c>
      <c r="FJ237" s="101">
        <f t="shared" si="408"/>
        <v>0</v>
      </c>
      <c r="FK237" s="6">
        <f>SUMIF('Eredeti fejléccel'!$B:$B,'Felosztás eredménykim'!$B237,'Eredeti fejléccel'!$CM:$CM)</f>
        <v>0</v>
      </c>
      <c r="FL237" s="6">
        <f>SUMIF('Eredeti fejléccel'!$B:$B,'Felosztás eredménykim'!$B237,'Eredeti fejléccel'!$CN:$CN)</f>
        <v>0</v>
      </c>
      <c r="FM237" s="8">
        <f>SUM(FJ237:FL237)</f>
        <v>0</v>
      </c>
      <c r="FN237" s="36">
        <f t="shared" si="478"/>
        <v>0</v>
      </c>
      <c r="FO237" s="101">
        <f t="shared" si="409"/>
        <v>0</v>
      </c>
      <c r="FP237" s="6">
        <f>SUMIF('Eredeti fejléccel'!$B:$B,'Felosztás eredménykim'!$B237,'Eredeti fejléccel'!$CO:$CO)</f>
        <v>0</v>
      </c>
      <c r="FQ237" s="6">
        <f>'Eredeti fejléccel'!CP237</f>
        <v>0</v>
      </c>
      <c r="FR237" s="6">
        <f>'Eredeti fejléccel'!CQ237</f>
        <v>0</v>
      </c>
      <c r="FS237" s="103">
        <f t="shared" si="417"/>
        <v>0</v>
      </c>
      <c r="FT237" s="36">
        <f t="shared" si="479"/>
        <v>0</v>
      </c>
      <c r="FU237" s="101">
        <f t="shared" si="410"/>
        <v>0</v>
      </c>
      <c r="FV237" s="101"/>
      <c r="FW237" s="6">
        <f>SUMIF('Eredeti fejléccel'!$B:$B,'Felosztás eredménykim'!$B237,'Eredeti fejléccel'!$CR:$CR)</f>
        <v>0</v>
      </c>
      <c r="FX237" s="6">
        <f>SUMIF('Eredeti fejléccel'!$B:$B,'Felosztás eredménykim'!$B237,'Eredeti fejléccel'!$CS:$CS)</f>
        <v>0</v>
      </c>
      <c r="FY237" s="6">
        <f>SUMIF('Eredeti fejléccel'!$B:$B,'Felosztás eredménykim'!$B237,'Eredeti fejléccel'!$CT:$CT)</f>
        <v>0</v>
      </c>
      <c r="FZ237" s="6">
        <f>SUMIF('Eredeti fejléccel'!$B:$B,'Felosztás eredménykim'!$B237,'Eredeti fejléccel'!$CU:$CU)</f>
        <v>0</v>
      </c>
      <c r="GA237" s="103">
        <f>SUM(FU237:FZ237)</f>
        <v>0</v>
      </c>
      <c r="GB237" s="36">
        <f t="shared" si="480"/>
        <v>0</v>
      </c>
      <c r="GC237" s="101">
        <f t="shared" si="411"/>
        <v>0</v>
      </c>
      <c r="GD237" s="6">
        <f>SUMIF('Eredeti fejléccel'!$B:$B,'Felosztás eredménykim'!$B237,'Eredeti fejléccel'!$CV:$CV)</f>
        <v>0</v>
      </c>
      <c r="GE237" s="6">
        <f>SUMIF('Eredeti fejléccel'!$B:$B,'Felosztás eredménykim'!$B237,'Eredeti fejléccel'!$CW:$CW)</f>
        <v>0</v>
      </c>
      <c r="GF237" s="103">
        <f>SUM(GC237:GE237)</f>
        <v>0</v>
      </c>
      <c r="GG237" s="36">
        <f t="shared" si="412"/>
        <v>0</v>
      </c>
      <c r="GM237" s="6">
        <f>SUMIF('Eredeti fejléccel'!$B:$B,'Felosztás eredménykim'!$B237,'Eredeti fejléccel'!$CX:$CX)</f>
        <v>0</v>
      </c>
      <c r="GN237" s="6">
        <f>SUMIF('Eredeti fejléccel'!$B:$B,'Felosztás eredménykim'!$B237,'Eredeti fejléccel'!$CY:$CY)</f>
        <v>0</v>
      </c>
      <c r="GO237" s="6">
        <f>SUMIF('Eredeti fejléccel'!$B:$B,'Felosztás eredménykim'!$B237,'Eredeti fejléccel'!$CZ:$CZ)</f>
        <v>0</v>
      </c>
      <c r="GP237" s="6">
        <f>SUMIF('Eredeti fejléccel'!$B:$B,'Felosztás eredménykim'!$B237,'Eredeti fejléccel'!$DA:$DA)</f>
        <v>0</v>
      </c>
      <c r="GQ237" s="6">
        <f>SUMIF('Eredeti fejléccel'!$B:$B,'Felosztás eredménykim'!$B237,'Eredeti fejléccel'!$DB:$DB)</f>
        <v>0</v>
      </c>
      <c r="GR237" s="103">
        <f>SUM(GH237:GQ237)</f>
        <v>0</v>
      </c>
      <c r="GW237" s="36">
        <f t="shared" si="413"/>
        <v>0</v>
      </c>
      <c r="GX237" s="6">
        <f>SUMIF('Eredeti fejléccel'!$B:$B,'Felosztás eredménykim'!$B237,'Eredeti fejléccel'!$M:$M)</f>
        <v>0</v>
      </c>
      <c r="GY237" s="6">
        <f>SUMIF('Eredeti fejléccel'!$B:$B,'Felosztás eredménykim'!$B237,'Eredeti fejléccel'!$DC:$DC)</f>
        <v>0</v>
      </c>
      <c r="GZ237" s="6">
        <f>SUMIF('Eredeti fejléccel'!$B:$B,'Felosztás eredménykim'!$B237,'Eredeti fejléccel'!$DD:$DD)</f>
        <v>0</v>
      </c>
      <c r="HA237" s="6">
        <f>SUMIF('Eredeti fejléccel'!$B:$B,'Felosztás eredménykim'!$B237,'Eredeti fejléccel'!$DE:$DE)</f>
        <v>0</v>
      </c>
      <c r="HB237" s="103">
        <f>SUM(GX237:HA237)</f>
        <v>0</v>
      </c>
      <c r="HD237" s="9">
        <f t="shared" ref="HD237:HD268" si="547">SUM(D237:HA237)-W237-X237-AD237-AE237-AF237-AG237-AK237-AL237-AM237-AS237-AT237-AU237-BE237-BF237-BG237-BL237-BM237-BN237-CB237-CC237-CD237-CI237-CJ237-CK237-CN237-CO237-CP237-CR237-CX237-DA237-DC237-DG237-DH237-DL237-EW237-EX237-EY237-EZ237-FA237-FF237-FG237-FI237-FJ237-FM237-FN237-FO237-FS237-FT237-FU237-GA237-GB237-GC237-GF237-GG237-GR237-GS237-GT237-GU237-GW237</f>
        <v>-172394418.47999993</v>
      </c>
      <c r="HE237" s="9">
        <v>-168448666.47999993</v>
      </c>
      <c r="HF237" s="476"/>
      <c r="HH237" s="34">
        <f>+HD237-HE237</f>
        <v>-3945752</v>
      </c>
    </row>
    <row r="238" spans="1:218" x14ac:dyDescent="0.25">
      <c r="A238" s="4" t="s">
        <v>968</v>
      </c>
      <c r="B238" s="4" t="s">
        <v>968</v>
      </c>
      <c r="C238" s="1" t="s">
        <v>969</v>
      </c>
      <c r="D238" s="6">
        <f>SUMIF('Eredeti fejléccel'!$B:$B,'Felosztás eredménykim'!$B238,'Eredeti fejléccel'!$D:$D)</f>
        <v>0</v>
      </c>
      <c r="E238" s="6">
        <f>SUMIF('Eredeti fejléccel'!$B:$B,'Felosztás eredménykim'!$B238,'Eredeti fejléccel'!$E:$E)</f>
        <v>0</v>
      </c>
      <c r="F238" s="6">
        <f>SUMIF('Eredeti fejléccel'!$B:$B,'Felosztás eredménykim'!$B238,'Eredeti fejléccel'!$F:$F)</f>
        <v>0</v>
      </c>
      <c r="G238" s="6">
        <f>SUMIF('Eredeti fejléccel'!$B:$B,'Felosztás eredménykim'!$B238,'Eredeti fejléccel'!$G:$G)</f>
        <v>0</v>
      </c>
      <c r="H238" s="6"/>
      <c r="I238" s="6">
        <f>SUMIF('Eredeti fejléccel'!$B:$B,'Felosztás eredménykim'!$B238,'Eredeti fejléccel'!$O:$O)</f>
        <v>0</v>
      </c>
      <c r="J238" s="6">
        <f>SUMIF('Eredeti fejléccel'!$B:$B,'Felosztás eredménykim'!$B238,'Eredeti fejléccel'!$P:$P)</f>
        <v>0</v>
      </c>
      <c r="K238" s="6">
        <f>SUMIF('Eredeti fejléccel'!$B:$B,'Felosztás eredménykim'!$B238,'Eredeti fejléccel'!$Q:$Q)</f>
        <v>0</v>
      </c>
      <c r="L238" s="6">
        <f>SUMIF('Eredeti fejléccel'!$B:$B,'Felosztás eredménykim'!$B238,'Eredeti fejléccel'!$R:$R)</f>
        <v>0</v>
      </c>
      <c r="M238" s="6">
        <f>SUMIF('Eredeti fejléccel'!$B:$B,'Felosztás eredménykim'!$B238,'Eredeti fejléccel'!$T:$T)</f>
        <v>0</v>
      </c>
      <c r="N238" s="6">
        <f>SUMIF('Eredeti fejléccel'!$B:$B,'Felosztás eredménykim'!$B238,'Eredeti fejléccel'!$U:$U)</f>
        <v>0</v>
      </c>
      <c r="O238" s="6">
        <f>SUMIF('Eredeti fejléccel'!$B:$B,'Felosztás eredménykim'!$B238,'Eredeti fejléccel'!$V:$V)</f>
        <v>0</v>
      </c>
      <c r="P238" s="6">
        <f>SUMIF('Eredeti fejléccel'!$B:$B,'Felosztás eredménykim'!$B238,'Eredeti fejléccel'!$W:$W)</f>
        <v>0</v>
      </c>
      <c r="Q238" s="6">
        <f>SUMIF('Eredeti fejléccel'!$B:$B,'Felosztás eredménykim'!$B238,'Eredeti fejléccel'!$X:$X)</f>
        <v>0</v>
      </c>
      <c r="R238" s="6">
        <f>SUMIF('Eredeti fejléccel'!$B:$B,'Felosztás eredménykim'!$B238,'Eredeti fejléccel'!$Y:$Y)</f>
        <v>0</v>
      </c>
      <c r="S238" s="6">
        <f>SUMIF('Eredeti fejléccel'!$B:$B,'Felosztás eredménykim'!$B238,'Eredeti fejléccel'!$Z:$Z)</f>
        <v>0</v>
      </c>
      <c r="T238" s="6">
        <f>SUMIF('Eredeti fejléccel'!$B:$B,'Felosztás eredménykim'!$B238,'Eredeti fejléccel'!$AA:$AA)</f>
        <v>0</v>
      </c>
      <c r="U238" s="6">
        <f>SUMIF('Eredeti fejléccel'!$B:$B,'Felosztás eredménykim'!$B238,'Eredeti fejléccel'!$D:$D)</f>
        <v>0</v>
      </c>
      <c r="V238" s="6">
        <f>SUMIF('Eredeti fejléccel'!$B:$B,'Felosztás eredménykim'!$B238,'Eredeti fejléccel'!$AT:$AT)</f>
        <v>0</v>
      </c>
      <c r="X238" s="36">
        <f t="shared" si="414"/>
        <v>0</v>
      </c>
      <c r="Z238" s="6">
        <f>SUMIF('Eredeti fejléccel'!$B:$B,'Felosztás eredménykim'!$B238,'Eredeti fejléccel'!$K:$K)+4542968-3384</f>
        <v>-64858687.049999997</v>
      </c>
      <c r="AB238" s="6">
        <f>SUMIF('Eredeti fejléccel'!$B:$B,'Felosztás eredménykim'!$B238,'Eredeti fejléccel'!$AB:$AB)</f>
        <v>0</v>
      </c>
      <c r="AC238" s="6">
        <f>SUMIF('Eredeti fejléccel'!$B:$B,'Felosztás eredménykim'!$B238,'Eredeti fejléccel'!$AQ:$AQ)</f>
        <v>0</v>
      </c>
      <c r="AD238" s="73">
        <f t="shared" si="546"/>
        <v>64858687.049999997</v>
      </c>
      <c r="AE238" s="73">
        <f>SUM(Z238:AD238)</f>
        <v>0</v>
      </c>
      <c r="AF238" s="36">
        <f t="shared" si="470"/>
        <v>0</v>
      </c>
      <c r="AG238" s="8">
        <f t="shared" si="399"/>
        <v>0</v>
      </c>
      <c r="AI238" s="6">
        <f>SUMIF('Eredeti fejléccel'!$B:$B,'Felosztás eredménykim'!$B238,'Eredeti fejléccel'!$BB:$BB)</f>
        <v>0</v>
      </c>
      <c r="AJ238" s="6">
        <f>SUMIF('Eredeti fejléccel'!$B:$B,'Felosztás eredménykim'!$B238,'Eredeti fejléccel'!$AF:$AF)</f>
        <v>0</v>
      </c>
      <c r="AK238" s="8">
        <f>SUM(AG238:AJ238)</f>
        <v>0</v>
      </c>
      <c r="AL238" s="36">
        <f t="shared" si="471"/>
        <v>0</v>
      </c>
      <c r="AM238" s="8">
        <f t="shared" si="400"/>
        <v>0</v>
      </c>
      <c r="AN238" s="6">
        <f>-AO238/2</f>
        <v>0</v>
      </c>
      <c r="AO238" s="6">
        <f>SUMIF('Eredeti fejléccel'!$B:$B,'Felosztás eredménykim'!$B238,'Eredeti fejléccel'!$AC:$AC)</f>
        <v>0</v>
      </c>
      <c r="AP238" s="6">
        <f>SUMIF('Eredeti fejléccel'!$B:$B,'Felosztás eredménykim'!$B238,'Eredeti fejléccel'!$AD:$AD)</f>
        <v>0</v>
      </c>
      <c r="AQ238" s="6">
        <f>SUMIF('Eredeti fejléccel'!$B:$B,'Felosztás eredménykim'!$B238,'Eredeti fejléccel'!$AE:$AE)</f>
        <v>0</v>
      </c>
      <c r="AR238" s="6">
        <f>SUMIF('Eredeti fejléccel'!$B:$B,'Felosztás eredménykim'!$B238,'Eredeti fejléccel'!$AG:$AG)</f>
        <v>0</v>
      </c>
      <c r="AS238" s="6">
        <f t="shared" si="539"/>
        <v>0</v>
      </c>
      <c r="AT238" s="36">
        <f t="shared" si="472"/>
        <v>0</v>
      </c>
      <c r="AU238" s="8">
        <f t="shared" si="401"/>
        <v>0</v>
      </c>
      <c r="AV238" s="6">
        <f>SUMIF('Eredeti fejléccel'!$B:$B,'Felosztás eredménykim'!$B238,'Eredeti fejléccel'!$AI:$AI)</f>
        <v>0</v>
      </c>
      <c r="AW238" s="6">
        <f>SUMIF('Eredeti fejléccel'!$B:$B,'Felosztás eredménykim'!$B238,'Eredeti fejléccel'!$AJ:$AJ)</f>
        <v>0</v>
      </c>
      <c r="AX238" s="6">
        <f>SUMIF('Eredeti fejléccel'!$B:$B,'Felosztás eredménykim'!$B238,'Eredeti fejléccel'!$AK:$AK)</f>
        <v>0</v>
      </c>
      <c r="AY238" s="6">
        <f>SUMIF('Eredeti fejléccel'!$B:$B,'Felosztás eredménykim'!$B238,'Eredeti fejléccel'!$AL:$AL)</f>
        <v>0</v>
      </c>
      <c r="AZ238" s="6">
        <f>SUMIF('Eredeti fejléccel'!$B:$B,'Felosztás eredménykim'!$B238,'Eredeti fejléccel'!$AM:$AM)</f>
        <v>0</v>
      </c>
      <c r="BA238" s="6">
        <f>SUMIF('Eredeti fejléccel'!$B:$B,'Felosztás eredménykim'!$B238,'Eredeti fejléccel'!$AN:$AN)</f>
        <v>0</v>
      </c>
      <c r="BB238" s="6">
        <f>SUMIF('Eredeti fejléccel'!$B:$B,'Felosztás eredménykim'!$B238,'Eredeti fejléccel'!$AP:$AP)</f>
        <v>0</v>
      </c>
      <c r="BD238" s="6">
        <f>SUMIF('Eredeti fejléccel'!$B:$B,'Felosztás eredménykim'!$B238,'Eredeti fejléccel'!$AS:$AS)</f>
        <v>0</v>
      </c>
      <c r="BE238" s="8">
        <f>SUM(AU238:BD238)</f>
        <v>0</v>
      </c>
      <c r="BF238" s="36">
        <f t="shared" si="473"/>
        <v>0</v>
      </c>
      <c r="BG238" s="8">
        <f t="shared" si="402"/>
        <v>0</v>
      </c>
      <c r="BH238" s="6">
        <f t="shared" si="540"/>
        <v>0</v>
      </c>
      <c r="BI238" s="6">
        <f>SUMIF('Eredeti fejléccel'!$B:$B,'Felosztás eredménykim'!$B238,'Eredeti fejléccel'!$AH:$AH)</f>
        <v>0</v>
      </c>
      <c r="BJ238" s="6">
        <f>SUMIF('Eredeti fejléccel'!$B:$B,'Felosztás eredménykim'!$B238,'Eredeti fejléccel'!$AO:$AO)</f>
        <v>0</v>
      </c>
      <c r="BK238" s="6">
        <f>SUMIF('Eredeti fejléccel'!$B:$B,'Felosztás eredménykim'!$B238,'Eredeti fejléccel'!$BF:$BF)</f>
        <v>0</v>
      </c>
      <c r="BL238" s="8">
        <f t="shared" si="541"/>
        <v>0</v>
      </c>
      <c r="BM238" s="36">
        <f t="shared" si="474"/>
        <v>0</v>
      </c>
      <c r="BN238" s="8">
        <f t="shared" si="403"/>
        <v>0</v>
      </c>
      <c r="BP238" s="8">
        <f t="shared" si="542"/>
        <v>0</v>
      </c>
      <c r="BQ238" s="6">
        <f>SUMIF('Eredeti fejléccel'!$B:$B,'Felosztás eredménykim'!$B238,'Eredeti fejléccel'!$N:$N)</f>
        <v>0</v>
      </c>
      <c r="BR238" s="6">
        <f>SUMIF('Eredeti fejléccel'!$B:$B,'Felosztás eredménykim'!$B238,'Eredeti fejléccel'!$S:$S)</f>
        <v>0</v>
      </c>
      <c r="BT238" s="6">
        <f>SUMIF('Eredeti fejléccel'!$B:$B,'Felosztás eredménykim'!$B238,'Eredeti fejléccel'!$AR:$AR)</f>
        <v>0</v>
      </c>
      <c r="BU238" s="6">
        <f>SUMIF('Eredeti fejléccel'!$B:$B,'Felosztás eredménykim'!$B238,'Eredeti fejléccel'!$AU:$AU)</f>
        <v>0</v>
      </c>
      <c r="BV238" s="6">
        <f>SUMIF('Eredeti fejléccel'!$B:$B,'Felosztás eredménykim'!$B238,'Eredeti fejléccel'!$AV:$AV)</f>
        <v>0</v>
      </c>
      <c r="BW238" s="6">
        <f>SUMIF('Eredeti fejléccel'!$B:$B,'Felosztás eredménykim'!$B238,'Eredeti fejléccel'!$AW:$AW)</f>
        <v>0</v>
      </c>
      <c r="BX238" s="6">
        <f>SUMIF('Eredeti fejléccel'!$B:$B,'Felosztás eredménykim'!$B238,'Eredeti fejléccel'!$AX:$AX)</f>
        <v>0</v>
      </c>
      <c r="BY238" s="6">
        <f>SUMIF('Eredeti fejléccel'!$B:$B,'Felosztás eredménykim'!$B238,'Eredeti fejléccel'!$AY:$AY)</f>
        <v>0</v>
      </c>
      <c r="BZ238" s="6">
        <f>SUMIF('Eredeti fejléccel'!$B:$B,'Felosztás eredménykim'!$B238,'Eredeti fejléccel'!$AZ:$AZ)</f>
        <v>0</v>
      </c>
      <c r="CA238" s="6">
        <f>SUMIF('Eredeti fejléccel'!$B:$B,'Felosztás eredménykim'!$B238,'Eredeti fejléccel'!$BA:$BA)</f>
        <v>0</v>
      </c>
      <c r="CB238" s="6">
        <f t="shared" si="481"/>
        <v>0</v>
      </c>
      <c r="CC238" s="36">
        <f t="shared" si="475"/>
        <v>0</v>
      </c>
      <c r="CD238" s="8">
        <f t="shared" si="404"/>
        <v>0</v>
      </c>
      <c r="CE238" s="6">
        <f>SUMIF('Eredeti fejléccel'!$B:$B,'Felosztás eredménykim'!$B238,'Eredeti fejléccel'!$BC:$BC)</f>
        <v>0</v>
      </c>
      <c r="CF238" s="8">
        <f t="shared" si="300"/>
        <v>0</v>
      </c>
      <c r="CG238" s="6">
        <f>SUMIF('Eredeti fejléccel'!$B:$B,'Felosztás eredménykim'!$B238,'Eredeti fejléccel'!$H:$H)</f>
        <v>0</v>
      </c>
      <c r="CH238" s="6">
        <f>SUMIF('Eredeti fejléccel'!$B:$B,'Felosztás eredménykim'!$B238,'Eredeti fejléccel'!$BE:$BE)</f>
        <v>0</v>
      </c>
      <c r="CI238" s="6">
        <f>SUM(CD238:CH238)</f>
        <v>0</v>
      </c>
      <c r="CJ238" s="36">
        <f t="shared" si="476"/>
        <v>0</v>
      </c>
      <c r="CK238" s="8">
        <f t="shared" si="405"/>
        <v>0</v>
      </c>
      <c r="CL238" s="8">
        <f t="shared" si="301"/>
        <v>0</v>
      </c>
      <c r="CM238" s="6">
        <f>SUMIF('Eredeti fejléccel'!$B:$B,'Felosztás eredménykim'!$B238,'Eredeti fejléccel'!$BD:$BD)</f>
        <v>0</v>
      </c>
      <c r="CN238" s="8">
        <f>SUM(CK238:CM238)</f>
        <v>0</v>
      </c>
      <c r="CO238" s="8">
        <f t="shared" si="482"/>
        <v>0</v>
      </c>
      <c r="CR238" s="36">
        <f t="shared" si="406"/>
        <v>0</v>
      </c>
      <c r="CS238" s="6">
        <f>SUMIF('Eredeti fejléccel'!$B:$B,'Felosztás eredménykim'!$B238,'Eredeti fejléccel'!$I:$I)</f>
        <v>0</v>
      </c>
      <c r="CT238" s="6">
        <f>SUMIF('Eredeti fejléccel'!$B:$B,'Felosztás eredménykim'!$B238,'Eredeti fejléccel'!$BG:$BG)</f>
        <v>0</v>
      </c>
      <c r="CU238" s="6">
        <f>SUMIF('Eredeti fejléccel'!$B:$B,'Felosztás eredménykim'!$B238,'Eredeti fejléccel'!$BH:$BH)</f>
        <v>0</v>
      </c>
      <c r="CV238" s="6">
        <f>SUMIF('Eredeti fejléccel'!$B:$B,'Felosztás eredménykim'!$B238,'Eredeti fejléccel'!$BI:$BI)</f>
        <v>0</v>
      </c>
      <c r="CW238" s="6">
        <f>SUMIF('Eredeti fejléccel'!$B:$B,'Felosztás eredménykim'!$B238,'Eredeti fejléccel'!$BL:$BL)</f>
        <v>0</v>
      </c>
      <c r="CX238" s="6">
        <f>SUM(CS238:CW238)</f>
        <v>0</v>
      </c>
      <c r="CY238" s="6">
        <f>SUMIF('Eredeti fejléccel'!$B:$B,'Felosztás eredménykim'!$B238,'Eredeti fejléccel'!$BJ:$BJ)</f>
        <v>0</v>
      </c>
      <c r="CZ238" s="6">
        <f>SUMIF('Eredeti fejléccel'!$B:$B,'Felosztás eredménykim'!$B238,'Eredeti fejléccel'!$BK:$BK)</f>
        <v>0</v>
      </c>
      <c r="DA238" s="99">
        <f t="shared" si="415"/>
        <v>0</v>
      </c>
      <c r="DC238" s="36">
        <f t="shared" si="407"/>
        <v>0</v>
      </c>
      <c r="DD238" s="6">
        <f>SUMIF('Eredeti fejléccel'!$B:$B,'Felosztás eredménykim'!$B238,'Eredeti fejléccel'!$J:$J)</f>
        <v>0</v>
      </c>
      <c r="DE238" s="6">
        <f>SUMIF('Eredeti fejléccel'!$B:$B,'Felosztás eredménykim'!$B238,'Eredeti fejléccel'!$BM:$BM)</f>
        <v>0</v>
      </c>
      <c r="DF238" s="6">
        <f>-DI238</f>
        <v>0</v>
      </c>
      <c r="DG238" s="8">
        <f t="shared" si="483"/>
        <v>0</v>
      </c>
      <c r="DH238" s="8">
        <f t="shared" si="544"/>
        <v>0</v>
      </c>
      <c r="DJ238" s="6">
        <f>SUMIF('Eredeti fejléccel'!$B:$B,'Felosztás eredménykim'!$B238,'Eredeti fejléccel'!$BN:$BN)</f>
        <v>0</v>
      </c>
      <c r="DK238" s="6">
        <f>SUMIF('Eredeti fejléccel'!$B:$B,'Felosztás eredménykim'!$B238,'Eredeti fejléccel'!$BZ:$BZ)</f>
        <v>0</v>
      </c>
      <c r="DL238" s="8">
        <f>SUM(DI238:DK238)</f>
        <v>0</v>
      </c>
      <c r="DM238" s="6">
        <f>SUMIF('Eredeti fejléccel'!$B:$B,'Felosztás eredménykim'!$B238,'Eredeti fejléccel'!$BR:$BR)</f>
        <v>0</v>
      </c>
      <c r="DN238" s="6">
        <f>SUMIF('Eredeti fejléccel'!$B:$B,'Felosztás eredménykim'!$B238,'Eredeti fejléccel'!$BS:$BS)</f>
        <v>0</v>
      </c>
      <c r="DO238" s="6">
        <f>SUMIF('Eredeti fejléccel'!$B:$B,'Felosztás eredménykim'!$B238,'Eredeti fejléccel'!$BO:$BO)</f>
        <v>0</v>
      </c>
      <c r="DP238" s="6">
        <f>SUMIF('Eredeti fejléccel'!$B:$B,'Felosztás eredménykim'!$B238,'Eredeti fejléccel'!$BP:$BP)</f>
        <v>0</v>
      </c>
      <c r="DQ238" s="6">
        <f>SUMIF('Eredeti fejléccel'!$B:$B,'Felosztás eredménykim'!$B238,'Eredeti fejléccel'!$BQ:$BQ)</f>
        <v>0</v>
      </c>
      <c r="DS238" s="8"/>
      <c r="DU238" s="6">
        <f>SUMIF('Eredeti fejléccel'!$B:$B,'Felosztás eredménykim'!$B238,'Eredeti fejléccel'!$BT:$BT)</f>
        <v>0</v>
      </c>
      <c r="DV238" s="6">
        <f>SUMIF('Eredeti fejléccel'!$B:$B,'Felosztás eredménykim'!$B238,'Eredeti fejléccel'!$BU:$BU)</f>
        <v>0</v>
      </c>
      <c r="DW238" s="6">
        <f>SUMIF('Eredeti fejléccel'!$B:$B,'Felosztás eredménykim'!$B238,'Eredeti fejléccel'!$BV:$BV)</f>
        <v>0</v>
      </c>
      <c r="DX238" s="6">
        <f>SUMIF('Eredeti fejléccel'!$B:$B,'Felosztás eredménykim'!$B238,'Eredeti fejléccel'!$BW:$BW)</f>
        <v>0</v>
      </c>
      <c r="DY238" s="6">
        <f>SUMIF('Eredeti fejléccel'!$B:$B,'Felosztás eredménykim'!$B238,'Eredeti fejléccel'!$BX:$BX)</f>
        <v>0</v>
      </c>
      <c r="EA238" s="6"/>
      <c r="EC238" s="6"/>
      <c r="EE238" s="6">
        <f>SUMIF('Eredeti fejléccel'!$B:$B,'Felosztás eredménykim'!$B238,'Eredeti fejléccel'!$CA:$CA)</f>
        <v>0</v>
      </c>
      <c r="EF238" s="6">
        <f>SUMIF('Eredeti fejléccel'!$B:$B,'Felosztás eredménykim'!$B238,'Eredeti fejléccel'!$CB:$CB)</f>
        <v>0</v>
      </c>
      <c r="EG238" s="6">
        <f>SUMIF('Eredeti fejléccel'!$B:$B,'Felosztás eredménykim'!$B238,'Eredeti fejléccel'!$CC:$CC)</f>
        <v>0</v>
      </c>
      <c r="EH238" s="6">
        <f>SUMIF('Eredeti fejléccel'!$B:$B,'Felosztás eredménykim'!$B238,'Eredeti fejléccel'!$CD:$CD)</f>
        <v>0</v>
      </c>
      <c r="EK238" s="6">
        <f>SUMIF('Eredeti fejléccel'!$B:$B,'Felosztás eredménykim'!$B238,'Eredeti fejléccel'!$CE:$CE)</f>
        <v>0</v>
      </c>
      <c r="EN238" s="6">
        <f>SUMIF('Eredeti fejléccel'!$B:$B,'Felosztás eredménykim'!$B238,'Eredeti fejléccel'!$CF:$CF)</f>
        <v>0</v>
      </c>
      <c r="EP238" s="6">
        <f>SUMIF('Eredeti fejléccel'!$B:$B,'Felosztás eredménykim'!$B238,'Eredeti fejléccel'!$CG:$CG)</f>
        <v>0</v>
      </c>
      <c r="ES238" s="6">
        <f>SUMIF('Eredeti fejléccel'!$B:$B,'Felosztás eredménykim'!$B238,'Eredeti fejléccel'!$CH:$CH)</f>
        <v>0</v>
      </c>
      <c r="ET238" s="6">
        <f>SUMIF('Eredeti fejléccel'!$B:$B,'Felosztás eredménykim'!$B238,'Eredeti fejléccel'!$CI:$CI)</f>
        <v>0</v>
      </c>
      <c r="EW238" s="8">
        <f t="shared" si="535"/>
        <v>0</v>
      </c>
      <c r="EX238" s="8">
        <f>SUM(EE238:EV238)</f>
        <v>0</v>
      </c>
      <c r="EY238" s="8">
        <f t="shared" si="416"/>
        <v>0</v>
      </c>
      <c r="EZ238" s="8">
        <f t="shared" si="536"/>
        <v>0</v>
      </c>
      <c r="FA238" s="8">
        <f t="shared" si="537"/>
        <v>0</v>
      </c>
      <c r="FC238" s="6">
        <f>SUMIF('Eredeti fejléccel'!$B:$B,'Felosztás eredménykim'!$B238,'Eredeti fejléccel'!$L:$L)</f>
        <v>0</v>
      </c>
      <c r="FD238" s="6">
        <f>SUMIF('Eredeti fejléccel'!$B:$B,'Felosztás eredménykim'!$B238,'Eredeti fejléccel'!$CJ:$CJ)</f>
        <v>0</v>
      </c>
      <c r="FE238" s="6">
        <f>SUMIF('Eredeti fejléccel'!$B:$B,'Felosztás eredménykim'!$B238,'Eredeti fejléccel'!$CL:$CL)</f>
        <v>0</v>
      </c>
      <c r="FG238" s="99">
        <f>SUM(FC238:FF238)</f>
        <v>0</v>
      </c>
      <c r="FH238" s="6">
        <f>SUMIF('Eredeti fejléccel'!$B:$B,'Felosztás eredménykim'!$B238,'Eredeti fejléccel'!$CK:$CK)</f>
        <v>0</v>
      </c>
      <c r="FI238" s="36">
        <f t="shared" si="477"/>
        <v>0</v>
      </c>
      <c r="FJ238" s="101">
        <f t="shared" si="408"/>
        <v>0</v>
      </c>
      <c r="FK238" s="6">
        <f>SUMIF('Eredeti fejléccel'!$B:$B,'Felosztás eredménykim'!$B238,'Eredeti fejléccel'!$CM:$CM)</f>
        <v>0</v>
      </c>
      <c r="FL238" s="6">
        <f>SUMIF('Eredeti fejléccel'!$B:$B,'Felosztás eredménykim'!$B238,'Eredeti fejléccel'!$CN:$CN)</f>
        <v>0</v>
      </c>
      <c r="FM238" s="8">
        <f>SUM(FJ238:FL238)</f>
        <v>0</v>
      </c>
      <c r="FN238" s="36">
        <f t="shared" si="478"/>
        <v>0</v>
      </c>
      <c r="FO238" s="101">
        <f t="shared" si="409"/>
        <v>0</v>
      </c>
      <c r="FP238" s="6">
        <f>SUMIF('Eredeti fejléccel'!$B:$B,'Felosztás eredménykim'!$B238,'Eredeti fejléccel'!$CO:$CO)</f>
        <v>0</v>
      </c>
      <c r="FQ238" s="6">
        <f>'Eredeti fejléccel'!CP238</f>
        <v>0</v>
      </c>
      <c r="FR238" s="6">
        <f>'Eredeti fejléccel'!CQ238</f>
        <v>0</v>
      </c>
      <c r="FS238" s="103">
        <f t="shared" si="417"/>
        <v>0</v>
      </c>
      <c r="FT238" s="36">
        <f t="shared" si="479"/>
        <v>0</v>
      </c>
      <c r="FU238" s="101">
        <f t="shared" si="410"/>
        <v>0</v>
      </c>
      <c r="FV238" s="101"/>
      <c r="FW238" s="6">
        <f>SUMIF('Eredeti fejléccel'!$B:$B,'Felosztás eredménykim'!$B238,'Eredeti fejléccel'!$CR:$CR)</f>
        <v>0</v>
      </c>
      <c r="FX238" s="6">
        <f>SUMIF('Eredeti fejléccel'!$B:$B,'Felosztás eredménykim'!$B238,'Eredeti fejléccel'!$CS:$CS)</f>
        <v>0</v>
      </c>
      <c r="FY238" s="6">
        <f>SUMIF('Eredeti fejléccel'!$B:$B,'Felosztás eredménykim'!$B238,'Eredeti fejléccel'!$CT:$CT)</f>
        <v>0</v>
      </c>
      <c r="FZ238" s="6">
        <f>SUMIF('Eredeti fejléccel'!$B:$B,'Felosztás eredménykim'!$B238,'Eredeti fejléccel'!$CU:$CU)</f>
        <v>0</v>
      </c>
      <c r="GA238" s="103">
        <f>SUM(FU238:FZ238)</f>
        <v>0</v>
      </c>
      <c r="GB238" s="36">
        <f t="shared" si="480"/>
        <v>0</v>
      </c>
      <c r="GC238" s="101">
        <f t="shared" si="411"/>
        <v>0</v>
      </c>
      <c r="GD238" s="6">
        <f>SUMIF('Eredeti fejléccel'!$B:$B,'Felosztás eredménykim'!$B238,'Eredeti fejléccel'!$CV:$CV)</f>
        <v>0</v>
      </c>
      <c r="GE238" s="6">
        <f>SUMIF('Eredeti fejléccel'!$B:$B,'Felosztás eredménykim'!$B238,'Eredeti fejléccel'!$CW:$CW)</f>
        <v>0</v>
      </c>
      <c r="GF238" s="103">
        <f>SUM(GC238:GE238)</f>
        <v>0</v>
      </c>
      <c r="GG238" s="36">
        <f t="shared" si="412"/>
        <v>0</v>
      </c>
      <c r="GM238" s="6">
        <f>SUMIF('Eredeti fejléccel'!$B:$B,'Felosztás eredménykim'!$B238,'Eredeti fejléccel'!$CX:$CX)</f>
        <v>0</v>
      </c>
      <c r="GN238" s="6">
        <f>SUMIF('Eredeti fejléccel'!$B:$B,'Felosztás eredménykim'!$B238,'Eredeti fejléccel'!$CY:$CY)</f>
        <v>0</v>
      </c>
      <c r="GO238" s="6">
        <f>SUMIF('Eredeti fejléccel'!$B:$B,'Felosztás eredménykim'!$B238,'Eredeti fejléccel'!$CZ:$CZ)</f>
        <v>0</v>
      </c>
      <c r="GP238" s="6">
        <f>SUMIF('Eredeti fejléccel'!$B:$B,'Felosztás eredménykim'!$B238,'Eredeti fejléccel'!$DA:$DA)</f>
        <v>0</v>
      </c>
      <c r="GQ238" s="6">
        <f>SUMIF('Eredeti fejléccel'!$B:$B,'Felosztás eredménykim'!$B238,'Eredeti fejléccel'!$DB:$DB)</f>
        <v>0</v>
      </c>
      <c r="GR238" s="103">
        <f>SUM(GH238:GQ238)</f>
        <v>0</v>
      </c>
      <c r="GW238" s="36">
        <f t="shared" si="413"/>
        <v>0</v>
      </c>
      <c r="GX238" s="6">
        <f>SUMIF('Eredeti fejléccel'!$B:$B,'Felosztás eredménykim'!$B238,'Eredeti fejléccel'!$M:$M)</f>
        <v>0</v>
      </c>
      <c r="GY238" s="6">
        <f>SUMIF('Eredeti fejléccel'!$B:$B,'Felosztás eredménykim'!$B238,'Eredeti fejléccel'!$DC:$DC)</f>
        <v>0</v>
      </c>
      <c r="GZ238" s="6">
        <f>SUMIF('Eredeti fejléccel'!$B:$B,'Felosztás eredménykim'!$B238,'Eredeti fejléccel'!$DD:$DD)</f>
        <v>0</v>
      </c>
      <c r="HA238" s="6">
        <f>SUMIF('Eredeti fejléccel'!$B:$B,'Felosztás eredménykim'!$B238,'Eredeti fejléccel'!$DE:$DE)</f>
        <v>0</v>
      </c>
      <c r="HB238" s="103">
        <f>SUM(GX238:HA238)</f>
        <v>0</v>
      </c>
      <c r="HD238" s="9">
        <f t="shared" si="547"/>
        <v>-64858687.049999997</v>
      </c>
      <c r="HE238" s="9">
        <v>-69398271.049999997</v>
      </c>
      <c r="HF238" s="476"/>
      <c r="HH238" s="34">
        <f>+HD238-HE238</f>
        <v>4539584</v>
      </c>
    </row>
    <row r="239" spans="1:218" x14ac:dyDescent="0.25">
      <c r="A239" s="4" t="s">
        <v>970</v>
      </c>
      <c r="B239" s="4" t="s">
        <v>970</v>
      </c>
      <c r="C239" s="1" t="s">
        <v>971</v>
      </c>
      <c r="D239" s="6">
        <f>SUMIF('Eredeti fejléccel'!$B:$B,'Felosztás eredménykim'!$B239,'Eredeti fejléccel'!$D:$D)</f>
        <v>0</v>
      </c>
      <c r="E239" s="6">
        <f>SUMIF('Eredeti fejléccel'!$B:$B,'Felosztás eredménykim'!$B239,'Eredeti fejléccel'!$E:$E)</f>
        <v>0</v>
      </c>
      <c r="F239" s="6">
        <f>SUMIF('Eredeti fejléccel'!$B:$B,'Felosztás eredménykim'!$B239,'Eredeti fejléccel'!$F:$F)</f>
        <v>0</v>
      </c>
      <c r="G239" s="6">
        <f>SUMIF('Eredeti fejléccel'!$B:$B,'Felosztás eredménykim'!$B239,'Eredeti fejléccel'!$G:$G)</f>
        <v>0</v>
      </c>
      <c r="H239" s="6"/>
      <c r="I239" s="6">
        <f>SUMIF('Eredeti fejléccel'!$B:$B,'Felosztás eredménykim'!$B239,'Eredeti fejléccel'!$O:$O)</f>
        <v>0</v>
      </c>
      <c r="J239" s="6">
        <f>SUMIF('Eredeti fejléccel'!$B:$B,'Felosztás eredménykim'!$B239,'Eredeti fejléccel'!$P:$P)</f>
        <v>0</v>
      </c>
      <c r="K239" s="6">
        <f>SUMIF('Eredeti fejléccel'!$B:$B,'Felosztás eredménykim'!$B239,'Eredeti fejléccel'!$Q:$Q)</f>
        <v>0</v>
      </c>
      <c r="L239" s="6">
        <f>SUMIF('Eredeti fejléccel'!$B:$B,'Felosztás eredménykim'!$B239,'Eredeti fejléccel'!$R:$R)</f>
        <v>0</v>
      </c>
      <c r="M239" s="6">
        <f>SUMIF('Eredeti fejléccel'!$B:$B,'Felosztás eredménykim'!$B239,'Eredeti fejléccel'!$T:$T)</f>
        <v>0</v>
      </c>
      <c r="N239" s="6">
        <f>SUMIF('Eredeti fejléccel'!$B:$B,'Felosztás eredménykim'!$B239,'Eredeti fejléccel'!$U:$U)</f>
        <v>0</v>
      </c>
      <c r="O239" s="6">
        <f>SUMIF('Eredeti fejléccel'!$B:$B,'Felosztás eredménykim'!$B239,'Eredeti fejléccel'!$V:$V)</f>
        <v>0</v>
      </c>
      <c r="P239" s="6">
        <f>SUMIF('Eredeti fejléccel'!$B:$B,'Felosztás eredménykim'!$B239,'Eredeti fejléccel'!$W:$W)</f>
        <v>0</v>
      </c>
      <c r="Q239" s="6">
        <f>SUMIF('Eredeti fejléccel'!$B:$B,'Felosztás eredménykim'!$B239,'Eredeti fejléccel'!$X:$X)</f>
        <v>0</v>
      </c>
      <c r="R239" s="6">
        <f>SUMIF('Eredeti fejléccel'!$B:$B,'Felosztás eredménykim'!$B239,'Eredeti fejléccel'!$Y:$Y)</f>
        <v>0</v>
      </c>
      <c r="S239" s="6">
        <f>SUMIF('Eredeti fejléccel'!$B:$B,'Felosztás eredménykim'!$B239,'Eredeti fejléccel'!$Z:$Z)</f>
        <v>0</v>
      </c>
      <c r="T239" s="6">
        <f>SUMIF('Eredeti fejléccel'!$B:$B,'Felosztás eredménykim'!$B239,'Eredeti fejléccel'!$AA:$AA)</f>
        <v>0</v>
      </c>
      <c r="U239" s="6">
        <f>SUMIF('Eredeti fejléccel'!$B:$B,'Felosztás eredménykim'!$B239,'Eredeti fejléccel'!$D:$D)</f>
        <v>0</v>
      </c>
      <c r="V239" s="6">
        <f>SUMIF('Eredeti fejléccel'!$B:$B,'Felosztás eredménykim'!$B239,'Eredeti fejléccel'!$AT:$AT)</f>
        <v>0</v>
      </c>
      <c r="X239" s="36">
        <f t="shared" si="414"/>
        <v>0</v>
      </c>
      <c r="Z239" s="6">
        <f>SUMIF('Eredeti fejléccel'!$B:$B,'Felosztás eredménykim'!$B239,'Eredeti fejléccel'!$K:$K)+80610397-576127-12304712</f>
        <v>-276001878.46999991</v>
      </c>
      <c r="AB239" s="6">
        <f>SUMIF('Eredeti fejléccel'!$B:$B,'Felosztás eredménykim'!$B239,'Eredeti fejléccel'!$AB:$AB)</f>
        <v>0</v>
      </c>
      <c r="AC239" s="6">
        <f>SUMIF('Eredeti fejléccel'!$B:$B,'Felosztás eredménykim'!$B239,'Eredeti fejléccel'!$AQ:$AQ)</f>
        <v>0</v>
      </c>
      <c r="AD239" s="73">
        <f t="shared" si="546"/>
        <v>276001878.46999991</v>
      </c>
      <c r="AE239" s="73">
        <f>SUM(Z239:AD239)</f>
        <v>0</v>
      </c>
      <c r="AF239" s="36">
        <f t="shared" si="470"/>
        <v>0</v>
      </c>
      <c r="AG239" s="8">
        <f t="shared" si="399"/>
        <v>0</v>
      </c>
      <c r="AI239" s="6">
        <f>SUMIF('Eredeti fejléccel'!$B:$B,'Felosztás eredménykim'!$B239,'Eredeti fejléccel'!$BB:$BB)</f>
        <v>0</v>
      </c>
      <c r="AJ239" s="6">
        <f>SUMIF('Eredeti fejléccel'!$B:$B,'Felosztás eredménykim'!$B239,'Eredeti fejléccel'!$AF:$AF)</f>
        <v>0</v>
      </c>
      <c r="AK239" s="8">
        <f>SUM(AG239:AJ239)</f>
        <v>0</v>
      </c>
      <c r="AL239" s="36">
        <f t="shared" si="471"/>
        <v>0</v>
      </c>
      <c r="AM239" s="8">
        <f t="shared" si="400"/>
        <v>0</v>
      </c>
      <c r="AN239" s="6">
        <f>-AO239/2</f>
        <v>0</v>
      </c>
      <c r="AO239" s="6">
        <f>SUMIF('Eredeti fejléccel'!$B:$B,'Felosztás eredménykim'!$B239,'Eredeti fejléccel'!$AC:$AC)</f>
        <v>0</v>
      </c>
      <c r="AP239" s="6">
        <f>SUMIF('Eredeti fejléccel'!$B:$B,'Felosztás eredménykim'!$B239,'Eredeti fejléccel'!$AD:$AD)</f>
        <v>0</v>
      </c>
      <c r="AQ239" s="6">
        <f>SUMIF('Eredeti fejléccel'!$B:$B,'Felosztás eredménykim'!$B239,'Eredeti fejléccel'!$AE:$AE)</f>
        <v>0</v>
      </c>
      <c r="AR239" s="6">
        <f>SUMIF('Eredeti fejléccel'!$B:$B,'Felosztás eredménykim'!$B239,'Eredeti fejléccel'!$AG:$AG)</f>
        <v>0</v>
      </c>
      <c r="AS239" s="6">
        <f t="shared" si="539"/>
        <v>0</v>
      </c>
      <c r="AT239" s="36">
        <f t="shared" si="472"/>
        <v>0</v>
      </c>
      <c r="AU239" s="8">
        <f t="shared" si="401"/>
        <v>0</v>
      </c>
      <c r="AV239" s="6">
        <f>SUMIF('Eredeti fejléccel'!$B:$B,'Felosztás eredménykim'!$B239,'Eredeti fejléccel'!$AI:$AI)</f>
        <v>0</v>
      </c>
      <c r="AW239" s="6">
        <f>SUMIF('Eredeti fejléccel'!$B:$B,'Felosztás eredménykim'!$B239,'Eredeti fejléccel'!$AJ:$AJ)</f>
        <v>0</v>
      </c>
      <c r="AX239" s="6">
        <f>SUMIF('Eredeti fejléccel'!$B:$B,'Felosztás eredménykim'!$B239,'Eredeti fejléccel'!$AK:$AK)</f>
        <v>0</v>
      </c>
      <c r="AY239" s="6">
        <f>SUMIF('Eredeti fejléccel'!$B:$B,'Felosztás eredménykim'!$B239,'Eredeti fejléccel'!$AL:$AL)</f>
        <v>0</v>
      </c>
      <c r="AZ239" s="6">
        <f>SUMIF('Eredeti fejléccel'!$B:$B,'Felosztás eredménykim'!$B239,'Eredeti fejléccel'!$AM:$AM)</f>
        <v>0</v>
      </c>
      <c r="BA239" s="6">
        <f>SUMIF('Eredeti fejléccel'!$B:$B,'Felosztás eredménykim'!$B239,'Eredeti fejléccel'!$AN:$AN)</f>
        <v>0</v>
      </c>
      <c r="BB239" s="6">
        <f>SUMIF('Eredeti fejléccel'!$B:$B,'Felosztás eredménykim'!$B239,'Eredeti fejléccel'!$AP:$AP)</f>
        <v>0</v>
      </c>
      <c r="BD239" s="6">
        <f>SUMIF('Eredeti fejléccel'!$B:$B,'Felosztás eredménykim'!$B239,'Eredeti fejléccel'!$AS:$AS)</f>
        <v>0</v>
      </c>
      <c r="BE239" s="8">
        <f>SUM(AU239:BD239)</f>
        <v>0</v>
      </c>
      <c r="BF239" s="36">
        <f t="shared" si="473"/>
        <v>0</v>
      </c>
      <c r="BG239" s="8">
        <f t="shared" si="402"/>
        <v>0</v>
      </c>
      <c r="BH239" s="6">
        <f t="shared" si="540"/>
        <v>0</v>
      </c>
      <c r="BI239" s="6">
        <f>SUMIF('Eredeti fejléccel'!$B:$B,'Felosztás eredménykim'!$B239,'Eredeti fejléccel'!$AH:$AH)</f>
        <v>0</v>
      </c>
      <c r="BJ239" s="6">
        <f>SUMIF('Eredeti fejléccel'!$B:$B,'Felosztás eredménykim'!$B239,'Eredeti fejléccel'!$AO:$AO)</f>
        <v>0</v>
      </c>
      <c r="BK239" s="6">
        <f>SUMIF('Eredeti fejléccel'!$B:$B,'Felosztás eredménykim'!$B239,'Eredeti fejléccel'!$BF:$BF)</f>
        <v>0</v>
      </c>
      <c r="BL239" s="8">
        <f t="shared" si="541"/>
        <v>0</v>
      </c>
      <c r="BM239" s="36">
        <f t="shared" si="474"/>
        <v>0</v>
      </c>
      <c r="BN239" s="8">
        <f t="shared" si="403"/>
        <v>0</v>
      </c>
      <c r="BP239" s="8">
        <f t="shared" si="542"/>
        <v>0</v>
      </c>
      <c r="BQ239" s="6">
        <f>SUMIF('Eredeti fejléccel'!$B:$B,'Felosztás eredménykim'!$B239,'Eredeti fejléccel'!$N:$N)</f>
        <v>0</v>
      </c>
      <c r="BR239" s="6">
        <f>SUMIF('Eredeti fejléccel'!$B:$B,'Felosztás eredménykim'!$B239,'Eredeti fejléccel'!$S:$S)</f>
        <v>0</v>
      </c>
      <c r="BT239" s="6">
        <f>SUMIF('Eredeti fejléccel'!$B:$B,'Felosztás eredménykim'!$B239,'Eredeti fejléccel'!$AR:$AR)</f>
        <v>0</v>
      </c>
      <c r="BU239" s="6">
        <f>SUMIF('Eredeti fejléccel'!$B:$B,'Felosztás eredménykim'!$B239,'Eredeti fejléccel'!$AU:$AU)</f>
        <v>0</v>
      </c>
      <c r="BV239" s="6">
        <f>SUMIF('Eredeti fejléccel'!$B:$B,'Felosztás eredménykim'!$B239,'Eredeti fejléccel'!$AV:$AV)</f>
        <v>0</v>
      </c>
      <c r="BW239" s="6">
        <f>SUMIF('Eredeti fejléccel'!$B:$B,'Felosztás eredménykim'!$B239,'Eredeti fejléccel'!$AW:$AW)</f>
        <v>0</v>
      </c>
      <c r="BX239" s="6">
        <f>SUMIF('Eredeti fejléccel'!$B:$B,'Felosztás eredménykim'!$B239,'Eredeti fejléccel'!$AX:$AX)</f>
        <v>0</v>
      </c>
      <c r="BY239" s="6">
        <f>SUMIF('Eredeti fejléccel'!$B:$B,'Felosztás eredménykim'!$B239,'Eredeti fejléccel'!$AY:$AY)</f>
        <v>-6190000</v>
      </c>
      <c r="BZ239" s="6">
        <f>SUMIF('Eredeti fejléccel'!$B:$B,'Felosztás eredménykim'!$B239,'Eredeti fejléccel'!$AZ:$AZ)</f>
        <v>0</v>
      </c>
      <c r="CA239" s="6">
        <f>SUMIF('Eredeti fejléccel'!$B:$B,'Felosztás eredménykim'!$B239,'Eredeti fejléccel'!$BA:$BA)</f>
        <v>0</v>
      </c>
      <c r="CB239" s="6">
        <f t="shared" si="481"/>
        <v>-6190000</v>
      </c>
      <c r="CC239" s="36">
        <f t="shared" si="475"/>
        <v>0</v>
      </c>
      <c r="CD239" s="8">
        <f t="shared" si="404"/>
        <v>0</v>
      </c>
      <c r="CE239" s="6">
        <f>SUMIF('Eredeti fejléccel'!$B:$B,'Felosztás eredménykim'!$B239,'Eredeti fejléccel'!$BC:$BC)</f>
        <v>0</v>
      </c>
      <c r="CF239" s="8">
        <f t="shared" si="300"/>
        <v>0</v>
      </c>
      <c r="CG239" s="6">
        <f>SUMIF('Eredeti fejléccel'!$B:$B,'Felosztás eredménykim'!$B239,'Eredeti fejléccel'!$H:$H)</f>
        <v>0</v>
      </c>
      <c r="CH239" s="6">
        <f>SUMIF('Eredeti fejléccel'!$B:$B,'Felosztás eredménykim'!$B239,'Eredeti fejléccel'!$BE:$BE)</f>
        <v>0</v>
      </c>
      <c r="CI239" s="6">
        <f>SUM(CD239:CH239)</f>
        <v>0</v>
      </c>
      <c r="CJ239" s="36">
        <f t="shared" si="476"/>
        <v>0</v>
      </c>
      <c r="CK239" s="8">
        <f t="shared" si="405"/>
        <v>0</v>
      </c>
      <c r="CL239" s="8">
        <f t="shared" si="301"/>
        <v>0</v>
      </c>
      <c r="CM239" s="6">
        <f>SUMIF('Eredeti fejléccel'!$B:$B,'Felosztás eredménykim'!$B239,'Eredeti fejléccel'!$BD:$BD)</f>
        <v>0</v>
      </c>
      <c r="CN239" s="8">
        <f>SUM(CK239:CM239)</f>
        <v>0</v>
      </c>
      <c r="CO239" s="8">
        <f t="shared" si="482"/>
        <v>-6190000</v>
      </c>
      <c r="CR239" s="36">
        <f t="shared" si="406"/>
        <v>0</v>
      </c>
      <c r="CS239" s="6">
        <f>SUMIF('Eredeti fejléccel'!$B:$B,'Felosztás eredménykim'!$B239,'Eredeti fejléccel'!$I:$I)</f>
        <v>0</v>
      </c>
      <c r="CT239" s="6">
        <f>SUMIF('Eredeti fejléccel'!$B:$B,'Felosztás eredménykim'!$B239,'Eredeti fejléccel'!$BG:$BG)</f>
        <v>0</v>
      </c>
      <c r="CU239" s="6">
        <f>SUMIF('Eredeti fejléccel'!$B:$B,'Felosztás eredménykim'!$B239,'Eredeti fejléccel'!$BH:$BH)</f>
        <v>0</v>
      </c>
      <c r="CV239" s="6">
        <f>SUMIF('Eredeti fejléccel'!$B:$B,'Felosztás eredménykim'!$B239,'Eredeti fejléccel'!$BI:$BI)</f>
        <v>0</v>
      </c>
      <c r="CW239" s="6">
        <f>SUMIF('Eredeti fejléccel'!$B:$B,'Felosztás eredménykim'!$B239,'Eredeti fejléccel'!$BL:$BL)</f>
        <v>0</v>
      </c>
      <c r="CX239" s="6">
        <f>SUM(CS239:CW239)</f>
        <v>0</v>
      </c>
      <c r="CY239" s="6">
        <f>SUMIF('Eredeti fejléccel'!$B:$B,'Felosztás eredménykim'!$B239,'Eredeti fejléccel'!$BJ:$BJ)</f>
        <v>0</v>
      </c>
      <c r="CZ239" s="6">
        <f>SUMIF('Eredeti fejléccel'!$B:$B,'Felosztás eredménykim'!$B239,'Eredeti fejléccel'!$BK:$BK)</f>
        <v>0</v>
      </c>
      <c r="DA239" s="99">
        <f t="shared" si="415"/>
        <v>0</v>
      </c>
      <c r="DC239" s="36">
        <f t="shared" si="407"/>
        <v>0</v>
      </c>
      <c r="DD239" s="6">
        <f>SUMIF('Eredeti fejléccel'!$B:$B,'Felosztás eredménykim'!$B239,'Eredeti fejléccel'!$J:$J)</f>
        <v>0</v>
      </c>
      <c r="DE239" s="6">
        <f>SUMIF('Eredeti fejléccel'!$B:$B,'Felosztás eredménykim'!$B239,'Eredeti fejléccel'!$BM:$BM)</f>
        <v>0</v>
      </c>
      <c r="DF239" s="6">
        <f>-DI239</f>
        <v>0</v>
      </c>
      <c r="DG239" s="8">
        <f t="shared" si="483"/>
        <v>0</v>
      </c>
      <c r="DH239" s="8">
        <f t="shared" si="544"/>
        <v>0</v>
      </c>
      <c r="DJ239" s="6">
        <f>SUMIF('Eredeti fejléccel'!$B:$B,'Felosztás eredménykim'!$B239,'Eredeti fejléccel'!$BN:$BN)</f>
        <v>0</v>
      </c>
      <c r="DK239" s="6">
        <f>SUMIF('Eredeti fejléccel'!$B:$B,'Felosztás eredménykim'!$B239,'Eredeti fejléccel'!$BZ:$BZ)</f>
        <v>0</v>
      </c>
      <c r="DL239" s="8">
        <f>SUM(DI239:DK239)</f>
        <v>0</v>
      </c>
      <c r="DM239" s="6">
        <f>SUMIF('Eredeti fejléccel'!$B:$B,'Felosztás eredménykim'!$B239,'Eredeti fejléccel'!$BR:$BR)</f>
        <v>0</v>
      </c>
      <c r="DN239" s="6">
        <f>SUMIF('Eredeti fejléccel'!$B:$B,'Felosztás eredménykim'!$B239,'Eredeti fejléccel'!$BS:$BS)</f>
        <v>0</v>
      </c>
      <c r="DO239" s="6">
        <f>SUMIF('Eredeti fejléccel'!$B:$B,'Felosztás eredménykim'!$B239,'Eredeti fejléccel'!$BO:$BO)</f>
        <v>0</v>
      </c>
      <c r="DP239" s="6">
        <f>SUMIF('Eredeti fejléccel'!$B:$B,'Felosztás eredménykim'!$B239,'Eredeti fejléccel'!$BP:$BP)</f>
        <v>0</v>
      </c>
      <c r="DQ239" s="6">
        <f>SUMIF('Eredeti fejléccel'!$B:$B,'Felosztás eredménykim'!$B239,'Eredeti fejléccel'!$BQ:$BQ)</f>
        <v>0</v>
      </c>
      <c r="DS239" s="8"/>
      <c r="DU239" s="6">
        <f>SUMIF('Eredeti fejléccel'!$B:$B,'Felosztás eredménykim'!$B239,'Eredeti fejléccel'!$BT:$BT)</f>
        <v>0</v>
      </c>
      <c r="DV239" s="6">
        <f>SUMIF('Eredeti fejléccel'!$B:$B,'Felosztás eredménykim'!$B239,'Eredeti fejléccel'!$BU:$BU)</f>
        <v>0</v>
      </c>
      <c r="DW239" s="6">
        <f>SUMIF('Eredeti fejléccel'!$B:$B,'Felosztás eredménykim'!$B239,'Eredeti fejléccel'!$BV:$BV)</f>
        <v>0</v>
      </c>
      <c r="DX239" s="6">
        <f>SUMIF('Eredeti fejléccel'!$B:$B,'Felosztás eredménykim'!$B239,'Eredeti fejléccel'!$BW:$BW)</f>
        <v>0</v>
      </c>
      <c r="DY239" s="6">
        <f>SUMIF('Eredeti fejléccel'!$B:$B,'Felosztás eredménykim'!$B239,'Eredeti fejléccel'!$BX:$BX)</f>
        <v>0</v>
      </c>
      <c r="EA239" s="6"/>
      <c r="EC239" s="6"/>
      <c r="EE239" s="6">
        <f>SUMIF('Eredeti fejléccel'!$B:$B,'Felosztás eredménykim'!$B239,'Eredeti fejléccel'!$CA:$CA)</f>
        <v>0</v>
      </c>
      <c r="EF239" s="6">
        <f>SUMIF('Eredeti fejléccel'!$B:$B,'Felosztás eredménykim'!$B239,'Eredeti fejléccel'!$CB:$CB)</f>
        <v>0</v>
      </c>
      <c r="EG239" s="6">
        <f>SUMIF('Eredeti fejléccel'!$B:$B,'Felosztás eredménykim'!$B239,'Eredeti fejléccel'!$CC:$CC)</f>
        <v>0</v>
      </c>
      <c r="EH239" s="6">
        <f>SUMIF('Eredeti fejléccel'!$B:$B,'Felosztás eredménykim'!$B239,'Eredeti fejléccel'!$CD:$CD)</f>
        <v>0</v>
      </c>
      <c r="EK239" s="6">
        <f>SUMIF('Eredeti fejléccel'!$B:$B,'Felosztás eredménykim'!$B239,'Eredeti fejléccel'!$CE:$CE)</f>
        <v>0</v>
      </c>
      <c r="EN239" s="6">
        <f>SUMIF('Eredeti fejléccel'!$B:$B,'Felosztás eredménykim'!$B239,'Eredeti fejléccel'!$CF:$CF)</f>
        <v>0</v>
      </c>
      <c r="EP239" s="6">
        <f>SUMIF('Eredeti fejléccel'!$B:$B,'Felosztás eredménykim'!$B239,'Eredeti fejléccel'!$CG:$CG)</f>
        <v>0</v>
      </c>
      <c r="ES239" s="6">
        <f>SUMIF('Eredeti fejléccel'!$B:$B,'Felosztás eredménykim'!$B239,'Eredeti fejléccel'!$CH:$CH)</f>
        <v>0</v>
      </c>
      <c r="ET239" s="6">
        <f>SUMIF('Eredeti fejléccel'!$B:$B,'Felosztás eredménykim'!$B239,'Eredeti fejléccel'!$CI:$CI)</f>
        <v>0</v>
      </c>
      <c r="EW239" s="8">
        <f t="shared" si="535"/>
        <v>0</v>
      </c>
      <c r="EX239" s="8">
        <f>SUM(EE239:EV239)</f>
        <v>0</v>
      </c>
      <c r="EY239" s="8">
        <f t="shared" si="416"/>
        <v>0</v>
      </c>
      <c r="EZ239" s="8">
        <f t="shared" si="536"/>
        <v>0</v>
      </c>
      <c r="FA239" s="8">
        <f t="shared" si="537"/>
        <v>0</v>
      </c>
      <c r="FC239" s="6">
        <f>SUMIF('Eredeti fejléccel'!$B:$B,'Felosztás eredménykim'!$B239,'Eredeti fejléccel'!$L:$L)</f>
        <v>0</v>
      </c>
      <c r="FD239" s="6">
        <f>SUMIF('Eredeti fejléccel'!$B:$B,'Felosztás eredménykim'!$B239,'Eredeti fejléccel'!$CJ:$CJ)</f>
        <v>0</v>
      </c>
      <c r="FE239" s="6">
        <f>SUMIF('Eredeti fejléccel'!$B:$B,'Felosztás eredménykim'!$B239,'Eredeti fejléccel'!$CL:$CL)</f>
        <v>0</v>
      </c>
      <c r="FG239" s="99">
        <f>SUM(FC239:FF239)</f>
        <v>0</v>
      </c>
      <c r="FH239" s="6">
        <f>SUMIF('Eredeti fejléccel'!$B:$B,'Felosztás eredménykim'!$B239,'Eredeti fejléccel'!$CK:$CK)</f>
        <v>0</v>
      </c>
      <c r="FI239" s="36">
        <f t="shared" si="477"/>
        <v>0</v>
      </c>
      <c r="FJ239" s="101">
        <f t="shared" si="408"/>
        <v>0</v>
      </c>
      <c r="FK239" s="6">
        <f>SUMIF('Eredeti fejléccel'!$B:$B,'Felosztás eredménykim'!$B239,'Eredeti fejléccel'!$CM:$CM)</f>
        <v>0</v>
      </c>
      <c r="FL239" s="6">
        <f>SUMIF('Eredeti fejléccel'!$B:$B,'Felosztás eredménykim'!$B239,'Eredeti fejléccel'!$CN:$CN)</f>
        <v>0</v>
      </c>
      <c r="FM239" s="8">
        <f>SUM(FJ239:FL239)</f>
        <v>0</v>
      </c>
      <c r="FN239" s="36">
        <f t="shared" si="478"/>
        <v>0</v>
      </c>
      <c r="FO239" s="101">
        <f t="shared" si="409"/>
        <v>0</v>
      </c>
      <c r="FP239" s="6">
        <f>SUMIF('Eredeti fejléccel'!$B:$B,'Felosztás eredménykim'!$B239,'Eredeti fejléccel'!$CO:$CO)</f>
        <v>0</v>
      </c>
      <c r="FQ239" s="6">
        <f>'Eredeti fejléccel'!CP239</f>
        <v>0</v>
      </c>
      <c r="FR239" s="6">
        <f>'Eredeti fejléccel'!CQ239</f>
        <v>0</v>
      </c>
      <c r="FS239" s="103">
        <f t="shared" si="417"/>
        <v>0</v>
      </c>
      <c r="FT239" s="36">
        <f t="shared" si="479"/>
        <v>0</v>
      </c>
      <c r="FU239" s="101">
        <f t="shared" si="410"/>
        <v>0</v>
      </c>
      <c r="FV239" s="101"/>
      <c r="FW239" s="6">
        <f>SUMIF('Eredeti fejléccel'!$B:$B,'Felosztás eredménykim'!$B239,'Eredeti fejléccel'!$CR:$CR)</f>
        <v>0</v>
      </c>
      <c r="FX239" s="6">
        <f>SUMIF('Eredeti fejléccel'!$B:$B,'Felosztás eredménykim'!$B239,'Eredeti fejléccel'!$CS:$CS)</f>
        <v>0</v>
      </c>
      <c r="FY239" s="6">
        <f>SUMIF('Eredeti fejléccel'!$B:$B,'Felosztás eredménykim'!$B239,'Eredeti fejléccel'!$CT:$CT)</f>
        <v>0</v>
      </c>
      <c r="FZ239" s="6">
        <f>SUMIF('Eredeti fejléccel'!$B:$B,'Felosztás eredménykim'!$B239,'Eredeti fejléccel'!$CU:$CU)</f>
        <v>0</v>
      </c>
      <c r="GA239" s="103">
        <f>SUM(FU239:FZ239)</f>
        <v>0</v>
      </c>
      <c r="GB239" s="36">
        <f t="shared" si="480"/>
        <v>0</v>
      </c>
      <c r="GC239" s="101">
        <f t="shared" si="411"/>
        <v>0</v>
      </c>
      <c r="GD239" s="6">
        <f>SUMIF('Eredeti fejléccel'!$B:$B,'Felosztás eredménykim'!$B239,'Eredeti fejléccel'!$CV:$CV)</f>
        <v>0</v>
      </c>
      <c r="GE239" s="6">
        <f>SUMIF('Eredeti fejléccel'!$B:$B,'Felosztás eredménykim'!$B239,'Eredeti fejléccel'!$CW:$CW)</f>
        <v>0</v>
      </c>
      <c r="GF239" s="103">
        <f>SUM(GC239:GE239)</f>
        <v>0</v>
      </c>
      <c r="GG239" s="36">
        <f t="shared" si="412"/>
        <v>0</v>
      </c>
      <c r="GM239" s="6">
        <f>SUMIF('Eredeti fejléccel'!$B:$B,'Felosztás eredménykim'!$B239,'Eredeti fejléccel'!$CX:$CX)</f>
        <v>0</v>
      </c>
      <c r="GN239" s="6">
        <f>SUMIF('Eredeti fejléccel'!$B:$B,'Felosztás eredménykim'!$B239,'Eredeti fejléccel'!$CY:$CY)</f>
        <v>0</v>
      </c>
      <c r="GO239" s="6">
        <f>SUMIF('Eredeti fejléccel'!$B:$B,'Felosztás eredménykim'!$B239,'Eredeti fejléccel'!$CZ:$CZ)</f>
        <v>0</v>
      </c>
      <c r="GP239" s="6">
        <f>SUMIF('Eredeti fejléccel'!$B:$B,'Felosztás eredménykim'!$B239,'Eredeti fejléccel'!$DA:$DA)</f>
        <v>0</v>
      </c>
      <c r="GQ239" s="6">
        <f>SUMIF('Eredeti fejléccel'!$B:$B,'Felosztás eredménykim'!$B239,'Eredeti fejléccel'!$DB:$DB)</f>
        <v>0</v>
      </c>
      <c r="GR239" s="103">
        <f>SUM(GH239:GQ239)</f>
        <v>0</v>
      </c>
      <c r="GW239" s="36">
        <f t="shared" si="413"/>
        <v>0</v>
      </c>
      <c r="GX239" s="6">
        <f>SUMIF('Eredeti fejléccel'!$B:$B,'Felosztás eredménykim'!$B239,'Eredeti fejléccel'!$M:$M)</f>
        <v>0</v>
      </c>
      <c r="GY239" s="6">
        <f>SUMIF('Eredeti fejléccel'!$B:$B,'Felosztás eredménykim'!$B239,'Eredeti fejléccel'!$DC:$DC)</f>
        <v>0</v>
      </c>
      <c r="GZ239" s="6">
        <f>SUMIF('Eredeti fejléccel'!$B:$B,'Felosztás eredménykim'!$B239,'Eredeti fejléccel'!$DD:$DD)</f>
        <v>0</v>
      </c>
      <c r="HA239" s="6">
        <f>SUMIF('Eredeti fejléccel'!$B:$B,'Felosztás eredménykim'!$B239,'Eredeti fejléccel'!$DE:$DE)</f>
        <v>0</v>
      </c>
      <c r="HB239" s="103">
        <f>SUM(GX239:HA239)</f>
        <v>0</v>
      </c>
      <c r="HD239" s="9">
        <f t="shared" si="547"/>
        <v>-282191878.46999991</v>
      </c>
      <c r="HE239" s="9">
        <v>-349921436.46999991</v>
      </c>
      <c r="HF239" s="476"/>
      <c r="HH239" s="34">
        <f>+HD239-HE239</f>
        <v>67729558</v>
      </c>
    </row>
    <row r="240" spans="1:218" x14ac:dyDescent="0.25">
      <c r="A240" s="4" t="s">
        <v>317</v>
      </c>
      <c r="B240" s="4" t="s">
        <v>317</v>
      </c>
      <c r="C240" s="1" t="s">
        <v>318</v>
      </c>
      <c r="D240" s="6">
        <f>SUMIF('Eredeti fejléccel'!$B:$B,'Felosztás eredménykim'!$B240,'Eredeti fejléccel'!$D:$D)</f>
        <v>0</v>
      </c>
      <c r="E240" s="6">
        <f>SUMIF('Eredeti fejléccel'!$B:$B,'Felosztás eredménykim'!$B240,'Eredeti fejléccel'!$E:$E)</f>
        <v>0</v>
      </c>
      <c r="F240" s="6">
        <f>SUMIF('Eredeti fejléccel'!$B:$B,'Felosztás eredménykim'!$B240,'Eredeti fejléccel'!$F:$F)</f>
        <v>0</v>
      </c>
      <c r="G240" s="6">
        <f>SUMIF('Eredeti fejléccel'!$B:$B,'Felosztás eredménykim'!$B240,'Eredeti fejléccel'!$G:$G)</f>
        <v>0</v>
      </c>
      <c r="H240" s="6"/>
      <c r="I240" s="6">
        <f>SUMIF('Eredeti fejléccel'!$B:$B,'Felosztás eredménykim'!$B240,'Eredeti fejléccel'!$O:$O)</f>
        <v>0</v>
      </c>
      <c r="J240" s="6">
        <f>SUMIF('Eredeti fejléccel'!$B:$B,'Felosztás eredménykim'!$B240,'Eredeti fejléccel'!$P:$P)</f>
        <v>0</v>
      </c>
      <c r="K240" s="6">
        <f>SUMIF('Eredeti fejléccel'!$B:$B,'Felosztás eredménykim'!$B240,'Eredeti fejléccel'!$Q:$Q)</f>
        <v>0</v>
      </c>
      <c r="L240" s="6">
        <f>SUMIF('Eredeti fejléccel'!$B:$B,'Felosztás eredménykim'!$B240,'Eredeti fejléccel'!$R:$R)</f>
        <v>0</v>
      </c>
      <c r="M240" s="6">
        <f>SUMIF('Eredeti fejléccel'!$B:$B,'Felosztás eredménykim'!$B240,'Eredeti fejléccel'!$T:$T)</f>
        <v>0</v>
      </c>
      <c r="N240" s="6">
        <f>SUMIF('Eredeti fejléccel'!$B:$B,'Felosztás eredménykim'!$B240,'Eredeti fejléccel'!$U:$U)</f>
        <v>0</v>
      </c>
      <c r="O240" s="6">
        <f>SUMIF('Eredeti fejléccel'!$B:$B,'Felosztás eredménykim'!$B240,'Eredeti fejléccel'!$V:$V)</f>
        <v>0</v>
      </c>
      <c r="P240" s="6">
        <f>SUMIF('Eredeti fejléccel'!$B:$B,'Felosztás eredménykim'!$B240,'Eredeti fejléccel'!$W:$W)</f>
        <v>0</v>
      </c>
      <c r="Q240" s="6">
        <f>SUMIF('Eredeti fejléccel'!$B:$B,'Felosztás eredménykim'!$B240,'Eredeti fejléccel'!$X:$X)</f>
        <v>0</v>
      </c>
      <c r="R240" s="6">
        <f>SUMIF('Eredeti fejléccel'!$B:$B,'Felosztás eredménykim'!$B240,'Eredeti fejléccel'!$Y:$Y)</f>
        <v>0</v>
      </c>
      <c r="S240" s="6">
        <f>SUMIF('Eredeti fejléccel'!$B:$B,'Felosztás eredménykim'!$B240,'Eredeti fejléccel'!$Z:$Z)</f>
        <v>0</v>
      </c>
      <c r="T240" s="6">
        <f>SUMIF('Eredeti fejléccel'!$B:$B,'Felosztás eredménykim'!$B240,'Eredeti fejléccel'!$AA:$AA)</f>
        <v>0</v>
      </c>
      <c r="U240" s="6">
        <f>SUMIF('Eredeti fejléccel'!$B:$B,'Felosztás eredménykim'!$B240,'Eredeti fejléccel'!$D:$D)</f>
        <v>0</v>
      </c>
      <c r="V240" s="6">
        <f>SUMIF('Eredeti fejléccel'!$B:$B,'Felosztás eredménykim'!$B240,'Eredeti fejléccel'!$AT:$AT)</f>
        <v>0</v>
      </c>
      <c r="X240" s="36">
        <f t="shared" si="414"/>
        <v>0</v>
      </c>
      <c r="Z240" s="6">
        <f>SUMIF('Eredeti fejléccel'!$B:$B,'Felosztás eredménykim'!$B240,'Eredeti fejléccel'!$K:$K)</f>
        <v>0</v>
      </c>
      <c r="AB240" s="6">
        <f>SUMIF('Eredeti fejléccel'!$B:$B,'Felosztás eredménykim'!$B240,'Eredeti fejléccel'!$AB:$AB)</f>
        <v>0</v>
      </c>
      <c r="AC240" s="6">
        <f>SUMIF('Eredeti fejléccel'!$B:$B,'Felosztás eredménykim'!$B240,'Eredeti fejléccel'!$AQ:$AQ)</f>
        <v>0</v>
      </c>
      <c r="AE240" s="73">
        <f t="shared" ref="AE240:AE280" si="548">SUM(Z240:AD240)</f>
        <v>0</v>
      </c>
      <c r="AF240" s="36">
        <f t="shared" si="470"/>
        <v>0</v>
      </c>
      <c r="AG240" s="8">
        <f t="shared" si="399"/>
        <v>0</v>
      </c>
      <c r="AI240" s="6">
        <f>SUMIF('Eredeti fejléccel'!$B:$B,'Felosztás eredménykim'!$B240,'Eredeti fejléccel'!$BB:$BB)</f>
        <v>0</v>
      </c>
      <c r="AJ240" s="6">
        <f>SUMIF('Eredeti fejléccel'!$B:$B,'Felosztás eredménykim'!$B240,'Eredeti fejléccel'!$AF:$AF)</f>
        <v>0</v>
      </c>
      <c r="AK240" s="8">
        <f t="shared" si="522"/>
        <v>0</v>
      </c>
      <c r="AL240" s="36">
        <f t="shared" si="471"/>
        <v>0</v>
      </c>
      <c r="AM240" s="8">
        <f t="shared" si="400"/>
        <v>0</v>
      </c>
      <c r="AN240" s="6">
        <f t="shared" si="538"/>
        <v>0</v>
      </c>
      <c r="AO240" s="6">
        <f>SUMIF('Eredeti fejléccel'!$B:$B,'Felosztás eredménykim'!$B240,'Eredeti fejléccel'!$AC:$AC)</f>
        <v>0</v>
      </c>
      <c r="AP240" s="6">
        <f>SUMIF('Eredeti fejléccel'!$B:$B,'Felosztás eredménykim'!$B240,'Eredeti fejléccel'!$AD:$AD)</f>
        <v>0</v>
      </c>
      <c r="AQ240" s="6">
        <f>SUMIF('Eredeti fejléccel'!$B:$B,'Felosztás eredménykim'!$B240,'Eredeti fejléccel'!$AE:$AE)</f>
        <v>0</v>
      </c>
      <c r="AR240" s="6">
        <f>SUMIF('Eredeti fejléccel'!$B:$B,'Felosztás eredménykim'!$B240,'Eredeti fejléccel'!$AG:$AG)</f>
        <v>0</v>
      </c>
      <c r="AS240" s="6">
        <f t="shared" si="539"/>
        <v>0</v>
      </c>
      <c r="AT240" s="36">
        <f t="shared" si="472"/>
        <v>0</v>
      </c>
      <c r="AU240" s="8">
        <f t="shared" si="401"/>
        <v>0</v>
      </c>
      <c r="AV240" s="6">
        <f>SUMIF('Eredeti fejléccel'!$B:$B,'Felosztás eredménykim'!$B240,'Eredeti fejléccel'!$AI:$AI)</f>
        <v>0</v>
      </c>
      <c r="AW240" s="6">
        <f>SUMIF('Eredeti fejléccel'!$B:$B,'Felosztás eredménykim'!$B240,'Eredeti fejléccel'!$AJ:$AJ)</f>
        <v>0</v>
      </c>
      <c r="AX240" s="6">
        <f>SUMIF('Eredeti fejléccel'!$B:$B,'Felosztás eredménykim'!$B240,'Eredeti fejléccel'!$AK:$AK)</f>
        <v>0</v>
      </c>
      <c r="AY240" s="6">
        <f>SUMIF('Eredeti fejléccel'!$B:$B,'Felosztás eredménykim'!$B240,'Eredeti fejléccel'!$AL:$AL)</f>
        <v>0</v>
      </c>
      <c r="AZ240" s="6">
        <f>SUMIF('Eredeti fejléccel'!$B:$B,'Felosztás eredménykim'!$B240,'Eredeti fejléccel'!$AM:$AM)</f>
        <v>0</v>
      </c>
      <c r="BA240" s="6">
        <f>SUMIF('Eredeti fejléccel'!$B:$B,'Felosztás eredménykim'!$B240,'Eredeti fejléccel'!$AN:$AN)</f>
        <v>0</v>
      </c>
      <c r="BB240" s="6">
        <f>SUMIF('Eredeti fejléccel'!$B:$B,'Felosztás eredménykim'!$B240,'Eredeti fejléccel'!$AP:$AP)</f>
        <v>0</v>
      </c>
      <c r="BD240" s="6">
        <f>SUMIF('Eredeti fejléccel'!$B:$B,'Felosztás eredménykim'!$B240,'Eredeti fejléccel'!$AS:$AS)</f>
        <v>0</v>
      </c>
      <c r="BE240" s="8">
        <f t="shared" si="523"/>
        <v>0</v>
      </c>
      <c r="BF240" s="36">
        <f t="shared" si="473"/>
        <v>0</v>
      </c>
      <c r="BG240" s="8">
        <f t="shared" si="402"/>
        <v>0</v>
      </c>
      <c r="BH240" s="6">
        <f t="shared" si="540"/>
        <v>0</v>
      </c>
      <c r="BI240" s="6">
        <f>SUMIF('Eredeti fejléccel'!$B:$B,'Felosztás eredménykim'!$B240,'Eredeti fejléccel'!$AH:$AH)</f>
        <v>0</v>
      </c>
      <c r="BJ240" s="6">
        <f>SUMIF('Eredeti fejléccel'!$B:$B,'Felosztás eredménykim'!$B240,'Eredeti fejléccel'!$AO:$AO)</f>
        <v>0</v>
      </c>
      <c r="BK240" s="6">
        <f>SUMIF('Eredeti fejléccel'!$B:$B,'Felosztás eredménykim'!$B240,'Eredeti fejléccel'!$BF:$BF)</f>
        <v>0</v>
      </c>
      <c r="BL240" s="8">
        <f t="shared" si="541"/>
        <v>0</v>
      </c>
      <c r="BM240" s="36">
        <f t="shared" si="474"/>
        <v>0</v>
      </c>
      <c r="BN240" s="8">
        <f t="shared" si="403"/>
        <v>0</v>
      </c>
      <c r="BP240" s="8">
        <f t="shared" si="542"/>
        <v>0</v>
      </c>
      <c r="BQ240" s="6">
        <f>SUMIF('Eredeti fejléccel'!$B:$B,'Felosztás eredménykim'!$B240,'Eredeti fejléccel'!$N:$N)</f>
        <v>0</v>
      </c>
      <c r="BR240" s="6">
        <f>SUMIF('Eredeti fejléccel'!$B:$B,'Felosztás eredménykim'!$B240,'Eredeti fejléccel'!$S:$S)</f>
        <v>0</v>
      </c>
      <c r="BT240" s="6">
        <f>SUMIF('Eredeti fejléccel'!$B:$B,'Felosztás eredménykim'!$B240,'Eredeti fejléccel'!$AR:$AR)</f>
        <v>0</v>
      </c>
      <c r="BU240" s="6">
        <f>SUMIF('Eredeti fejléccel'!$B:$B,'Felosztás eredménykim'!$B240,'Eredeti fejléccel'!$AU:$AU)</f>
        <v>0</v>
      </c>
      <c r="BV240" s="6">
        <f>SUMIF('Eredeti fejléccel'!$B:$B,'Felosztás eredménykim'!$B240,'Eredeti fejléccel'!$AV:$AV)</f>
        <v>0</v>
      </c>
      <c r="BW240" s="6">
        <f>SUMIF('Eredeti fejléccel'!$B:$B,'Felosztás eredménykim'!$B240,'Eredeti fejléccel'!$AW:$AW)</f>
        <v>0</v>
      </c>
      <c r="BX240" s="6">
        <f>SUMIF('Eredeti fejléccel'!$B:$B,'Felosztás eredménykim'!$B240,'Eredeti fejléccel'!$AX:$AX)</f>
        <v>0</v>
      </c>
      <c r="BY240" s="6">
        <f>SUMIF('Eredeti fejléccel'!$B:$B,'Felosztás eredménykim'!$B240,'Eredeti fejléccel'!$AY:$AY)</f>
        <v>0</v>
      </c>
      <c r="BZ240" s="6">
        <f>SUMIF('Eredeti fejléccel'!$B:$B,'Felosztás eredménykim'!$B240,'Eredeti fejléccel'!$AZ:$AZ)</f>
        <v>0</v>
      </c>
      <c r="CA240" s="6">
        <f>SUMIF('Eredeti fejléccel'!$B:$B,'Felosztás eredménykim'!$B240,'Eredeti fejléccel'!$BA:$BA)</f>
        <v>0</v>
      </c>
      <c r="CB240" s="6">
        <f t="shared" si="481"/>
        <v>0</v>
      </c>
      <c r="CC240" s="36">
        <f t="shared" si="475"/>
        <v>0</v>
      </c>
      <c r="CD240" s="8">
        <f t="shared" si="404"/>
        <v>0</v>
      </c>
      <c r="CE240" s="6">
        <f>SUMIF('Eredeti fejléccel'!$B:$B,'Felosztás eredménykim'!$B240,'Eredeti fejléccel'!$BC:$BC)</f>
        <v>0</v>
      </c>
      <c r="CF240" s="8">
        <f t="shared" si="300"/>
        <v>0</v>
      </c>
      <c r="CG240" s="6">
        <f>SUMIF('Eredeti fejléccel'!$B:$B,'Felosztás eredménykim'!$B240,'Eredeti fejléccel'!$H:$H)</f>
        <v>0</v>
      </c>
      <c r="CH240" s="6">
        <f>SUMIF('Eredeti fejléccel'!$B:$B,'Felosztás eredménykim'!$B240,'Eredeti fejléccel'!$BE:$BE)</f>
        <v>0</v>
      </c>
      <c r="CI240" s="6">
        <f t="shared" si="524"/>
        <v>0</v>
      </c>
      <c r="CJ240" s="36">
        <f t="shared" si="476"/>
        <v>0</v>
      </c>
      <c r="CK240" s="8">
        <f t="shared" si="405"/>
        <v>0</v>
      </c>
      <c r="CL240" s="8">
        <f t="shared" si="301"/>
        <v>0</v>
      </c>
      <c r="CM240" s="6">
        <f>SUMIF('Eredeti fejléccel'!$B:$B,'Felosztás eredménykim'!$B240,'Eredeti fejléccel'!$BD:$BD)</f>
        <v>0</v>
      </c>
      <c r="CN240" s="8">
        <f t="shared" si="525"/>
        <v>0</v>
      </c>
      <c r="CO240" s="8">
        <f t="shared" si="482"/>
        <v>0</v>
      </c>
      <c r="CR240" s="36">
        <f t="shared" si="406"/>
        <v>0</v>
      </c>
      <c r="CS240" s="6">
        <f>SUMIF('Eredeti fejléccel'!$B:$B,'Felosztás eredménykim'!$B240,'Eredeti fejléccel'!$I:$I)</f>
        <v>0</v>
      </c>
      <c r="CT240" s="6">
        <f>SUMIF('Eredeti fejléccel'!$B:$B,'Felosztás eredménykim'!$B240,'Eredeti fejléccel'!$BG:$BG)</f>
        <v>0</v>
      </c>
      <c r="CU240" s="6">
        <f>SUMIF('Eredeti fejléccel'!$B:$B,'Felosztás eredménykim'!$B240,'Eredeti fejléccel'!$BH:$BH)</f>
        <v>0</v>
      </c>
      <c r="CV240" s="6">
        <f>SUMIF('Eredeti fejléccel'!$B:$B,'Felosztás eredménykim'!$B240,'Eredeti fejléccel'!$BI:$BI)</f>
        <v>0</v>
      </c>
      <c r="CW240" s="6">
        <f>SUMIF('Eredeti fejléccel'!$B:$B,'Felosztás eredménykim'!$B240,'Eredeti fejléccel'!$BL:$BL)</f>
        <v>0</v>
      </c>
      <c r="CX240" s="6">
        <f t="shared" si="526"/>
        <v>0</v>
      </c>
      <c r="CY240" s="6">
        <f>SUMIF('Eredeti fejléccel'!$B:$B,'Felosztás eredménykim'!$B240,'Eredeti fejléccel'!$BJ:$BJ)</f>
        <v>0</v>
      </c>
      <c r="CZ240" s="6">
        <f>SUMIF('Eredeti fejléccel'!$B:$B,'Felosztás eredménykim'!$B240,'Eredeti fejléccel'!$BK:$BK)</f>
        <v>0</v>
      </c>
      <c r="DA240" s="99">
        <f t="shared" si="415"/>
        <v>0</v>
      </c>
      <c r="DC240" s="36">
        <f t="shared" si="407"/>
        <v>0</v>
      </c>
      <c r="DD240" s="6">
        <f>SUMIF('Eredeti fejléccel'!$B:$B,'Felosztás eredménykim'!$B240,'Eredeti fejléccel'!$J:$J)</f>
        <v>0</v>
      </c>
      <c r="DE240" s="6">
        <f>SUMIF('Eredeti fejléccel'!$B:$B,'Felosztás eredménykim'!$B240,'Eredeti fejléccel'!$BM:$BM)</f>
        <v>0</v>
      </c>
      <c r="DF240" s="6">
        <f t="shared" si="543"/>
        <v>0</v>
      </c>
      <c r="DG240" s="8">
        <f t="shared" si="483"/>
        <v>0</v>
      </c>
      <c r="DH240" s="8">
        <f t="shared" si="544"/>
        <v>0</v>
      </c>
      <c r="DJ240" s="6">
        <f>SUMIF('Eredeti fejléccel'!$B:$B,'Felosztás eredménykim'!$B240,'Eredeti fejléccel'!$BN:$BN)</f>
        <v>0</v>
      </c>
      <c r="DK240" s="6">
        <f>SUMIF('Eredeti fejléccel'!$B:$B,'Felosztás eredménykim'!$B240,'Eredeti fejléccel'!$BZ:$BZ)</f>
        <v>0</v>
      </c>
      <c r="DL240" s="8">
        <f t="shared" si="545"/>
        <v>0</v>
      </c>
      <c r="DM240" s="6">
        <f>SUMIF('Eredeti fejléccel'!$B:$B,'Felosztás eredménykim'!$B240,'Eredeti fejléccel'!$BR:$BR)</f>
        <v>0</v>
      </c>
      <c r="DN240" s="6">
        <f>SUMIF('Eredeti fejléccel'!$B:$B,'Felosztás eredménykim'!$B240,'Eredeti fejléccel'!$BS:$BS)</f>
        <v>0</v>
      </c>
      <c r="DO240" s="6">
        <f>SUMIF('Eredeti fejléccel'!$B:$B,'Felosztás eredménykim'!$B240,'Eredeti fejléccel'!$BO:$BO)</f>
        <v>0</v>
      </c>
      <c r="DP240" s="6">
        <f>SUMIF('Eredeti fejléccel'!$B:$B,'Felosztás eredménykim'!$B240,'Eredeti fejléccel'!$BP:$BP)</f>
        <v>0</v>
      </c>
      <c r="DQ240" s="6">
        <f>SUMIF('Eredeti fejléccel'!$B:$B,'Felosztás eredménykim'!$B240,'Eredeti fejléccel'!$BQ:$BQ)</f>
        <v>0</v>
      </c>
      <c r="DS240" s="8"/>
      <c r="DU240" s="6">
        <f>SUMIF('Eredeti fejléccel'!$B:$B,'Felosztás eredménykim'!$B240,'Eredeti fejléccel'!$BT:$BT)</f>
        <v>0</v>
      </c>
      <c r="DV240" s="6">
        <f>SUMIF('Eredeti fejléccel'!$B:$B,'Felosztás eredménykim'!$B240,'Eredeti fejléccel'!$BU:$BU)</f>
        <v>0</v>
      </c>
      <c r="DW240" s="6">
        <f>SUMIF('Eredeti fejléccel'!$B:$B,'Felosztás eredménykim'!$B240,'Eredeti fejléccel'!$BV:$BV)</f>
        <v>0</v>
      </c>
      <c r="DX240" s="6">
        <f>SUMIF('Eredeti fejléccel'!$B:$B,'Felosztás eredménykim'!$B240,'Eredeti fejléccel'!$BW:$BW)</f>
        <v>0</v>
      </c>
      <c r="DY240" s="6">
        <f>SUMIF('Eredeti fejléccel'!$B:$B,'Felosztás eredménykim'!$B240,'Eredeti fejléccel'!$BX:$BX)</f>
        <v>0</v>
      </c>
      <c r="EA240" s="6"/>
      <c r="EC240" s="6"/>
      <c r="EE240" s="6">
        <f>SUMIF('Eredeti fejléccel'!$B:$B,'Felosztás eredménykim'!$B240,'Eredeti fejléccel'!$CA:$CA)</f>
        <v>0</v>
      </c>
      <c r="EF240" s="6">
        <f>SUMIF('Eredeti fejléccel'!$B:$B,'Felosztás eredménykim'!$B240,'Eredeti fejléccel'!$CB:$CB)</f>
        <v>0</v>
      </c>
      <c r="EG240" s="6">
        <f>SUMIF('Eredeti fejléccel'!$B:$B,'Felosztás eredménykim'!$B240,'Eredeti fejléccel'!$CC:$CC)</f>
        <v>0</v>
      </c>
      <c r="EH240" s="6">
        <f>SUMIF('Eredeti fejléccel'!$B:$B,'Felosztás eredménykim'!$B240,'Eredeti fejléccel'!$CD:$CD)</f>
        <v>0</v>
      </c>
      <c r="EK240" s="6">
        <f>SUMIF('Eredeti fejléccel'!$B:$B,'Felosztás eredménykim'!$B240,'Eredeti fejléccel'!$CE:$CE)</f>
        <v>0</v>
      </c>
      <c r="EN240" s="6">
        <f>SUMIF('Eredeti fejléccel'!$B:$B,'Felosztás eredménykim'!$B240,'Eredeti fejléccel'!$CF:$CF)</f>
        <v>0</v>
      </c>
      <c r="EP240" s="6">
        <f>SUMIF('Eredeti fejléccel'!$B:$B,'Felosztás eredménykim'!$B240,'Eredeti fejléccel'!$CG:$CG)</f>
        <v>0</v>
      </c>
      <c r="ES240" s="6">
        <f>SUMIF('Eredeti fejléccel'!$B:$B,'Felosztás eredménykim'!$B240,'Eredeti fejléccel'!$CH:$CH)</f>
        <v>0</v>
      </c>
      <c r="ET240" s="6">
        <f>SUMIF('Eredeti fejléccel'!$B:$B,'Felosztás eredménykim'!$B240,'Eredeti fejléccel'!$CI:$CI)</f>
        <v>0</v>
      </c>
      <c r="EW240" s="8">
        <f t="shared" si="535"/>
        <v>0</v>
      </c>
      <c r="EX240" s="8">
        <f t="shared" si="527"/>
        <v>0</v>
      </c>
      <c r="EY240" s="8">
        <f t="shared" si="416"/>
        <v>0</v>
      </c>
      <c r="EZ240" s="8">
        <f t="shared" si="536"/>
        <v>0</v>
      </c>
      <c r="FA240" s="8">
        <f t="shared" si="537"/>
        <v>0</v>
      </c>
      <c r="FC240" s="6">
        <f>SUMIF('Eredeti fejléccel'!$B:$B,'Felosztás eredménykim'!$B240,'Eredeti fejléccel'!$L:$L)</f>
        <v>0</v>
      </c>
      <c r="FD240" s="6">
        <f>SUMIF('Eredeti fejléccel'!$B:$B,'Felosztás eredménykim'!$B240,'Eredeti fejléccel'!$CJ:$CJ)</f>
        <v>0</v>
      </c>
      <c r="FE240" s="6">
        <f>SUMIF('Eredeti fejléccel'!$B:$B,'Felosztás eredménykim'!$B240,'Eredeti fejléccel'!$CL:$CL)</f>
        <v>0</v>
      </c>
      <c r="FG240" s="99">
        <f t="shared" si="528"/>
        <v>0</v>
      </c>
      <c r="FH240" s="6">
        <f>SUMIF('Eredeti fejléccel'!$B:$B,'Felosztás eredménykim'!$B240,'Eredeti fejléccel'!$CK:$CK)</f>
        <v>0</v>
      </c>
      <c r="FI240" s="36">
        <f t="shared" si="477"/>
        <v>0</v>
      </c>
      <c r="FJ240" s="101">
        <f t="shared" si="408"/>
        <v>0</v>
      </c>
      <c r="FK240" s="6">
        <f>SUMIF('Eredeti fejléccel'!$B:$B,'Felosztás eredménykim'!$B240,'Eredeti fejléccel'!$CM:$CM)</f>
        <v>0</v>
      </c>
      <c r="FL240" s="6">
        <f>SUMIF('Eredeti fejléccel'!$B:$B,'Felosztás eredménykim'!$B240,'Eredeti fejléccel'!$CN:$CN)</f>
        <v>0</v>
      </c>
      <c r="FM240" s="8">
        <f t="shared" si="529"/>
        <v>0</v>
      </c>
      <c r="FN240" s="36">
        <f t="shared" si="478"/>
        <v>0</v>
      </c>
      <c r="FO240" s="101">
        <f t="shared" si="409"/>
        <v>0</v>
      </c>
      <c r="FP240" s="6">
        <f>SUMIF('Eredeti fejléccel'!$B:$B,'Felosztás eredménykim'!$B240,'Eredeti fejléccel'!$CO:$CO)</f>
        <v>0</v>
      </c>
      <c r="FQ240" s="6">
        <f>'Eredeti fejléccel'!CP240</f>
        <v>0</v>
      </c>
      <c r="FR240" s="6">
        <f>'Eredeti fejléccel'!CQ240</f>
        <v>0</v>
      </c>
      <c r="FS240" s="103">
        <f t="shared" si="417"/>
        <v>0</v>
      </c>
      <c r="FT240" s="36">
        <f t="shared" si="479"/>
        <v>0</v>
      </c>
      <c r="FU240" s="101">
        <f t="shared" si="410"/>
        <v>0</v>
      </c>
      <c r="FV240" s="101"/>
      <c r="FW240" s="6">
        <f>SUMIF('Eredeti fejléccel'!$B:$B,'Felosztás eredménykim'!$B240,'Eredeti fejléccel'!$CR:$CR)</f>
        <v>0</v>
      </c>
      <c r="FX240" s="6">
        <f>SUMIF('Eredeti fejléccel'!$B:$B,'Felosztás eredménykim'!$B240,'Eredeti fejléccel'!$CS:$CS)</f>
        <v>0</v>
      </c>
      <c r="FY240" s="6">
        <f>SUMIF('Eredeti fejléccel'!$B:$B,'Felosztás eredménykim'!$B240,'Eredeti fejléccel'!$CT:$CT)</f>
        <v>0</v>
      </c>
      <c r="FZ240" s="6">
        <f>SUMIF('Eredeti fejléccel'!$B:$B,'Felosztás eredménykim'!$B240,'Eredeti fejléccel'!$CU:$CU)</f>
        <v>0</v>
      </c>
      <c r="GA240" s="103">
        <f t="shared" si="530"/>
        <v>0</v>
      </c>
      <c r="GB240" s="36">
        <f t="shared" si="480"/>
        <v>0</v>
      </c>
      <c r="GC240" s="101">
        <f t="shared" si="411"/>
        <v>0</v>
      </c>
      <c r="GD240" s="6">
        <f>SUMIF('Eredeti fejléccel'!$B:$B,'Felosztás eredménykim'!$B240,'Eredeti fejléccel'!$CV:$CV)</f>
        <v>0</v>
      </c>
      <c r="GE240" s="6">
        <f>SUMIF('Eredeti fejléccel'!$B:$B,'Felosztás eredménykim'!$B240,'Eredeti fejléccel'!$CW:$CW)</f>
        <v>0</v>
      </c>
      <c r="GF240" s="103">
        <f t="shared" si="531"/>
        <v>0</v>
      </c>
      <c r="GG240" s="36">
        <f t="shared" si="412"/>
        <v>0</v>
      </c>
      <c r="GM240" s="6">
        <f>SUMIF('Eredeti fejléccel'!$B:$B,'Felosztás eredménykim'!$B240,'Eredeti fejléccel'!$CX:$CX)</f>
        <v>0</v>
      </c>
      <c r="GN240" s="6">
        <f>SUMIF('Eredeti fejléccel'!$B:$B,'Felosztás eredménykim'!$B240,'Eredeti fejléccel'!$CY:$CY)</f>
        <v>0</v>
      </c>
      <c r="GO240" s="6">
        <f>SUMIF('Eredeti fejléccel'!$B:$B,'Felosztás eredménykim'!$B240,'Eredeti fejléccel'!$CZ:$CZ)</f>
        <v>0</v>
      </c>
      <c r="GP240" s="6">
        <f>SUMIF('Eredeti fejléccel'!$B:$B,'Felosztás eredménykim'!$B240,'Eredeti fejléccel'!$DA:$DA)</f>
        <v>0</v>
      </c>
      <c r="GQ240" s="6">
        <f>SUMIF('Eredeti fejléccel'!$B:$B,'Felosztás eredménykim'!$B240,'Eredeti fejléccel'!$DB:$DB)</f>
        <v>0</v>
      </c>
      <c r="GR240" s="103">
        <f t="shared" si="532"/>
        <v>0</v>
      </c>
      <c r="GW240" s="36">
        <f t="shared" si="413"/>
        <v>0</v>
      </c>
      <c r="GX240" s="6">
        <f>SUMIF('Eredeti fejléccel'!$B:$B,'Felosztás eredménykim'!$B240,'Eredeti fejléccel'!$M:$M)</f>
        <v>0</v>
      </c>
      <c r="GY240" s="6">
        <f>SUMIF('Eredeti fejléccel'!$B:$B,'Felosztás eredménykim'!$B240,'Eredeti fejléccel'!$DC:$DC)</f>
        <v>0</v>
      </c>
      <c r="GZ240" s="6">
        <f>SUMIF('Eredeti fejléccel'!$B:$B,'Felosztás eredménykim'!$B240,'Eredeti fejléccel'!$DD:$DD)</f>
        <v>0</v>
      </c>
      <c r="HA240" s="6">
        <f>SUMIF('Eredeti fejléccel'!$B:$B,'Felosztás eredménykim'!$B240,'Eredeti fejléccel'!$DE:$DE)</f>
        <v>0</v>
      </c>
      <c r="HB240" s="103">
        <f t="shared" si="533"/>
        <v>0</v>
      </c>
      <c r="HD240" s="9">
        <f t="shared" si="547"/>
        <v>0</v>
      </c>
      <c r="HE240" s="9"/>
      <c r="HF240" s="476"/>
      <c r="HH240" s="34">
        <f t="shared" si="534"/>
        <v>0</v>
      </c>
    </row>
    <row r="241" spans="1:217" x14ac:dyDescent="0.25">
      <c r="A241" s="325" t="s">
        <v>319</v>
      </c>
      <c r="B241" s="4" t="s">
        <v>319</v>
      </c>
      <c r="C241" s="1" t="s">
        <v>320</v>
      </c>
      <c r="D241" s="6">
        <f>SUMIF('Eredeti fejléccel'!$B:$B,'Felosztás eredménykim'!$B241,'Eredeti fejléccel'!$D:$D)</f>
        <v>0</v>
      </c>
      <c r="E241" s="6">
        <f>SUMIF('Eredeti fejléccel'!$B:$B,'Felosztás eredménykim'!$B241,'Eredeti fejléccel'!$E:$E)</f>
        <v>0</v>
      </c>
      <c r="F241" s="6">
        <f>SUMIF('Eredeti fejléccel'!$B:$B,'Felosztás eredménykim'!$B241,'Eredeti fejléccel'!$F:$F)</f>
        <v>0</v>
      </c>
      <c r="G241" s="6">
        <f>SUMIF('Eredeti fejléccel'!$B:$B,'Felosztás eredménykim'!$B241,'Eredeti fejléccel'!$G:$G)</f>
        <v>0</v>
      </c>
      <c r="H241" s="6"/>
      <c r="I241" s="6">
        <f>SUMIF('Eredeti fejléccel'!$B:$B,'Felosztás eredménykim'!$B241,'Eredeti fejléccel'!$O:$O)</f>
        <v>0</v>
      </c>
      <c r="J241" s="6">
        <f>SUMIF('Eredeti fejléccel'!$B:$B,'Felosztás eredménykim'!$B241,'Eredeti fejléccel'!$P:$P)</f>
        <v>0</v>
      </c>
      <c r="K241" s="6">
        <f>SUMIF('Eredeti fejléccel'!$B:$B,'Felosztás eredménykim'!$B241,'Eredeti fejléccel'!$Q:$Q)</f>
        <v>0</v>
      </c>
      <c r="L241" s="6">
        <f>SUMIF('Eredeti fejléccel'!$B:$B,'Felosztás eredménykim'!$B241,'Eredeti fejléccel'!$R:$R)</f>
        <v>0</v>
      </c>
      <c r="M241" s="6">
        <f>SUMIF('Eredeti fejléccel'!$B:$B,'Felosztás eredménykim'!$B241,'Eredeti fejléccel'!$T:$T)</f>
        <v>0</v>
      </c>
      <c r="N241" s="6">
        <f>SUMIF('Eredeti fejléccel'!$B:$B,'Felosztás eredménykim'!$B241,'Eredeti fejléccel'!$U:$U)</f>
        <v>0</v>
      </c>
      <c r="O241" s="6">
        <f>SUMIF('Eredeti fejléccel'!$B:$B,'Felosztás eredménykim'!$B241,'Eredeti fejléccel'!$V:$V)</f>
        <v>0</v>
      </c>
      <c r="P241" s="6">
        <f>SUMIF('Eredeti fejléccel'!$B:$B,'Felosztás eredménykim'!$B241,'Eredeti fejléccel'!$W:$W)</f>
        <v>0</v>
      </c>
      <c r="Q241" s="6">
        <f>SUMIF('Eredeti fejléccel'!$B:$B,'Felosztás eredménykim'!$B241,'Eredeti fejléccel'!$X:$X)</f>
        <v>0</v>
      </c>
      <c r="R241" s="6">
        <f>SUMIF('Eredeti fejléccel'!$B:$B,'Felosztás eredménykim'!$B241,'Eredeti fejléccel'!$Y:$Y)</f>
        <v>0</v>
      </c>
      <c r="S241" s="6">
        <f>SUMIF('Eredeti fejléccel'!$B:$B,'Felosztás eredménykim'!$B241,'Eredeti fejléccel'!$Z:$Z)</f>
        <v>0</v>
      </c>
      <c r="T241" s="6">
        <f>SUMIF('Eredeti fejléccel'!$B:$B,'Felosztás eredménykim'!$B241,'Eredeti fejléccel'!$AA:$AA)</f>
        <v>0</v>
      </c>
      <c r="U241" s="6">
        <f>SUMIF('Eredeti fejléccel'!$B:$B,'Felosztás eredménykim'!$B241,'Eredeti fejléccel'!$D:$D)</f>
        <v>0</v>
      </c>
      <c r="V241" s="6">
        <f>SUMIF('Eredeti fejléccel'!$B:$B,'Felosztás eredménykim'!$B241,'Eredeti fejléccel'!$AT:$AT)</f>
        <v>0</v>
      </c>
      <c r="X241" s="36">
        <f t="shared" si="414"/>
        <v>0</v>
      </c>
      <c r="Z241" s="6">
        <f>SUMIF('Eredeti fejléccel'!$B:$B,'Felosztás eredménykim'!$B241,'Eredeti fejléccel'!$K:$K)</f>
        <v>0</v>
      </c>
      <c r="AB241" s="6">
        <f>SUMIF('Eredeti fejléccel'!$B:$B,'Felosztás eredménykim'!$B241,'Eredeti fejléccel'!$AB:$AB)</f>
        <v>0</v>
      </c>
      <c r="AC241" s="6">
        <f>SUMIF('Eredeti fejléccel'!$B:$B,'Felosztás eredménykim'!$B241,'Eredeti fejléccel'!$AQ:$AQ)</f>
        <v>0</v>
      </c>
      <c r="AE241" s="73">
        <f t="shared" si="548"/>
        <v>0</v>
      </c>
      <c r="AF241" s="36">
        <f t="shared" ref="AF241:AF268" si="549">$X241/$HD$290*(AG$290+AG$291)</f>
        <v>0</v>
      </c>
      <c r="AG241" s="8">
        <f t="shared" si="399"/>
        <v>0</v>
      </c>
      <c r="AI241" s="6">
        <f>SUMIF('Eredeti fejléccel'!$B:$B,'Felosztás eredménykim'!$B241,'Eredeti fejléccel'!$BB:$BB)</f>
        <v>0</v>
      </c>
      <c r="AJ241" s="6">
        <f>SUMIF('Eredeti fejléccel'!$B:$B,'Felosztás eredménykim'!$B241,'Eredeti fejléccel'!$AF:$AF)</f>
        <v>0</v>
      </c>
      <c r="AK241" s="8">
        <f t="shared" si="522"/>
        <v>0</v>
      </c>
      <c r="AL241" s="36">
        <f t="shared" ref="AL241:AL268" si="550">$X241/$HD$290*(AM$290+AM$291)</f>
        <v>0</v>
      </c>
      <c r="AM241" s="8">
        <f t="shared" si="400"/>
        <v>0</v>
      </c>
      <c r="AN241" s="6">
        <f t="shared" si="538"/>
        <v>0</v>
      </c>
      <c r="AO241" s="6">
        <f>SUMIF('Eredeti fejléccel'!$B:$B,'Felosztás eredménykim'!$B241,'Eredeti fejléccel'!$AC:$AC)</f>
        <v>0</v>
      </c>
      <c r="AP241" s="6">
        <f>SUMIF('Eredeti fejléccel'!$B:$B,'Felosztás eredménykim'!$B241,'Eredeti fejléccel'!$AD:$AD)</f>
        <v>0</v>
      </c>
      <c r="AQ241" s="6">
        <f>SUMIF('Eredeti fejléccel'!$B:$B,'Felosztás eredménykim'!$B241,'Eredeti fejléccel'!$AE:$AE)</f>
        <v>0</v>
      </c>
      <c r="AR241" s="6">
        <f>SUMIF('Eredeti fejléccel'!$B:$B,'Felosztás eredménykim'!$B241,'Eredeti fejléccel'!$AG:$AG)</f>
        <v>0</v>
      </c>
      <c r="AS241" s="6">
        <f t="shared" si="539"/>
        <v>0</v>
      </c>
      <c r="AT241" s="36">
        <f t="shared" ref="AT241:AT268" si="551">$X241/$HD$290*(AU$290+AU$291)</f>
        <v>0</v>
      </c>
      <c r="AU241" s="8">
        <f t="shared" si="401"/>
        <v>0</v>
      </c>
      <c r="AV241" s="6">
        <f>SUMIF('Eredeti fejléccel'!$B:$B,'Felosztás eredménykim'!$B241,'Eredeti fejléccel'!$AI:$AI)</f>
        <v>0</v>
      </c>
      <c r="AW241" s="6">
        <f>SUMIF('Eredeti fejléccel'!$B:$B,'Felosztás eredménykim'!$B241,'Eredeti fejléccel'!$AJ:$AJ)</f>
        <v>0</v>
      </c>
      <c r="AX241" s="6">
        <f>SUMIF('Eredeti fejléccel'!$B:$B,'Felosztás eredménykim'!$B241,'Eredeti fejléccel'!$AK:$AK)</f>
        <v>0</v>
      </c>
      <c r="AY241" s="6">
        <f>SUMIF('Eredeti fejléccel'!$B:$B,'Felosztás eredménykim'!$B241,'Eredeti fejléccel'!$AL:$AL)</f>
        <v>0</v>
      </c>
      <c r="AZ241" s="6">
        <f>SUMIF('Eredeti fejléccel'!$B:$B,'Felosztás eredménykim'!$B241,'Eredeti fejléccel'!$AM:$AM)</f>
        <v>0</v>
      </c>
      <c r="BA241" s="6">
        <f>SUMIF('Eredeti fejléccel'!$B:$B,'Felosztás eredménykim'!$B241,'Eredeti fejléccel'!$AN:$AN)</f>
        <v>0</v>
      </c>
      <c r="BB241" s="6">
        <f>SUMIF('Eredeti fejléccel'!$B:$B,'Felosztás eredménykim'!$B241,'Eredeti fejléccel'!$AP:$AP)</f>
        <v>0</v>
      </c>
      <c r="BD241" s="6">
        <f>SUMIF('Eredeti fejléccel'!$B:$B,'Felosztás eredménykim'!$B241,'Eredeti fejléccel'!$AS:$AS)</f>
        <v>0</v>
      </c>
      <c r="BE241" s="8">
        <f t="shared" si="523"/>
        <v>0</v>
      </c>
      <c r="BF241" s="36">
        <f t="shared" ref="BF241:BF268" si="552">$X241/$HD$290*(BG$290+BG$291)</f>
        <v>0</v>
      </c>
      <c r="BG241" s="8">
        <f t="shared" si="402"/>
        <v>0</v>
      </c>
      <c r="BH241" s="6">
        <f t="shared" si="540"/>
        <v>0</v>
      </c>
      <c r="BI241" s="6">
        <f>SUMIF('Eredeti fejléccel'!$B:$B,'Felosztás eredménykim'!$B241,'Eredeti fejléccel'!$AH:$AH)</f>
        <v>0</v>
      </c>
      <c r="BJ241" s="6">
        <f>SUMIF('Eredeti fejléccel'!$B:$B,'Felosztás eredménykim'!$B241,'Eredeti fejléccel'!$AO:$AO)</f>
        <v>0</v>
      </c>
      <c r="BK241" s="6">
        <f>SUMIF('Eredeti fejléccel'!$B:$B,'Felosztás eredménykim'!$B241,'Eredeti fejléccel'!$BF:$BF)</f>
        <v>0</v>
      </c>
      <c r="BL241" s="8">
        <f t="shared" si="541"/>
        <v>0</v>
      </c>
      <c r="BM241" s="36">
        <f t="shared" ref="BM241:BM268" si="553">$X241/$HD$290*(BN$290+BN$291)</f>
        <v>0</v>
      </c>
      <c r="BN241" s="8">
        <f t="shared" si="403"/>
        <v>0</v>
      </c>
      <c r="BP241" s="8">
        <f t="shared" si="542"/>
        <v>0</v>
      </c>
      <c r="BQ241" s="6">
        <f>SUMIF('Eredeti fejléccel'!$B:$B,'Felosztás eredménykim'!$B241,'Eredeti fejléccel'!$N:$N)</f>
        <v>0</v>
      </c>
      <c r="BR241" s="6">
        <f>SUMIF('Eredeti fejléccel'!$B:$B,'Felosztás eredménykim'!$B241,'Eredeti fejléccel'!$S:$S)</f>
        <v>0</v>
      </c>
      <c r="BT241" s="6">
        <f>SUMIF('Eredeti fejléccel'!$B:$B,'Felosztás eredménykim'!$B241,'Eredeti fejléccel'!$AR:$AR)</f>
        <v>0</v>
      </c>
      <c r="BU241" s="6">
        <f>SUMIF('Eredeti fejléccel'!$B:$B,'Felosztás eredménykim'!$B241,'Eredeti fejléccel'!$AU:$AU)</f>
        <v>0</v>
      </c>
      <c r="BV241" s="6">
        <f>SUMIF('Eredeti fejléccel'!$B:$B,'Felosztás eredménykim'!$B241,'Eredeti fejléccel'!$AV:$AV)</f>
        <v>0</v>
      </c>
      <c r="BW241" s="6">
        <f>SUMIF('Eredeti fejléccel'!$B:$B,'Felosztás eredménykim'!$B241,'Eredeti fejléccel'!$AW:$AW)</f>
        <v>0</v>
      </c>
      <c r="BX241" s="6">
        <f>SUMIF('Eredeti fejléccel'!$B:$B,'Felosztás eredménykim'!$B241,'Eredeti fejléccel'!$AX:$AX)</f>
        <v>0</v>
      </c>
      <c r="BY241" s="6">
        <f>SUMIF('Eredeti fejléccel'!$B:$B,'Felosztás eredménykim'!$B241,'Eredeti fejléccel'!$AY:$AY)</f>
        <v>0</v>
      </c>
      <c r="BZ241" s="6">
        <f>SUMIF('Eredeti fejléccel'!$B:$B,'Felosztás eredménykim'!$B241,'Eredeti fejléccel'!$AZ:$AZ)</f>
        <v>0</v>
      </c>
      <c r="CA241" s="6">
        <f>SUMIF('Eredeti fejléccel'!$B:$B,'Felosztás eredménykim'!$B241,'Eredeti fejléccel'!$BA:$BA)</f>
        <v>0</v>
      </c>
      <c r="CB241" s="6">
        <f t="shared" si="481"/>
        <v>0</v>
      </c>
      <c r="CC241" s="36">
        <f t="shared" ref="CC241:CC268" si="554">$X241/$HD$290*(CD$290+CD$291)</f>
        <v>0</v>
      </c>
      <c r="CD241" s="8">
        <f t="shared" si="404"/>
        <v>0</v>
      </c>
      <c r="CE241" s="6">
        <f>SUMIF('Eredeti fejléccel'!$B:$B,'Felosztás eredménykim'!$B241,'Eredeti fejléccel'!$BC:$BC)</f>
        <v>0</v>
      </c>
      <c r="CF241" s="8">
        <f t="shared" ref="CF241:CF280" si="555">-CE241/2</f>
        <v>0</v>
      </c>
      <c r="CG241" s="6">
        <f>SUMIF('Eredeti fejléccel'!$B:$B,'Felosztás eredménykim'!$B241,'Eredeti fejléccel'!$H:$H)</f>
        <v>0</v>
      </c>
      <c r="CH241" s="6">
        <f>SUMIF('Eredeti fejléccel'!$B:$B,'Felosztás eredménykim'!$B241,'Eredeti fejléccel'!$BE:$BE)</f>
        <v>0</v>
      </c>
      <c r="CI241" s="6">
        <f t="shared" si="524"/>
        <v>0</v>
      </c>
      <c r="CJ241" s="36">
        <f t="shared" ref="CJ241:CJ268" si="556">$X241/$HD$290*(CK$290+CK$291)</f>
        <v>0</v>
      </c>
      <c r="CK241" s="8">
        <f t="shared" si="405"/>
        <v>0</v>
      </c>
      <c r="CL241" s="8">
        <f t="shared" ref="CL241:CL280" si="557">CE241/2</f>
        <v>0</v>
      </c>
      <c r="CM241" s="6">
        <f>SUMIF('Eredeti fejléccel'!$B:$B,'Felosztás eredménykim'!$B241,'Eredeti fejléccel'!$BD:$BD)</f>
        <v>0</v>
      </c>
      <c r="CN241" s="8">
        <f t="shared" si="525"/>
        <v>0</v>
      </c>
      <c r="CO241" s="8">
        <f t="shared" si="482"/>
        <v>0</v>
      </c>
      <c r="CR241" s="36">
        <f t="shared" si="406"/>
        <v>0</v>
      </c>
      <c r="CS241" s="6">
        <f>SUMIF('Eredeti fejléccel'!$B:$B,'Felosztás eredménykim'!$B241,'Eredeti fejléccel'!$I:$I)</f>
        <v>0</v>
      </c>
      <c r="CT241" s="6">
        <f>SUMIF('Eredeti fejléccel'!$B:$B,'Felosztás eredménykim'!$B241,'Eredeti fejléccel'!$BG:$BG)</f>
        <v>0</v>
      </c>
      <c r="CU241" s="6">
        <f>SUMIF('Eredeti fejléccel'!$B:$B,'Felosztás eredménykim'!$B241,'Eredeti fejléccel'!$BH:$BH)</f>
        <v>0</v>
      </c>
      <c r="CV241" s="6">
        <f>SUMIF('Eredeti fejléccel'!$B:$B,'Felosztás eredménykim'!$B241,'Eredeti fejléccel'!$BI:$BI)</f>
        <v>0</v>
      </c>
      <c r="CW241" s="6">
        <f>SUMIF('Eredeti fejléccel'!$B:$B,'Felosztás eredménykim'!$B241,'Eredeti fejléccel'!$BL:$BL)</f>
        <v>0</v>
      </c>
      <c r="CX241" s="6">
        <f t="shared" si="526"/>
        <v>0</v>
      </c>
      <c r="CY241" s="6">
        <f>SUMIF('Eredeti fejléccel'!$B:$B,'Felosztás eredménykim'!$B241,'Eredeti fejléccel'!$BJ:$BJ)</f>
        <v>0</v>
      </c>
      <c r="CZ241" s="6">
        <f>SUMIF('Eredeti fejléccel'!$B:$B,'Felosztás eredménykim'!$B241,'Eredeti fejléccel'!$BK:$BK)</f>
        <v>0</v>
      </c>
      <c r="DA241" s="99">
        <f t="shared" si="415"/>
        <v>0</v>
      </c>
      <c r="DC241" s="36">
        <f t="shared" si="407"/>
        <v>0</v>
      </c>
      <c r="DD241" s="6">
        <f>SUMIF('Eredeti fejléccel'!$B:$B,'Felosztás eredménykim'!$B241,'Eredeti fejléccel'!$J:$J)</f>
        <v>0</v>
      </c>
      <c r="DE241" s="6">
        <f>SUMIF('Eredeti fejléccel'!$B:$B,'Felosztás eredménykim'!$B241,'Eredeti fejléccel'!$BM:$BM)</f>
        <v>0</v>
      </c>
      <c r="DF241" s="6">
        <f t="shared" si="543"/>
        <v>0</v>
      </c>
      <c r="DG241" s="8">
        <f t="shared" si="483"/>
        <v>0</v>
      </c>
      <c r="DH241" s="8">
        <f t="shared" si="544"/>
        <v>0</v>
      </c>
      <c r="DJ241" s="6">
        <f>SUMIF('Eredeti fejléccel'!$B:$B,'Felosztás eredménykim'!$B241,'Eredeti fejléccel'!$BN:$BN)</f>
        <v>0</v>
      </c>
      <c r="DK241" s="6">
        <f>SUMIF('Eredeti fejléccel'!$B:$B,'Felosztás eredménykim'!$B241,'Eredeti fejléccel'!$BZ:$BZ)</f>
        <v>0</v>
      </c>
      <c r="DL241" s="8">
        <f t="shared" si="545"/>
        <v>0</v>
      </c>
      <c r="DM241" s="6">
        <f>SUMIF('Eredeti fejléccel'!$B:$B,'Felosztás eredménykim'!$B241,'Eredeti fejléccel'!$BR:$BR)</f>
        <v>0</v>
      </c>
      <c r="DN241" s="6">
        <f>SUMIF('Eredeti fejléccel'!$B:$B,'Felosztás eredménykim'!$B241,'Eredeti fejléccel'!$BS:$BS)</f>
        <v>0</v>
      </c>
      <c r="DO241" s="6">
        <f>SUMIF('Eredeti fejléccel'!$B:$B,'Felosztás eredménykim'!$B241,'Eredeti fejléccel'!$BO:$BO)</f>
        <v>0</v>
      </c>
      <c r="DP241" s="6">
        <f>SUMIF('Eredeti fejléccel'!$B:$B,'Felosztás eredménykim'!$B241,'Eredeti fejléccel'!$BP:$BP)</f>
        <v>0</v>
      </c>
      <c r="DQ241" s="6">
        <f>SUMIF('Eredeti fejléccel'!$B:$B,'Felosztás eredménykim'!$B241,'Eredeti fejléccel'!$BQ:$BQ)</f>
        <v>0</v>
      </c>
      <c r="DS241" s="8"/>
      <c r="DU241" s="6">
        <f>SUMIF('Eredeti fejléccel'!$B:$B,'Felosztás eredménykim'!$B241,'Eredeti fejléccel'!$BT:$BT)</f>
        <v>0</v>
      </c>
      <c r="DV241" s="6">
        <f>SUMIF('Eredeti fejléccel'!$B:$B,'Felosztás eredménykim'!$B241,'Eredeti fejléccel'!$BU:$BU)</f>
        <v>0</v>
      </c>
      <c r="DW241" s="6">
        <f>SUMIF('Eredeti fejléccel'!$B:$B,'Felosztás eredménykim'!$B241,'Eredeti fejléccel'!$BV:$BV)</f>
        <v>0</v>
      </c>
      <c r="DX241" s="6">
        <f>SUMIF('Eredeti fejléccel'!$B:$B,'Felosztás eredménykim'!$B241,'Eredeti fejléccel'!$BW:$BW)</f>
        <v>0</v>
      </c>
      <c r="DY241" s="6">
        <f>SUMIF('Eredeti fejléccel'!$B:$B,'Felosztás eredménykim'!$B241,'Eredeti fejléccel'!$BX:$BX)</f>
        <v>0</v>
      </c>
      <c r="EA241" s="6"/>
      <c r="EC241" s="6"/>
      <c r="EE241" s="6">
        <f>SUMIF('Eredeti fejléccel'!$B:$B,'Felosztás eredménykim'!$B241,'Eredeti fejléccel'!$CA:$CA)</f>
        <v>0</v>
      </c>
      <c r="EF241" s="6">
        <f>SUMIF('Eredeti fejléccel'!$B:$B,'Felosztás eredménykim'!$B241,'Eredeti fejléccel'!$CB:$CB)</f>
        <v>0</v>
      </c>
      <c r="EG241" s="6">
        <f>SUMIF('Eredeti fejléccel'!$B:$B,'Felosztás eredménykim'!$B241,'Eredeti fejléccel'!$CC:$CC)</f>
        <v>0</v>
      </c>
      <c r="EH241" s="6">
        <f>SUMIF('Eredeti fejléccel'!$B:$B,'Felosztás eredménykim'!$B241,'Eredeti fejléccel'!$CD:$CD)</f>
        <v>0</v>
      </c>
      <c r="EK241" s="6">
        <f>SUMIF('Eredeti fejléccel'!$B:$B,'Felosztás eredménykim'!$B241,'Eredeti fejléccel'!$CE:$CE)</f>
        <v>0</v>
      </c>
      <c r="EN241" s="6">
        <f>SUMIF('Eredeti fejléccel'!$B:$B,'Felosztás eredménykim'!$B241,'Eredeti fejléccel'!$CF:$CF)</f>
        <v>0</v>
      </c>
      <c r="EP241" s="6">
        <f>SUMIF('Eredeti fejléccel'!$B:$B,'Felosztás eredménykim'!$B241,'Eredeti fejléccel'!$CG:$CG)</f>
        <v>0</v>
      </c>
      <c r="ES241" s="6">
        <f>SUMIF('Eredeti fejléccel'!$B:$B,'Felosztás eredménykim'!$B241,'Eredeti fejléccel'!$CH:$CH)</f>
        <v>0</v>
      </c>
      <c r="ET241" s="6">
        <f>SUMIF('Eredeti fejléccel'!$B:$B,'Felosztás eredménykim'!$B241,'Eredeti fejléccel'!$CI:$CI)</f>
        <v>0</v>
      </c>
      <c r="EW241" s="8">
        <f t="shared" si="535"/>
        <v>0</v>
      </c>
      <c r="EX241" s="8">
        <f t="shared" si="527"/>
        <v>0</v>
      </c>
      <c r="EY241" s="8">
        <f t="shared" si="416"/>
        <v>0</v>
      </c>
      <c r="EZ241" s="8">
        <f t="shared" si="536"/>
        <v>0</v>
      </c>
      <c r="FA241" s="8">
        <f t="shared" si="537"/>
        <v>0</v>
      </c>
      <c r="FC241" s="6">
        <f>SUMIF('Eredeti fejléccel'!$B:$B,'Felosztás eredménykim'!$B241,'Eredeti fejléccel'!$L:$L)</f>
        <v>0</v>
      </c>
      <c r="FD241" s="6">
        <f>SUMIF('Eredeti fejléccel'!$B:$B,'Felosztás eredménykim'!$B241,'Eredeti fejléccel'!$CJ:$CJ)</f>
        <v>0</v>
      </c>
      <c r="FE241" s="6">
        <f>SUMIF('Eredeti fejléccel'!$B:$B,'Felosztás eredménykim'!$B241,'Eredeti fejléccel'!$CL:$CL)</f>
        <v>0</v>
      </c>
      <c r="FG241" s="99">
        <f t="shared" si="528"/>
        <v>0</v>
      </c>
      <c r="FH241" s="6">
        <f>SUMIF('Eredeti fejléccel'!$B:$B,'Felosztás eredménykim'!$B241,'Eredeti fejléccel'!$CK:$CK)</f>
        <v>0</v>
      </c>
      <c r="FI241" s="36">
        <f t="shared" ref="FI241:FI268" si="558">$X241/$HD$290*(FJ$290+FJ$293)</f>
        <v>0</v>
      </c>
      <c r="FJ241" s="101">
        <f t="shared" si="408"/>
        <v>0</v>
      </c>
      <c r="FK241" s="6">
        <f>SUMIF('Eredeti fejléccel'!$B:$B,'Felosztás eredménykim'!$B241,'Eredeti fejléccel'!$CM:$CM)</f>
        <v>0</v>
      </c>
      <c r="FL241" s="6">
        <f>SUMIF('Eredeti fejléccel'!$B:$B,'Felosztás eredménykim'!$B241,'Eredeti fejléccel'!$CN:$CN)</f>
        <v>0</v>
      </c>
      <c r="FM241" s="8">
        <f t="shared" si="529"/>
        <v>0</v>
      </c>
      <c r="FN241" s="36">
        <f t="shared" ref="FN241:FN268" si="559">$X241/$HD$290*(FO$290+FO$293)</f>
        <v>0</v>
      </c>
      <c r="FO241" s="101">
        <f t="shared" si="409"/>
        <v>0</v>
      </c>
      <c r="FP241" s="6">
        <f>SUMIF('Eredeti fejléccel'!$B:$B,'Felosztás eredménykim'!$B241,'Eredeti fejléccel'!$CO:$CO)</f>
        <v>0</v>
      </c>
      <c r="FQ241" s="6">
        <f>'Eredeti fejléccel'!CP241</f>
        <v>0</v>
      </c>
      <c r="FR241" s="6">
        <f>'Eredeti fejléccel'!CQ241</f>
        <v>0</v>
      </c>
      <c r="FS241" s="103">
        <f t="shared" si="417"/>
        <v>0</v>
      </c>
      <c r="FT241" s="36">
        <f t="shared" ref="FT241:FT268" si="560">$X241/$HD$290*(FU$290+FU$293)</f>
        <v>0</v>
      </c>
      <c r="FU241" s="101">
        <f t="shared" si="410"/>
        <v>0</v>
      </c>
      <c r="FV241" s="101"/>
      <c r="FW241" s="6">
        <f>SUMIF('Eredeti fejléccel'!$B:$B,'Felosztás eredménykim'!$B241,'Eredeti fejléccel'!$CR:$CR)</f>
        <v>0</v>
      </c>
      <c r="FX241" s="6">
        <f>SUMIF('Eredeti fejléccel'!$B:$B,'Felosztás eredménykim'!$B241,'Eredeti fejléccel'!$CS:$CS)</f>
        <v>0</v>
      </c>
      <c r="FY241" s="6">
        <f>SUMIF('Eredeti fejléccel'!$B:$B,'Felosztás eredménykim'!$B241,'Eredeti fejléccel'!$CT:$CT)</f>
        <v>0</v>
      </c>
      <c r="FZ241" s="6">
        <f>SUMIF('Eredeti fejléccel'!$B:$B,'Felosztás eredménykim'!$B241,'Eredeti fejléccel'!$CU:$CU)</f>
        <v>0</v>
      </c>
      <c r="GA241" s="103">
        <f t="shared" si="530"/>
        <v>0</v>
      </c>
      <c r="GB241" s="36">
        <f t="shared" ref="GB241:GB268" si="561">$X241/$HD$290*(GC$290+GC$293)</f>
        <v>0</v>
      </c>
      <c r="GC241" s="101">
        <f t="shared" si="411"/>
        <v>0</v>
      </c>
      <c r="GD241" s="6">
        <f>SUMIF('Eredeti fejléccel'!$B:$B,'Felosztás eredménykim'!$B241,'Eredeti fejléccel'!$CV:$CV)</f>
        <v>0</v>
      </c>
      <c r="GE241" s="6">
        <f>SUMIF('Eredeti fejléccel'!$B:$B,'Felosztás eredménykim'!$B241,'Eredeti fejléccel'!$CW:$CW)</f>
        <v>0</v>
      </c>
      <c r="GF241" s="103">
        <f t="shared" si="531"/>
        <v>0</v>
      </c>
      <c r="GG241" s="36">
        <f t="shared" si="412"/>
        <v>0</v>
      </c>
      <c r="GM241" s="6">
        <f>SUMIF('Eredeti fejléccel'!$B:$B,'Felosztás eredménykim'!$B241,'Eredeti fejléccel'!$CX:$CX)</f>
        <v>0</v>
      </c>
      <c r="GN241" s="6">
        <f>SUMIF('Eredeti fejléccel'!$B:$B,'Felosztás eredménykim'!$B241,'Eredeti fejléccel'!$CY:$CY)</f>
        <v>0</v>
      </c>
      <c r="GO241" s="6">
        <f>SUMIF('Eredeti fejléccel'!$B:$B,'Felosztás eredménykim'!$B241,'Eredeti fejléccel'!$CZ:$CZ)</f>
        <v>0</v>
      </c>
      <c r="GP241" s="6">
        <f>SUMIF('Eredeti fejléccel'!$B:$B,'Felosztás eredménykim'!$B241,'Eredeti fejléccel'!$DA:$DA)</f>
        <v>0</v>
      </c>
      <c r="GQ241" s="6">
        <f>SUMIF('Eredeti fejléccel'!$B:$B,'Felosztás eredménykim'!$B241,'Eredeti fejléccel'!$DB:$DB)</f>
        <v>0</v>
      </c>
      <c r="GR241" s="103">
        <f t="shared" si="532"/>
        <v>0</v>
      </c>
      <c r="GW241" s="36">
        <f t="shared" si="413"/>
        <v>0</v>
      </c>
      <c r="GX241" s="6">
        <f>SUMIF('Eredeti fejléccel'!$B:$B,'Felosztás eredménykim'!$B241,'Eredeti fejléccel'!$M:$M)</f>
        <v>0</v>
      </c>
      <c r="GY241" s="6">
        <f>SUMIF('Eredeti fejléccel'!$B:$B,'Felosztás eredménykim'!$B241,'Eredeti fejléccel'!$DC:$DC)</f>
        <v>0</v>
      </c>
      <c r="GZ241" s="6">
        <f>SUMIF('Eredeti fejléccel'!$B:$B,'Felosztás eredménykim'!$B241,'Eredeti fejléccel'!$DD:$DD)</f>
        <v>0</v>
      </c>
      <c r="HA241" s="6">
        <f>SUMIF('Eredeti fejléccel'!$B:$B,'Felosztás eredménykim'!$B241,'Eredeti fejléccel'!$DE:$DE)</f>
        <v>0</v>
      </c>
      <c r="HB241" s="103">
        <f t="shared" si="533"/>
        <v>0</v>
      </c>
      <c r="HD241" s="9">
        <f t="shared" si="547"/>
        <v>0</v>
      </c>
      <c r="HE241" s="9"/>
      <c r="HF241" s="476"/>
      <c r="HH241" s="34">
        <f t="shared" si="534"/>
        <v>0</v>
      </c>
    </row>
    <row r="242" spans="1:217" x14ac:dyDescent="0.25">
      <c r="A242" s="4" t="s">
        <v>321</v>
      </c>
      <c r="B242" s="4" t="s">
        <v>321</v>
      </c>
      <c r="C242" s="1" t="s">
        <v>322</v>
      </c>
      <c r="D242" s="6">
        <f>SUMIF('Eredeti fejléccel'!$B:$B,'Felosztás eredménykim'!$B242,'Eredeti fejléccel'!$D:$D)</f>
        <v>0</v>
      </c>
      <c r="E242" s="6">
        <f>SUMIF('Eredeti fejléccel'!$B:$B,'Felosztás eredménykim'!$B242,'Eredeti fejléccel'!$E:$E)</f>
        <v>0</v>
      </c>
      <c r="F242" s="6">
        <f>SUMIF('Eredeti fejléccel'!$B:$B,'Felosztás eredménykim'!$B242,'Eredeti fejléccel'!$F:$F)</f>
        <v>0</v>
      </c>
      <c r="G242" s="6">
        <f>SUMIF('Eredeti fejléccel'!$B:$B,'Felosztás eredménykim'!$B242,'Eredeti fejléccel'!$G:$G)</f>
        <v>0</v>
      </c>
      <c r="H242" s="6"/>
      <c r="I242" s="6">
        <f>SUMIF('Eredeti fejléccel'!$B:$B,'Felosztás eredménykim'!$B242,'Eredeti fejléccel'!$O:$O)</f>
        <v>0</v>
      </c>
      <c r="J242" s="6">
        <f>SUMIF('Eredeti fejléccel'!$B:$B,'Felosztás eredménykim'!$B242,'Eredeti fejléccel'!$P:$P)</f>
        <v>0</v>
      </c>
      <c r="K242" s="6">
        <f>SUMIF('Eredeti fejléccel'!$B:$B,'Felosztás eredménykim'!$B242,'Eredeti fejléccel'!$Q:$Q)</f>
        <v>0</v>
      </c>
      <c r="L242" s="6">
        <f>SUMIF('Eredeti fejléccel'!$B:$B,'Felosztás eredménykim'!$B242,'Eredeti fejléccel'!$R:$R)</f>
        <v>0</v>
      </c>
      <c r="M242" s="6">
        <f>SUMIF('Eredeti fejléccel'!$B:$B,'Felosztás eredménykim'!$B242,'Eredeti fejléccel'!$T:$T)</f>
        <v>0</v>
      </c>
      <c r="N242" s="6">
        <f>SUMIF('Eredeti fejléccel'!$B:$B,'Felosztás eredménykim'!$B242,'Eredeti fejléccel'!$U:$U)</f>
        <v>0</v>
      </c>
      <c r="O242" s="6">
        <f>SUMIF('Eredeti fejléccel'!$B:$B,'Felosztás eredménykim'!$B242,'Eredeti fejléccel'!$V:$V)</f>
        <v>0</v>
      </c>
      <c r="P242" s="6">
        <f>SUMIF('Eredeti fejléccel'!$B:$B,'Felosztás eredménykim'!$B242,'Eredeti fejléccel'!$W:$W)</f>
        <v>0</v>
      </c>
      <c r="Q242" s="6">
        <f>SUMIF('Eredeti fejléccel'!$B:$B,'Felosztás eredménykim'!$B242,'Eredeti fejléccel'!$X:$X)</f>
        <v>0</v>
      </c>
      <c r="R242" s="6">
        <f>SUMIF('Eredeti fejléccel'!$B:$B,'Felosztás eredménykim'!$B242,'Eredeti fejléccel'!$Y:$Y)</f>
        <v>0</v>
      </c>
      <c r="S242" s="6">
        <f>SUMIF('Eredeti fejléccel'!$B:$B,'Felosztás eredménykim'!$B242,'Eredeti fejléccel'!$Z:$Z)</f>
        <v>0</v>
      </c>
      <c r="T242" s="6">
        <f>SUMIF('Eredeti fejléccel'!$B:$B,'Felosztás eredménykim'!$B242,'Eredeti fejléccel'!$AA:$AA)</f>
        <v>0</v>
      </c>
      <c r="U242" s="6">
        <f>SUMIF('Eredeti fejléccel'!$B:$B,'Felosztás eredménykim'!$B242,'Eredeti fejléccel'!$D:$D)</f>
        <v>0</v>
      </c>
      <c r="V242" s="6">
        <f>SUMIF('Eredeti fejléccel'!$B:$B,'Felosztás eredménykim'!$B242,'Eredeti fejléccel'!$AT:$AT)</f>
        <v>0</v>
      </c>
      <c r="X242" s="36">
        <f t="shared" si="414"/>
        <v>0</v>
      </c>
      <c r="Z242" s="6">
        <f>SUMIF('Eredeti fejléccel'!$B:$B,'Felosztás eredménykim'!$B242,'Eredeti fejléccel'!$K:$K)</f>
        <v>0</v>
      </c>
      <c r="AB242" s="6">
        <f>SUMIF('Eredeti fejléccel'!$B:$B,'Felosztás eredménykim'!$B242,'Eredeti fejléccel'!$AB:$AB)</f>
        <v>0</v>
      </c>
      <c r="AC242" s="6">
        <f>SUMIF('Eredeti fejléccel'!$B:$B,'Felosztás eredménykim'!$B242,'Eredeti fejléccel'!$AQ:$AQ)</f>
        <v>0</v>
      </c>
      <c r="AE242" s="73">
        <f t="shared" si="548"/>
        <v>0</v>
      </c>
      <c r="AF242" s="36">
        <f t="shared" si="549"/>
        <v>0</v>
      </c>
      <c r="AG242" s="8">
        <f t="shared" si="399"/>
        <v>0</v>
      </c>
      <c r="AI242" s="6">
        <f>SUMIF('Eredeti fejléccel'!$B:$B,'Felosztás eredménykim'!$B242,'Eredeti fejléccel'!$BB:$BB)</f>
        <v>0</v>
      </c>
      <c r="AJ242" s="6">
        <f>SUMIF('Eredeti fejléccel'!$B:$B,'Felosztás eredménykim'!$B242,'Eredeti fejléccel'!$AF:$AF)</f>
        <v>0</v>
      </c>
      <c r="AK242" s="8">
        <f t="shared" si="522"/>
        <v>0</v>
      </c>
      <c r="AL242" s="36">
        <f t="shared" si="550"/>
        <v>0</v>
      </c>
      <c r="AM242" s="8">
        <f t="shared" si="400"/>
        <v>0</v>
      </c>
      <c r="AN242" s="6">
        <f t="shared" si="538"/>
        <v>0</v>
      </c>
      <c r="AO242" s="6">
        <f>SUMIF('Eredeti fejléccel'!$B:$B,'Felosztás eredménykim'!$B242,'Eredeti fejléccel'!$AC:$AC)</f>
        <v>0</v>
      </c>
      <c r="AP242" s="6">
        <f>SUMIF('Eredeti fejléccel'!$B:$B,'Felosztás eredménykim'!$B242,'Eredeti fejléccel'!$AD:$AD)</f>
        <v>0</v>
      </c>
      <c r="AQ242" s="6">
        <f>SUMIF('Eredeti fejléccel'!$B:$B,'Felosztás eredménykim'!$B242,'Eredeti fejléccel'!$AE:$AE)</f>
        <v>0</v>
      </c>
      <c r="AR242" s="6">
        <f>SUMIF('Eredeti fejléccel'!$B:$B,'Felosztás eredménykim'!$B242,'Eredeti fejléccel'!$AG:$AG)</f>
        <v>0</v>
      </c>
      <c r="AS242" s="6">
        <f t="shared" si="539"/>
        <v>0</v>
      </c>
      <c r="AT242" s="36">
        <f t="shared" si="551"/>
        <v>0</v>
      </c>
      <c r="AU242" s="8">
        <f t="shared" si="401"/>
        <v>0</v>
      </c>
      <c r="AV242" s="6">
        <f>SUMIF('Eredeti fejléccel'!$B:$B,'Felosztás eredménykim'!$B242,'Eredeti fejléccel'!$AI:$AI)</f>
        <v>0</v>
      </c>
      <c r="AW242" s="6">
        <f>SUMIF('Eredeti fejléccel'!$B:$B,'Felosztás eredménykim'!$B242,'Eredeti fejléccel'!$AJ:$AJ)</f>
        <v>0</v>
      </c>
      <c r="AX242" s="6">
        <f>SUMIF('Eredeti fejléccel'!$B:$B,'Felosztás eredménykim'!$B242,'Eredeti fejléccel'!$AK:$AK)</f>
        <v>0</v>
      </c>
      <c r="AY242" s="6">
        <f>SUMIF('Eredeti fejléccel'!$B:$B,'Felosztás eredménykim'!$B242,'Eredeti fejléccel'!$AL:$AL)</f>
        <v>0</v>
      </c>
      <c r="AZ242" s="6">
        <f>SUMIF('Eredeti fejléccel'!$B:$B,'Felosztás eredménykim'!$B242,'Eredeti fejléccel'!$AM:$AM)</f>
        <v>0</v>
      </c>
      <c r="BA242" s="6">
        <f>SUMIF('Eredeti fejléccel'!$B:$B,'Felosztás eredménykim'!$B242,'Eredeti fejléccel'!$AN:$AN)</f>
        <v>0</v>
      </c>
      <c r="BB242" s="6">
        <f>SUMIF('Eredeti fejléccel'!$B:$B,'Felosztás eredménykim'!$B242,'Eredeti fejléccel'!$AP:$AP)</f>
        <v>0</v>
      </c>
      <c r="BD242" s="6">
        <f>SUMIF('Eredeti fejléccel'!$B:$B,'Felosztás eredménykim'!$B242,'Eredeti fejléccel'!$AS:$AS)</f>
        <v>0</v>
      </c>
      <c r="BE242" s="8">
        <f t="shared" si="523"/>
        <v>0</v>
      </c>
      <c r="BF242" s="36">
        <f t="shared" si="552"/>
        <v>0</v>
      </c>
      <c r="BG242" s="8">
        <f t="shared" si="402"/>
        <v>0</v>
      </c>
      <c r="BH242" s="6">
        <f t="shared" si="540"/>
        <v>0</v>
      </c>
      <c r="BI242" s="6">
        <f>SUMIF('Eredeti fejléccel'!$B:$B,'Felosztás eredménykim'!$B242,'Eredeti fejléccel'!$AH:$AH)</f>
        <v>0</v>
      </c>
      <c r="BJ242" s="6">
        <f>SUMIF('Eredeti fejléccel'!$B:$B,'Felosztás eredménykim'!$B242,'Eredeti fejléccel'!$AO:$AO)</f>
        <v>0</v>
      </c>
      <c r="BK242" s="6">
        <f>SUMIF('Eredeti fejléccel'!$B:$B,'Felosztás eredménykim'!$B242,'Eredeti fejléccel'!$BF:$BF)</f>
        <v>0</v>
      </c>
      <c r="BL242" s="8">
        <f t="shared" si="541"/>
        <v>0</v>
      </c>
      <c r="BM242" s="36">
        <f t="shared" si="553"/>
        <v>0</v>
      </c>
      <c r="BN242" s="8">
        <f t="shared" si="403"/>
        <v>0</v>
      </c>
      <c r="BP242" s="8">
        <f t="shared" si="542"/>
        <v>0</v>
      </c>
      <c r="BQ242" s="6">
        <f>SUMIF('Eredeti fejléccel'!$B:$B,'Felosztás eredménykim'!$B242,'Eredeti fejléccel'!$N:$N)</f>
        <v>0</v>
      </c>
      <c r="BR242" s="6">
        <f>SUMIF('Eredeti fejléccel'!$B:$B,'Felosztás eredménykim'!$B242,'Eredeti fejléccel'!$S:$S)</f>
        <v>0</v>
      </c>
      <c r="BT242" s="6">
        <f>SUMIF('Eredeti fejléccel'!$B:$B,'Felosztás eredménykim'!$B242,'Eredeti fejléccel'!$AR:$AR)</f>
        <v>0</v>
      </c>
      <c r="BU242" s="6">
        <f>SUMIF('Eredeti fejléccel'!$B:$B,'Felosztás eredménykim'!$B242,'Eredeti fejléccel'!$AU:$AU)</f>
        <v>0</v>
      </c>
      <c r="BV242" s="6">
        <f>SUMIF('Eredeti fejléccel'!$B:$B,'Felosztás eredménykim'!$B242,'Eredeti fejléccel'!$AV:$AV)</f>
        <v>0</v>
      </c>
      <c r="BW242" s="6">
        <f>SUMIF('Eredeti fejléccel'!$B:$B,'Felosztás eredménykim'!$B242,'Eredeti fejléccel'!$AW:$AW)</f>
        <v>0</v>
      </c>
      <c r="BX242" s="6">
        <f>SUMIF('Eredeti fejléccel'!$B:$B,'Felosztás eredménykim'!$B242,'Eredeti fejléccel'!$AX:$AX)</f>
        <v>0</v>
      </c>
      <c r="BY242" s="6">
        <f>SUMIF('Eredeti fejléccel'!$B:$B,'Felosztás eredménykim'!$B242,'Eredeti fejléccel'!$AY:$AY)</f>
        <v>0</v>
      </c>
      <c r="BZ242" s="6">
        <f>SUMIF('Eredeti fejléccel'!$B:$B,'Felosztás eredménykim'!$B242,'Eredeti fejléccel'!$AZ:$AZ)</f>
        <v>0</v>
      </c>
      <c r="CA242" s="6">
        <f>SUMIF('Eredeti fejléccel'!$B:$B,'Felosztás eredménykim'!$B242,'Eredeti fejléccel'!$BA:$BA)</f>
        <v>0</v>
      </c>
      <c r="CB242" s="6">
        <f t="shared" si="481"/>
        <v>0</v>
      </c>
      <c r="CC242" s="36">
        <f t="shared" si="554"/>
        <v>0</v>
      </c>
      <c r="CD242" s="8">
        <f t="shared" si="404"/>
        <v>0</v>
      </c>
      <c r="CE242" s="6">
        <f>SUMIF('Eredeti fejléccel'!$B:$B,'Felosztás eredménykim'!$B242,'Eredeti fejléccel'!$BC:$BC)</f>
        <v>0</v>
      </c>
      <c r="CF242" s="8">
        <f t="shared" si="555"/>
        <v>0</v>
      </c>
      <c r="CG242" s="6">
        <f>SUMIF('Eredeti fejléccel'!$B:$B,'Felosztás eredménykim'!$B242,'Eredeti fejléccel'!$H:$H)</f>
        <v>0</v>
      </c>
      <c r="CH242" s="6">
        <f>SUMIF('Eredeti fejléccel'!$B:$B,'Felosztás eredménykim'!$B242,'Eredeti fejléccel'!$BE:$BE)</f>
        <v>0</v>
      </c>
      <c r="CI242" s="6">
        <f t="shared" si="524"/>
        <v>0</v>
      </c>
      <c r="CJ242" s="36">
        <f t="shared" si="556"/>
        <v>0</v>
      </c>
      <c r="CK242" s="8">
        <f t="shared" si="405"/>
        <v>0</v>
      </c>
      <c r="CL242" s="8">
        <f t="shared" si="557"/>
        <v>0</v>
      </c>
      <c r="CM242" s="6">
        <f>SUMIF('Eredeti fejléccel'!$B:$B,'Felosztás eredménykim'!$B242,'Eredeti fejléccel'!$BD:$BD)</f>
        <v>0</v>
      </c>
      <c r="CN242" s="8">
        <f t="shared" si="525"/>
        <v>0</v>
      </c>
      <c r="CO242" s="8">
        <f t="shared" si="482"/>
        <v>0</v>
      </c>
      <c r="CR242" s="36">
        <f t="shared" si="406"/>
        <v>0</v>
      </c>
      <c r="CS242" s="6">
        <f>SUMIF('Eredeti fejléccel'!$B:$B,'Felosztás eredménykim'!$B242,'Eredeti fejléccel'!$I:$I)+57473926-3849069+35924</f>
        <v>-601590329</v>
      </c>
      <c r="CT242" s="6">
        <f>SUMIF('Eredeti fejléccel'!$B:$B,'Felosztás eredménykim'!$B242,'Eredeti fejléccel'!$BG:$BG)</f>
        <v>0</v>
      </c>
      <c r="CU242" s="6">
        <f>SUMIF('Eredeti fejléccel'!$B:$B,'Felosztás eredménykim'!$B242,'Eredeti fejléccel'!$BH:$BH)</f>
        <v>0</v>
      </c>
      <c r="CV242" s="6">
        <f>SUMIF('Eredeti fejléccel'!$B:$B,'Felosztás eredménykim'!$B242,'Eredeti fejléccel'!$BI:$BI)</f>
        <v>0</v>
      </c>
      <c r="CW242" s="6">
        <f>SUMIF('Eredeti fejléccel'!$B:$B,'Felosztás eredménykim'!$B242,'Eredeti fejléccel'!$BL:$BL)</f>
        <v>0</v>
      </c>
      <c r="CX242" s="6">
        <f t="shared" si="526"/>
        <v>-601590329</v>
      </c>
      <c r="CY242" s="6">
        <f>SUMIF('Eredeti fejléccel'!$B:$B,'Felosztás eredménykim'!$B242,'Eredeti fejléccel'!$BJ:$BJ)</f>
        <v>0</v>
      </c>
      <c r="CZ242" s="6">
        <f>SUMIF('Eredeti fejléccel'!$B:$B,'Felosztás eredménykim'!$B242,'Eredeti fejléccel'!$BK:$BK)</f>
        <v>0</v>
      </c>
      <c r="DA242" s="99">
        <f t="shared" si="415"/>
        <v>-601590329</v>
      </c>
      <c r="DC242" s="36">
        <f t="shared" si="407"/>
        <v>0</v>
      </c>
      <c r="DD242" s="6">
        <f>SUMIF('Eredeti fejléccel'!$B:$B,'Felosztás eredménykim'!$B242,'Eredeti fejléccel'!$J:$J)</f>
        <v>0</v>
      </c>
      <c r="DE242" s="6">
        <f>SUMIF('Eredeti fejléccel'!$B:$B,'Felosztás eredménykim'!$B242,'Eredeti fejléccel'!$BM:$BM)</f>
        <v>0</v>
      </c>
      <c r="DF242" s="6">
        <f t="shared" si="543"/>
        <v>0</v>
      </c>
      <c r="DG242" s="8">
        <f t="shared" si="483"/>
        <v>0</v>
      </c>
      <c r="DH242" s="8">
        <f t="shared" si="544"/>
        <v>0</v>
      </c>
      <c r="DJ242" s="6">
        <f>SUMIF('Eredeti fejléccel'!$B:$B,'Felosztás eredménykim'!$B242,'Eredeti fejléccel'!$BN:$BN)</f>
        <v>0</v>
      </c>
      <c r="DK242" s="6">
        <f>SUMIF('Eredeti fejléccel'!$B:$B,'Felosztás eredménykim'!$B242,'Eredeti fejléccel'!$BZ:$BZ)</f>
        <v>0</v>
      </c>
      <c r="DL242" s="8">
        <f t="shared" si="545"/>
        <v>0</v>
      </c>
      <c r="DM242" s="6">
        <f>SUMIF('Eredeti fejléccel'!$B:$B,'Felosztás eredménykim'!$B242,'Eredeti fejléccel'!$BR:$BR)</f>
        <v>0</v>
      </c>
      <c r="DN242" s="6">
        <f>SUMIF('Eredeti fejléccel'!$B:$B,'Felosztás eredménykim'!$B242,'Eredeti fejléccel'!$BS:$BS)</f>
        <v>0</v>
      </c>
      <c r="DO242" s="6">
        <f>SUMIF('Eredeti fejléccel'!$B:$B,'Felosztás eredménykim'!$B242,'Eredeti fejléccel'!$BO:$BO)</f>
        <v>0</v>
      </c>
      <c r="DP242" s="6">
        <f>SUMIF('Eredeti fejléccel'!$B:$B,'Felosztás eredménykim'!$B242,'Eredeti fejléccel'!$BP:$BP)</f>
        <v>0</v>
      </c>
      <c r="DQ242" s="6">
        <f>SUMIF('Eredeti fejléccel'!$B:$B,'Felosztás eredménykim'!$B242,'Eredeti fejléccel'!$BQ:$BQ)</f>
        <v>0</v>
      </c>
      <c r="DS242" s="8"/>
      <c r="DU242" s="6">
        <f>SUMIF('Eredeti fejléccel'!$B:$B,'Felosztás eredménykim'!$B242,'Eredeti fejléccel'!$BT:$BT)</f>
        <v>0</v>
      </c>
      <c r="DV242" s="6">
        <f>SUMIF('Eredeti fejléccel'!$B:$B,'Felosztás eredménykim'!$B242,'Eredeti fejléccel'!$BU:$BU)</f>
        <v>0</v>
      </c>
      <c r="DW242" s="6">
        <f>SUMIF('Eredeti fejléccel'!$B:$B,'Felosztás eredménykim'!$B242,'Eredeti fejléccel'!$BV:$BV)</f>
        <v>0</v>
      </c>
      <c r="DX242" s="6">
        <f>SUMIF('Eredeti fejléccel'!$B:$B,'Felosztás eredménykim'!$B242,'Eredeti fejléccel'!$BW:$BW)</f>
        <v>0</v>
      </c>
      <c r="DY242" s="6">
        <f>SUMIF('Eredeti fejléccel'!$B:$B,'Felosztás eredménykim'!$B242,'Eredeti fejléccel'!$BX:$BX)</f>
        <v>0</v>
      </c>
      <c r="EA242" s="6"/>
      <c r="EC242" s="6"/>
      <c r="EE242" s="6">
        <f>SUMIF('Eredeti fejléccel'!$B:$B,'Felosztás eredménykim'!$B242,'Eredeti fejléccel'!$CA:$CA)</f>
        <v>0</v>
      </c>
      <c r="EF242" s="6">
        <f>SUMIF('Eredeti fejléccel'!$B:$B,'Felosztás eredménykim'!$B242,'Eredeti fejléccel'!$CB:$CB)</f>
        <v>0</v>
      </c>
      <c r="EG242" s="6">
        <f>SUMIF('Eredeti fejléccel'!$B:$B,'Felosztás eredménykim'!$B242,'Eredeti fejléccel'!$CC:$CC)</f>
        <v>0</v>
      </c>
      <c r="EH242" s="6">
        <f>SUMIF('Eredeti fejléccel'!$B:$B,'Felosztás eredménykim'!$B242,'Eredeti fejléccel'!$CD:$CD)</f>
        <v>0</v>
      </c>
      <c r="EK242" s="6">
        <f>SUMIF('Eredeti fejléccel'!$B:$B,'Felosztás eredménykim'!$B242,'Eredeti fejléccel'!$CE:$CE)</f>
        <v>0</v>
      </c>
      <c r="EN242" s="6">
        <f>SUMIF('Eredeti fejléccel'!$B:$B,'Felosztás eredménykim'!$B242,'Eredeti fejléccel'!$CF:$CF)</f>
        <v>0</v>
      </c>
      <c r="EP242" s="6">
        <f>SUMIF('Eredeti fejléccel'!$B:$B,'Felosztás eredménykim'!$B242,'Eredeti fejléccel'!$CG:$CG)</f>
        <v>0</v>
      </c>
      <c r="ES242" s="6">
        <f>SUMIF('Eredeti fejléccel'!$B:$B,'Felosztás eredménykim'!$B242,'Eredeti fejléccel'!$CH:$CH)</f>
        <v>0</v>
      </c>
      <c r="ET242" s="6">
        <f>SUMIF('Eredeti fejléccel'!$B:$B,'Felosztás eredménykim'!$B242,'Eredeti fejléccel'!$CI:$CI)</f>
        <v>0</v>
      </c>
      <c r="EW242" s="8">
        <f t="shared" si="535"/>
        <v>0</v>
      </c>
      <c r="EX242" s="8">
        <f t="shared" si="527"/>
        <v>0</v>
      </c>
      <c r="EY242" s="8">
        <f t="shared" si="416"/>
        <v>0</v>
      </c>
      <c r="EZ242" s="8">
        <f t="shared" si="536"/>
        <v>0</v>
      </c>
      <c r="FA242" s="8">
        <f t="shared" si="537"/>
        <v>0</v>
      </c>
      <c r="FC242" s="6">
        <f>SUMIF('Eredeti fejléccel'!$B:$B,'Felosztás eredménykim'!$B242,'Eredeti fejléccel'!$L:$L)</f>
        <v>0</v>
      </c>
      <c r="FD242" s="6">
        <f>SUMIF('Eredeti fejléccel'!$B:$B,'Felosztás eredménykim'!$B242,'Eredeti fejléccel'!$CJ:$CJ)</f>
        <v>0</v>
      </c>
      <c r="FE242" s="6">
        <f>SUMIF('Eredeti fejléccel'!$B:$B,'Felosztás eredménykim'!$B242,'Eredeti fejléccel'!$CL:$CL)</f>
        <v>0</v>
      </c>
      <c r="FG242" s="99">
        <f t="shared" si="528"/>
        <v>0</v>
      </c>
      <c r="FH242" s="6">
        <f>SUMIF('Eredeti fejléccel'!$B:$B,'Felosztás eredménykim'!$B242,'Eredeti fejléccel'!$CK:$CK)</f>
        <v>0</v>
      </c>
      <c r="FI242" s="36">
        <f t="shared" si="558"/>
        <v>0</v>
      </c>
      <c r="FJ242" s="101">
        <f t="shared" si="408"/>
        <v>0</v>
      </c>
      <c r="FK242" s="6">
        <f>SUMIF('Eredeti fejléccel'!$B:$B,'Felosztás eredménykim'!$B242,'Eredeti fejléccel'!$CM:$CM)</f>
        <v>0</v>
      </c>
      <c r="FL242" s="6">
        <f>SUMIF('Eredeti fejléccel'!$B:$B,'Felosztás eredménykim'!$B242,'Eredeti fejléccel'!$CN:$CN)</f>
        <v>0</v>
      </c>
      <c r="FM242" s="8">
        <f t="shared" si="529"/>
        <v>0</v>
      </c>
      <c r="FN242" s="36">
        <f t="shared" si="559"/>
        <v>0</v>
      </c>
      <c r="FO242" s="101">
        <f t="shared" si="409"/>
        <v>0</v>
      </c>
      <c r="FP242" s="6">
        <f>SUMIF('Eredeti fejléccel'!$B:$B,'Felosztás eredménykim'!$B242,'Eredeti fejléccel'!$CO:$CO)</f>
        <v>0</v>
      </c>
      <c r="FQ242" s="6">
        <f>'Eredeti fejléccel'!CP242</f>
        <v>0</v>
      </c>
      <c r="FR242" s="6">
        <f>'Eredeti fejléccel'!CQ242</f>
        <v>0</v>
      </c>
      <c r="FS242" s="103">
        <f t="shared" si="417"/>
        <v>0</v>
      </c>
      <c r="FT242" s="36">
        <f t="shared" si="560"/>
        <v>0</v>
      </c>
      <c r="FU242" s="101">
        <f t="shared" si="410"/>
        <v>0</v>
      </c>
      <c r="FV242" s="101"/>
      <c r="FW242" s="6">
        <f>SUMIF('Eredeti fejléccel'!$B:$B,'Felosztás eredménykim'!$B242,'Eredeti fejléccel'!$CR:$CR)</f>
        <v>0</v>
      </c>
      <c r="FX242" s="6">
        <f>SUMIF('Eredeti fejléccel'!$B:$B,'Felosztás eredménykim'!$B242,'Eredeti fejléccel'!$CS:$CS)</f>
        <v>0</v>
      </c>
      <c r="FY242" s="6">
        <f>SUMIF('Eredeti fejléccel'!$B:$B,'Felosztás eredménykim'!$B242,'Eredeti fejléccel'!$CT:$CT)</f>
        <v>0</v>
      </c>
      <c r="FZ242" s="6">
        <f>SUMIF('Eredeti fejléccel'!$B:$B,'Felosztás eredménykim'!$B242,'Eredeti fejléccel'!$CU:$CU)</f>
        <v>0</v>
      </c>
      <c r="GA242" s="103">
        <f t="shared" si="530"/>
        <v>0</v>
      </c>
      <c r="GB242" s="36">
        <f t="shared" si="561"/>
        <v>0</v>
      </c>
      <c r="GC242" s="101">
        <f t="shared" si="411"/>
        <v>0</v>
      </c>
      <c r="GD242" s="6">
        <f>SUMIF('Eredeti fejléccel'!$B:$B,'Felosztás eredménykim'!$B242,'Eredeti fejléccel'!$CV:$CV)</f>
        <v>0</v>
      </c>
      <c r="GE242" s="6">
        <f>SUMIF('Eredeti fejléccel'!$B:$B,'Felosztás eredménykim'!$B242,'Eredeti fejléccel'!$CW:$CW)</f>
        <v>0</v>
      </c>
      <c r="GF242" s="103">
        <f t="shared" si="531"/>
        <v>0</v>
      </c>
      <c r="GG242" s="36">
        <f t="shared" si="412"/>
        <v>0</v>
      </c>
      <c r="GM242" s="6">
        <f>SUMIF('Eredeti fejléccel'!$B:$B,'Felosztás eredménykim'!$B242,'Eredeti fejléccel'!$CX:$CX)</f>
        <v>0</v>
      </c>
      <c r="GN242" s="6">
        <f>SUMIF('Eredeti fejléccel'!$B:$B,'Felosztás eredménykim'!$B242,'Eredeti fejléccel'!$CY:$CY)</f>
        <v>0</v>
      </c>
      <c r="GO242" s="6">
        <f>SUMIF('Eredeti fejléccel'!$B:$B,'Felosztás eredménykim'!$B242,'Eredeti fejléccel'!$CZ:$CZ)</f>
        <v>0</v>
      </c>
      <c r="GP242" s="6">
        <f>SUMIF('Eredeti fejléccel'!$B:$B,'Felosztás eredménykim'!$B242,'Eredeti fejléccel'!$DA:$DA)</f>
        <v>0</v>
      </c>
      <c r="GQ242" s="6">
        <f>SUMIF('Eredeti fejléccel'!$B:$B,'Felosztás eredménykim'!$B242,'Eredeti fejléccel'!$DB:$DB)</f>
        <v>0</v>
      </c>
      <c r="GR242" s="103">
        <f t="shared" si="532"/>
        <v>0</v>
      </c>
      <c r="GW242" s="36">
        <f t="shared" si="413"/>
        <v>0</v>
      </c>
      <c r="GX242" s="6">
        <f>SUMIF('Eredeti fejléccel'!$B:$B,'Felosztás eredménykim'!$B242,'Eredeti fejléccel'!$M:$M)</f>
        <v>0</v>
      </c>
      <c r="GY242" s="6">
        <f>SUMIF('Eredeti fejléccel'!$B:$B,'Felosztás eredménykim'!$B242,'Eredeti fejléccel'!$DC:$DC)</f>
        <v>0</v>
      </c>
      <c r="GZ242" s="6">
        <f>SUMIF('Eredeti fejléccel'!$B:$B,'Felosztás eredménykim'!$B242,'Eredeti fejléccel'!$DD:$DD)</f>
        <v>0</v>
      </c>
      <c r="HA242" s="6">
        <f>SUMIF('Eredeti fejléccel'!$B:$B,'Felosztás eredménykim'!$B242,'Eredeti fejléccel'!$DE:$DE)</f>
        <v>0</v>
      </c>
      <c r="HB242" s="103">
        <f t="shared" si="533"/>
        <v>0</v>
      </c>
      <c r="HD242" s="218">
        <f t="shared" si="547"/>
        <v>-601590329</v>
      </c>
      <c r="HE242" s="9">
        <v>-655251110</v>
      </c>
      <c r="HF242" s="476"/>
      <c r="HH242" s="34">
        <f t="shared" si="534"/>
        <v>53660781</v>
      </c>
      <c r="HI242" s="207"/>
    </row>
    <row r="243" spans="1:217" x14ac:dyDescent="0.25">
      <c r="A243" s="4" t="s">
        <v>323</v>
      </c>
      <c r="B243" s="4" t="s">
        <v>323</v>
      </c>
      <c r="C243" s="1" t="s">
        <v>324</v>
      </c>
      <c r="D243" s="6">
        <f>SUMIF('Eredeti fejléccel'!$B:$B,'Felosztás eredménykim'!$B243,'Eredeti fejléccel'!$D:$D)</f>
        <v>0</v>
      </c>
      <c r="E243" s="6">
        <f>SUMIF('Eredeti fejléccel'!$B:$B,'Felosztás eredménykim'!$B243,'Eredeti fejléccel'!$E:$E)</f>
        <v>0</v>
      </c>
      <c r="F243" s="6">
        <f>SUMIF('Eredeti fejléccel'!$B:$B,'Felosztás eredménykim'!$B243,'Eredeti fejléccel'!$F:$F)</f>
        <v>0</v>
      </c>
      <c r="G243" s="6">
        <f>SUMIF('Eredeti fejléccel'!$B:$B,'Felosztás eredménykim'!$B243,'Eredeti fejléccel'!$G:$G)</f>
        <v>0</v>
      </c>
      <c r="H243" s="6"/>
      <c r="I243" s="6">
        <f>SUMIF('Eredeti fejléccel'!$B:$B,'Felosztás eredménykim'!$B243,'Eredeti fejléccel'!$O:$O)</f>
        <v>0</v>
      </c>
      <c r="J243" s="6">
        <f>SUMIF('Eredeti fejléccel'!$B:$B,'Felosztás eredménykim'!$B243,'Eredeti fejléccel'!$P:$P)</f>
        <v>0</v>
      </c>
      <c r="K243" s="6">
        <f>SUMIF('Eredeti fejléccel'!$B:$B,'Felosztás eredménykim'!$B243,'Eredeti fejléccel'!$Q:$Q)</f>
        <v>0</v>
      </c>
      <c r="L243" s="6">
        <f>SUMIF('Eredeti fejléccel'!$B:$B,'Felosztás eredménykim'!$B243,'Eredeti fejléccel'!$R:$R)</f>
        <v>0</v>
      </c>
      <c r="M243" s="6">
        <f>SUMIF('Eredeti fejléccel'!$B:$B,'Felosztás eredménykim'!$B243,'Eredeti fejléccel'!$T:$T)</f>
        <v>0</v>
      </c>
      <c r="N243" s="6">
        <f>SUMIF('Eredeti fejléccel'!$B:$B,'Felosztás eredménykim'!$B243,'Eredeti fejléccel'!$U:$U)</f>
        <v>0</v>
      </c>
      <c r="O243" s="6">
        <f>SUMIF('Eredeti fejléccel'!$B:$B,'Felosztás eredménykim'!$B243,'Eredeti fejléccel'!$V:$V)</f>
        <v>0</v>
      </c>
      <c r="P243" s="6">
        <f>SUMIF('Eredeti fejléccel'!$B:$B,'Felosztás eredménykim'!$B243,'Eredeti fejléccel'!$W:$W)</f>
        <v>0</v>
      </c>
      <c r="Q243" s="6">
        <f>SUMIF('Eredeti fejléccel'!$B:$B,'Felosztás eredménykim'!$B243,'Eredeti fejléccel'!$X:$X)</f>
        <v>0</v>
      </c>
      <c r="R243" s="6">
        <f>SUMIF('Eredeti fejléccel'!$B:$B,'Felosztás eredménykim'!$B243,'Eredeti fejléccel'!$Y:$Y)</f>
        <v>0</v>
      </c>
      <c r="S243" s="6">
        <f>SUMIF('Eredeti fejléccel'!$B:$B,'Felosztás eredménykim'!$B243,'Eredeti fejléccel'!$Z:$Z)</f>
        <v>0</v>
      </c>
      <c r="T243" s="6">
        <f>SUMIF('Eredeti fejléccel'!$B:$B,'Felosztás eredménykim'!$B243,'Eredeti fejléccel'!$AA:$AA)</f>
        <v>0</v>
      </c>
      <c r="U243" s="6">
        <f>SUMIF('Eredeti fejléccel'!$B:$B,'Felosztás eredménykim'!$B243,'Eredeti fejléccel'!$D:$D)</f>
        <v>0</v>
      </c>
      <c r="V243" s="6">
        <f>SUMIF('Eredeti fejléccel'!$B:$B,'Felosztás eredménykim'!$B243,'Eredeti fejléccel'!$AT:$AT)</f>
        <v>0</v>
      </c>
      <c r="X243" s="36">
        <f t="shared" si="414"/>
        <v>0</v>
      </c>
      <c r="Z243" s="6">
        <f>SUMIF('Eredeti fejléccel'!$B:$B,'Felosztás eredménykim'!$B243,'Eredeti fejléccel'!$K:$K)</f>
        <v>0</v>
      </c>
      <c r="AB243" s="6">
        <f>SUMIF('Eredeti fejléccel'!$B:$B,'Felosztás eredménykim'!$B243,'Eredeti fejléccel'!$AB:$AB)</f>
        <v>0</v>
      </c>
      <c r="AC243" s="6">
        <f>SUMIF('Eredeti fejléccel'!$B:$B,'Felosztás eredménykim'!$B243,'Eredeti fejléccel'!$AQ:$AQ)</f>
        <v>0</v>
      </c>
      <c r="AE243" s="73">
        <f t="shared" si="548"/>
        <v>0</v>
      </c>
      <c r="AF243" s="36">
        <f t="shared" si="549"/>
        <v>0</v>
      </c>
      <c r="AG243" s="8">
        <f t="shared" si="399"/>
        <v>0</v>
      </c>
      <c r="AI243" s="6">
        <f>SUMIF('Eredeti fejléccel'!$B:$B,'Felosztás eredménykim'!$B243,'Eredeti fejléccel'!$BB:$BB)</f>
        <v>0</v>
      </c>
      <c r="AJ243" s="6">
        <f>SUMIF('Eredeti fejléccel'!$B:$B,'Felosztás eredménykim'!$B243,'Eredeti fejléccel'!$AF:$AF)</f>
        <v>0</v>
      </c>
      <c r="AK243" s="8">
        <f t="shared" si="522"/>
        <v>0</v>
      </c>
      <c r="AL243" s="36">
        <f t="shared" si="550"/>
        <v>0</v>
      </c>
      <c r="AM243" s="8">
        <f t="shared" si="400"/>
        <v>0</v>
      </c>
      <c r="AN243" s="6">
        <f t="shared" si="538"/>
        <v>0</v>
      </c>
      <c r="AO243" s="6">
        <f>SUMIF('Eredeti fejléccel'!$B:$B,'Felosztás eredménykim'!$B243,'Eredeti fejléccel'!$AC:$AC)</f>
        <v>0</v>
      </c>
      <c r="AP243" s="6">
        <f>SUMIF('Eredeti fejléccel'!$B:$B,'Felosztás eredménykim'!$B243,'Eredeti fejléccel'!$AD:$AD)</f>
        <v>0</v>
      </c>
      <c r="AQ243" s="6">
        <f>SUMIF('Eredeti fejléccel'!$B:$B,'Felosztás eredménykim'!$B243,'Eredeti fejléccel'!$AE:$AE)</f>
        <v>0</v>
      </c>
      <c r="AR243" s="6">
        <f>SUMIF('Eredeti fejléccel'!$B:$B,'Felosztás eredménykim'!$B243,'Eredeti fejléccel'!$AG:$AG)</f>
        <v>0</v>
      </c>
      <c r="AS243" s="6">
        <f t="shared" si="539"/>
        <v>0</v>
      </c>
      <c r="AT243" s="36">
        <f t="shared" si="551"/>
        <v>0</v>
      </c>
      <c r="AU243" s="8">
        <f t="shared" si="401"/>
        <v>0</v>
      </c>
      <c r="AV243" s="6">
        <f>SUMIF('Eredeti fejléccel'!$B:$B,'Felosztás eredménykim'!$B243,'Eredeti fejléccel'!$AI:$AI)</f>
        <v>0</v>
      </c>
      <c r="AW243" s="6">
        <f>SUMIF('Eredeti fejléccel'!$B:$B,'Felosztás eredménykim'!$B243,'Eredeti fejléccel'!$AJ:$AJ)</f>
        <v>0</v>
      </c>
      <c r="AX243" s="6">
        <f>SUMIF('Eredeti fejléccel'!$B:$B,'Felosztás eredménykim'!$B243,'Eredeti fejléccel'!$AK:$AK)</f>
        <v>0</v>
      </c>
      <c r="AY243" s="6">
        <f>SUMIF('Eredeti fejléccel'!$B:$B,'Felosztás eredménykim'!$B243,'Eredeti fejléccel'!$AL:$AL)</f>
        <v>0</v>
      </c>
      <c r="AZ243" s="6">
        <f>SUMIF('Eredeti fejléccel'!$B:$B,'Felosztás eredménykim'!$B243,'Eredeti fejléccel'!$AM:$AM)</f>
        <v>0</v>
      </c>
      <c r="BA243" s="6">
        <f>SUMIF('Eredeti fejléccel'!$B:$B,'Felosztás eredménykim'!$B243,'Eredeti fejléccel'!$AN:$AN)</f>
        <v>0</v>
      </c>
      <c r="BB243" s="6">
        <f>SUMIF('Eredeti fejléccel'!$B:$B,'Felosztás eredménykim'!$B243,'Eredeti fejléccel'!$AP:$AP)</f>
        <v>0</v>
      </c>
      <c r="BD243" s="6">
        <f>SUMIF('Eredeti fejléccel'!$B:$B,'Felosztás eredménykim'!$B243,'Eredeti fejléccel'!$AS:$AS)</f>
        <v>0</v>
      </c>
      <c r="BE243" s="8">
        <f t="shared" si="523"/>
        <v>0</v>
      </c>
      <c r="BF243" s="36">
        <f t="shared" si="552"/>
        <v>0</v>
      </c>
      <c r="BG243" s="8">
        <f t="shared" si="402"/>
        <v>0</v>
      </c>
      <c r="BH243" s="6">
        <f t="shared" si="540"/>
        <v>0</v>
      </c>
      <c r="BI243" s="6">
        <f>SUMIF('Eredeti fejléccel'!$B:$B,'Felosztás eredménykim'!$B243,'Eredeti fejléccel'!$AH:$AH)</f>
        <v>0</v>
      </c>
      <c r="BJ243" s="6">
        <f>SUMIF('Eredeti fejléccel'!$B:$B,'Felosztás eredménykim'!$B243,'Eredeti fejléccel'!$AO:$AO)</f>
        <v>0</v>
      </c>
      <c r="BK243" s="6">
        <f>SUMIF('Eredeti fejléccel'!$B:$B,'Felosztás eredménykim'!$B243,'Eredeti fejléccel'!$BF:$BF)</f>
        <v>0</v>
      </c>
      <c r="BL243" s="8">
        <f t="shared" si="541"/>
        <v>0</v>
      </c>
      <c r="BM243" s="36">
        <f t="shared" si="553"/>
        <v>0</v>
      </c>
      <c r="BN243" s="8">
        <f t="shared" si="403"/>
        <v>0</v>
      </c>
      <c r="BP243" s="8">
        <f t="shared" si="542"/>
        <v>0</v>
      </c>
      <c r="BQ243" s="6">
        <f>SUMIF('Eredeti fejléccel'!$B:$B,'Felosztás eredménykim'!$B243,'Eredeti fejléccel'!$N:$N)</f>
        <v>0</v>
      </c>
      <c r="BR243" s="6">
        <f>SUMIF('Eredeti fejléccel'!$B:$B,'Felosztás eredménykim'!$B243,'Eredeti fejléccel'!$S:$S)</f>
        <v>0</v>
      </c>
      <c r="BT243" s="6">
        <f>SUMIF('Eredeti fejléccel'!$B:$B,'Felosztás eredménykim'!$B243,'Eredeti fejléccel'!$AR:$AR)</f>
        <v>0</v>
      </c>
      <c r="BU243" s="6">
        <f>SUMIF('Eredeti fejléccel'!$B:$B,'Felosztás eredménykim'!$B243,'Eredeti fejléccel'!$AU:$AU)</f>
        <v>0</v>
      </c>
      <c r="BV243" s="6">
        <f>SUMIF('Eredeti fejléccel'!$B:$B,'Felosztás eredménykim'!$B243,'Eredeti fejléccel'!$AV:$AV)</f>
        <v>0</v>
      </c>
      <c r="BW243" s="6">
        <f>SUMIF('Eredeti fejléccel'!$B:$B,'Felosztás eredménykim'!$B243,'Eredeti fejléccel'!$AW:$AW)</f>
        <v>0</v>
      </c>
      <c r="BX243" s="6">
        <f>SUMIF('Eredeti fejléccel'!$B:$B,'Felosztás eredménykim'!$B243,'Eredeti fejléccel'!$AX:$AX)</f>
        <v>0</v>
      </c>
      <c r="BY243" s="6">
        <f>SUMIF('Eredeti fejléccel'!$B:$B,'Felosztás eredménykim'!$B243,'Eredeti fejléccel'!$AY:$AY)</f>
        <v>0</v>
      </c>
      <c r="BZ243" s="6">
        <f>SUMIF('Eredeti fejléccel'!$B:$B,'Felosztás eredménykim'!$B243,'Eredeti fejléccel'!$AZ:$AZ)</f>
        <v>0</v>
      </c>
      <c r="CA243" s="6">
        <f>SUMIF('Eredeti fejléccel'!$B:$B,'Felosztás eredménykim'!$B243,'Eredeti fejléccel'!$BA:$BA)</f>
        <v>0</v>
      </c>
      <c r="CB243" s="6">
        <f t="shared" si="481"/>
        <v>0</v>
      </c>
      <c r="CC243" s="36">
        <f t="shared" si="554"/>
        <v>0</v>
      </c>
      <c r="CD243" s="8">
        <f t="shared" si="404"/>
        <v>0</v>
      </c>
      <c r="CE243" s="6">
        <f>SUMIF('Eredeti fejléccel'!$B:$B,'Felosztás eredménykim'!$B243,'Eredeti fejléccel'!$BC:$BC)</f>
        <v>0</v>
      </c>
      <c r="CF243" s="8">
        <f t="shared" si="555"/>
        <v>0</v>
      </c>
      <c r="CG243" s="6">
        <f>SUMIF('Eredeti fejléccel'!$B:$B,'Felosztás eredménykim'!$B243,'Eredeti fejléccel'!$H:$H)</f>
        <v>0</v>
      </c>
      <c r="CH243" s="6">
        <f>SUMIF('Eredeti fejléccel'!$B:$B,'Felosztás eredménykim'!$B243,'Eredeti fejléccel'!$BE:$BE)</f>
        <v>0</v>
      </c>
      <c r="CI243" s="6">
        <f t="shared" si="524"/>
        <v>0</v>
      </c>
      <c r="CJ243" s="36">
        <f t="shared" si="556"/>
        <v>0</v>
      </c>
      <c r="CK243" s="8">
        <f t="shared" si="405"/>
        <v>0</v>
      </c>
      <c r="CL243" s="8">
        <f t="shared" si="557"/>
        <v>0</v>
      </c>
      <c r="CM243" s="6">
        <f>SUMIF('Eredeti fejléccel'!$B:$B,'Felosztás eredménykim'!$B243,'Eredeti fejléccel'!$BD:$BD)</f>
        <v>0</v>
      </c>
      <c r="CN243" s="8">
        <f t="shared" si="525"/>
        <v>0</v>
      </c>
      <c r="CO243" s="8">
        <f t="shared" si="482"/>
        <v>0</v>
      </c>
      <c r="CR243" s="36">
        <f t="shared" si="406"/>
        <v>0</v>
      </c>
      <c r="CS243" s="6">
        <f>SUMIF('Eredeti fejléccel'!$B:$B,'Felosztás eredménykim'!$B243,'Eredeti fejléccel'!$I:$I)</f>
        <v>0</v>
      </c>
      <c r="CT243" s="6">
        <f>SUMIF('Eredeti fejléccel'!$B:$B,'Felosztás eredménykim'!$B243,'Eredeti fejléccel'!$BG:$BG)</f>
        <v>0</v>
      </c>
      <c r="CU243" s="6">
        <f>SUMIF('Eredeti fejléccel'!$B:$B,'Felosztás eredménykim'!$B243,'Eredeti fejléccel'!$BH:$BH)</f>
        <v>0</v>
      </c>
      <c r="CV243" s="6">
        <f>SUMIF('Eredeti fejléccel'!$B:$B,'Felosztás eredménykim'!$B243,'Eredeti fejléccel'!$BI:$BI)</f>
        <v>0</v>
      </c>
      <c r="CW243" s="6">
        <f>SUMIF('Eredeti fejléccel'!$B:$B,'Felosztás eredménykim'!$B243,'Eredeti fejléccel'!$BL:$BL)</f>
        <v>0</v>
      </c>
      <c r="CX243" s="6">
        <f t="shared" si="526"/>
        <v>0</v>
      </c>
      <c r="CY243" s="6">
        <f>SUMIF('Eredeti fejléccel'!$B:$B,'Felosztás eredménykim'!$B243,'Eredeti fejléccel'!$BJ:$BJ)</f>
        <v>0</v>
      </c>
      <c r="CZ243" s="6">
        <f>SUMIF('Eredeti fejléccel'!$B:$B,'Felosztás eredménykim'!$B243,'Eredeti fejléccel'!$BK:$BK)</f>
        <v>0</v>
      </c>
      <c r="DA243" s="99">
        <f t="shared" si="415"/>
        <v>0</v>
      </c>
      <c r="DC243" s="36">
        <f t="shared" si="407"/>
        <v>0</v>
      </c>
      <c r="DD243" s="6">
        <f>SUMIF('Eredeti fejléccel'!$B:$B,'Felosztás eredménykim'!$B243,'Eredeti fejléccel'!$J:$J)</f>
        <v>0</v>
      </c>
      <c r="DE243" s="6">
        <f>SUMIF('Eredeti fejléccel'!$B:$B,'Felosztás eredménykim'!$B243,'Eredeti fejléccel'!$BM:$BM)</f>
        <v>0</v>
      </c>
      <c r="DF243" s="6">
        <f t="shared" si="543"/>
        <v>0</v>
      </c>
      <c r="DG243" s="8">
        <f t="shared" si="483"/>
        <v>0</v>
      </c>
      <c r="DH243" s="8">
        <f t="shared" si="544"/>
        <v>0</v>
      </c>
      <c r="DJ243" s="6">
        <f>SUMIF('Eredeti fejléccel'!$B:$B,'Felosztás eredménykim'!$B243,'Eredeti fejléccel'!$BN:$BN)</f>
        <v>-781847</v>
      </c>
      <c r="DK243" s="6">
        <f>SUMIF('Eredeti fejléccel'!$B:$B,'Felosztás eredménykim'!$B243,'Eredeti fejléccel'!$BZ:$BZ)</f>
        <v>-38400000</v>
      </c>
      <c r="DL243" s="8">
        <f t="shared" si="545"/>
        <v>-39181847</v>
      </c>
      <c r="DM243" s="6">
        <f>SUMIF('Eredeti fejléccel'!$B:$B,'Felosztás eredménykim'!$B243,'Eredeti fejléccel'!$BR:$BR)</f>
        <v>0</v>
      </c>
      <c r="DN243" s="6">
        <f>SUMIF('Eredeti fejléccel'!$B:$B,'Felosztás eredménykim'!$B243,'Eredeti fejléccel'!$BS:$BS)</f>
        <v>0</v>
      </c>
      <c r="DO243" s="6">
        <f>SUMIF('Eredeti fejléccel'!$B:$B,'Felosztás eredménykim'!$B243,'Eredeti fejléccel'!$BO:$BO)</f>
        <v>0</v>
      </c>
      <c r="DP243" s="6">
        <f>SUMIF('Eredeti fejléccel'!$B:$B,'Felosztás eredménykim'!$B243,'Eredeti fejléccel'!$BP:$BP)</f>
        <v>0</v>
      </c>
      <c r="DQ243" s="6">
        <f>SUMIF('Eredeti fejléccel'!$B:$B,'Felosztás eredménykim'!$B243,'Eredeti fejléccel'!$BQ:$BQ)</f>
        <v>0</v>
      </c>
      <c r="DS243" s="8"/>
      <c r="DU243" s="6">
        <f>SUMIF('Eredeti fejléccel'!$B:$B,'Felosztás eredménykim'!$B243,'Eredeti fejléccel'!$BT:$BT)</f>
        <v>0</v>
      </c>
      <c r="DV243" s="6">
        <f>SUMIF('Eredeti fejléccel'!$B:$B,'Felosztás eredménykim'!$B243,'Eredeti fejléccel'!$BU:$BU)</f>
        <v>0</v>
      </c>
      <c r="DW243" s="6">
        <f>SUMIF('Eredeti fejléccel'!$B:$B,'Felosztás eredménykim'!$B243,'Eredeti fejléccel'!$BV:$BV)</f>
        <v>0</v>
      </c>
      <c r="DX243" s="6">
        <f>SUMIF('Eredeti fejléccel'!$B:$B,'Felosztás eredménykim'!$B243,'Eredeti fejléccel'!$BW:$BW)</f>
        <v>0</v>
      </c>
      <c r="DY243" s="6">
        <f>SUMIF('Eredeti fejléccel'!$B:$B,'Felosztás eredménykim'!$B243,'Eredeti fejléccel'!$BX:$BX)</f>
        <v>0</v>
      </c>
      <c r="EA243" s="6"/>
      <c r="EC243" s="6"/>
      <c r="EE243" s="6">
        <f>SUMIF('Eredeti fejléccel'!$B:$B,'Felosztás eredménykim'!$B243,'Eredeti fejléccel'!$CA:$CA)</f>
        <v>0</v>
      </c>
      <c r="EF243" s="6">
        <f>SUMIF('Eredeti fejléccel'!$B:$B,'Felosztás eredménykim'!$B243,'Eredeti fejléccel'!$CB:$CB)</f>
        <v>0</v>
      </c>
      <c r="EG243" s="6">
        <f>SUMIF('Eredeti fejléccel'!$B:$B,'Felosztás eredménykim'!$B243,'Eredeti fejléccel'!$CC:$CC)</f>
        <v>0</v>
      </c>
      <c r="EH243" s="6">
        <f>SUMIF('Eredeti fejléccel'!$B:$B,'Felosztás eredménykim'!$B243,'Eredeti fejléccel'!$CD:$CD)</f>
        <v>0</v>
      </c>
      <c r="EK243" s="6">
        <f>SUMIF('Eredeti fejléccel'!$B:$B,'Felosztás eredménykim'!$B243,'Eredeti fejléccel'!$CE:$CE)</f>
        <v>0</v>
      </c>
      <c r="EN243" s="6">
        <f>SUMIF('Eredeti fejléccel'!$B:$B,'Felosztás eredménykim'!$B243,'Eredeti fejléccel'!$CF:$CF)</f>
        <v>0</v>
      </c>
      <c r="EP243" s="6">
        <f>SUMIF('Eredeti fejléccel'!$B:$B,'Felosztás eredménykim'!$B243,'Eredeti fejléccel'!$CG:$CG)</f>
        <v>0</v>
      </c>
      <c r="ES243" s="6">
        <f>SUMIF('Eredeti fejléccel'!$B:$B,'Felosztás eredménykim'!$B243,'Eredeti fejléccel'!$CH:$CH)</f>
        <v>0</v>
      </c>
      <c r="ET243" s="6">
        <f>SUMIF('Eredeti fejléccel'!$B:$B,'Felosztás eredménykim'!$B243,'Eredeti fejléccel'!$CI:$CI)</f>
        <v>0</v>
      </c>
      <c r="EW243" s="8">
        <f t="shared" si="535"/>
        <v>0</v>
      </c>
      <c r="EX243" s="8">
        <f t="shared" si="527"/>
        <v>0</v>
      </c>
      <c r="EY243" s="8">
        <f t="shared" si="416"/>
        <v>0</v>
      </c>
      <c r="EZ243" s="8">
        <f t="shared" si="536"/>
        <v>-39181847</v>
      </c>
      <c r="FA243" s="8">
        <f t="shared" si="537"/>
        <v>0</v>
      </c>
      <c r="FC243" s="6">
        <f>SUMIF('Eredeti fejléccel'!$B:$B,'Felosztás eredménykim'!$B243,'Eredeti fejléccel'!$L:$L)</f>
        <v>0</v>
      </c>
      <c r="FD243" s="6">
        <f>SUMIF('Eredeti fejléccel'!$B:$B,'Felosztás eredménykim'!$B243,'Eredeti fejléccel'!$CJ:$CJ)</f>
        <v>0</v>
      </c>
      <c r="FE243" s="6">
        <f>SUMIF('Eredeti fejléccel'!$B:$B,'Felosztás eredménykim'!$B243,'Eredeti fejléccel'!$CL:$CL)</f>
        <v>0</v>
      </c>
      <c r="FG243" s="99">
        <f t="shared" si="528"/>
        <v>0</v>
      </c>
      <c r="FH243" s="6">
        <f>SUMIF('Eredeti fejléccel'!$B:$B,'Felosztás eredménykim'!$B243,'Eredeti fejléccel'!$CK:$CK)</f>
        <v>0</v>
      </c>
      <c r="FI243" s="36">
        <f t="shared" si="558"/>
        <v>0</v>
      </c>
      <c r="FJ243" s="101">
        <f t="shared" si="408"/>
        <v>0</v>
      </c>
      <c r="FK243" s="6">
        <f>SUMIF('Eredeti fejléccel'!$B:$B,'Felosztás eredménykim'!$B243,'Eredeti fejléccel'!$CM:$CM)</f>
        <v>0</v>
      </c>
      <c r="FL243" s="6">
        <f>SUMIF('Eredeti fejléccel'!$B:$B,'Felosztás eredménykim'!$B243,'Eredeti fejléccel'!$CN:$CN)</f>
        <v>0</v>
      </c>
      <c r="FM243" s="8">
        <f t="shared" si="529"/>
        <v>0</v>
      </c>
      <c r="FN243" s="36">
        <f t="shared" si="559"/>
        <v>0</v>
      </c>
      <c r="FO243" s="101">
        <f t="shared" si="409"/>
        <v>0</v>
      </c>
      <c r="FP243" s="6">
        <f>SUMIF('Eredeti fejléccel'!$B:$B,'Felosztás eredménykim'!$B243,'Eredeti fejléccel'!$CO:$CO)</f>
        <v>0</v>
      </c>
      <c r="FQ243" s="6">
        <f>'Eredeti fejléccel'!CP243</f>
        <v>0</v>
      </c>
      <c r="FR243" s="6">
        <f>'Eredeti fejléccel'!CQ243</f>
        <v>0</v>
      </c>
      <c r="FS243" s="103">
        <f t="shared" si="417"/>
        <v>0</v>
      </c>
      <c r="FT243" s="36">
        <f t="shared" si="560"/>
        <v>0</v>
      </c>
      <c r="FU243" s="101">
        <f t="shared" si="410"/>
        <v>0</v>
      </c>
      <c r="FV243" s="101"/>
      <c r="FW243" s="6">
        <f>SUMIF('Eredeti fejléccel'!$B:$B,'Felosztás eredménykim'!$B243,'Eredeti fejléccel'!$CR:$CR)</f>
        <v>0</v>
      </c>
      <c r="FX243" s="6">
        <f>SUMIF('Eredeti fejléccel'!$B:$B,'Felosztás eredménykim'!$B243,'Eredeti fejléccel'!$CS:$CS)</f>
        <v>0</v>
      </c>
      <c r="FY243" s="6">
        <f>SUMIF('Eredeti fejléccel'!$B:$B,'Felosztás eredménykim'!$B243,'Eredeti fejléccel'!$CT:$CT)</f>
        <v>0</v>
      </c>
      <c r="FZ243" s="6">
        <f>SUMIF('Eredeti fejléccel'!$B:$B,'Felosztás eredménykim'!$B243,'Eredeti fejléccel'!$CU:$CU)</f>
        <v>0</v>
      </c>
      <c r="GA243" s="103">
        <f t="shared" si="530"/>
        <v>0</v>
      </c>
      <c r="GB243" s="36">
        <f t="shared" si="561"/>
        <v>0</v>
      </c>
      <c r="GC243" s="101">
        <f t="shared" si="411"/>
        <v>0</v>
      </c>
      <c r="GD243" s="6">
        <f>SUMIF('Eredeti fejléccel'!$B:$B,'Felosztás eredménykim'!$B243,'Eredeti fejléccel'!$CV:$CV)</f>
        <v>0</v>
      </c>
      <c r="GE243" s="6">
        <f>SUMIF('Eredeti fejléccel'!$B:$B,'Felosztás eredménykim'!$B243,'Eredeti fejléccel'!$CW:$CW)</f>
        <v>0</v>
      </c>
      <c r="GF243" s="103">
        <f t="shared" si="531"/>
        <v>0</v>
      </c>
      <c r="GG243" s="36">
        <f t="shared" si="412"/>
        <v>0</v>
      </c>
      <c r="GM243" s="6">
        <f>SUMIF('Eredeti fejléccel'!$B:$B,'Felosztás eredménykim'!$B243,'Eredeti fejléccel'!$CX:$CX)</f>
        <v>0</v>
      </c>
      <c r="GN243" s="6">
        <f>SUMIF('Eredeti fejléccel'!$B:$B,'Felosztás eredménykim'!$B243,'Eredeti fejléccel'!$CY:$CY)</f>
        <v>0</v>
      </c>
      <c r="GO243" s="6">
        <f>SUMIF('Eredeti fejléccel'!$B:$B,'Felosztás eredménykim'!$B243,'Eredeti fejléccel'!$CZ:$CZ)</f>
        <v>0</v>
      </c>
      <c r="GP243" s="6">
        <f>SUMIF('Eredeti fejléccel'!$B:$B,'Felosztás eredménykim'!$B243,'Eredeti fejléccel'!$DA:$DA)</f>
        <v>0</v>
      </c>
      <c r="GQ243" s="6">
        <f>SUMIF('Eredeti fejléccel'!$B:$B,'Felosztás eredménykim'!$B243,'Eredeti fejléccel'!$DB:$DB)</f>
        <v>0</v>
      </c>
      <c r="GR243" s="103">
        <f t="shared" si="532"/>
        <v>0</v>
      </c>
      <c r="GW243" s="36">
        <f t="shared" si="413"/>
        <v>0</v>
      </c>
      <c r="GX243" s="6">
        <f>SUMIF('Eredeti fejléccel'!$B:$B,'Felosztás eredménykim'!$B243,'Eredeti fejléccel'!$M:$M)</f>
        <v>0</v>
      </c>
      <c r="GY243" s="6">
        <f>SUMIF('Eredeti fejléccel'!$B:$B,'Felosztás eredménykim'!$B243,'Eredeti fejléccel'!$DC:$DC)</f>
        <v>0</v>
      </c>
      <c r="GZ243" s="6">
        <f>SUMIF('Eredeti fejléccel'!$B:$B,'Felosztás eredménykim'!$B243,'Eredeti fejléccel'!$DD:$DD)</f>
        <v>0</v>
      </c>
      <c r="HA243" s="6">
        <f>SUMIF('Eredeti fejléccel'!$B:$B,'Felosztás eredménykim'!$B243,'Eredeti fejléccel'!$DE:$DE)</f>
        <v>0</v>
      </c>
      <c r="HB243" s="103">
        <f t="shared" si="533"/>
        <v>0</v>
      </c>
      <c r="HD243" s="9">
        <f t="shared" si="547"/>
        <v>-39181847</v>
      </c>
      <c r="HE243" s="9">
        <v>-39181847</v>
      </c>
      <c r="HF243" s="476"/>
      <c r="HH243" s="34">
        <f t="shared" si="534"/>
        <v>0</v>
      </c>
    </row>
    <row r="244" spans="1:217" x14ac:dyDescent="0.25">
      <c r="A244" s="4" t="s">
        <v>325</v>
      </c>
      <c r="B244" s="4" t="s">
        <v>325</v>
      </c>
      <c r="C244" s="1" t="s">
        <v>326</v>
      </c>
      <c r="D244" s="6">
        <f>SUMIF('Eredeti fejléccel'!$B:$B,'Felosztás eredménykim'!$B244,'Eredeti fejléccel'!$D:$D)</f>
        <v>0</v>
      </c>
      <c r="E244" s="6">
        <f>SUMIF('Eredeti fejléccel'!$B:$B,'Felosztás eredménykim'!$B244,'Eredeti fejléccel'!$E:$E)</f>
        <v>0</v>
      </c>
      <c r="F244" s="6">
        <f>SUMIF('Eredeti fejléccel'!$B:$B,'Felosztás eredménykim'!$B244,'Eredeti fejléccel'!$F:$F)</f>
        <v>0</v>
      </c>
      <c r="G244" s="6">
        <f>SUMIF('Eredeti fejléccel'!$B:$B,'Felosztás eredménykim'!$B244,'Eredeti fejléccel'!$G:$G)</f>
        <v>0</v>
      </c>
      <c r="H244" s="6"/>
      <c r="I244" s="6">
        <f>SUMIF('Eredeti fejléccel'!$B:$B,'Felosztás eredménykim'!$B244,'Eredeti fejléccel'!$O:$O)</f>
        <v>0</v>
      </c>
      <c r="J244" s="6">
        <f>SUMIF('Eredeti fejléccel'!$B:$B,'Felosztás eredménykim'!$B244,'Eredeti fejléccel'!$P:$P)</f>
        <v>0</v>
      </c>
      <c r="K244" s="6">
        <f>SUMIF('Eredeti fejléccel'!$B:$B,'Felosztás eredménykim'!$B244,'Eredeti fejléccel'!$Q:$Q)</f>
        <v>0</v>
      </c>
      <c r="L244" s="6">
        <f>SUMIF('Eredeti fejléccel'!$B:$B,'Felosztás eredménykim'!$B244,'Eredeti fejléccel'!$R:$R)</f>
        <v>0</v>
      </c>
      <c r="M244" s="6">
        <f>SUMIF('Eredeti fejléccel'!$B:$B,'Felosztás eredménykim'!$B244,'Eredeti fejléccel'!$T:$T)</f>
        <v>0</v>
      </c>
      <c r="N244" s="6">
        <f>SUMIF('Eredeti fejléccel'!$B:$B,'Felosztás eredménykim'!$B244,'Eredeti fejléccel'!$U:$U)</f>
        <v>0</v>
      </c>
      <c r="O244" s="6">
        <f>SUMIF('Eredeti fejléccel'!$B:$B,'Felosztás eredménykim'!$B244,'Eredeti fejléccel'!$V:$V)</f>
        <v>0</v>
      </c>
      <c r="P244" s="6">
        <f>SUMIF('Eredeti fejléccel'!$B:$B,'Felosztás eredménykim'!$B244,'Eredeti fejléccel'!$W:$W)</f>
        <v>0</v>
      </c>
      <c r="Q244" s="6">
        <f>SUMIF('Eredeti fejléccel'!$B:$B,'Felosztás eredménykim'!$B244,'Eredeti fejléccel'!$X:$X)</f>
        <v>0</v>
      </c>
      <c r="R244" s="6">
        <f>SUMIF('Eredeti fejléccel'!$B:$B,'Felosztás eredménykim'!$B244,'Eredeti fejléccel'!$Y:$Y)</f>
        <v>0</v>
      </c>
      <c r="S244" s="6">
        <f>SUMIF('Eredeti fejléccel'!$B:$B,'Felosztás eredménykim'!$B244,'Eredeti fejléccel'!$Z:$Z)</f>
        <v>0</v>
      </c>
      <c r="T244" s="6">
        <f>SUMIF('Eredeti fejléccel'!$B:$B,'Felosztás eredménykim'!$B244,'Eredeti fejléccel'!$AA:$AA)</f>
        <v>0</v>
      </c>
      <c r="U244" s="6">
        <f>SUMIF('Eredeti fejléccel'!$B:$B,'Felosztás eredménykim'!$B244,'Eredeti fejléccel'!$D:$D)</f>
        <v>0</v>
      </c>
      <c r="V244" s="6">
        <f>SUMIF('Eredeti fejléccel'!$B:$B,'Felosztás eredménykim'!$B244,'Eredeti fejléccel'!$AT:$AT)</f>
        <v>0</v>
      </c>
      <c r="X244" s="36">
        <f t="shared" si="414"/>
        <v>0</v>
      </c>
      <c r="Z244" s="6">
        <f>SUMIF('Eredeti fejléccel'!$B:$B,'Felosztás eredménykim'!$B244,'Eredeti fejléccel'!$K:$K)</f>
        <v>0</v>
      </c>
      <c r="AB244" s="6">
        <f>SUMIF('Eredeti fejléccel'!$B:$B,'Felosztás eredménykim'!$B244,'Eredeti fejléccel'!$AB:$AB)</f>
        <v>0</v>
      </c>
      <c r="AC244" s="6">
        <f>SUMIF('Eredeti fejléccel'!$B:$B,'Felosztás eredménykim'!$B244,'Eredeti fejléccel'!$AQ:$AQ)</f>
        <v>0</v>
      </c>
      <c r="AE244" s="73">
        <f t="shared" si="548"/>
        <v>0</v>
      </c>
      <c r="AF244" s="36">
        <f t="shared" si="549"/>
        <v>0</v>
      </c>
      <c r="AG244" s="8">
        <f t="shared" si="399"/>
        <v>0</v>
      </c>
      <c r="AI244" s="6">
        <f>SUMIF('Eredeti fejléccel'!$B:$B,'Felosztás eredménykim'!$B244,'Eredeti fejléccel'!$BB:$BB)</f>
        <v>0</v>
      </c>
      <c r="AJ244" s="6">
        <f>SUMIF('Eredeti fejléccel'!$B:$B,'Felosztás eredménykim'!$B244,'Eredeti fejléccel'!$AF:$AF)</f>
        <v>0</v>
      </c>
      <c r="AK244" s="8">
        <f t="shared" si="522"/>
        <v>0</v>
      </c>
      <c r="AL244" s="36">
        <f t="shared" si="550"/>
        <v>0</v>
      </c>
      <c r="AM244" s="8">
        <f t="shared" si="400"/>
        <v>0</v>
      </c>
      <c r="AN244" s="6">
        <f t="shared" si="538"/>
        <v>0</v>
      </c>
      <c r="AO244" s="6">
        <f>SUMIF('Eredeti fejléccel'!$B:$B,'Felosztás eredménykim'!$B244,'Eredeti fejléccel'!$AC:$AC)</f>
        <v>0</v>
      </c>
      <c r="AP244" s="6">
        <f>SUMIF('Eredeti fejléccel'!$B:$B,'Felosztás eredménykim'!$B244,'Eredeti fejléccel'!$AD:$AD)</f>
        <v>0</v>
      </c>
      <c r="AQ244" s="6">
        <f>SUMIF('Eredeti fejléccel'!$B:$B,'Felosztás eredménykim'!$B244,'Eredeti fejléccel'!$AE:$AE)</f>
        <v>0</v>
      </c>
      <c r="AR244" s="6">
        <f>SUMIF('Eredeti fejléccel'!$B:$B,'Felosztás eredménykim'!$B244,'Eredeti fejléccel'!$AG:$AG)</f>
        <v>0</v>
      </c>
      <c r="AS244" s="6">
        <f t="shared" si="539"/>
        <v>0</v>
      </c>
      <c r="AT244" s="36">
        <f t="shared" si="551"/>
        <v>0</v>
      </c>
      <c r="AU244" s="8">
        <f t="shared" si="401"/>
        <v>0</v>
      </c>
      <c r="AV244" s="6">
        <f>SUMIF('Eredeti fejléccel'!$B:$B,'Felosztás eredménykim'!$B244,'Eredeti fejléccel'!$AI:$AI)</f>
        <v>0</v>
      </c>
      <c r="AW244" s="6">
        <f>SUMIF('Eredeti fejléccel'!$B:$B,'Felosztás eredménykim'!$B244,'Eredeti fejléccel'!$AJ:$AJ)</f>
        <v>0</v>
      </c>
      <c r="AX244" s="6">
        <f>SUMIF('Eredeti fejléccel'!$B:$B,'Felosztás eredménykim'!$B244,'Eredeti fejléccel'!$AK:$AK)</f>
        <v>0</v>
      </c>
      <c r="AY244" s="6">
        <f>SUMIF('Eredeti fejléccel'!$B:$B,'Felosztás eredménykim'!$B244,'Eredeti fejléccel'!$AL:$AL)</f>
        <v>0</v>
      </c>
      <c r="AZ244" s="6">
        <f>SUMIF('Eredeti fejléccel'!$B:$B,'Felosztás eredménykim'!$B244,'Eredeti fejléccel'!$AM:$AM)</f>
        <v>0</v>
      </c>
      <c r="BA244" s="6">
        <f>SUMIF('Eredeti fejléccel'!$B:$B,'Felosztás eredménykim'!$B244,'Eredeti fejléccel'!$AN:$AN)</f>
        <v>0</v>
      </c>
      <c r="BB244" s="6">
        <f>SUMIF('Eredeti fejléccel'!$B:$B,'Felosztás eredménykim'!$B244,'Eredeti fejléccel'!$AP:$AP)</f>
        <v>0</v>
      </c>
      <c r="BD244" s="6">
        <f>SUMIF('Eredeti fejléccel'!$B:$B,'Felosztás eredménykim'!$B244,'Eredeti fejléccel'!$AS:$AS)</f>
        <v>0</v>
      </c>
      <c r="BE244" s="8">
        <f t="shared" si="523"/>
        <v>0</v>
      </c>
      <c r="BF244" s="36">
        <f t="shared" si="552"/>
        <v>0</v>
      </c>
      <c r="BG244" s="8">
        <f t="shared" si="402"/>
        <v>0</v>
      </c>
      <c r="BH244" s="6">
        <f t="shared" si="540"/>
        <v>0</v>
      </c>
      <c r="BI244" s="6">
        <f>SUMIF('Eredeti fejléccel'!$B:$B,'Felosztás eredménykim'!$B244,'Eredeti fejléccel'!$AH:$AH)</f>
        <v>0</v>
      </c>
      <c r="BJ244" s="6">
        <f>SUMIF('Eredeti fejléccel'!$B:$B,'Felosztás eredménykim'!$B244,'Eredeti fejléccel'!$AO:$AO)</f>
        <v>0</v>
      </c>
      <c r="BK244" s="6">
        <f>SUMIF('Eredeti fejléccel'!$B:$B,'Felosztás eredménykim'!$B244,'Eredeti fejléccel'!$BF:$BF)</f>
        <v>0</v>
      </c>
      <c r="BL244" s="8">
        <f t="shared" si="541"/>
        <v>0</v>
      </c>
      <c r="BM244" s="36">
        <f t="shared" si="553"/>
        <v>0</v>
      </c>
      <c r="BN244" s="8">
        <f t="shared" si="403"/>
        <v>0</v>
      </c>
      <c r="BP244" s="8">
        <f t="shared" si="542"/>
        <v>0</v>
      </c>
      <c r="BQ244" s="6">
        <f>SUMIF('Eredeti fejléccel'!$B:$B,'Felosztás eredménykim'!$B244,'Eredeti fejléccel'!$N:$N)</f>
        <v>0</v>
      </c>
      <c r="BR244" s="6">
        <f>SUMIF('Eredeti fejléccel'!$B:$B,'Felosztás eredménykim'!$B244,'Eredeti fejléccel'!$S:$S)</f>
        <v>0</v>
      </c>
      <c r="BT244" s="6">
        <f>SUMIF('Eredeti fejléccel'!$B:$B,'Felosztás eredménykim'!$B244,'Eredeti fejléccel'!$AR:$AR)</f>
        <v>0</v>
      </c>
      <c r="BU244" s="6">
        <f>SUMIF('Eredeti fejléccel'!$B:$B,'Felosztás eredménykim'!$B244,'Eredeti fejléccel'!$AU:$AU)</f>
        <v>0</v>
      </c>
      <c r="BV244" s="6">
        <f>SUMIF('Eredeti fejléccel'!$B:$B,'Felosztás eredménykim'!$B244,'Eredeti fejléccel'!$AV:$AV)</f>
        <v>0</v>
      </c>
      <c r="BW244" s="6">
        <f>SUMIF('Eredeti fejléccel'!$B:$B,'Felosztás eredménykim'!$B244,'Eredeti fejléccel'!$AW:$AW)</f>
        <v>0</v>
      </c>
      <c r="BX244" s="6">
        <f>SUMIF('Eredeti fejléccel'!$B:$B,'Felosztás eredménykim'!$B244,'Eredeti fejléccel'!$AX:$AX)</f>
        <v>0</v>
      </c>
      <c r="BY244" s="6">
        <f>SUMIF('Eredeti fejléccel'!$B:$B,'Felosztás eredménykim'!$B244,'Eredeti fejléccel'!$AY:$AY)</f>
        <v>0</v>
      </c>
      <c r="BZ244" s="6">
        <f>SUMIF('Eredeti fejléccel'!$B:$B,'Felosztás eredménykim'!$B244,'Eredeti fejléccel'!$AZ:$AZ)</f>
        <v>0</v>
      </c>
      <c r="CA244" s="6">
        <f>SUMIF('Eredeti fejléccel'!$B:$B,'Felosztás eredménykim'!$B244,'Eredeti fejléccel'!$BA:$BA)</f>
        <v>0</v>
      </c>
      <c r="CB244" s="6">
        <f t="shared" si="481"/>
        <v>0</v>
      </c>
      <c r="CC244" s="36">
        <f t="shared" si="554"/>
        <v>0</v>
      </c>
      <c r="CD244" s="8">
        <f t="shared" si="404"/>
        <v>0</v>
      </c>
      <c r="CE244" s="6">
        <f>SUMIF('Eredeti fejléccel'!$B:$B,'Felosztás eredménykim'!$B244,'Eredeti fejléccel'!$BC:$BC)</f>
        <v>0</v>
      </c>
      <c r="CF244" s="8">
        <f t="shared" si="555"/>
        <v>0</v>
      </c>
      <c r="CG244" s="6">
        <f>SUMIF('Eredeti fejléccel'!$B:$B,'Felosztás eredménykim'!$B244,'Eredeti fejléccel'!$H:$H)</f>
        <v>0</v>
      </c>
      <c r="CH244" s="6">
        <f>SUMIF('Eredeti fejléccel'!$B:$B,'Felosztás eredménykim'!$B244,'Eredeti fejléccel'!$BE:$BE)</f>
        <v>0</v>
      </c>
      <c r="CI244" s="6">
        <f t="shared" si="524"/>
        <v>0</v>
      </c>
      <c r="CJ244" s="36">
        <f t="shared" si="556"/>
        <v>0</v>
      </c>
      <c r="CK244" s="8">
        <f t="shared" si="405"/>
        <v>0</v>
      </c>
      <c r="CL244" s="8">
        <f t="shared" si="557"/>
        <v>0</v>
      </c>
      <c r="CM244" s="6">
        <f>SUMIF('Eredeti fejléccel'!$B:$B,'Felosztás eredménykim'!$B244,'Eredeti fejléccel'!$BD:$BD)</f>
        <v>0</v>
      </c>
      <c r="CN244" s="8">
        <f t="shared" si="525"/>
        <v>0</v>
      </c>
      <c r="CO244" s="8">
        <f t="shared" si="482"/>
        <v>0</v>
      </c>
      <c r="CR244" s="36">
        <f t="shared" si="406"/>
        <v>0</v>
      </c>
      <c r="CS244" s="6">
        <f>SUMIF('Eredeti fejléccel'!$B:$B,'Felosztás eredménykim'!$B244,'Eredeti fejléccel'!$I:$I)</f>
        <v>0</v>
      </c>
      <c r="CT244" s="6">
        <f>SUMIF('Eredeti fejléccel'!$B:$B,'Felosztás eredménykim'!$B244,'Eredeti fejléccel'!$BG:$BG)</f>
        <v>0</v>
      </c>
      <c r="CU244" s="6">
        <f>SUMIF('Eredeti fejléccel'!$B:$B,'Felosztás eredménykim'!$B244,'Eredeti fejléccel'!$BH:$BH)</f>
        <v>0</v>
      </c>
      <c r="CV244" s="6">
        <f>SUMIF('Eredeti fejléccel'!$B:$B,'Felosztás eredménykim'!$B244,'Eredeti fejléccel'!$BI:$BI)</f>
        <v>0</v>
      </c>
      <c r="CW244" s="6">
        <f>SUMIF('Eredeti fejléccel'!$B:$B,'Felosztás eredménykim'!$B244,'Eredeti fejléccel'!$BL:$BL)</f>
        <v>0</v>
      </c>
      <c r="CX244" s="6">
        <f t="shared" si="526"/>
        <v>0</v>
      </c>
      <c r="CY244" s="6">
        <f>SUMIF('Eredeti fejléccel'!$B:$B,'Felosztás eredménykim'!$B244,'Eredeti fejléccel'!$BJ:$BJ)</f>
        <v>0</v>
      </c>
      <c r="CZ244" s="6">
        <f>SUMIF('Eredeti fejléccel'!$B:$B,'Felosztás eredménykim'!$B244,'Eredeti fejléccel'!$BK:$BK)</f>
        <v>0</v>
      </c>
      <c r="DA244" s="99">
        <f t="shared" si="415"/>
        <v>0</v>
      </c>
      <c r="DC244" s="36">
        <f t="shared" si="407"/>
        <v>0</v>
      </c>
      <c r="DD244" s="6">
        <f>SUMIF('Eredeti fejléccel'!$B:$B,'Felosztás eredménykim'!$B244,'Eredeti fejléccel'!$J:$J)</f>
        <v>0</v>
      </c>
      <c r="DE244" s="6">
        <f>SUMIF('Eredeti fejléccel'!$B:$B,'Felosztás eredménykim'!$B244,'Eredeti fejléccel'!$BM:$BM)</f>
        <v>0</v>
      </c>
      <c r="DF244" s="6">
        <f t="shared" si="543"/>
        <v>0</v>
      </c>
      <c r="DG244" s="8">
        <f t="shared" si="483"/>
        <v>0</v>
      </c>
      <c r="DH244" s="8">
        <f t="shared" si="544"/>
        <v>0</v>
      </c>
      <c r="DJ244" s="6">
        <f>SUMIF('Eredeti fejléccel'!$B:$B,'Felosztás eredménykim'!$B244,'Eredeti fejléccel'!$BN:$BN)</f>
        <v>0</v>
      </c>
      <c r="DK244" s="6">
        <f>SUMIF('Eredeti fejléccel'!$B:$B,'Felosztás eredménykim'!$B244,'Eredeti fejléccel'!$BZ:$BZ)</f>
        <v>0</v>
      </c>
      <c r="DL244" s="8">
        <f t="shared" si="545"/>
        <v>0</v>
      </c>
      <c r="DM244" s="6">
        <f>SUMIF('Eredeti fejléccel'!$B:$B,'Felosztás eredménykim'!$B244,'Eredeti fejléccel'!$BR:$BR)</f>
        <v>0</v>
      </c>
      <c r="DN244" s="6">
        <f>SUMIF('Eredeti fejléccel'!$B:$B,'Felosztás eredménykim'!$B244,'Eredeti fejléccel'!$BS:$BS)</f>
        <v>0</v>
      </c>
      <c r="DO244" s="6">
        <f>SUMIF('Eredeti fejléccel'!$B:$B,'Felosztás eredménykim'!$B244,'Eredeti fejléccel'!$BO:$BO)</f>
        <v>0</v>
      </c>
      <c r="DP244" s="6">
        <f>SUMIF('Eredeti fejléccel'!$B:$B,'Felosztás eredménykim'!$B244,'Eredeti fejléccel'!$BP:$BP)</f>
        <v>0</v>
      </c>
      <c r="DQ244" s="6">
        <f>SUMIF('Eredeti fejléccel'!$B:$B,'Felosztás eredménykim'!$B244,'Eredeti fejléccel'!$BQ:$BQ)</f>
        <v>0</v>
      </c>
      <c r="DS244" s="8"/>
      <c r="DU244" s="6">
        <f>SUMIF('Eredeti fejléccel'!$B:$B,'Felosztás eredménykim'!$B244,'Eredeti fejléccel'!$BT:$BT)</f>
        <v>0</v>
      </c>
      <c r="DV244" s="6">
        <f>SUMIF('Eredeti fejléccel'!$B:$B,'Felosztás eredménykim'!$B244,'Eredeti fejléccel'!$BU:$BU)</f>
        <v>0</v>
      </c>
      <c r="DW244" s="6">
        <f>SUMIF('Eredeti fejléccel'!$B:$B,'Felosztás eredménykim'!$B244,'Eredeti fejléccel'!$BV:$BV)</f>
        <v>0</v>
      </c>
      <c r="DX244" s="6">
        <f>SUMIF('Eredeti fejléccel'!$B:$B,'Felosztás eredménykim'!$B244,'Eredeti fejléccel'!$BW:$BW)</f>
        <v>0</v>
      </c>
      <c r="DY244" s="6">
        <f>SUMIF('Eredeti fejléccel'!$B:$B,'Felosztás eredménykim'!$B244,'Eredeti fejléccel'!$BX:$BX)</f>
        <v>0</v>
      </c>
      <c r="EA244" s="6"/>
      <c r="EC244" s="6"/>
      <c r="EE244" s="6">
        <f>SUMIF('Eredeti fejléccel'!$B:$B,'Felosztás eredménykim'!$B244,'Eredeti fejléccel'!$CA:$CA)</f>
        <v>0</v>
      </c>
      <c r="EF244" s="6">
        <f>SUMIF('Eredeti fejléccel'!$B:$B,'Felosztás eredménykim'!$B244,'Eredeti fejléccel'!$CB:$CB)</f>
        <v>0</v>
      </c>
      <c r="EG244" s="6">
        <f>SUMIF('Eredeti fejléccel'!$B:$B,'Felosztás eredménykim'!$B244,'Eredeti fejléccel'!$CC:$CC)</f>
        <v>0</v>
      </c>
      <c r="EH244" s="6">
        <f>SUMIF('Eredeti fejléccel'!$B:$B,'Felosztás eredménykim'!$B244,'Eredeti fejléccel'!$CD:$CD)</f>
        <v>0</v>
      </c>
      <c r="EK244" s="6">
        <f>SUMIF('Eredeti fejléccel'!$B:$B,'Felosztás eredménykim'!$B244,'Eredeti fejléccel'!$CE:$CE)</f>
        <v>0</v>
      </c>
      <c r="EN244" s="6">
        <f>SUMIF('Eredeti fejléccel'!$B:$B,'Felosztás eredménykim'!$B244,'Eredeti fejléccel'!$CF:$CF)</f>
        <v>0</v>
      </c>
      <c r="EP244" s="6">
        <f>SUMIF('Eredeti fejléccel'!$B:$B,'Felosztás eredménykim'!$B244,'Eredeti fejléccel'!$CG:$CG)</f>
        <v>0</v>
      </c>
      <c r="ES244" s="6">
        <f>SUMIF('Eredeti fejléccel'!$B:$B,'Felosztás eredménykim'!$B244,'Eredeti fejléccel'!$CH:$CH)</f>
        <v>0</v>
      </c>
      <c r="ET244" s="6">
        <f>SUMIF('Eredeti fejléccel'!$B:$B,'Felosztás eredménykim'!$B244,'Eredeti fejléccel'!$CI:$CI)</f>
        <v>0</v>
      </c>
      <c r="EW244" s="8">
        <f t="shared" si="535"/>
        <v>0</v>
      </c>
      <c r="EX244" s="8">
        <f t="shared" si="527"/>
        <v>0</v>
      </c>
      <c r="EY244" s="8">
        <f t="shared" si="416"/>
        <v>0</v>
      </c>
      <c r="EZ244" s="8">
        <f t="shared" si="536"/>
        <v>0</v>
      </c>
      <c r="FA244" s="8">
        <f t="shared" si="537"/>
        <v>0</v>
      </c>
      <c r="FC244" s="6">
        <f>SUMIF('Eredeti fejléccel'!$B:$B,'Felosztás eredménykim'!$B244,'Eredeti fejléccel'!$L:$L)</f>
        <v>0</v>
      </c>
      <c r="FD244" s="6">
        <f>SUMIF('Eredeti fejléccel'!$B:$B,'Felosztás eredménykim'!$B244,'Eredeti fejléccel'!$CJ:$CJ)</f>
        <v>0</v>
      </c>
      <c r="FE244" s="6">
        <f>SUMIF('Eredeti fejléccel'!$B:$B,'Felosztás eredménykim'!$B244,'Eredeti fejléccel'!$CL:$CL)</f>
        <v>0</v>
      </c>
      <c r="FG244" s="99">
        <f t="shared" si="528"/>
        <v>0</v>
      </c>
      <c r="FH244" s="6">
        <f>SUMIF('Eredeti fejléccel'!$B:$B,'Felosztás eredménykim'!$B244,'Eredeti fejléccel'!$CK:$CK)</f>
        <v>0</v>
      </c>
      <c r="FI244" s="36">
        <f t="shared" si="558"/>
        <v>0</v>
      </c>
      <c r="FJ244" s="101">
        <f t="shared" si="408"/>
        <v>0</v>
      </c>
      <c r="FK244" s="6">
        <f>SUMIF('Eredeti fejléccel'!$B:$B,'Felosztás eredménykim'!$B244,'Eredeti fejléccel'!$CM:$CM)</f>
        <v>0</v>
      </c>
      <c r="FL244" s="6">
        <f>SUMIF('Eredeti fejléccel'!$B:$B,'Felosztás eredménykim'!$B244,'Eredeti fejléccel'!$CN:$CN)</f>
        <v>0</v>
      </c>
      <c r="FM244" s="8">
        <f t="shared" si="529"/>
        <v>0</v>
      </c>
      <c r="FN244" s="36">
        <f t="shared" si="559"/>
        <v>0</v>
      </c>
      <c r="FO244" s="101">
        <f t="shared" si="409"/>
        <v>0</v>
      </c>
      <c r="FP244" s="6">
        <f>SUMIF('Eredeti fejléccel'!$B:$B,'Felosztás eredménykim'!$B244,'Eredeti fejléccel'!$CO:$CO)</f>
        <v>0</v>
      </c>
      <c r="FQ244" s="6">
        <f>'Eredeti fejléccel'!CP244</f>
        <v>0</v>
      </c>
      <c r="FR244" s="6">
        <f>'Eredeti fejléccel'!CQ244</f>
        <v>0</v>
      </c>
      <c r="FS244" s="103">
        <f t="shared" si="417"/>
        <v>0</v>
      </c>
      <c r="FT244" s="36">
        <f t="shared" si="560"/>
        <v>0</v>
      </c>
      <c r="FU244" s="101">
        <f t="shared" si="410"/>
        <v>0</v>
      </c>
      <c r="FV244" s="101"/>
      <c r="FW244" s="6">
        <f>SUMIF('Eredeti fejléccel'!$B:$B,'Felosztás eredménykim'!$B244,'Eredeti fejléccel'!$CR:$CR)</f>
        <v>-831621</v>
      </c>
      <c r="FX244" s="6">
        <f>SUMIF('Eredeti fejléccel'!$B:$B,'Felosztás eredménykim'!$B244,'Eredeti fejléccel'!$CS:$CS)</f>
        <v>0</v>
      </c>
      <c r="FY244" s="6">
        <f>SUMIF('Eredeti fejléccel'!$B:$B,'Felosztás eredménykim'!$B244,'Eredeti fejléccel'!$CT:$CT)</f>
        <v>0</v>
      </c>
      <c r="FZ244" s="6">
        <f>SUMIF('Eredeti fejléccel'!$B:$B,'Felosztás eredménykim'!$B244,'Eredeti fejléccel'!$CU:$CU)</f>
        <v>0</v>
      </c>
      <c r="GA244" s="103">
        <f t="shared" si="530"/>
        <v>-831621</v>
      </c>
      <c r="GB244" s="36">
        <f t="shared" si="561"/>
        <v>0</v>
      </c>
      <c r="GC244" s="101">
        <f t="shared" si="411"/>
        <v>0</v>
      </c>
      <c r="GD244" s="6">
        <f>SUMIF('Eredeti fejléccel'!$B:$B,'Felosztás eredménykim'!$B244,'Eredeti fejléccel'!$CV:$CV)</f>
        <v>0</v>
      </c>
      <c r="GE244" s="6">
        <f>SUMIF('Eredeti fejléccel'!$B:$B,'Felosztás eredménykim'!$B244,'Eredeti fejléccel'!$CW:$CW)</f>
        <v>0</v>
      </c>
      <c r="GF244" s="103">
        <f t="shared" si="531"/>
        <v>0</v>
      </c>
      <c r="GG244" s="36">
        <f t="shared" si="412"/>
        <v>0</v>
      </c>
      <c r="GM244" s="6">
        <f>SUMIF('Eredeti fejléccel'!$B:$B,'Felosztás eredménykim'!$B244,'Eredeti fejléccel'!$CX:$CX)</f>
        <v>0</v>
      </c>
      <c r="GN244" s="6">
        <f>SUMIF('Eredeti fejléccel'!$B:$B,'Felosztás eredménykim'!$B244,'Eredeti fejléccel'!$CY:$CY)</f>
        <v>0</v>
      </c>
      <c r="GO244" s="6">
        <f>SUMIF('Eredeti fejléccel'!$B:$B,'Felosztás eredménykim'!$B244,'Eredeti fejléccel'!$CZ:$CZ)</f>
        <v>0</v>
      </c>
      <c r="GP244" s="6">
        <f>SUMIF('Eredeti fejléccel'!$B:$B,'Felosztás eredménykim'!$B244,'Eredeti fejléccel'!$DA:$DA)</f>
        <v>0</v>
      </c>
      <c r="GQ244" s="6">
        <f>SUMIF('Eredeti fejléccel'!$B:$B,'Felosztás eredménykim'!$B244,'Eredeti fejléccel'!$DB:$DB)</f>
        <v>0</v>
      </c>
      <c r="GR244" s="103">
        <f t="shared" si="532"/>
        <v>0</v>
      </c>
      <c r="GW244" s="36">
        <f t="shared" si="413"/>
        <v>0</v>
      </c>
      <c r="GX244" s="6">
        <f>SUMIF('Eredeti fejléccel'!$B:$B,'Felosztás eredménykim'!$B244,'Eredeti fejléccel'!$M:$M)</f>
        <v>0</v>
      </c>
      <c r="GY244" s="6">
        <f>SUMIF('Eredeti fejléccel'!$B:$B,'Felosztás eredménykim'!$B244,'Eredeti fejléccel'!$DC:$DC)</f>
        <v>0</v>
      </c>
      <c r="GZ244" s="6">
        <f>SUMIF('Eredeti fejléccel'!$B:$B,'Felosztás eredménykim'!$B244,'Eredeti fejléccel'!$DD:$DD)</f>
        <v>0</v>
      </c>
      <c r="HA244" s="6">
        <f>SUMIF('Eredeti fejléccel'!$B:$B,'Felosztás eredménykim'!$B244,'Eredeti fejléccel'!$DE:$DE)</f>
        <v>0</v>
      </c>
      <c r="HB244" s="103">
        <f t="shared" si="533"/>
        <v>0</v>
      </c>
      <c r="HD244" s="9">
        <f t="shared" si="547"/>
        <v>-831621</v>
      </c>
      <c r="HE244" s="9">
        <v>-831621</v>
      </c>
      <c r="HF244" s="476"/>
      <c r="HH244" s="34">
        <f t="shared" si="534"/>
        <v>0</v>
      </c>
    </row>
    <row r="245" spans="1:217" x14ac:dyDescent="0.25">
      <c r="A245" s="4" t="s">
        <v>1486</v>
      </c>
      <c r="B245" s="4" t="s">
        <v>1486</v>
      </c>
      <c r="C245" s="1" t="s">
        <v>1487</v>
      </c>
      <c r="D245" s="6">
        <f>SUMIF('Eredeti fejléccel'!$B:$B,'Felosztás eredménykim'!$B245,'Eredeti fejléccel'!$D:$D)</f>
        <v>0</v>
      </c>
      <c r="E245" s="6">
        <f>SUMIF('Eredeti fejléccel'!$B:$B,'Felosztás eredménykim'!$B245,'Eredeti fejléccel'!$E:$E)</f>
        <v>0</v>
      </c>
      <c r="F245" s="6">
        <f>SUMIF('Eredeti fejléccel'!$B:$B,'Felosztás eredménykim'!$B245,'Eredeti fejléccel'!$F:$F)</f>
        <v>0</v>
      </c>
      <c r="G245" s="6">
        <f>SUMIF('Eredeti fejléccel'!$B:$B,'Felosztás eredménykim'!$B245,'Eredeti fejléccel'!$G:$G)</f>
        <v>0</v>
      </c>
      <c r="H245" s="6"/>
      <c r="I245" s="6">
        <f>SUMIF('Eredeti fejléccel'!$B:$B,'Felosztás eredménykim'!$B245,'Eredeti fejléccel'!$O:$O)</f>
        <v>0</v>
      </c>
      <c r="J245" s="6">
        <f>SUMIF('Eredeti fejléccel'!$B:$B,'Felosztás eredménykim'!$B245,'Eredeti fejléccel'!$P:$P)</f>
        <v>0</v>
      </c>
      <c r="K245" s="6">
        <f>SUMIF('Eredeti fejléccel'!$B:$B,'Felosztás eredménykim'!$B245,'Eredeti fejléccel'!$Q:$Q)</f>
        <v>0</v>
      </c>
      <c r="L245" s="6">
        <f>SUMIF('Eredeti fejléccel'!$B:$B,'Felosztás eredménykim'!$B245,'Eredeti fejléccel'!$R:$R)</f>
        <v>0</v>
      </c>
      <c r="M245" s="6">
        <f>SUMIF('Eredeti fejléccel'!$B:$B,'Felosztás eredménykim'!$B245,'Eredeti fejléccel'!$T:$T)</f>
        <v>0</v>
      </c>
      <c r="N245" s="6">
        <f>SUMIF('Eredeti fejléccel'!$B:$B,'Felosztás eredménykim'!$B245,'Eredeti fejléccel'!$U:$U)</f>
        <v>0</v>
      </c>
      <c r="O245" s="6">
        <f>SUMIF('Eredeti fejléccel'!$B:$B,'Felosztás eredménykim'!$B245,'Eredeti fejléccel'!$V:$V)</f>
        <v>0</v>
      </c>
      <c r="P245" s="6">
        <f>SUMIF('Eredeti fejléccel'!$B:$B,'Felosztás eredménykim'!$B245,'Eredeti fejléccel'!$W:$W)</f>
        <v>0</v>
      </c>
      <c r="Q245" s="6">
        <f>SUMIF('Eredeti fejléccel'!$B:$B,'Felosztás eredménykim'!$B245,'Eredeti fejléccel'!$X:$X)</f>
        <v>0</v>
      </c>
      <c r="R245" s="6">
        <f>SUMIF('Eredeti fejléccel'!$B:$B,'Felosztás eredménykim'!$B245,'Eredeti fejléccel'!$Y:$Y)</f>
        <v>0</v>
      </c>
      <c r="S245" s="6">
        <f>SUMIF('Eredeti fejléccel'!$B:$B,'Felosztás eredménykim'!$B245,'Eredeti fejléccel'!$Z:$Z)</f>
        <v>0</v>
      </c>
      <c r="T245" s="6">
        <f>SUMIF('Eredeti fejléccel'!$B:$B,'Felosztás eredménykim'!$B245,'Eredeti fejléccel'!$AA:$AA)</f>
        <v>0</v>
      </c>
      <c r="U245" s="6">
        <f>SUMIF('Eredeti fejléccel'!$B:$B,'Felosztás eredménykim'!$B245,'Eredeti fejléccel'!$D:$D)</f>
        <v>0</v>
      </c>
      <c r="V245" s="6">
        <f>SUMIF('Eredeti fejléccel'!$B:$B,'Felosztás eredménykim'!$B245,'Eredeti fejléccel'!$AT:$AT)</f>
        <v>0</v>
      </c>
      <c r="X245" s="36">
        <f t="shared" si="414"/>
        <v>0</v>
      </c>
      <c r="Z245" s="6">
        <f>SUMIF('Eredeti fejléccel'!$B:$B,'Felosztás eredménykim'!$B245,'Eredeti fejléccel'!$K:$K)</f>
        <v>0</v>
      </c>
      <c r="AB245" s="6">
        <f>SUMIF('Eredeti fejléccel'!$B:$B,'Felosztás eredménykim'!$B245,'Eredeti fejléccel'!$AB:$AB)</f>
        <v>0</v>
      </c>
      <c r="AC245" s="6">
        <f>SUMIF('Eredeti fejléccel'!$B:$B,'Felosztás eredménykim'!$B245,'Eredeti fejléccel'!$AQ:$AQ)</f>
        <v>0</v>
      </c>
      <c r="AE245" s="73">
        <f>SUM(Z245:AD245)</f>
        <v>0</v>
      </c>
      <c r="AF245" s="36">
        <f t="shared" si="549"/>
        <v>0</v>
      </c>
      <c r="AG245" s="8">
        <f t="shared" si="399"/>
        <v>0</v>
      </c>
      <c r="AI245" s="6">
        <f>SUMIF('Eredeti fejléccel'!$B:$B,'Felosztás eredménykim'!$B245,'Eredeti fejléccel'!$BB:$BB)</f>
        <v>0</v>
      </c>
      <c r="AJ245" s="6">
        <f>SUMIF('Eredeti fejléccel'!$B:$B,'Felosztás eredménykim'!$B245,'Eredeti fejléccel'!$AF:$AF)</f>
        <v>0</v>
      </c>
      <c r="AK245" s="8">
        <f>SUM(AG245:AJ245)</f>
        <v>0</v>
      </c>
      <c r="AL245" s="36">
        <f t="shared" si="550"/>
        <v>0</v>
      </c>
      <c r="AM245" s="8">
        <f t="shared" si="400"/>
        <v>0</v>
      </c>
      <c r="AN245" s="6">
        <f>-AO245/2</f>
        <v>0</v>
      </c>
      <c r="AO245" s="6">
        <f>SUMIF('Eredeti fejléccel'!$B:$B,'Felosztás eredménykim'!$B245,'Eredeti fejléccel'!$AC:$AC)</f>
        <v>0</v>
      </c>
      <c r="AP245" s="6">
        <f>SUMIF('Eredeti fejléccel'!$B:$B,'Felosztás eredménykim'!$B245,'Eredeti fejléccel'!$AD:$AD)</f>
        <v>0</v>
      </c>
      <c r="AQ245" s="6">
        <f>SUMIF('Eredeti fejléccel'!$B:$B,'Felosztás eredménykim'!$B245,'Eredeti fejléccel'!$AE:$AE)</f>
        <v>0</v>
      </c>
      <c r="AR245" s="6">
        <f>SUMIF('Eredeti fejléccel'!$B:$B,'Felosztás eredménykim'!$B245,'Eredeti fejléccel'!$AG:$AG)</f>
        <v>0</v>
      </c>
      <c r="AS245" s="6">
        <f>SUM(AM245:AR245)</f>
        <v>0</v>
      </c>
      <c r="AT245" s="36">
        <f t="shared" si="551"/>
        <v>0</v>
      </c>
      <c r="AU245" s="8">
        <f t="shared" si="401"/>
        <v>0</v>
      </c>
      <c r="AV245" s="6">
        <f>SUMIF('Eredeti fejléccel'!$B:$B,'Felosztás eredménykim'!$B245,'Eredeti fejléccel'!$AI:$AI)</f>
        <v>0</v>
      </c>
      <c r="AW245" s="6">
        <f>SUMIF('Eredeti fejléccel'!$B:$B,'Felosztás eredménykim'!$B245,'Eredeti fejléccel'!$AJ:$AJ)</f>
        <v>0</v>
      </c>
      <c r="AX245" s="6">
        <f>SUMIF('Eredeti fejléccel'!$B:$B,'Felosztás eredménykim'!$B245,'Eredeti fejléccel'!$AK:$AK)</f>
        <v>0</v>
      </c>
      <c r="AY245" s="6">
        <f>SUMIF('Eredeti fejléccel'!$B:$B,'Felosztás eredménykim'!$B245,'Eredeti fejléccel'!$AL:$AL)</f>
        <v>0</v>
      </c>
      <c r="AZ245" s="6">
        <f>SUMIF('Eredeti fejléccel'!$B:$B,'Felosztás eredménykim'!$B245,'Eredeti fejléccel'!$AM:$AM)</f>
        <v>0</v>
      </c>
      <c r="BA245" s="6">
        <f>SUMIF('Eredeti fejléccel'!$B:$B,'Felosztás eredménykim'!$B245,'Eredeti fejléccel'!$AN:$AN)</f>
        <v>0</v>
      </c>
      <c r="BB245" s="6">
        <f>SUMIF('Eredeti fejléccel'!$B:$B,'Felosztás eredménykim'!$B245,'Eredeti fejléccel'!$AP:$AP)</f>
        <v>0</v>
      </c>
      <c r="BD245" s="6">
        <f>SUMIF('Eredeti fejléccel'!$B:$B,'Felosztás eredménykim'!$B245,'Eredeti fejléccel'!$AS:$AS)</f>
        <v>0</v>
      </c>
      <c r="BE245" s="8">
        <f>SUM(AU245:BD245)</f>
        <v>0</v>
      </c>
      <c r="BF245" s="36">
        <f t="shared" si="552"/>
        <v>0</v>
      </c>
      <c r="BG245" s="8">
        <f t="shared" si="402"/>
        <v>0</v>
      </c>
      <c r="BH245" s="6">
        <f>AO245/2</f>
        <v>0</v>
      </c>
      <c r="BI245" s="6">
        <f>SUMIF('Eredeti fejléccel'!$B:$B,'Felosztás eredménykim'!$B245,'Eredeti fejléccel'!$AH:$AH)</f>
        <v>0</v>
      </c>
      <c r="BJ245" s="6">
        <f>SUMIF('Eredeti fejléccel'!$B:$B,'Felosztás eredménykim'!$B245,'Eredeti fejléccel'!$AO:$AO)</f>
        <v>0</v>
      </c>
      <c r="BK245" s="6">
        <f>SUMIF('Eredeti fejléccel'!$B:$B,'Felosztás eredménykim'!$B245,'Eredeti fejléccel'!$BF:$BF)</f>
        <v>0</v>
      </c>
      <c r="BL245" s="8">
        <f>SUM(BG245:BK245)</f>
        <v>0</v>
      </c>
      <c r="BM245" s="36">
        <f t="shared" si="553"/>
        <v>0</v>
      </c>
      <c r="BN245" s="8">
        <f t="shared" si="403"/>
        <v>0</v>
      </c>
      <c r="BP245" s="8">
        <f>-FV245</f>
        <v>0</v>
      </c>
      <c r="BQ245" s="6">
        <f>SUMIF('Eredeti fejléccel'!$B:$B,'Felosztás eredménykim'!$B245,'Eredeti fejléccel'!$N:$N)</f>
        <v>0</v>
      </c>
      <c r="BR245" s="6">
        <f>SUMIF('Eredeti fejléccel'!$B:$B,'Felosztás eredménykim'!$B245,'Eredeti fejléccel'!$S:$S)</f>
        <v>0</v>
      </c>
      <c r="BT245" s="6">
        <f>SUMIF('Eredeti fejléccel'!$B:$B,'Felosztás eredménykim'!$B245,'Eredeti fejléccel'!$AR:$AR)</f>
        <v>0</v>
      </c>
      <c r="BU245" s="6">
        <f>SUMIF('Eredeti fejléccel'!$B:$B,'Felosztás eredménykim'!$B245,'Eredeti fejléccel'!$AU:$AU)</f>
        <v>0</v>
      </c>
      <c r="BV245" s="6">
        <f>SUMIF('Eredeti fejléccel'!$B:$B,'Felosztás eredménykim'!$B245,'Eredeti fejléccel'!$AV:$AV)</f>
        <v>0</v>
      </c>
      <c r="BW245" s="6">
        <f>SUMIF('Eredeti fejléccel'!$B:$B,'Felosztás eredménykim'!$B245,'Eredeti fejléccel'!$AW:$AW)</f>
        <v>0</v>
      </c>
      <c r="BX245" s="6">
        <f>SUMIF('Eredeti fejléccel'!$B:$B,'Felosztás eredménykim'!$B245,'Eredeti fejléccel'!$AX:$AX)</f>
        <v>0</v>
      </c>
      <c r="BY245" s="6">
        <f>SUMIF('Eredeti fejléccel'!$B:$B,'Felosztás eredménykim'!$B245,'Eredeti fejléccel'!$AY:$AY)</f>
        <v>0</v>
      </c>
      <c r="BZ245" s="6">
        <f>SUMIF('Eredeti fejléccel'!$B:$B,'Felosztás eredménykim'!$B245,'Eredeti fejléccel'!$AZ:$AZ)</f>
        <v>0</v>
      </c>
      <c r="CA245" s="6">
        <f>SUMIF('Eredeti fejléccel'!$B:$B,'Felosztás eredménykim'!$B245,'Eredeti fejléccel'!$BA:$BA)</f>
        <v>0</v>
      </c>
      <c r="CB245" s="6">
        <f t="shared" si="481"/>
        <v>0</v>
      </c>
      <c r="CC245" s="36">
        <f t="shared" si="554"/>
        <v>0</v>
      </c>
      <c r="CD245" s="8">
        <f t="shared" si="404"/>
        <v>0</v>
      </c>
      <c r="CE245" s="6">
        <f>SUMIF('Eredeti fejléccel'!$B:$B,'Felosztás eredménykim'!$B245,'Eredeti fejléccel'!$BC:$BC)</f>
        <v>0</v>
      </c>
      <c r="CF245" s="8">
        <f>-CE245/2</f>
        <v>0</v>
      </c>
      <c r="CG245" s="6">
        <f>SUMIF('Eredeti fejléccel'!$B:$B,'Felosztás eredménykim'!$B245,'Eredeti fejléccel'!$H:$H)</f>
        <v>0</v>
      </c>
      <c r="CH245" s="6">
        <f>SUMIF('Eredeti fejléccel'!$B:$B,'Felosztás eredménykim'!$B245,'Eredeti fejléccel'!$BE:$BE)</f>
        <v>0</v>
      </c>
      <c r="CI245" s="6">
        <f>SUM(CD245:CH245)</f>
        <v>0</v>
      </c>
      <c r="CJ245" s="36">
        <f t="shared" si="556"/>
        <v>0</v>
      </c>
      <c r="CK245" s="8">
        <f t="shared" si="405"/>
        <v>0</v>
      </c>
      <c r="CL245" s="8">
        <f>CE245/2</f>
        <v>0</v>
      </c>
      <c r="CM245" s="6">
        <f>SUMIF('Eredeti fejléccel'!$B:$B,'Felosztás eredménykim'!$B245,'Eredeti fejléccel'!$BD:$BD)</f>
        <v>0</v>
      </c>
      <c r="CN245" s="8">
        <f>SUM(CK245:CM245)</f>
        <v>0</v>
      </c>
      <c r="CO245" s="8">
        <f t="shared" si="482"/>
        <v>0</v>
      </c>
      <c r="CR245" s="36">
        <f t="shared" si="406"/>
        <v>0</v>
      </c>
      <c r="CS245" s="6">
        <f>SUMIF('Eredeti fejléccel'!$B:$B,'Felosztás eredménykim'!$B245,'Eredeti fejléccel'!$I:$I)</f>
        <v>0</v>
      </c>
      <c r="CT245" s="6">
        <f>SUMIF('Eredeti fejléccel'!$B:$B,'Felosztás eredménykim'!$B245,'Eredeti fejléccel'!$BG:$BG)</f>
        <v>0</v>
      </c>
      <c r="CU245" s="6">
        <f>SUMIF('Eredeti fejléccel'!$B:$B,'Felosztás eredménykim'!$B245,'Eredeti fejléccel'!$BH:$BH)</f>
        <v>0</v>
      </c>
      <c r="CV245" s="6">
        <f>SUMIF('Eredeti fejléccel'!$B:$B,'Felosztás eredménykim'!$B245,'Eredeti fejléccel'!$BI:$BI)</f>
        <v>0</v>
      </c>
      <c r="CW245" s="6">
        <f>SUMIF('Eredeti fejléccel'!$B:$B,'Felosztás eredménykim'!$B245,'Eredeti fejléccel'!$BL:$BL)</f>
        <v>0</v>
      </c>
      <c r="CX245" s="6">
        <f>SUM(CS245:CW245)</f>
        <v>0</v>
      </c>
      <c r="CY245" s="6">
        <f>SUMIF('Eredeti fejléccel'!$B:$B,'Felosztás eredménykim'!$B245,'Eredeti fejléccel'!$BJ:$BJ)</f>
        <v>0</v>
      </c>
      <c r="CZ245" s="6">
        <f>SUMIF('Eredeti fejléccel'!$B:$B,'Felosztás eredménykim'!$B245,'Eredeti fejléccel'!$BK:$BK)</f>
        <v>0</v>
      </c>
      <c r="DA245" s="99">
        <f t="shared" si="415"/>
        <v>0</v>
      </c>
      <c r="DC245" s="36">
        <f t="shared" si="407"/>
        <v>0</v>
      </c>
      <c r="DD245" s="6">
        <f>SUMIF('Eredeti fejléccel'!$B:$B,'Felosztás eredménykim'!$B245,'Eredeti fejléccel'!$J:$J)</f>
        <v>0</v>
      </c>
      <c r="DE245" s="6">
        <f>SUMIF('Eredeti fejléccel'!$B:$B,'Felosztás eredménykim'!$B245,'Eredeti fejléccel'!$BM:$BM)</f>
        <v>0</v>
      </c>
      <c r="DF245" s="6">
        <f>-DI245</f>
        <v>0</v>
      </c>
      <c r="DG245" s="8">
        <f t="shared" si="483"/>
        <v>0</v>
      </c>
      <c r="DH245" s="8">
        <f>SUM(DD245:DG245)</f>
        <v>0</v>
      </c>
      <c r="DJ245" s="6">
        <f>SUMIF('Eredeti fejléccel'!$B:$B,'Felosztás eredménykim'!$B245,'Eredeti fejléccel'!$BN:$BN)</f>
        <v>0</v>
      </c>
      <c r="DK245" s="6">
        <f>SUMIF('Eredeti fejléccel'!$B:$B,'Felosztás eredménykim'!$B245,'Eredeti fejléccel'!$BZ:$BZ)</f>
        <v>0</v>
      </c>
      <c r="DL245" s="8">
        <f>SUM(DI245:DK245)</f>
        <v>0</v>
      </c>
      <c r="DM245" s="6">
        <f>SUMIF('Eredeti fejléccel'!$B:$B,'Felosztás eredménykim'!$B245,'Eredeti fejléccel'!$BR:$BR)</f>
        <v>0</v>
      </c>
      <c r="DN245" s="6">
        <f>SUMIF('Eredeti fejléccel'!$B:$B,'Felosztás eredménykim'!$B245,'Eredeti fejléccel'!$BS:$BS)</f>
        <v>0</v>
      </c>
      <c r="DO245" s="6">
        <f>SUMIF('Eredeti fejléccel'!$B:$B,'Felosztás eredménykim'!$B245,'Eredeti fejléccel'!$BO:$BO)</f>
        <v>0</v>
      </c>
      <c r="DP245" s="6">
        <f>SUMIF('Eredeti fejléccel'!$B:$B,'Felosztás eredménykim'!$B245,'Eredeti fejléccel'!$BP:$BP)</f>
        <v>0</v>
      </c>
      <c r="DQ245" s="6">
        <f>SUMIF('Eredeti fejléccel'!$B:$B,'Felosztás eredménykim'!$B245,'Eredeti fejléccel'!$BQ:$BQ)</f>
        <v>0</v>
      </c>
      <c r="DS245" s="8"/>
      <c r="DU245" s="6">
        <f>SUMIF('Eredeti fejléccel'!$B:$B,'Felosztás eredménykim'!$B245,'Eredeti fejléccel'!$BT:$BT)</f>
        <v>0</v>
      </c>
      <c r="DV245" s="6">
        <f>SUMIF('Eredeti fejléccel'!$B:$B,'Felosztás eredménykim'!$B245,'Eredeti fejléccel'!$BU:$BU)</f>
        <v>0</v>
      </c>
      <c r="DW245" s="6">
        <f>SUMIF('Eredeti fejléccel'!$B:$B,'Felosztás eredménykim'!$B245,'Eredeti fejléccel'!$BV:$BV)</f>
        <v>0</v>
      </c>
      <c r="DX245" s="6">
        <f>SUMIF('Eredeti fejléccel'!$B:$B,'Felosztás eredménykim'!$B245,'Eredeti fejléccel'!$BW:$BW)</f>
        <v>0</v>
      </c>
      <c r="DY245" s="6">
        <f>SUMIF('Eredeti fejléccel'!$B:$B,'Felosztás eredménykim'!$B245,'Eredeti fejléccel'!$BX:$BX)</f>
        <v>0</v>
      </c>
      <c r="EA245" s="6"/>
      <c r="EC245" s="6"/>
      <c r="EE245" s="6">
        <f>SUMIF('Eredeti fejléccel'!$B:$B,'Felosztás eredménykim'!$B245,'Eredeti fejléccel'!$CA:$CA)</f>
        <v>0</v>
      </c>
      <c r="EF245" s="6">
        <f>SUMIF('Eredeti fejléccel'!$B:$B,'Felosztás eredménykim'!$B245,'Eredeti fejléccel'!$CB:$CB)</f>
        <v>0</v>
      </c>
      <c r="EG245" s="6">
        <f>SUMIF('Eredeti fejléccel'!$B:$B,'Felosztás eredménykim'!$B245,'Eredeti fejléccel'!$CC:$CC)</f>
        <v>0</v>
      </c>
      <c r="EH245" s="6">
        <f>SUMIF('Eredeti fejléccel'!$B:$B,'Felosztás eredménykim'!$B245,'Eredeti fejléccel'!$CD:$CD)</f>
        <v>0</v>
      </c>
      <c r="EK245" s="6">
        <f>SUMIF('Eredeti fejléccel'!$B:$B,'Felosztás eredménykim'!$B245,'Eredeti fejléccel'!$CE:$CE)</f>
        <v>0</v>
      </c>
      <c r="EN245" s="6">
        <f>SUMIF('Eredeti fejléccel'!$B:$B,'Felosztás eredménykim'!$B245,'Eredeti fejléccel'!$CF:$CF)</f>
        <v>0</v>
      </c>
      <c r="EP245" s="6">
        <f>SUMIF('Eredeti fejléccel'!$B:$B,'Felosztás eredménykim'!$B245,'Eredeti fejléccel'!$CG:$CG)</f>
        <v>0</v>
      </c>
      <c r="ES245" s="6">
        <f>SUMIF('Eredeti fejléccel'!$B:$B,'Felosztás eredménykim'!$B245,'Eredeti fejléccel'!$CH:$CH)</f>
        <v>0</v>
      </c>
      <c r="ET245" s="6">
        <f>SUMIF('Eredeti fejléccel'!$B:$B,'Felosztás eredménykim'!$B245,'Eredeti fejléccel'!$CI:$CI)</f>
        <v>0</v>
      </c>
      <c r="EW245" s="8">
        <f>SUM(DR245:ED245)</f>
        <v>0</v>
      </c>
      <c r="EX245" s="8">
        <f>SUM(EE245:EV245)</f>
        <v>0</v>
      </c>
      <c r="EY245" s="8">
        <f t="shared" si="416"/>
        <v>0</v>
      </c>
      <c r="EZ245" s="8">
        <f>EY245+DL245+DM245+DN245+DO245+DP245+DQ245</f>
        <v>0</v>
      </c>
      <c r="FA245" s="8">
        <f>EZ245-DL245-DM245</f>
        <v>0</v>
      </c>
      <c r="FC245" s="6">
        <f>SUMIF('Eredeti fejléccel'!$B:$B,'Felosztás eredménykim'!$B245,'Eredeti fejléccel'!$L:$L)</f>
        <v>0</v>
      </c>
      <c r="FD245" s="6">
        <f>SUMIF('Eredeti fejléccel'!$B:$B,'Felosztás eredménykim'!$B245,'Eredeti fejléccel'!$CJ:$CJ)</f>
        <v>0</v>
      </c>
      <c r="FE245" s="6">
        <f>SUMIF('Eredeti fejléccel'!$B:$B,'Felosztás eredménykim'!$B245,'Eredeti fejléccel'!$CL:$CL)</f>
        <v>0</v>
      </c>
      <c r="FG245" s="99">
        <f>SUM(FC245:FF245)</f>
        <v>0</v>
      </c>
      <c r="FH245" s="6">
        <f>SUMIF('Eredeti fejléccel'!$B:$B,'Felosztás eredménykim'!$B245,'Eredeti fejléccel'!$CK:$CK)</f>
        <v>0</v>
      </c>
      <c r="FI245" s="36">
        <f t="shared" si="558"/>
        <v>0</v>
      </c>
      <c r="FJ245" s="101">
        <f t="shared" si="408"/>
        <v>0</v>
      </c>
      <c r="FK245" s="6">
        <f>SUMIF('Eredeti fejléccel'!$B:$B,'Felosztás eredménykim'!$B245,'Eredeti fejléccel'!$CM:$CM)</f>
        <v>0</v>
      </c>
      <c r="FL245" s="6">
        <f>SUMIF('Eredeti fejléccel'!$B:$B,'Felosztás eredménykim'!$B245,'Eredeti fejléccel'!$CN:$CN)</f>
        <v>0</v>
      </c>
      <c r="FM245" s="8">
        <f>SUM(FJ245:FL245)</f>
        <v>0</v>
      </c>
      <c r="FN245" s="36">
        <f t="shared" si="559"/>
        <v>0</v>
      </c>
      <c r="FO245" s="101">
        <f t="shared" si="409"/>
        <v>0</v>
      </c>
      <c r="FP245" s="6">
        <f>SUMIF('Eredeti fejléccel'!$B:$B,'Felosztás eredménykim'!$B245,'Eredeti fejléccel'!$CO:$CO)</f>
        <v>0</v>
      </c>
      <c r="FQ245" s="6">
        <f>'Eredeti fejléccel'!CP245</f>
        <v>0</v>
      </c>
      <c r="FR245" s="6">
        <f>'Eredeti fejléccel'!CQ245</f>
        <v>0</v>
      </c>
      <c r="FS245" s="103">
        <f t="shared" si="417"/>
        <v>0</v>
      </c>
      <c r="FT245" s="36">
        <f t="shared" si="560"/>
        <v>0</v>
      </c>
      <c r="FU245" s="101">
        <f t="shared" si="410"/>
        <v>0</v>
      </c>
      <c r="FV245" s="101"/>
      <c r="FW245" s="6">
        <f>SUMIF('Eredeti fejléccel'!$B:$B,'Felosztás eredménykim'!$B245,'Eredeti fejléccel'!$CR:$CR)</f>
        <v>-918867</v>
      </c>
      <c r="FX245" s="6">
        <f>SUMIF('Eredeti fejléccel'!$B:$B,'Felosztás eredménykim'!$B245,'Eredeti fejléccel'!$CS:$CS)</f>
        <v>0</v>
      </c>
      <c r="FY245" s="6">
        <f>SUMIF('Eredeti fejléccel'!$B:$B,'Felosztás eredménykim'!$B245,'Eredeti fejléccel'!$CT:$CT)</f>
        <v>-200767</v>
      </c>
      <c r="FZ245" s="6">
        <f>SUMIF('Eredeti fejléccel'!$B:$B,'Felosztás eredménykim'!$B245,'Eredeti fejléccel'!$CU:$CU)</f>
        <v>0</v>
      </c>
      <c r="GA245" s="103">
        <f>SUM(FU245:FZ245)</f>
        <v>-1119634</v>
      </c>
      <c r="GB245" s="36">
        <f t="shared" si="561"/>
        <v>0</v>
      </c>
      <c r="GC245" s="101">
        <f t="shared" si="411"/>
        <v>0</v>
      </c>
      <c r="GD245" s="6">
        <f>SUMIF('Eredeti fejléccel'!$B:$B,'Felosztás eredménykim'!$B245,'Eredeti fejléccel'!$CV:$CV)</f>
        <v>0</v>
      </c>
      <c r="GE245" s="6">
        <f>SUMIF('Eredeti fejléccel'!$B:$B,'Felosztás eredménykim'!$B245,'Eredeti fejléccel'!$CW:$CW)</f>
        <v>0</v>
      </c>
      <c r="GF245" s="103">
        <f>SUM(GC245:GE245)</f>
        <v>0</v>
      </c>
      <c r="GG245" s="36">
        <f t="shared" si="412"/>
        <v>0</v>
      </c>
      <c r="GM245" s="6">
        <f>SUMIF('Eredeti fejléccel'!$B:$B,'Felosztás eredménykim'!$B245,'Eredeti fejléccel'!$CX:$CX)</f>
        <v>0</v>
      </c>
      <c r="GN245" s="6">
        <f>SUMIF('Eredeti fejléccel'!$B:$B,'Felosztás eredménykim'!$B245,'Eredeti fejléccel'!$CY:$CY)</f>
        <v>0</v>
      </c>
      <c r="GO245" s="6">
        <f>SUMIF('Eredeti fejléccel'!$B:$B,'Felosztás eredménykim'!$B245,'Eredeti fejléccel'!$CZ:$CZ)</f>
        <v>0</v>
      </c>
      <c r="GP245" s="6">
        <f>SUMIF('Eredeti fejléccel'!$B:$B,'Felosztás eredménykim'!$B245,'Eredeti fejléccel'!$DA:$DA)</f>
        <v>0</v>
      </c>
      <c r="GQ245" s="6">
        <f>SUMIF('Eredeti fejléccel'!$B:$B,'Felosztás eredménykim'!$B245,'Eredeti fejléccel'!$DB:$DB)</f>
        <v>0</v>
      </c>
      <c r="GR245" s="103">
        <f>SUM(GH245:GQ245)</f>
        <v>0</v>
      </c>
      <c r="GW245" s="36">
        <f t="shared" si="413"/>
        <v>0</v>
      </c>
      <c r="GX245" s="6">
        <f>SUMIF('Eredeti fejléccel'!$B:$B,'Felosztás eredménykim'!$B245,'Eredeti fejléccel'!$M:$M)</f>
        <v>0</v>
      </c>
      <c r="GY245" s="6">
        <f>SUMIF('Eredeti fejléccel'!$B:$B,'Felosztás eredménykim'!$B245,'Eredeti fejléccel'!$DC:$DC)</f>
        <v>0</v>
      </c>
      <c r="GZ245" s="6">
        <f>SUMIF('Eredeti fejléccel'!$B:$B,'Felosztás eredménykim'!$B245,'Eredeti fejléccel'!$DD:$DD)</f>
        <v>0</v>
      </c>
      <c r="HA245" s="6">
        <f>SUMIF('Eredeti fejléccel'!$B:$B,'Felosztás eredménykim'!$B245,'Eredeti fejléccel'!$DE:$DE)</f>
        <v>0</v>
      </c>
      <c r="HB245" s="103">
        <f>SUM(GX245:HA245)</f>
        <v>0</v>
      </c>
      <c r="HD245" s="9">
        <f t="shared" si="547"/>
        <v>-1119634</v>
      </c>
      <c r="HE245" s="9">
        <v>-1119634</v>
      </c>
      <c r="HF245" s="476"/>
      <c r="HH245" s="34">
        <f>+HD245-HE245</f>
        <v>0</v>
      </c>
    </row>
    <row r="246" spans="1:217" x14ac:dyDescent="0.25">
      <c r="A246" s="4" t="s">
        <v>327</v>
      </c>
      <c r="B246" s="4" t="s">
        <v>327</v>
      </c>
      <c r="C246" s="1" t="s">
        <v>328</v>
      </c>
      <c r="D246" s="6">
        <f>SUMIF('Eredeti fejléccel'!$B:$B,'Felosztás eredménykim'!$B246,'Eredeti fejléccel'!$D:$D)</f>
        <v>0</v>
      </c>
      <c r="E246" s="6">
        <f>SUMIF('Eredeti fejléccel'!$B:$B,'Felosztás eredménykim'!$B246,'Eredeti fejléccel'!$E:$E)</f>
        <v>0</v>
      </c>
      <c r="F246" s="6">
        <f>SUMIF('Eredeti fejléccel'!$B:$B,'Felosztás eredménykim'!$B246,'Eredeti fejléccel'!$F:$F)</f>
        <v>0</v>
      </c>
      <c r="G246" s="6">
        <f>SUMIF('Eredeti fejléccel'!$B:$B,'Felosztás eredménykim'!$B246,'Eredeti fejléccel'!$G:$G)</f>
        <v>0</v>
      </c>
      <c r="H246" s="6"/>
      <c r="I246" s="6">
        <f>SUMIF('Eredeti fejléccel'!$B:$B,'Felosztás eredménykim'!$B246,'Eredeti fejléccel'!$O:$O)</f>
        <v>0</v>
      </c>
      <c r="J246" s="6">
        <f>SUMIF('Eredeti fejléccel'!$B:$B,'Felosztás eredménykim'!$B246,'Eredeti fejléccel'!$P:$P)</f>
        <v>0</v>
      </c>
      <c r="K246" s="6">
        <f>SUMIF('Eredeti fejléccel'!$B:$B,'Felosztás eredménykim'!$B246,'Eredeti fejléccel'!$Q:$Q)</f>
        <v>0</v>
      </c>
      <c r="L246" s="6">
        <f>SUMIF('Eredeti fejléccel'!$B:$B,'Felosztás eredménykim'!$B246,'Eredeti fejléccel'!$R:$R)</f>
        <v>0</v>
      </c>
      <c r="M246" s="6">
        <f>SUMIF('Eredeti fejléccel'!$B:$B,'Felosztás eredménykim'!$B246,'Eredeti fejléccel'!$T:$T)</f>
        <v>0</v>
      </c>
      <c r="N246" s="6">
        <f>SUMIF('Eredeti fejléccel'!$B:$B,'Felosztás eredménykim'!$B246,'Eredeti fejléccel'!$U:$U)</f>
        <v>0</v>
      </c>
      <c r="O246" s="6">
        <f>SUMIF('Eredeti fejléccel'!$B:$B,'Felosztás eredménykim'!$B246,'Eredeti fejléccel'!$V:$V)</f>
        <v>0</v>
      </c>
      <c r="P246" s="6">
        <f>SUMIF('Eredeti fejléccel'!$B:$B,'Felosztás eredménykim'!$B246,'Eredeti fejléccel'!$W:$W)</f>
        <v>0</v>
      </c>
      <c r="Q246" s="6">
        <f>SUMIF('Eredeti fejléccel'!$B:$B,'Felosztás eredménykim'!$B246,'Eredeti fejléccel'!$X:$X)</f>
        <v>0</v>
      </c>
      <c r="R246" s="6">
        <f>SUMIF('Eredeti fejléccel'!$B:$B,'Felosztás eredménykim'!$B246,'Eredeti fejléccel'!$Y:$Y)</f>
        <v>0</v>
      </c>
      <c r="S246" s="6">
        <f>SUMIF('Eredeti fejléccel'!$B:$B,'Felosztás eredménykim'!$B246,'Eredeti fejléccel'!$Z:$Z)</f>
        <v>0</v>
      </c>
      <c r="T246" s="6">
        <f>SUMIF('Eredeti fejléccel'!$B:$B,'Felosztás eredménykim'!$B246,'Eredeti fejléccel'!$AA:$AA)</f>
        <v>0</v>
      </c>
      <c r="U246" s="6">
        <f>SUMIF('Eredeti fejléccel'!$B:$B,'Felosztás eredménykim'!$B246,'Eredeti fejléccel'!$D:$D)</f>
        <v>0</v>
      </c>
      <c r="V246" s="6">
        <f>SUMIF('Eredeti fejléccel'!$B:$B,'Felosztás eredménykim'!$B246,'Eredeti fejléccel'!$AT:$AT)</f>
        <v>0</v>
      </c>
      <c r="X246" s="36">
        <f t="shared" si="414"/>
        <v>0</v>
      </c>
      <c r="Z246" s="6">
        <f>SUMIF('Eredeti fejléccel'!$B:$B,'Felosztás eredménykim'!$B246,'Eredeti fejléccel'!$K:$K)</f>
        <v>0</v>
      </c>
      <c r="AB246" s="6">
        <f>SUMIF('Eredeti fejléccel'!$B:$B,'Felosztás eredménykim'!$B246,'Eredeti fejléccel'!$AB:$AB)</f>
        <v>0</v>
      </c>
      <c r="AC246" s="6">
        <f>SUMIF('Eredeti fejléccel'!$B:$B,'Felosztás eredménykim'!$B246,'Eredeti fejléccel'!$AQ:$AQ)</f>
        <v>0</v>
      </c>
      <c r="AE246" s="73">
        <f t="shared" si="548"/>
        <v>0</v>
      </c>
      <c r="AF246" s="36">
        <f t="shared" si="549"/>
        <v>0</v>
      </c>
      <c r="AG246" s="8">
        <f t="shared" si="399"/>
        <v>0</v>
      </c>
      <c r="AI246" s="6">
        <f>SUMIF('Eredeti fejléccel'!$B:$B,'Felosztás eredménykim'!$B246,'Eredeti fejléccel'!$BB:$BB)</f>
        <v>0</v>
      </c>
      <c r="AJ246" s="6">
        <f>SUMIF('Eredeti fejléccel'!$B:$B,'Felosztás eredménykim'!$B246,'Eredeti fejléccel'!$AF:$AF)</f>
        <v>0</v>
      </c>
      <c r="AK246" s="8">
        <f t="shared" si="522"/>
        <v>0</v>
      </c>
      <c r="AL246" s="36">
        <f t="shared" si="550"/>
        <v>0</v>
      </c>
      <c r="AM246" s="8">
        <f t="shared" si="400"/>
        <v>0</v>
      </c>
      <c r="AN246" s="6">
        <f t="shared" si="538"/>
        <v>0</v>
      </c>
      <c r="AO246" s="6">
        <f>SUMIF('Eredeti fejléccel'!$B:$B,'Felosztás eredménykim'!$B246,'Eredeti fejléccel'!$AC:$AC)</f>
        <v>0</v>
      </c>
      <c r="AP246" s="6">
        <f>SUMIF('Eredeti fejléccel'!$B:$B,'Felosztás eredménykim'!$B246,'Eredeti fejléccel'!$AD:$AD)</f>
        <v>0</v>
      </c>
      <c r="AQ246" s="6">
        <f>SUMIF('Eredeti fejléccel'!$B:$B,'Felosztás eredménykim'!$B246,'Eredeti fejléccel'!$AE:$AE)</f>
        <v>0</v>
      </c>
      <c r="AR246" s="6">
        <f>SUMIF('Eredeti fejléccel'!$B:$B,'Felosztás eredménykim'!$B246,'Eredeti fejléccel'!$AG:$AG)</f>
        <v>0</v>
      </c>
      <c r="AS246" s="6">
        <f t="shared" si="539"/>
        <v>0</v>
      </c>
      <c r="AT246" s="36">
        <f t="shared" si="551"/>
        <v>0</v>
      </c>
      <c r="AU246" s="8">
        <f t="shared" si="401"/>
        <v>0</v>
      </c>
      <c r="AV246" s="6">
        <f>SUMIF('Eredeti fejléccel'!$B:$B,'Felosztás eredménykim'!$B246,'Eredeti fejléccel'!$AI:$AI)</f>
        <v>0</v>
      </c>
      <c r="AW246" s="6">
        <f>SUMIF('Eredeti fejléccel'!$B:$B,'Felosztás eredménykim'!$B246,'Eredeti fejléccel'!$AJ:$AJ)</f>
        <v>0</v>
      </c>
      <c r="AX246" s="6">
        <f>SUMIF('Eredeti fejléccel'!$B:$B,'Felosztás eredménykim'!$B246,'Eredeti fejléccel'!$AK:$AK)</f>
        <v>0</v>
      </c>
      <c r="AY246" s="6">
        <f>SUMIF('Eredeti fejléccel'!$B:$B,'Felosztás eredménykim'!$B246,'Eredeti fejléccel'!$AL:$AL)</f>
        <v>0</v>
      </c>
      <c r="AZ246" s="6">
        <f>SUMIF('Eredeti fejléccel'!$B:$B,'Felosztás eredménykim'!$B246,'Eredeti fejléccel'!$AM:$AM)</f>
        <v>0</v>
      </c>
      <c r="BA246" s="6">
        <f>SUMIF('Eredeti fejléccel'!$B:$B,'Felosztás eredménykim'!$B246,'Eredeti fejléccel'!$AN:$AN)</f>
        <v>0</v>
      </c>
      <c r="BB246" s="6">
        <f>SUMIF('Eredeti fejléccel'!$B:$B,'Felosztás eredménykim'!$B246,'Eredeti fejléccel'!$AP:$AP)</f>
        <v>0</v>
      </c>
      <c r="BD246" s="6">
        <f>SUMIF('Eredeti fejléccel'!$B:$B,'Felosztás eredménykim'!$B246,'Eredeti fejléccel'!$AS:$AS)</f>
        <v>0</v>
      </c>
      <c r="BE246" s="8">
        <f t="shared" si="523"/>
        <v>0</v>
      </c>
      <c r="BF246" s="36">
        <f t="shared" si="552"/>
        <v>0</v>
      </c>
      <c r="BG246" s="8">
        <f t="shared" si="402"/>
        <v>0</v>
      </c>
      <c r="BH246" s="6">
        <f t="shared" si="540"/>
        <v>0</v>
      </c>
      <c r="BI246" s="6">
        <f>SUMIF('Eredeti fejléccel'!$B:$B,'Felosztás eredménykim'!$B246,'Eredeti fejléccel'!$AH:$AH)</f>
        <v>0</v>
      </c>
      <c r="BJ246" s="6">
        <f>SUMIF('Eredeti fejléccel'!$B:$B,'Felosztás eredménykim'!$B246,'Eredeti fejléccel'!$AO:$AO)</f>
        <v>0</v>
      </c>
      <c r="BK246" s="6">
        <f>SUMIF('Eredeti fejléccel'!$B:$B,'Felosztás eredménykim'!$B246,'Eredeti fejléccel'!$BF:$BF)</f>
        <v>0</v>
      </c>
      <c r="BL246" s="8">
        <f t="shared" si="541"/>
        <v>0</v>
      </c>
      <c r="BM246" s="36">
        <f t="shared" si="553"/>
        <v>0</v>
      </c>
      <c r="BN246" s="8">
        <f t="shared" si="403"/>
        <v>0</v>
      </c>
      <c r="BP246" s="8">
        <f t="shared" si="542"/>
        <v>0</v>
      </c>
      <c r="BQ246" s="6">
        <f>SUMIF('Eredeti fejléccel'!$B:$B,'Felosztás eredménykim'!$B246,'Eredeti fejléccel'!$N:$N)</f>
        <v>0</v>
      </c>
      <c r="BR246" s="6">
        <f>SUMIF('Eredeti fejléccel'!$B:$B,'Felosztás eredménykim'!$B246,'Eredeti fejléccel'!$S:$S)</f>
        <v>0</v>
      </c>
      <c r="BT246" s="6">
        <f>SUMIF('Eredeti fejléccel'!$B:$B,'Felosztás eredménykim'!$B246,'Eredeti fejléccel'!$AR:$AR)</f>
        <v>0</v>
      </c>
      <c r="BU246" s="6">
        <f>SUMIF('Eredeti fejléccel'!$B:$B,'Felosztás eredménykim'!$B246,'Eredeti fejléccel'!$AU:$AU)</f>
        <v>0</v>
      </c>
      <c r="BV246" s="6">
        <f>SUMIF('Eredeti fejléccel'!$B:$B,'Felosztás eredménykim'!$B246,'Eredeti fejléccel'!$AV:$AV)</f>
        <v>0</v>
      </c>
      <c r="BW246" s="6">
        <f>SUMIF('Eredeti fejléccel'!$B:$B,'Felosztás eredménykim'!$B246,'Eredeti fejléccel'!$AW:$AW)</f>
        <v>0</v>
      </c>
      <c r="BX246" s="6">
        <f>SUMIF('Eredeti fejléccel'!$B:$B,'Felosztás eredménykim'!$B246,'Eredeti fejléccel'!$AX:$AX)</f>
        <v>0</v>
      </c>
      <c r="BY246" s="6">
        <f>SUMIF('Eredeti fejléccel'!$B:$B,'Felosztás eredménykim'!$B246,'Eredeti fejléccel'!$AY:$AY)</f>
        <v>0</v>
      </c>
      <c r="BZ246" s="6">
        <f>SUMIF('Eredeti fejléccel'!$B:$B,'Felosztás eredménykim'!$B246,'Eredeti fejléccel'!$AZ:$AZ)</f>
        <v>0</v>
      </c>
      <c r="CA246" s="6">
        <f>SUMIF('Eredeti fejléccel'!$B:$B,'Felosztás eredménykim'!$B246,'Eredeti fejléccel'!$BA:$BA)</f>
        <v>0</v>
      </c>
      <c r="CB246" s="6">
        <f t="shared" si="481"/>
        <v>0</v>
      </c>
      <c r="CC246" s="36">
        <f t="shared" si="554"/>
        <v>0</v>
      </c>
      <c r="CD246" s="8">
        <f t="shared" si="404"/>
        <v>0</v>
      </c>
      <c r="CE246" s="6">
        <f>SUMIF('Eredeti fejléccel'!$B:$B,'Felosztás eredménykim'!$B246,'Eredeti fejléccel'!$BC:$BC)</f>
        <v>0</v>
      </c>
      <c r="CF246" s="8">
        <f t="shared" si="555"/>
        <v>0</v>
      </c>
      <c r="CG246" s="6">
        <f>SUMIF('Eredeti fejléccel'!$B:$B,'Felosztás eredménykim'!$B246,'Eredeti fejléccel'!$H:$H)</f>
        <v>0</v>
      </c>
      <c r="CH246" s="6">
        <f>SUMIF('Eredeti fejléccel'!$B:$B,'Felosztás eredménykim'!$B246,'Eredeti fejléccel'!$BE:$BE)</f>
        <v>0</v>
      </c>
      <c r="CI246" s="6">
        <f t="shared" si="524"/>
        <v>0</v>
      </c>
      <c r="CJ246" s="36">
        <f t="shared" si="556"/>
        <v>0</v>
      </c>
      <c r="CK246" s="8">
        <f t="shared" si="405"/>
        <v>0</v>
      </c>
      <c r="CL246" s="8">
        <f t="shared" si="557"/>
        <v>0</v>
      </c>
      <c r="CM246" s="6">
        <f>SUMIF('Eredeti fejléccel'!$B:$B,'Felosztás eredménykim'!$B246,'Eredeti fejléccel'!$BD:$BD)</f>
        <v>0</v>
      </c>
      <c r="CN246" s="8">
        <f t="shared" si="525"/>
        <v>0</v>
      </c>
      <c r="CO246" s="8">
        <f t="shared" si="482"/>
        <v>0</v>
      </c>
      <c r="CR246" s="36">
        <f t="shared" si="406"/>
        <v>0</v>
      </c>
      <c r="CS246" s="6">
        <f>SUMIF('Eredeti fejléccel'!$B:$B,'Felosztás eredménykim'!$B246,'Eredeti fejléccel'!$I:$I)</f>
        <v>0</v>
      </c>
      <c r="CT246" s="6">
        <f>SUMIF('Eredeti fejléccel'!$B:$B,'Felosztás eredménykim'!$B246,'Eredeti fejléccel'!$BG:$BG)</f>
        <v>0</v>
      </c>
      <c r="CU246" s="6">
        <f>SUMIF('Eredeti fejléccel'!$B:$B,'Felosztás eredménykim'!$B246,'Eredeti fejléccel'!$BH:$BH)</f>
        <v>0</v>
      </c>
      <c r="CV246" s="6">
        <f>SUMIF('Eredeti fejléccel'!$B:$B,'Felosztás eredménykim'!$B246,'Eredeti fejléccel'!$BI:$BI)</f>
        <v>0</v>
      </c>
      <c r="CW246" s="6">
        <f>SUMIF('Eredeti fejléccel'!$B:$B,'Felosztás eredménykim'!$B246,'Eredeti fejléccel'!$BL:$BL)</f>
        <v>0</v>
      </c>
      <c r="CX246" s="6">
        <f t="shared" si="526"/>
        <v>0</v>
      </c>
      <c r="CY246" s="6">
        <f>SUMIF('Eredeti fejléccel'!$B:$B,'Felosztás eredménykim'!$B246,'Eredeti fejléccel'!$BJ:$BJ)</f>
        <v>0</v>
      </c>
      <c r="CZ246" s="6">
        <f>SUMIF('Eredeti fejléccel'!$B:$B,'Felosztás eredménykim'!$B246,'Eredeti fejléccel'!$BK:$BK)</f>
        <v>0</v>
      </c>
      <c r="DA246" s="99">
        <f t="shared" si="415"/>
        <v>0</v>
      </c>
      <c r="DC246" s="36">
        <f t="shared" si="407"/>
        <v>0</v>
      </c>
      <c r="DD246" s="6">
        <f>SUMIF('Eredeti fejléccel'!$B:$B,'Felosztás eredménykim'!$B246,'Eredeti fejléccel'!$J:$J)</f>
        <v>0</v>
      </c>
      <c r="DE246" s="6">
        <f>SUMIF('Eredeti fejléccel'!$B:$B,'Felosztás eredménykim'!$B246,'Eredeti fejléccel'!$BM:$BM)</f>
        <v>0</v>
      </c>
      <c r="DF246" s="6">
        <f t="shared" si="543"/>
        <v>0</v>
      </c>
      <c r="DG246" s="8">
        <f t="shared" si="483"/>
        <v>0</v>
      </c>
      <c r="DH246" s="8">
        <f t="shared" si="544"/>
        <v>0</v>
      </c>
      <c r="DJ246" s="6">
        <f>SUMIF('Eredeti fejléccel'!$B:$B,'Felosztás eredménykim'!$B246,'Eredeti fejléccel'!$BN:$BN)</f>
        <v>0</v>
      </c>
      <c r="DK246" s="6">
        <f>SUMIF('Eredeti fejléccel'!$B:$B,'Felosztás eredménykim'!$B246,'Eredeti fejléccel'!$BZ:$BZ)</f>
        <v>0</v>
      </c>
      <c r="DL246" s="8">
        <f t="shared" si="545"/>
        <v>0</v>
      </c>
      <c r="DM246" s="6">
        <f>SUMIF('Eredeti fejléccel'!$B:$B,'Felosztás eredménykim'!$B246,'Eredeti fejléccel'!$BR:$BR)</f>
        <v>0</v>
      </c>
      <c r="DN246" s="6">
        <f>SUMIF('Eredeti fejléccel'!$B:$B,'Felosztás eredménykim'!$B246,'Eredeti fejléccel'!$BS:$BS)</f>
        <v>0</v>
      </c>
      <c r="DO246" s="6">
        <f>SUMIF('Eredeti fejléccel'!$B:$B,'Felosztás eredménykim'!$B246,'Eredeti fejléccel'!$BO:$BO)</f>
        <v>0</v>
      </c>
      <c r="DP246" s="6">
        <f>SUMIF('Eredeti fejléccel'!$B:$B,'Felosztás eredménykim'!$B246,'Eredeti fejléccel'!$BP:$BP)</f>
        <v>0</v>
      </c>
      <c r="DQ246" s="6">
        <f>SUMIF('Eredeti fejléccel'!$B:$B,'Felosztás eredménykim'!$B246,'Eredeti fejléccel'!$BQ:$BQ)</f>
        <v>0</v>
      </c>
      <c r="DS246" s="8"/>
      <c r="DU246" s="6">
        <f>SUMIF('Eredeti fejléccel'!$B:$B,'Felosztás eredménykim'!$B246,'Eredeti fejléccel'!$BT:$BT)</f>
        <v>0</v>
      </c>
      <c r="DV246" s="6">
        <f>SUMIF('Eredeti fejléccel'!$B:$B,'Felosztás eredménykim'!$B246,'Eredeti fejléccel'!$BU:$BU)</f>
        <v>0</v>
      </c>
      <c r="DW246" s="6">
        <f>SUMIF('Eredeti fejléccel'!$B:$B,'Felosztás eredménykim'!$B246,'Eredeti fejléccel'!$BV:$BV)</f>
        <v>0</v>
      </c>
      <c r="DX246" s="6">
        <f>SUMIF('Eredeti fejléccel'!$B:$B,'Felosztás eredménykim'!$B246,'Eredeti fejléccel'!$BW:$BW)</f>
        <v>0</v>
      </c>
      <c r="DY246" s="6">
        <f>SUMIF('Eredeti fejléccel'!$B:$B,'Felosztás eredménykim'!$B246,'Eredeti fejléccel'!$BX:$BX)</f>
        <v>0</v>
      </c>
      <c r="EA246" s="6"/>
      <c r="EC246" s="6"/>
      <c r="EE246" s="6">
        <f>SUMIF('Eredeti fejléccel'!$B:$B,'Felosztás eredménykim'!$B246,'Eredeti fejléccel'!$CA:$CA)</f>
        <v>0</v>
      </c>
      <c r="EF246" s="6">
        <f>SUMIF('Eredeti fejléccel'!$B:$B,'Felosztás eredménykim'!$B246,'Eredeti fejléccel'!$CB:$CB)</f>
        <v>0</v>
      </c>
      <c r="EG246" s="6">
        <f>SUMIF('Eredeti fejléccel'!$B:$B,'Felosztás eredménykim'!$B246,'Eredeti fejléccel'!$CC:$CC)</f>
        <v>0</v>
      </c>
      <c r="EH246" s="6">
        <f>SUMIF('Eredeti fejléccel'!$B:$B,'Felosztás eredménykim'!$B246,'Eredeti fejléccel'!$CD:$CD)</f>
        <v>0</v>
      </c>
      <c r="EK246" s="6">
        <f>SUMIF('Eredeti fejléccel'!$B:$B,'Felosztás eredménykim'!$B246,'Eredeti fejléccel'!$CE:$CE)</f>
        <v>0</v>
      </c>
      <c r="EN246" s="6">
        <f>SUMIF('Eredeti fejléccel'!$B:$B,'Felosztás eredménykim'!$B246,'Eredeti fejléccel'!$CF:$CF)</f>
        <v>0</v>
      </c>
      <c r="EP246" s="6">
        <f>SUMIF('Eredeti fejléccel'!$B:$B,'Felosztás eredménykim'!$B246,'Eredeti fejléccel'!$CG:$CG)</f>
        <v>0</v>
      </c>
      <c r="ES246" s="6">
        <f>SUMIF('Eredeti fejléccel'!$B:$B,'Felosztás eredménykim'!$B246,'Eredeti fejléccel'!$CH:$CH)</f>
        <v>0</v>
      </c>
      <c r="ET246" s="6">
        <f>SUMIF('Eredeti fejléccel'!$B:$B,'Felosztás eredménykim'!$B246,'Eredeti fejléccel'!$CI:$CI)</f>
        <v>0</v>
      </c>
      <c r="EW246" s="8">
        <f t="shared" si="535"/>
        <v>0</v>
      </c>
      <c r="EX246" s="8">
        <f t="shared" si="527"/>
        <v>0</v>
      </c>
      <c r="EY246" s="8">
        <f t="shared" si="416"/>
        <v>0</v>
      </c>
      <c r="EZ246" s="8">
        <f t="shared" si="536"/>
        <v>0</v>
      </c>
      <c r="FA246" s="8">
        <f t="shared" si="537"/>
        <v>0</v>
      </c>
      <c r="FC246" s="6">
        <f>SUMIF('Eredeti fejléccel'!$B:$B,'Felosztás eredménykim'!$B246,'Eredeti fejléccel'!$L:$L)</f>
        <v>0</v>
      </c>
      <c r="FD246" s="6">
        <f>SUMIF('Eredeti fejléccel'!$B:$B,'Felosztás eredménykim'!$B246,'Eredeti fejléccel'!$CJ:$CJ)</f>
        <v>0</v>
      </c>
      <c r="FE246" s="6">
        <f>SUMIF('Eredeti fejléccel'!$B:$B,'Felosztás eredménykim'!$B246,'Eredeti fejléccel'!$CL:$CL)</f>
        <v>0</v>
      </c>
      <c r="FG246" s="99">
        <f t="shared" si="528"/>
        <v>0</v>
      </c>
      <c r="FH246" s="6">
        <f>SUMIF('Eredeti fejléccel'!$B:$B,'Felosztás eredménykim'!$B246,'Eredeti fejléccel'!$CK:$CK)</f>
        <v>0</v>
      </c>
      <c r="FI246" s="36">
        <f t="shared" si="558"/>
        <v>0</v>
      </c>
      <c r="FJ246" s="101">
        <f t="shared" si="408"/>
        <v>0</v>
      </c>
      <c r="FK246" s="6">
        <f>SUMIF('Eredeti fejléccel'!$B:$B,'Felosztás eredménykim'!$B246,'Eredeti fejléccel'!$CM:$CM)</f>
        <v>0</v>
      </c>
      <c r="FL246" s="6">
        <f>SUMIF('Eredeti fejléccel'!$B:$B,'Felosztás eredménykim'!$B246,'Eredeti fejléccel'!$CN:$CN)</f>
        <v>0</v>
      </c>
      <c r="FM246" s="8">
        <f t="shared" si="529"/>
        <v>0</v>
      </c>
      <c r="FN246" s="36">
        <f t="shared" si="559"/>
        <v>0</v>
      </c>
      <c r="FO246" s="101">
        <f t="shared" si="409"/>
        <v>0</v>
      </c>
      <c r="FP246" s="6">
        <f>SUMIF('Eredeti fejléccel'!$B:$B,'Felosztás eredménykim'!$B246,'Eredeti fejléccel'!$CO:$CO)</f>
        <v>0</v>
      </c>
      <c r="FQ246" s="6">
        <f>'Eredeti fejléccel'!CP246</f>
        <v>0</v>
      </c>
      <c r="FR246" s="6">
        <f>'Eredeti fejléccel'!CQ246</f>
        <v>0</v>
      </c>
      <c r="FS246" s="103">
        <f t="shared" si="417"/>
        <v>0</v>
      </c>
      <c r="FT246" s="36">
        <f t="shared" si="560"/>
        <v>0</v>
      </c>
      <c r="FU246" s="101">
        <f t="shared" si="410"/>
        <v>0</v>
      </c>
      <c r="FV246" s="101"/>
      <c r="FW246" s="6">
        <f>SUMIF('Eredeti fejléccel'!$B:$B,'Felosztás eredménykim'!$B246,'Eredeti fejléccel'!$CR:$CR)</f>
        <v>0</v>
      </c>
      <c r="FX246" s="6">
        <f>SUMIF('Eredeti fejléccel'!$B:$B,'Felosztás eredménykim'!$B246,'Eredeti fejléccel'!$CS:$CS)</f>
        <v>0</v>
      </c>
      <c r="FY246" s="6">
        <f>SUMIF('Eredeti fejléccel'!$B:$B,'Felosztás eredménykim'!$B246,'Eredeti fejléccel'!$CT:$CT)</f>
        <v>0</v>
      </c>
      <c r="FZ246" s="6">
        <f>SUMIF('Eredeti fejléccel'!$B:$B,'Felosztás eredménykim'!$B246,'Eredeti fejléccel'!$CU:$CU)</f>
        <v>0</v>
      </c>
      <c r="GA246" s="103">
        <f t="shared" si="530"/>
        <v>0</v>
      </c>
      <c r="GB246" s="36">
        <f t="shared" si="561"/>
        <v>0</v>
      </c>
      <c r="GC246" s="101">
        <f t="shared" si="411"/>
        <v>0</v>
      </c>
      <c r="GD246" s="6">
        <f>SUMIF('Eredeti fejléccel'!$B:$B,'Felosztás eredménykim'!$B246,'Eredeti fejléccel'!$CV:$CV)</f>
        <v>0</v>
      </c>
      <c r="GE246" s="6">
        <f>SUMIF('Eredeti fejléccel'!$B:$B,'Felosztás eredménykim'!$B246,'Eredeti fejléccel'!$CW:$CW)</f>
        <v>0</v>
      </c>
      <c r="GF246" s="103">
        <f t="shared" si="531"/>
        <v>0</v>
      </c>
      <c r="GG246" s="36">
        <f t="shared" si="412"/>
        <v>0</v>
      </c>
      <c r="GM246" s="6">
        <f>SUMIF('Eredeti fejléccel'!$B:$B,'Felosztás eredménykim'!$B246,'Eredeti fejléccel'!$CX:$CX)</f>
        <v>0</v>
      </c>
      <c r="GN246" s="6">
        <f>SUMIF('Eredeti fejléccel'!$B:$B,'Felosztás eredménykim'!$B246,'Eredeti fejléccel'!$CY:$CY)</f>
        <v>0</v>
      </c>
      <c r="GO246" s="6">
        <f>SUMIF('Eredeti fejléccel'!$B:$B,'Felosztás eredménykim'!$B246,'Eredeti fejléccel'!$CZ:$CZ)</f>
        <v>0</v>
      </c>
      <c r="GP246" s="6">
        <f>SUMIF('Eredeti fejléccel'!$B:$B,'Felosztás eredménykim'!$B246,'Eredeti fejléccel'!$DA:$DA)</f>
        <v>0</v>
      </c>
      <c r="GQ246" s="6">
        <f>SUMIF('Eredeti fejléccel'!$B:$B,'Felosztás eredménykim'!$B246,'Eredeti fejléccel'!$DB:$DB)</f>
        <v>0</v>
      </c>
      <c r="GR246" s="103">
        <f t="shared" si="532"/>
        <v>0</v>
      </c>
      <c r="GW246" s="36">
        <f t="shared" si="413"/>
        <v>0</v>
      </c>
      <c r="GX246" s="6">
        <f>SUMIF('Eredeti fejléccel'!$B:$B,'Felosztás eredménykim'!$B246,'Eredeti fejléccel'!$M:$M)+4438432-626767</f>
        <v>-149321802.5</v>
      </c>
      <c r="GY246" s="6">
        <f>SUMIF('Eredeti fejléccel'!$B:$B,'Felosztás eredménykim'!$B246,'Eredeti fejléccel'!$DC:$DC)</f>
        <v>0</v>
      </c>
      <c r="GZ246" s="6">
        <f>SUMIF('Eredeti fejléccel'!$B:$B,'Felosztás eredménykim'!$B246,'Eredeti fejléccel'!$DD:$DD)</f>
        <v>-1446500</v>
      </c>
      <c r="HA246" s="6">
        <f>SUMIF('Eredeti fejléccel'!$B:$B,'Felosztás eredménykim'!$B246,'Eredeti fejléccel'!$DE:$DE)</f>
        <v>0</v>
      </c>
      <c r="HB246" s="103">
        <f t="shared" si="533"/>
        <v>-150768302.5</v>
      </c>
      <c r="HD246" s="9">
        <f t="shared" si="547"/>
        <v>-150768302.5</v>
      </c>
      <c r="HE246" s="9">
        <v>-154579967.5</v>
      </c>
      <c r="HF246" s="476"/>
      <c r="HH246" s="34">
        <f t="shared" si="534"/>
        <v>3811665</v>
      </c>
    </row>
    <row r="247" spans="1:217" x14ac:dyDescent="0.25">
      <c r="A247" s="4" t="s">
        <v>329</v>
      </c>
      <c r="B247" s="4" t="s">
        <v>329</v>
      </c>
      <c r="C247" s="1" t="s">
        <v>330</v>
      </c>
      <c r="D247" s="6">
        <f>SUMIF('Eredeti fejléccel'!$B:$B,'Felosztás eredménykim'!$B247,'Eredeti fejléccel'!$D:$D)</f>
        <v>0</v>
      </c>
      <c r="E247" s="6">
        <f>SUMIF('Eredeti fejléccel'!$B:$B,'Felosztás eredménykim'!$B247,'Eredeti fejléccel'!$E:$E)</f>
        <v>0</v>
      </c>
      <c r="F247" s="6">
        <f>SUMIF('Eredeti fejléccel'!$B:$B,'Felosztás eredménykim'!$B247,'Eredeti fejléccel'!$F:$F)</f>
        <v>0</v>
      </c>
      <c r="G247" s="6">
        <f>SUMIF('Eredeti fejléccel'!$B:$B,'Felosztás eredménykim'!$B247,'Eredeti fejléccel'!$G:$G)</f>
        <v>0</v>
      </c>
      <c r="H247" s="6"/>
      <c r="I247" s="6">
        <f>SUMIF('Eredeti fejléccel'!$B:$B,'Felosztás eredménykim'!$B247,'Eredeti fejléccel'!$O:$O)</f>
        <v>0</v>
      </c>
      <c r="J247" s="6">
        <f>SUMIF('Eredeti fejléccel'!$B:$B,'Felosztás eredménykim'!$B247,'Eredeti fejléccel'!$P:$P)</f>
        <v>0</v>
      </c>
      <c r="K247" s="6">
        <f>SUMIF('Eredeti fejléccel'!$B:$B,'Felosztás eredménykim'!$B247,'Eredeti fejléccel'!$Q:$Q)</f>
        <v>0</v>
      </c>
      <c r="L247" s="6">
        <f>SUMIF('Eredeti fejléccel'!$B:$B,'Felosztás eredménykim'!$B247,'Eredeti fejléccel'!$R:$R)</f>
        <v>0</v>
      </c>
      <c r="M247" s="6">
        <f>SUMIF('Eredeti fejléccel'!$B:$B,'Felosztás eredménykim'!$B247,'Eredeti fejléccel'!$T:$T)</f>
        <v>0</v>
      </c>
      <c r="N247" s="6">
        <f>SUMIF('Eredeti fejléccel'!$B:$B,'Felosztás eredménykim'!$B247,'Eredeti fejléccel'!$U:$U)</f>
        <v>0</v>
      </c>
      <c r="O247" s="6">
        <f>SUMIF('Eredeti fejléccel'!$B:$B,'Felosztás eredménykim'!$B247,'Eredeti fejléccel'!$V:$V)</f>
        <v>0</v>
      </c>
      <c r="P247" s="6">
        <f>SUMIF('Eredeti fejléccel'!$B:$B,'Felosztás eredménykim'!$B247,'Eredeti fejléccel'!$W:$W)</f>
        <v>0</v>
      </c>
      <c r="Q247" s="6">
        <f>SUMIF('Eredeti fejléccel'!$B:$B,'Felosztás eredménykim'!$B247,'Eredeti fejléccel'!$X:$X)</f>
        <v>0</v>
      </c>
      <c r="R247" s="6">
        <f>SUMIF('Eredeti fejléccel'!$B:$B,'Felosztás eredménykim'!$B247,'Eredeti fejléccel'!$Y:$Y)</f>
        <v>0</v>
      </c>
      <c r="S247" s="6">
        <f>SUMIF('Eredeti fejléccel'!$B:$B,'Felosztás eredménykim'!$B247,'Eredeti fejléccel'!$Z:$Z)</f>
        <v>0</v>
      </c>
      <c r="T247" s="6">
        <f>SUMIF('Eredeti fejléccel'!$B:$B,'Felosztás eredménykim'!$B247,'Eredeti fejléccel'!$AA:$AA)</f>
        <v>0</v>
      </c>
      <c r="U247" s="6">
        <f>SUMIF('Eredeti fejléccel'!$B:$B,'Felosztás eredménykim'!$B247,'Eredeti fejléccel'!$D:$D)</f>
        <v>0</v>
      </c>
      <c r="V247" s="6">
        <f>SUMIF('Eredeti fejléccel'!$B:$B,'Felosztás eredménykim'!$B247,'Eredeti fejléccel'!$AT:$AT)</f>
        <v>0</v>
      </c>
      <c r="X247" s="36">
        <f t="shared" si="414"/>
        <v>0</v>
      </c>
      <c r="Z247" s="6">
        <f>SUMIF('Eredeti fejléccel'!$B:$B,'Felosztás eredménykim'!$B247,'Eredeti fejléccel'!$K:$K)</f>
        <v>0</v>
      </c>
      <c r="AB247" s="6">
        <f>SUMIF('Eredeti fejléccel'!$B:$B,'Felosztás eredménykim'!$B247,'Eredeti fejléccel'!$AB:$AB)</f>
        <v>0</v>
      </c>
      <c r="AC247" s="6">
        <f>SUMIF('Eredeti fejléccel'!$B:$B,'Felosztás eredménykim'!$B247,'Eredeti fejléccel'!$AQ:$AQ)</f>
        <v>0</v>
      </c>
      <c r="AE247" s="73">
        <f t="shared" si="548"/>
        <v>0</v>
      </c>
      <c r="AF247" s="36">
        <f t="shared" si="549"/>
        <v>0</v>
      </c>
      <c r="AG247" s="8">
        <f t="shared" si="399"/>
        <v>0</v>
      </c>
      <c r="AI247" s="6">
        <f>SUMIF('Eredeti fejléccel'!$B:$B,'Felosztás eredménykim'!$B247,'Eredeti fejléccel'!$BB:$BB)</f>
        <v>0</v>
      </c>
      <c r="AJ247" s="6">
        <f>SUMIF('Eredeti fejléccel'!$B:$B,'Felosztás eredménykim'!$B247,'Eredeti fejléccel'!$AF:$AF)</f>
        <v>0</v>
      </c>
      <c r="AK247" s="8">
        <f t="shared" si="522"/>
        <v>0</v>
      </c>
      <c r="AL247" s="36">
        <f t="shared" si="550"/>
        <v>0</v>
      </c>
      <c r="AM247" s="8">
        <f t="shared" si="400"/>
        <v>0</v>
      </c>
      <c r="AN247" s="6">
        <f t="shared" si="538"/>
        <v>0</v>
      </c>
      <c r="AO247" s="6">
        <f>SUMIF('Eredeti fejléccel'!$B:$B,'Felosztás eredménykim'!$B247,'Eredeti fejléccel'!$AC:$AC)</f>
        <v>0</v>
      </c>
      <c r="AP247" s="6">
        <f>SUMIF('Eredeti fejléccel'!$B:$B,'Felosztás eredménykim'!$B247,'Eredeti fejléccel'!$AD:$AD)</f>
        <v>0</v>
      </c>
      <c r="AQ247" s="6">
        <f>SUMIF('Eredeti fejléccel'!$B:$B,'Felosztás eredménykim'!$B247,'Eredeti fejléccel'!$AE:$AE)</f>
        <v>0</v>
      </c>
      <c r="AR247" s="6">
        <f>SUMIF('Eredeti fejléccel'!$B:$B,'Felosztás eredménykim'!$B247,'Eredeti fejléccel'!$AG:$AG)</f>
        <v>0</v>
      </c>
      <c r="AS247" s="6">
        <f t="shared" si="539"/>
        <v>0</v>
      </c>
      <c r="AT247" s="36">
        <f t="shared" si="551"/>
        <v>0</v>
      </c>
      <c r="AU247" s="8">
        <f t="shared" si="401"/>
        <v>0</v>
      </c>
      <c r="AV247" s="6">
        <f>SUMIF('Eredeti fejléccel'!$B:$B,'Felosztás eredménykim'!$B247,'Eredeti fejléccel'!$AI:$AI)</f>
        <v>0</v>
      </c>
      <c r="AW247" s="6">
        <f>SUMIF('Eredeti fejléccel'!$B:$B,'Felosztás eredménykim'!$B247,'Eredeti fejléccel'!$AJ:$AJ)</f>
        <v>0</v>
      </c>
      <c r="AX247" s="6">
        <f>SUMIF('Eredeti fejléccel'!$B:$B,'Felosztás eredménykim'!$B247,'Eredeti fejléccel'!$AK:$AK)</f>
        <v>0</v>
      </c>
      <c r="AY247" s="6">
        <f>SUMIF('Eredeti fejléccel'!$B:$B,'Felosztás eredménykim'!$B247,'Eredeti fejléccel'!$AL:$AL)</f>
        <v>0</v>
      </c>
      <c r="AZ247" s="6">
        <f>SUMIF('Eredeti fejléccel'!$B:$B,'Felosztás eredménykim'!$B247,'Eredeti fejléccel'!$AM:$AM)</f>
        <v>0</v>
      </c>
      <c r="BA247" s="6">
        <f>SUMIF('Eredeti fejléccel'!$B:$B,'Felosztás eredménykim'!$B247,'Eredeti fejléccel'!$AN:$AN)</f>
        <v>0</v>
      </c>
      <c r="BB247" s="6">
        <f>SUMIF('Eredeti fejléccel'!$B:$B,'Felosztás eredménykim'!$B247,'Eredeti fejléccel'!$AP:$AP)</f>
        <v>0</v>
      </c>
      <c r="BD247" s="6">
        <f>SUMIF('Eredeti fejléccel'!$B:$B,'Felosztás eredménykim'!$B247,'Eredeti fejléccel'!$AS:$AS)</f>
        <v>0</v>
      </c>
      <c r="BE247" s="8">
        <f t="shared" si="523"/>
        <v>0</v>
      </c>
      <c r="BF247" s="36">
        <f t="shared" si="552"/>
        <v>0</v>
      </c>
      <c r="BG247" s="8">
        <f t="shared" si="402"/>
        <v>0</v>
      </c>
      <c r="BH247" s="6">
        <f t="shared" si="540"/>
        <v>0</v>
      </c>
      <c r="BI247" s="6">
        <f>SUMIF('Eredeti fejléccel'!$B:$B,'Felosztás eredménykim'!$B247,'Eredeti fejléccel'!$AH:$AH)</f>
        <v>0</v>
      </c>
      <c r="BJ247" s="6">
        <f>SUMIF('Eredeti fejléccel'!$B:$B,'Felosztás eredménykim'!$B247,'Eredeti fejléccel'!$AO:$AO)</f>
        <v>0</v>
      </c>
      <c r="BK247" s="6">
        <f>SUMIF('Eredeti fejléccel'!$B:$B,'Felosztás eredménykim'!$B247,'Eredeti fejléccel'!$BF:$BF)</f>
        <v>0</v>
      </c>
      <c r="BL247" s="8">
        <f t="shared" si="541"/>
        <v>0</v>
      </c>
      <c r="BM247" s="36">
        <f t="shared" si="553"/>
        <v>0</v>
      </c>
      <c r="BN247" s="8">
        <f t="shared" si="403"/>
        <v>0</v>
      </c>
      <c r="BP247" s="8">
        <f t="shared" si="542"/>
        <v>0</v>
      </c>
      <c r="BQ247" s="6">
        <f>SUMIF('Eredeti fejléccel'!$B:$B,'Felosztás eredménykim'!$B247,'Eredeti fejléccel'!$N:$N)</f>
        <v>0</v>
      </c>
      <c r="BR247" s="6">
        <f>SUMIF('Eredeti fejléccel'!$B:$B,'Felosztás eredménykim'!$B247,'Eredeti fejléccel'!$S:$S)</f>
        <v>0</v>
      </c>
      <c r="BT247" s="6">
        <f>SUMIF('Eredeti fejléccel'!$B:$B,'Felosztás eredménykim'!$B247,'Eredeti fejléccel'!$AR:$AR)</f>
        <v>0</v>
      </c>
      <c r="BU247" s="6">
        <f>SUMIF('Eredeti fejléccel'!$B:$B,'Felosztás eredménykim'!$B247,'Eredeti fejléccel'!$AU:$AU)</f>
        <v>0</v>
      </c>
      <c r="BV247" s="6">
        <f>SUMIF('Eredeti fejléccel'!$B:$B,'Felosztás eredménykim'!$B247,'Eredeti fejléccel'!$AV:$AV)</f>
        <v>0</v>
      </c>
      <c r="BW247" s="6">
        <f>SUMIF('Eredeti fejléccel'!$B:$B,'Felosztás eredménykim'!$B247,'Eredeti fejléccel'!$AW:$AW)</f>
        <v>0</v>
      </c>
      <c r="BX247" s="6">
        <f>SUMIF('Eredeti fejléccel'!$B:$B,'Felosztás eredménykim'!$B247,'Eredeti fejléccel'!$AX:$AX)</f>
        <v>0</v>
      </c>
      <c r="BY247" s="6">
        <f>SUMIF('Eredeti fejléccel'!$B:$B,'Felosztás eredménykim'!$B247,'Eredeti fejléccel'!$AY:$AY)</f>
        <v>0</v>
      </c>
      <c r="BZ247" s="6">
        <f>SUMIF('Eredeti fejléccel'!$B:$B,'Felosztás eredménykim'!$B247,'Eredeti fejléccel'!$AZ:$AZ)</f>
        <v>0</v>
      </c>
      <c r="CA247" s="6">
        <f>SUMIF('Eredeti fejléccel'!$B:$B,'Felosztás eredménykim'!$B247,'Eredeti fejléccel'!$BA:$BA)</f>
        <v>0</v>
      </c>
      <c r="CB247" s="6">
        <f t="shared" si="481"/>
        <v>0</v>
      </c>
      <c r="CC247" s="36">
        <f t="shared" si="554"/>
        <v>0</v>
      </c>
      <c r="CD247" s="8">
        <f t="shared" si="404"/>
        <v>0</v>
      </c>
      <c r="CE247" s="6">
        <f>SUMIF('Eredeti fejléccel'!$B:$B,'Felosztás eredménykim'!$B247,'Eredeti fejléccel'!$BC:$BC)</f>
        <v>0</v>
      </c>
      <c r="CF247" s="8">
        <f t="shared" si="555"/>
        <v>0</v>
      </c>
      <c r="CG247" s="6">
        <f>SUMIF('Eredeti fejléccel'!$B:$B,'Felosztás eredménykim'!$B247,'Eredeti fejléccel'!$H:$H)</f>
        <v>0</v>
      </c>
      <c r="CH247" s="6">
        <f>SUMIF('Eredeti fejléccel'!$B:$B,'Felosztás eredménykim'!$B247,'Eredeti fejléccel'!$BE:$BE)</f>
        <v>0</v>
      </c>
      <c r="CI247" s="6">
        <f t="shared" si="524"/>
        <v>0</v>
      </c>
      <c r="CJ247" s="36">
        <f t="shared" si="556"/>
        <v>0</v>
      </c>
      <c r="CK247" s="8">
        <f t="shared" si="405"/>
        <v>0</v>
      </c>
      <c r="CL247" s="8">
        <f t="shared" si="557"/>
        <v>0</v>
      </c>
      <c r="CM247" s="6">
        <f>SUMIF('Eredeti fejléccel'!$B:$B,'Felosztás eredménykim'!$B247,'Eredeti fejléccel'!$BD:$BD)</f>
        <v>0</v>
      </c>
      <c r="CN247" s="8">
        <f t="shared" si="525"/>
        <v>0</v>
      </c>
      <c r="CO247" s="8">
        <f t="shared" si="482"/>
        <v>0</v>
      </c>
      <c r="CR247" s="36">
        <f t="shared" si="406"/>
        <v>0</v>
      </c>
      <c r="CS247" s="6">
        <f>SUMIF('Eredeti fejléccel'!$B:$B,'Felosztás eredménykim'!$B247,'Eredeti fejléccel'!$I:$I)</f>
        <v>0</v>
      </c>
      <c r="CT247" s="6">
        <f>SUMIF('Eredeti fejléccel'!$B:$B,'Felosztás eredménykim'!$B247,'Eredeti fejléccel'!$BG:$BG)</f>
        <v>0</v>
      </c>
      <c r="CU247" s="6">
        <f>SUMIF('Eredeti fejléccel'!$B:$B,'Felosztás eredménykim'!$B247,'Eredeti fejléccel'!$BH:$BH)</f>
        <v>0</v>
      </c>
      <c r="CV247" s="6">
        <f>SUMIF('Eredeti fejléccel'!$B:$B,'Felosztás eredménykim'!$B247,'Eredeti fejléccel'!$BI:$BI)</f>
        <v>0</v>
      </c>
      <c r="CW247" s="6">
        <f>SUMIF('Eredeti fejléccel'!$B:$B,'Felosztás eredménykim'!$B247,'Eredeti fejléccel'!$BL:$BL)</f>
        <v>0</v>
      </c>
      <c r="CX247" s="6">
        <f t="shared" si="526"/>
        <v>0</v>
      </c>
      <c r="CY247" s="6">
        <f>SUMIF('Eredeti fejléccel'!$B:$B,'Felosztás eredménykim'!$B247,'Eredeti fejléccel'!$BJ:$BJ)</f>
        <v>0</v>
      </c>
      <c r="CZ247" s="6">
        <f>SUMIF('Eredeti fejléccel'!$B:$B,'Felosztás eredménykim'!$B247,'Eredeti fejléccel'!$BK:$BK)</f>
        <v>0</v>
      </c>
      <c r="DA247" s="99">
        <f t="shared" si="415"/>
        <v>0</v>
      </c>
      <c r="DC247" s="36">
        <f t="shared" si="407"/>
        <v>0</v>
      </c>
      <c r="DD247" s="6">
        <f>SUMIF('Eredeti fejléccel'!$B:$B,'Felosztás eredménykim'!$B247,'Eredeti fejléccel'!$J:$J)</f>
        <v>0</v>
      </c>
      <c r="DE247" s="6">
        <f>SUMIF('Eredeti fejléccel'!$B:$B,'Felosztás eredménykim'!$B247,'Eredeti fejléccel'!$BM:$BM)</f>
        <v>0</v>
      </c>
      <c r="DF247" s="6">
        <f t="shared" si="543"/>
        <v>0</v>
      </c>
      <c r="DG247" s="8">
        <f t="shared" si="483"/>
        <v>0</v>
      </c>
      <c r="DH247" s="8">
        <f t="shared" si="544"/>
        <v>0</v>
      </c>
      <c r="DJ247" s="6">
        <f>SUMIF('Eredeti fejléccel'!$B:$B,'Felosztás eredménykim'!$B247,'Eredeti fejléccel'!$BN:$BN)</f>
        <v>0</v>
      </c>
      <c r="DK247" s="6">
        <f>SUMIF('Eredeti fejléccel'!$B:$B,'Felosztás eredménykim'!$B247,'Eredeti fejléccel'!$BZ:$BZ)</f>
        <v>0</v>
      </c>
      <c r="DL247" s="8">
        <f t="shared" si="545"/>
        <v>0</v>
      </c>
      <c r="DM247" s="6">
        <f>SUMIF('Eredeti fejléccel'!$B:$B,'Felosztás eredménykim'!$B247,'Eredeti fejléccel'!$BR:$BR)</f>
        <v>0</v>
      </c>
      <c r="DN247" s="6">
        <f>SUMIF('Eredeti fejléccel'!$B:$B,'Felosztás eredménykim'!$B247,'Eredeti fejléccel'!$BS:$BS)</f>
        <v>0</v>
      </c>
      <c r="DO247" s="6">
        <f>SUMIF('Eredeti fejléccel'!$B:$B,'Felosztás eredménykim'!$B247,'Eredeti fejléccel'!$BO:$BO)</f>
        <v>0</v>
      </c>
      <c r="DP247" s="6">
        <f>SUMIF('Eredeti fejléccel'!$B:$B,'Felosztás eredménykim'!$B247,'Eredeti fejléccel'!$BP:$BP)</f>
        <v>0</v>
      </c>
      <c r="DQ247" s="6">
        <f>SUMIF('Eredeti fejléccel'!$B:$B,'Felosztás eredménykim'!$B247,'Eredeti fejléccel'!$BQ:$BQ)</f>
        <v>0</v>
      </c>
      <c r="DS247" s="8"/>
      <c r="DU247" s="6">
        <f>SUMIF('Eredeti fejléccel'!$B:$B,'Felosztás eredménykim'!$B247,'Eredeti fejléccel'!$BT:$BT)</f>
        <v>0</v>
      </c>
      <c r="DV247" s="6">
        <f>SUMIF('Eredeti fejléccel'!$B:$B,'Felosztás eredménykim'!$B247,'Eredeti fejléccel'!$BU:$BU)</f>
        <v>0</v>
      </c>
      <c r="DW247" s="6">
        <f>SUMIF('Eredeti fejléccel'!$B:$B,'Felosztás eredménykim'!$B247,'Eredeti fejléccel'!$BV:$BV)</f>
        <v>0</v>
      </c>
      <c r="DX247" s="6">
        <f>SUMIF('Eredeti fejléccel'!$B:$B,'Felosztás eredménykim'!$B247,'Eredeti fejléccel'!$BW:$BW)</f>
        <v>0</v>
      </c>
      <c r="DY247" s="6">
        <f>SUMIF('Eredeti fejléccel'!$B:$B,'Felosztás eredménykim'!$B247,'Eredeti fejléccel'!$BX:$BX)</f>
        <v>0</v>
      </c>
      <c r="EA247" s="6"/>
      <c r="EC247" s="6"/>
      <c r="EE247" s="6">
        <f>SUMIF('Eredeti fejléccel'!$B:$B,'Felosztás eredménykim'!$B247,'Eredeti fejléccel'!$CA:$CA)</f>
        <v>0</v>
      </c>
      <c r="EF247" s="6">
        <f>SUMIF('Eredeti fejléccel'!$B:$B,'Felosztás eredménykim'!$B247,'Eredeti fejléccel'!$CB:$CB)</f>
        <v>0</v>
      </c>
      <c r="EG247" s="6">
        <f>SUMIF('Eredeti fejléccel'!$B:$B,'Felosztás eredménykim'!$B247,'Eredeti fejléccel'!$CC:$CC)</f>
        <v>0</v>
      </c>
      <c r="EH247" s="6">
        <f>SUMIF('Eredeti fejléccel'!$B:$B,'Felosztás eredménykim'!$B247,'Eredeti fejléccel'!$CD:$CD)</f>
        <v>0</v>
      </c>
      <c r="EK247" s="6">
        <f>SUMIF('Eredeti fejléccel'!$B:$B,'Felosztás eredménykim'!$B247,'Eredeti fejléccel'!$CE:$CE)</f>
        <v>0</v>
      </c>
      <c r="EN247" s="6">
        <f>SUMIF('Eredeti fejléccel'!$B:$B,'Felosztás eredménykim'!$B247,'Eredeti fejléccel'!$CF:$CF)</f>
        <v>0</v>
      </c>
      <c r="EP247" s="6">
        <f>SUMIF('Eredeti fejléccel'!$B:$B,'Felosztás eredménykim'!$B247,'Eredeti fejléccel'!$CG:$CG)</f>
        <v>0</v>
      </c>
      <c r="ES247" s="6">
        <f>SUMIF('Eredeti fejléccel'!$B:$B,'Felosztás eredménykim'!$B247,'Eredeti fejléccel'!$CH:$CH)</f>
        <v>0</v>
      </c>
      <c r="ET247" s="6">
        <f>SUMIF('Eredeti fejléccel'!$B:$B,'Felosztás eredménykim'!$B247,'Eredeti fejléccel'!$CI:$CI)</f>
        <v>0</v>
      </c>
      <c r="EW247" s="8">
        <f t="shared" si="535"/>
        <v>0</v>
      </c>
      <c r="EX247" s="8">
        <f t="shared" si="527"/>
        <v>0</v>
      </c>
      <c r="EY247" s="8">
        <f t="shared" si="416"/>
        <v>0</v>
      </c>
      <c r="EZ247" s="8">
        <f t="shared" si="536"/>
        <v>0</v>
      </c>
      <c r="FA247" s="8">
        <f t="shared" si="537"/>
        <v>0</v>
      </c>
      <c r="FC247" s="6">
        <f>SUMIF('Eredeti fejléccel'!$B:$B,'Felosztás eredménykim'!$B247,'Eredeti fejléccel'!$L:$L)</f>
        <v>0</v>
      </c>
      <c r="FD247" s="6">
        <f>SUMIF('Eredeti fejléccel'!$B:$B,'Felosztás eredménykim'!$B247,'Eredeti fejléccel'!$CJ:$CJ)</f>
        <v>0</v>
      </c>
      <c r="FE247" s="6">
        <f>SUMIF('Eredeti fejléccel'!$B:$B,'Felosztás eredménykim'!$B247,'Eredeti fejléccel'!$CL:$CL)</f>
        <v>0</v>
      </c>
      <c r="FG247" s="99">
        <f t="shared" si="528"/>
        <v>0</v>
      </c>
      <c r="FH247" s="6">
        <f>SUMIF('Eredeti fejléccel'!$B:$B,'Felosztás eredménykim'!$B247,'Eredeti fejléccel'!$CK:$CK)</f>
        <v>0</v>
      </c>
      <c r="FI247" s="36">
        <f t="shared" si="558"/>
        <v>0</v>
      </c>
      <c r="FJ247" s="101">
        <f t="shared" si="408"/>
        <v>0</v>
      </c>
      <c r="FK247" s="6">
        <f>SUMIF('Eredeti fejléccel'!$B:$B,'Felosztás eredménykim'!$B247,'Eredeti fejléccel'!$CM:$CM)</f>
        <v>0</v>
      </c>
      <c r="FL247" s="6">
        <f>SUMIF('Eredeti fejléccel'!$B:$B,'Felosztás eredménykim'!$B247,'Eredeti fejléccel'!$CN:$CN)</f>
        <v>0</v>
      </c>
      <c r="FM247" s="8">
        <f t="shared" si="529"/>
        <v>0</v>
      </c>
      <c r="FN247" s="36">
        <f t="shared" si="559"/>
        <v>0</v>
      </c>
      <c r="FO247" s="101">
        <f t="shared" si="409"/>
        <v>0</v>
      </c>
      <c r="FP247" s="6">
        <f>SUMIF('Eredeti fejléccel'!$B:$B,'Felosztás eredménykim'!$B247,'Eredeti fejléccel'!$CO:$CO)</f>
        <v>0</v>
      </c>
      <c r="FQ247" s="6">
        <f>'Eredeti fejléccel'!CP247</f>
        <v>0</v>
      </c>
      <c r="FR247" s="6">
        <f>'Eredeti fejléccel'!CQ247</f>
        <v>0</v>
      </c>
      <c r="FS247" s="103">
        <f t="shared" si="417"/>
        <v>0</v>
      </c>
      <c r="FT247" s="36">
        <f t="shared" si="560"/>
        <v>0</v>
      </c>
      <c r="FU247" s="101">
        <f t="shared" si="410"/>
        <v>0</v>
      </c>
      <c r="FV247" s="101"/>
      <c r="FW247" s="6">
        <f>SUMIF('Eredeti fejléccel'!$B:$B,'Felosztás eredménykim'!$B247,'Eredeti fejléccel'!$CR:$CR)</f>
        <v>0</v>
      </c>
      <c r="FX247" s="6">
        <f>SUMIF('Eredeti fejléccel'!$B:$B,'Felosztás eredménykim'!$B247,'Eredeti fejléccel'!$CS:$CS)</f>
        <v>0</v>
      </c>
      <c r="FY247" s="6">
        <f>SUMIF('Eredeti fejléccel'!$B:$B,'Felosztás eredménykim'!$B247,'Eredeti fejléccel'!$CT:$CT)</f>
        <v>0</v>
      </c>
      <c r="FZ247" s="6">
        <f>SUMIF('Eredeti fejléccel'!$B:$B,'Felosztás eredménykim'!$B247,'Eredeti fejléccel'!$CU:$CU)</f>
        <v>0</v>
      </c>
      <c r="GA247" s="103">
        <f t="shared" si="530"/>
        <v>0</v>
      </c>
      <c r="GB247" s="36">
        <f t="shared" si="561"/>
        <v>0</v>
      </c>
      <c r="GC247" s="101">
        <f t="shared" si="411"/>
        <v>0</v>
      </c>
      <c r="GD247" s="6">
        <f>SUMIF('Eredeti fejléccel'!$B:$B,'Felosztás eredménykim'!$B247,'Eredeti fejléccel'!$CV:$CV)</f>
        <v>0</v>
      </c>
      <c r="GE247" s="6">
        <f>SUMIF('Eredeti fejléccel'!$B:$B,'Felosztás eredménykim'!$B247,'Eredeti fejléccel'!$CW:$CW)</f>
        <v>0</v>
      </c>
      <c r="GF247" s="103">
        <f t="shared" si="531"/>
        <v>0</v>
      </c>
      <c r="GG247" s="36">
        <f t="shared" si="412"/>
        <v>0</v>
      </c>
      <c r="GM247" s="6">
        <f>SUMIF('Eredeti fejléccel'!$B:$B,'Felosztás eredménykim'!$B247,'Eredeti fejléccel'!$CX:$CX)</f>
        <v>0</v>
      </c>
      <c r="GN247" s="6">
        <f>SUMIF('Eredeti fejléccel'!$B:$B,'Felosztás eredménykim'!$B247,'Eredeti fejléccel'!$CY:$CY)</f>
        <v>0</v>
      </c>
      <c r="GO247" s="6">
        <f>SUMIF('Eredeti fejléccel'!$B:$B,'Felosztás eredménykim'!$B247,'Eredeti fejléccel'!$CZ:$CZ)</f>
        <v>0</v>
      </c>
      <c r="GP247" s="6">
        <f>SUMIF('Eredeti fejléccel'!$B:$B,'Felosztás eredménykim'!$B247,'Eredeti fejléccel'!$DA:$DA)</f>
        <v>0</v>
      </c>
      <c r="GQ247" s="6">
        <f>SUMIF('Eredeti fejléccel'!$B:$B,'Felosztás eredménykim'!$B247,'Eredeti fejléccel'!$DB:$DB)</f>
        <v>0</v>
      </c>
      <c r="GR247" s="103">
        <f t="shared" si="532"/>
        <v>0</v>
      </c>
      <c r="GW247" s="36">
        <f t="shared" si="413"/>
        <v>0</v>
      </c>
      <c r="GX247" s="6">
        <f>SUMIF('Eredeti fejléccel'!$B:$B,'Felosztás eredménykim'!$B247,'Eredeti fejléccel'!$M:$M)</f>
        <v>0</v>
      </c>
      <c r="GY247" s="6">
        <f>SUMIF('Eredeti fejléccel'!$B:$B,'Felosztás eredménykim'!$B247,'Eredeti fejléccel'!$DC:$DC)</f>
        <v>0</v>
      </c>
      <c r="GZ247" s="6">
        <f>SUMIF('Eredeti fejléccel'!$B:$B,'Felosztás eredménykim'!$B247,'Eredeti fejléccel'!$DD:$DD)</f>
        <v>0</v>
      </c>
      <c r="HA247" s="6">
        <f>SUMIF('Eredeti fejléccel'!$B:$B,'Felosztás eredménykim'!$B247,'Eredeti fejléccel'!$DE:$DE)</f>
        <v>0</v>
      </c>
      <c r="HB247" s="103">
        <f t="shared" si="533"/>
        <v>0</v>
      </c>
      <c r="HD247" s="9">
        <f t="shared" si="547"/>
        <v>0</v>
      </c>
      <c r="HE247" s="9"/>
      <c r="HF247" s="476"/>
      <c r="HH247" s="34">
        <f t="shared" si="534"/>
        <v>0</v>
      </c>
    </row>
    <row r="248" spans="1:217" x14ac:dyDescent="0.25">
      <c r="A248" s="4" t="s">
        <v>331</v>
      </c>
      <c r="B248" s="4" t="s">
        <v>331</v>
      </c>
      <c r="C248" s="1" t="s">
        <v>332</v>
      </c>
      <c r="D248" s="6">
        <f>SUMIF('Eredeti fejléccel'!$B:$B,'Felosztás eredménykim'!$B248,'Eredeti fejléccel'!$D:$D)</f>
        <v>0</v>
      </c>
      <c r="E248" s="6">
        <f>SUMIF('Eredeti fejléccel'!$B:$B,'Felosztás eredménykim'!$B248,'Eredeti fejléccel'!$E:$E)</f>
        <v>-15185</v>
      </c>
      <c r="F248" s="6">
        <f>SUMIF('Eredeti fejléccel'!$B:$B,'Felosztás eredménykim'!$B248,'Eredeti fejléccel'!$F:$F)</f>
        <v>0</v>
      </c>
      <c r="G248" s="6">
        <f>SUMIF('Eredeti fejléccel'!$B:$B,'Felosztás eredménykim'!$B248,'Eredeti fejléccel'!$G:$G)</f>
        <v>0</v>
      </c>
      <c r="H248" s="6"/>
      <c r="I248" s="6">
        <f>SUMIF('Eredeti fejléccel'!$B:$B,'Felosztás eredménykim'!$B248,'Eredeti fejléccel'!$O:$O)</f>
        <v>0</v>
      </c>
      <c r="J248" s="6">
        <f>SUMIF('Eredeti fejléccel'!$B:$B,'Felosztás eredménykim'!$B248,'Eredeti fejléccel'!$P:$P)</f>
        <v>0</v>
      </c>
      <c r="K248" s="6">
        <f>SUMIF('Eredeti fejléccel'!$B:$B,'Felosztás eredménykim'!$B248,'Eredeti fejléccel'!$Q:$Q)</f>
        <v>0</v>
      </c>
      <c r="L248" s="6">
        <f>SUMIF('Eredeti fejléccel'!$B:$B,'Felosztás eredménykim'!$B248,'Eredeti fejléccel'!$R:$R)</f>
        <v>-1148</v>
      </c>
      <c r="M248" s="6">
        <f>SUMIF('Eredeti fejléccel'!$B:$B,'Felosztás eredménykim'!$B248,'Eredeti fejléccel'!$T:$T)</f>
        <v>0</v>
      </c>
      <c r="N248" s="6">
        <f>SUMIF('Eredeti fejléccel'!$B:$B,'Felosztás eredménykim'!$B248,'Eredeti fejléccel'!$U:$U)</f>
        <v>0</v>
      </c>
      <c r="O248" s="6">
        <f>SUMIF('Eredeti fejléccel'!$B:$B,'Felosztás eredménykim'!$B248,'Eredeti fejléccel'!$V:$V)</f>
        <v>0</v>
      </c>
      <c r="P248" s="6">
        <f>SUMIF('Eredeti fejléccel'!$B:$B,'Felosztás eredménykim'!$B248,'Eredeti fejléccel'!$W:$W)</f>
        <v>-7042</v>
      </c>
      <c r="Q248" s="6">
        <f>SUMIF('Eredeti fejléccel'!$B:$B,'Felosztás eredménykim'!$B248,'Eredeti fejléccel'!$X:$X)</f>
        <v>0</v>
      </c>
      <c r="R248" s="6">
        <f>SUMIF('Eredeti fejléccel'!$B:$B,'Felosztás eredménykim'!$B248,'Eredeti fejléccel'!$Y:$Y)</f>
        <v>-2309</v>
      </c>
      <c r="S248" s="6">
        <f>SUMIF('Eredeti fejléccel'!$B:$B,'Felosztás eredménykim'!$B248,'Eredeti fejléccel'!$Z:$Z)</f>
        <v>0</v>
      </c>
      <c r="T248" s="6">
        <f>SUMIF('Eredeti fejléccel'!$B:$B,'Felosztás eredménykim'!$B248,'Eredeti fejléccel'!$AA:$AA)</f>
        <v>0</v>
      </c>
      <c r="U248" s="6">
        <f>SUMIF('Eredeti fejléccel'!$B:$B,'Felosztás eredménykim'!$B248,'Eredeti fejléccel'!$D:$D)</f>
        <v>0</v>
      </c>
      <c r="V248" s="6">
        <f>SUMIF('Eredeti fejléccel'!$B:$B,'Felosztás eredménykim'!$B248,'Eredeti fejléccel'!$AT:$AT)</f>
        <v>0</v>
      </c>
      <c r="W248" s="36">
        <v>25684</v>
      </c>
      <c r="X248" s="36">
        <f t="shared" si="414"/>
        <v>0</v>
      </c>
      <c r="Z248" s="6">
        <f>SUMIF('Eredeti fejléccel'!$B:$B,'Felosztás eredménykim'!$B248,'Eredeti fejléccel'!$K:$K)</f>
        <v>0</v>
      </c>
      <c r="AB248" s="6">
        <f>SUMIF('Eredeti fejléccel'!$B:$B,'Felosztás eredménykim'!$B248,'Eredeti fejléccel'!$AB:$AB)</f>
        <v>0</v>
      </c>
      <c r="AC248" s="6">
        <f>SUMIF('Eredeti fejléccel'!$B:$B,'Felosztás eredménykim'!$B248,'Eredeti fejléccel'!$AQ:$AQ)</f>
        <v>0</v>
      </c>
      <c r="AE248" s="73">
        <f>SUM(Z248:AD248)</f>
        <v>0</v>
      </c>
      <c r="AF248" s="36">
        <f t="shared" si="549"/>
        <v>0</v>
      </c>
      <c r="AG248" s="8">
        <f t="shared" si="399"/>
        <v>0</v>
      </c>
      <c r="AI248" s="6">
        <f>SUMIF('Eredeti fejléccel'!$B:$B,'Felosztás eredménykim'!$B248,'Eredeti fejléccel'!$BB:$BB)</f>
        <v>0</v>
      </c>
      <c r="AJ248" s="6">
        <f>SUMIF('Eredeti fejléccel'!$B:$B,'Felosztás eredménykim'!$B248,'Eredeti fejléccel'!$AF:$AF)</f>
        <v>0</v>
      </c>
      <c r="AK248" s="8">
        <f>SUM(AG248:AJ248)</f>
        <v>0</v>
      </c>
      <c r="AL248" s="36">
        <f t="shared" si="550"/>
        <v>0</v>
      </c>
      <c r="AM248" s="8">
        <f t="shared" si="400"/>
        <v>0</v>
      </c>
      <c r="AN248" s="6">
        <f>-AO248/2</f>
        <v>0</v>
      </c>
      <c r="AO248" s="6">
        <f>SUMIF('Eredeti fejléccel'!$B:$B,'Felosztás eredménykim'!$B248,'Eredeti fejléccel'!$AC:$AC)</f>
        <v>0</v>
      </c>
      <c r="AP248" s="6">
        <f>SUMIF('Eredeti fejléccel'!$B:$B,'Felosztás eredménykim'!$B248,'Eredeti fejléccel'!$AD:$AD)</f>
        <v>0</v>
      </c>
      <c r="AQ248" s="6">
        <f>SUMIF('Eredeti fejléccel'!$B:$B,'Felosztás eredménykim'!$B248,'Eredeti fejléccel'!$AE:$AE)</f>
        <v>0</v>
      </c>
      <c r="AR248" s="6">
        <f>SUMIF('Eredeti fejléccel'!$B:$B,'Felosztás eredménykim'!$B248,'Eredeti fejléccel'!$AG:$AG)</f>
        <v>-12193</v>
      </c>
      <c r="AS248" s="6">
        <f>SUM(AM248:AR248)</f>
        <v>-12193</v>
      </c>
      <c r="AT248" s="36">
        <f t="shared" si="551"/>
        <v>0</v>
      </c>
      <c r="AU248" s="8">
        <f t="shared" si="401"/>
        <v>0</v>
      </c>
      <c r="AV248" s="6">
        <f>SUMIF('Eredeti fejléccel'!$B:$B,'Felosztás eredménykim'!$B248,'Eredeti fejléccel'!$AI:$AI)</f>
        <v>0</v>
      </c>
      <c r="AW248" s="6">
        <f>SUMIF('Eredeti fejléccel'!$B:$B,'Felosztás eredménykim'!$B248,'Eredeti fejléccel'!$AJ:$AJ)</f>
        <v>0</v>
      </c>
      <c r="AX248" s="6">
        <f>SUMIF('Eredeti fejléccel'!$B:$B,'Felosztás eredménykim'!$B248,'Eredeti fejléccel'!$AK:$AK)</f>
        <v>-60000</v>
      </c>
      <c r="AY248" s="6">
        <f>SUMIF('Eredeti fejléccel'!$B:$B,'Felosztás eredménykim'!$B248,'Eredeti fejléccel'!$AL:$AL)</f>
        <v>0</v>
      </c>
      <c r="AZ248" s="6">
        <f>SUMIF('Eredeti fejléccel'!$B:$B,'Felosztás eredménykim'!$B248,'Eredeti fejléccel'!$AM:$AM)</f>
        <v>0</v>
      </c>
      <c r="BA248" s="6">
        <f>SUMIF('Eredeti fejléccel'!$B:$B,'Felosztás eredménykim'!$B248,'Eredeti fejléccel'!$AN:$AN)</f>
        <v>0</v>
      </c>
      <c r="BB248" s="6">
        <f>SUMIF('Eredeti fejléccel'!$B:$B,'Felosztás eredménykim'!$B248,'Eredeti fejléccel'!$AP:$AP)</f>
        <v>0</v>
      </c>
      <c r="BD248" s="6">
        <f>SUMIF('Eredeti fejléccel'!$B:$B,'Felosztás eredménykim'!$B248,'Eredeti fejléccel'!$AS:$AS)</f>
        <v>0</v>
      </c>
      <c r="BE248" s="8">
        <f>SUM(AU248:BD248)</f>
        <v>-60000</v>
      </c>
      <c r="BF248" s="36">
        <f t="shared" si="552"/>
        <v>0</v>
      </c>
      <c r="BG248" s="8">
        <f t="shared" si="402"/>
        <v>0</v>
      </c>
      <c r="BH248" s="6">
        <f>AO248/2</f>
        <v>0</v>
      </c>
      <c r="BI248" s="6">
        <f>SUMIF('Eredeti fejléccel'!$B:$B,'Felosztás eredménykim'!$B248,'Eredeti fejléccel'!$AH:$AH)</f>
        <v>0</v>
      </c>
      <c r="BJ248" s="6">
        <f>SUMIF('Eredeti fejléccel'!$B:$B,'Felosztás eredménykim'!$B248,'Eredeti fejléccel'!$AO:$AO)</f>
        <v>0</v>
      </c>
      <c r="BK248" s="6">
        <f>SUMIF('Eredeti fejléccel'!$B:$B,'Felosztás eredménykim'!$B248,'Eredeti fejléccel'!$BF:$BF)</f>
        <v>0</v>
      </c>
      <c r="BL248" s="8">
        <f>SUM(BG248:BK248)</f>
        <v>0</v>
      </c>
      <c r="BM248" s="36">
        <f t="shared" si="553"/>
        <v>0</v>
      </c>
      <c r="BN248" s="8">
        <f t="shared" si="403"/>
        <v>0</v>
      </c>
      <c r="BP248" s="8">
        <f>-FV248</f>
        <v>0</v>
      </c>
      <c r="BQ248" s="6">
        <f>SUMIF('Eredeti fejléccel'!$B:$B,'Felosztás eredménykim'!$B248,'Eredeti fejléccel'!$N:$N)</f>
        <v>0</v>
      </c>
      <c r="BR248" s="6">
        <f>SUMIF('Eredeti fejléccel'!$B:$B,'Felosztás eredménykim'!$B248,'Eredeti fejléccel'!$S:$S)</f>
        <v>0</v>
      </c>
      <c r="BT248" s="6">
        <f>SUMIF('Eredeti fejléccel'!$B:$B,'Felosztás eredménykim'!$B248,'Eredeti fejléccel'!$AR:$AR)</f>
        <v>0</v>
      </c>
      <c r="BU248" s="6">
        <f>SUMIF('Eredeti fejléccel'!$B:$B,'Felosztás eredménykim'!$B248,'Eredeti fejléccel'!$AU:$AU)</f>
        <v>0</v>
      </c>
      <c r="BV248" s="6">
        <f>SUMIF('Eredeti fejléccel'!$B:$B,'Felosztás eredménykim'!$B248,'Eredeti fejléccel'!$AV:$AV)</f>
        <v>-1002</v>
      </c>
      <c r="BW248" s="6">
        <f>SUMIF('Eredeti fejléccel'!$B:$B,'Felosztás eredménykim'!$B248,'Eredeti fejléccel'!$AW:$AW)</f>
        <v>0</v>
      </c>
      <c r="BX248" s="6">
        <f>SUMIF('Eredeti fejléccel'!$B:$B,'Felosztás eredménykim'!$B248,'Eredeti fejléccel'!$AX:$AX)</f>
        <v>0</v>
      </c>
      <c r="BY248" s="6">
        <f>SUMIF('Eredeti fejléccel'!$B:$B,'Felosztás eredménykim'!$B248,'Eredeti fejléccel'!$AY:$AY)</f>
        <v>0</v>
      </c>
      <c r="BZ248" s="6">
        <f>SUMIF('Eredeti fejléccel'!$B:$B,'Felosztás eredménykim'!$B248,'Eredeti fejléccel'!$AZ:$AZ)</f>
        <v>0</v>
      </c>
      <c r="CA248" s="6">
        <f>SUMIF('Eredeti fejléccel'!$B:$B,'Felosztás eredménykim'!$B248,'Eredeti fejléccel'!$BA:$BA)</f>
        <v>0</v>
      </c>
      <c r="CB248" s="6">
        <f t="shared" si="481"/>
        <v>-1002</v>
      </c>
      <c r="CC248" s="36">
        <f t="shared" si="554"/>
        <v>0</v>
      </c>
      <c r="CD248" s="8">
        <f t="shared" si="404"/>
        <v>0</v>
      </c>
      <c r="CE248" s="6">
        <f>SUMIF('Eredeti fejléccel'!$B:$B,'Felosztás eredménykim'!$B248,'Eredeti fejléccel'!$BC:$BC)</f>
        <v>0</v>
      </c>
      <c r="CF248" s="8">
        <f>-CE248/2</f>
        <v>0</v>
      </c>
      <c r="CG248" s="6">
        <f>SUMIF('Eredeti fejléccel'!$B:$B,'Felosztás eredménykim'!$B248,'Eredeti fejléccel'!$H:$H)</f>
        <v>0</v>
      </c>
      <c r="CH248" s="6">
        <f>SUMIF('Eredeti fejléccel'!$B:$B,'Felosztás eredménykim'!$B248,'Eredeti fejléccel'!$BE:$BE)</f>
        <v>-841</v>
      </c>
      <c r="CI248" s="6">
        <f>SUM(CD248:CH248)</f>
        <v>-841</v>
      </c>
      <c r="CJ248" s="36">
        <f t="shared" si="556"/>
        <v>0</v>
      </c>
      <c r="CK248" s="8">
        <f t="shared" si="405"/>
        <v>0</v>
      </c>
      <c r="CL248" s="8">
        <f>CE248/2</f>
        <v>0</v>
      </c>
      <c r="CM248" s="6">
        <f>SUMIF('Eredeti fejléccel'!$B:$B,'Felosztás eredménykim'!$B248,'Eredeti fejléccel'!$BD:$BD)</f>
        <v>0</v>
      </c>
      <c r="CN248" s="8">
        <f>SUM(CK248:CM248)</f>
        <v>0</v>
      </c>
      <c r="CO248" s="8">
        <f t="shared" si="482"/>
        <v>-74036</v>
      </c>
      <c r="CR248" s="36">
        <f t="shared" si="406"/>
        <v>0</v>
      </c>
      <c r="CS248" s="6">
        <f>SUMIF('Eredeti fejléccel'!$B:$B,'Felosztás eredménykim'!$B248,'Eredeti fejléccel'!$I:$I)</f>
        <v>0</v>
      </c>
      <c r="CT248" s="6">
        <f>SUMIF('Eredeti fejléccel'!$B:$B,'Felosztás eredménykim'!$B248,'Eredeti fejléccel'!$BG:$BG)</f>
        <v>0</v>
      </c>
      <c r="CU248" s="6">
        <f>SUMIF('Eredeti fejléccel'!$B:$B,'Felosztás eredménykim'!$B248,'Eredeti fejléccel'!$BH:$BH)</f>
        <v>-31390</v>
      </c>
      <c r="CV248" s="6">
        <f>SUMIF('Eredeti fejléccel'!$B:$B,'Felosztás eredménykim'!$B248,'Eredeti fejléccel'!$BI:$BI)</f>
        <v>0</v>
      </c>
      <c r="CW248" s="6">
        <f>SUMIF('Eredeti fejléccel'!$B:$B,'Felosztás eredménykim'!$B248,'Eredeti fejléccel'!$BL:$BL)</f>
        <v>0</v>
      </c>
      <c r="CX248" s="6">
        <f>SUM(CS248:CW248)</f>
        <v>-31390</v>
      </c>
      <c r="CY248" s="6">
        <f>SUMIF('Eredeti fejléccel'!$B:$B,'Felosztás eredménykim'!$B248,'Eredeti fejléccel'!$BJ:$BJ)</f>
        <v>0</v>
      </c>
      <c r="CZ248" s="6">
        <f>SUMIF('Eredeti fejléccel'!$B:$B,'Felosztás eredménykim'!$B248,'Eredeti fejléccel'!$BK:$BK)</f>
        <v>0</v>
      </c>
      <c r="DA248" s="99">
        <f t="shared" si="415"/>
        <v>-31390</v>
      </c>
      <c r="DC248" s="36">
        <f t="shared" si="407"/>
        <v>0</v>
      </c>
      <c r="DD248" s="6">
        <f>SUMIF('Eredeti fejléccel'!$B:$B,'Felosztás eredménykim'!$B248,'Eredeti fejléccel'!$J:$J)</f>
        <v>0</v>
      </c>
      <c r="DE248" s="6">
        <f>SUMIF('Eredeti fejléccel'!$B:$B,'Felosztás eredménykim'!$B248,'Eredeti fejléccel'!$BM:$BM)</f>
        <v>-1036</v>
      </c>
      <c r="DF248" s="6">
        <f>-DI248</f>
        <v>0</v>
      </c>
      <c r="DG248" s="8">
        <f t="shared" si="483"/>
        <v>0</v>
      </c>
      <c r="DH248" s="8">
        <f>SUM(DD248:DG248)</f>
        <v>-1036</v>
      </c>
      <c r="DJ248" s="6">
        <f>SUMIF('Eredeti fejléccel'!$B:$B,'Felosztás eredménykim'!$B248,'Eredeti fejléccel'!$BN:$BN)</f>
        <v>0</v>
      </c>
      <c r="DK248" s="6">
        <f>SUMIF('Eredeti fejléccel'!$B:$B,'Felosztás eredménykim'!$B248,'Eredeti fejléccel'!$BZ:$BZ)</f>
        <v>0</v>
      </c>
      <c r="DL248" s="8">
        <f>SUM(DI248:DK248)</f>
        <v>0</v>
      </c>
      <c r="DM248" s="6">
        <f>SUMIF('Eredeti fejléccel'!$B:$B,'Felosztás eredménykim'!$B248,'Eredeti fejléccel'!$BR:$BR)</f>
        <v>0</v>
      </c>
      <c r="DN248" s="6">
        <f>SUMIF('Eredeti fejléccel'!$B:$B,'Felosztás eredménykim'!$B248,'Eredeti fejléccel'!$BS:$BS)</f>
        <v>0</v>
      </c>
      <c r="DO248" s="6">
        <f>SUMIF('Eredeti fejléccel'!$B:$B,'Felosztás eredménykim'!$B248,'Eredeti fejléccel'!$BO:$BO)</f>
        <v>0</v>
      </c>
      <c r="DP248" s="6">
        <f>SUMIF('Eredeti fejléccel'!$B:$B,'Felosztás eredménykim'!$B248,'Eredeti fejléccel'!$BP:$BP)</f>
        <v>0</v>
      </c>
      <c r="DQ248" s="6">
        <f>SUMIF('Eredeti fejléccel'!$B:$B,'Felosztás eredménykim'!$B248,'Eredeti fejléccel'!$BQ:$BQ)</f>
        <v>0</v>
      </c>
      <c r="DS248" s="8"/>
      <c r="DU248" s="6">
        <f>SUMIF('Eredeti fejléccel'!$B:$B,'Felosztás eredménykim'!$B248,'Eredeti fejléccel'!$BT:$BT)</f>
        <v>-283068</v>
      </c>
      <c r="DV248" s="6">
        <f>SUMIF('Eredeti fejléccel'!$B:$B,'Felosztás eredménykim'!$B248,'Eredeti fejléccel'!$BU:$BU)</f>
        <v>0</v>
      </c>
      <c r="DW248" s="6">
        <f>SUMIF('Eredeti fejléccel'!$B:$B,'Felosztás eredménykim'!$B248,'Eredeti fejléccel'!$BV:$BV)</f>
        <v>0</v>
      </c>
      <c r="DX248" s="6">
        <f>SUMIF('Eredeti fejléccel'!$B:$B,'Felosztás eredménykim'!$B248,'Eredeti fejléccel'!$BW:$BW)</f>
        <v>0</v>
      </c>
      <c r="DY248" s="6">
        <f>SUMIF('Eredeti fejléccel'!$B:$B,'Felosztás eredménykim'!$B248,'Eredeti fejléccel'!$BX:$BX)</f>
        <v>0</v>
      </c>
      <c r="EA248" s="6"/>
      <c r="EC248" s="6"/>
      <c r="EE248" s="6">
        <f>SUMIF('Eredeti fejléccel'!$B:$B,'Felosztás eredménykim'!$B248,'Eredeti fejléccel'!$CA:$CA)</f>
        <v>0</v>
      </c>
      <c r="EF248" s="6">
        <f>SUMIF('Eredeti fejléccel'!$B:$B,'Felosztás eredménykim'!$B248,'Eredeti fejléccel'!$CB:$CB)</f>
        <v>0</v>
      </c>
      <c r="EG248" s="6">
        <f>SUMIF('Eredeti fejléccel'!$B:$B,'Felosztás eredménykim'!$B248,'Eredeti fejléccel'!$CC:$CC)</f>
        <v>0</v>
      </c>
      <c r="EH248" s="6">
        <f>SUMIF('Eredeti fejléccel'!$B:$B,'Felosztás eredménykim'!$B248,'Eredeti fejléccel'!$CD:$CD)</f>
        <v>0</v>
      </c>
      <c r="EK248" s="6">
        <f>SUMIF('Eredeti fejléccel'!$B:$B,'Felosztás eredménykim'!$B248,'Eredeti fejléccel'!$CE:$CE)</f>
        <v>0</v>
      </c>
      <c r="EN248" s="6">
        <f>SUMIF('Eredeti fejléccel'!$B:$B,'Felosztás eredménykim'!$B248,'Eredeti fejléccel'!$CF:$CF)</f>
        <v>0</v>
      </c>
      <c r="EP248" s="6">
        <f>SUMIF('Eredeti fejléccel'!$B:$B,'Felosztás eredménykim'!$B248,'Eredeti fejléccel'!$CG:$CG)</f>
        <v>0</v>
      </c>
      <c r="ES248" s="6">
        <f>SUMIF('Eredeti fejléccel'!$B:$B,'Felosztás eredménykim'!$B248,'Eredeti fejléccel'!$CH:$CH)</f>
        <v>0</v>
      </c>
      <c r="ET248" s="6">
        <f>SUMIF('Eredeti fejléccel'!$B:$B,'Felosztás eredménykim'!$B248,'Eredeti fejléccel'!$CI:$CI)</f>
        <v>0</v>
      </c>
      <c r="EW248" s="8">
        <f>SUM(DR248:ED248)</f>
        <v>-283068</v>
      </c>
      <c r="EX248" s="8">
        <f>SUM(EE248:EV248)</f>
        <v>0</v>
      </c>
      <c r="EY248" s="8">
        <f t="shared" si="416"/>
        <v>-284104</v>
      </c>
      <c r="EZ248" s="8">
        <f>EY248+DL248+DM248+DN248+DO248+DP248+DQ248</f>
        <v>-284104</v>
      </c>
      <c r="FA248" s="8">
        <f>EZ248-DL248-DM248</f>
        <v>-284104</v>
      </c>
      <c r="FC248" s="6">
        <f>SUMIF('Eredeti fejléccel'!$B:$B,'Felosztás eredménykim'!$B248,'Eredeti fejléccel'!$L:$L)</f>
        <v>0</v>
      </c>
      <c r="FD248" s="6">
        <f>SUMIF('Eredeti fejléccel'!$B:$B,'Felosztás eredménykim'!$B248,'Eredeti fejléccel'!$CJ:$CJ)</f>
        <v>0</v>
      </c>
      <c r="FE248" s="6">
        <f>SUMIF('Eredeti fejléccel'!$B:$B,'Felosztás eredménykim'!$B248,'Eredeti fejléccel'!$CL:$CL)</f>
        <v>0</v>
      </c>
      <c r="FG248" s="99">
        <f>SUM(FC248:FF248)</f>
        <v>0</v>
      </c>
      <c r="FH248" s="6">
        <f>SUMIF('Eredeti fejléccel'!$B:$B,'Felosztás eredménykim'!$B248,'Eredeti fejléccel'!$CK:$CK)</f>
        <v>0</v>
      </c>
      <c r="FI248" s="36">
        <f t="shared" si="558"/>
        <v>0</v>
      </c>
      <c r="FJ248" s="101">
        <f t="shared" si="408"/>
        <v>0</v>
      </c>
      <c r="FK248" s="6">
        <f>SUMIF('Eredeti fejléccel'!$B:$B,'Felosztás eredménykim'!$B248,'Eredeti fejléccel'!$CM:$CM)</f>
        <v>0</v>
      </c>
      <c r="FL248" s="6">
        <f>SUMIF('Eredeti fejléccel'!$B:$B,'Felosztás eredménykim'!$B248,'Eredeti fejléccel'!$CN:$CN)</f>
        <v>0</v>
      </c>
      <c r="FM248" s="8">
        <f>SUM(FJ248:FL248)</f>
        <v>0</v>
      </c>
      <c r="FN248" s="36">
        <f t="shared" si="559"/>
        <v>0</v>
      </c>
      <c r="FO248" s="101">
        <f t="shared" si="409"/>
        <v>0</v>
      </c>
      <c r="FP248" s="6">
        <f>SUMIF('Eredeti fejléccel'!$B:$B,'Felosztás eredménykim'!$B248,'Eredeti fejléccel'!$CO:$CO)</f>
        <v>0</v>
      </c>
      <c r="FQ248" s="6">
        <f>'Eredeti fejléccel'!CP248</f>
        <v>0</v>
      </c>
      <c r="FR248" s="6">
        <f>'Eredeti fejléccel'!CQ248</f>
        <v>0</v>
      </c>
      <c r="FS248" s="103">
        <f t="shared" si="417"/>
        <v>0</v>
      </c>
      <c r="FT248" s="36">
        <f t="shared" si="560"/>
        <v>0</v>
      </c>
      <c r="FU248" s="101">
        <f t="shared" si="410"/>
        <v>0</v>
      </c>
      <c r="FV248" s="101"/>
      <c r="FW248" s="6">
        <f>SUMIF('Eredeti fejléccel'!$B:$B,'Felosztás eredménykim'!$B248,'Eredeti fejléccel'!$CR:$CR)</f>
        <v>0</v>
      </c>
      <c r="FX248" s="6">
        <f>SUMIF('Eredeti fejléccel'!$B:$B,'Felosztás eredménykim'!$B248,'Eredeti fejléccel'!$CS:$CS)</f>
        <v>0</v>
      </c>
      <c r="FY248" s="6">
        <f>SUMIF('Eredeti fejléccel'!$B:$B,'Felosztás eredménykim'!$B248,'Eredeti fejléccel'!$CT:$CT)</f>
        <v>0</v>
      </c>
      <c r="FZ248" s="6">
        <f>SUMIF('Eredeti fejléccel'!$B:$B,'Felosztás eredménykim'!$B248,'Eredeti fejléccel'!$CU:$CU)</f>
        <v>0</v>
      </c>
      <c r="GA248" s="103">
        <f>SUM(FU248:FZ248)</f>
        <v>0</v>
      </c>
      <c r="GB248" s="36">
        <f t="shared" si="561"/>
        <v>0</v>
      </c>
      <c r="GC248" s="101">
        <f t="shared" si="411"/>
        <v>0</v>
      </c>
      <c r="GD248" s="6">
        <f>SUMIF('Eredeti fejléccel'!$B:$B,'Felosztás eredménykim'!$B248,'Eredeti fejléccel'!$CV:$CV)</f>
        <v>-110264</v>
      </c>
      <c r="GE248" s="6">
        <f>SUMIF('Eredeti fejléccel'!$B:$B,'Felosztás eredménykim'!$B248,'Eredeti fejléccel'!$CW:$CW)</f>
        <v>0</v>
      </c>
      <c r="GF248" s="103">
        <f>SUM(GC248:GE248)</f>
        <v>-110264</v>
      </c>
      <c r="GG248" s="36">
        <f t="shared" si="412"/>
        <v>0</v>
      </c>
      <c r="GM248" s="6">
        <f>SUMIF('Eredeti fejléccel'!$B:$B,'Felosztás eredménykim'!$B248,'Eredeti fejléccel'!$CX:$CX)</f>
        <v>0</v>
      </c>
      <c r="GN248" s="6">
        <f>SUMIF('Eredeti fejléccel'!$B:$B,'Felosztás eredménykim'!$B248,'Eredeti fejléccel'!$CY:$CY)</f>
        <v>0</v>
      </c>
      <c r="GO248" s="6">
        <f>SUMIF('Eredeti fejléccel'!$B:$B,'Felosztás eredménykim'!$B248,'Eredeti fejléccel'!$CZ:$CZ)</f>
        <v>0</v>
      </c>
      <c r="GP248" s="6">
        <f>SUMIF('Eredeti fejléccel'!$B:$B,'Felosztás eredménykim'!$B248,'Eredeti fejléccel'!$DA:$DA)</f>
        <v>0</v>
      </c>
      <c r="GQ248" s="6">
        <f>SUMIF('Eredeti fejléccel'!$B:$B,'Felosztás eredménykim'!$B248,'Eredeti fejléccel'!$DB:$DB)</f>
        <v>0</v>
      </c>
      <c r="GR248" s="103">
        <f>SUM(GH248:GQ248)</f>
        <v>0</v>
      </c>
      <c r="GW248" s="36">
        <f t="shared" si="413"/>
        <v>0</v>
      </c>
      <c r="GX248" s="6">
        <f>SUMIF('Eredeti fejléccel'!$B:$B,'Felosztás eredménykim'!$B248,'Eredeti fejléccel'!$M:$M)</f>
        <v>0</v>
      </c>
      <c r="GY248" s="6">
        <f>SUMIF('Eredeti fejléccel'!$B:$B,'Felosztás eredménykim'!$B248,'Eredeti fejléccel'!$DC:$DC)</f>
        <v>0</v>
      </c>
      <c r="GZ248" s="6">
        <f>SUMIF('Eredeti fejléccel'!$B:$B,'Felosztás eredménykim'!$B248,'Eredeti fejléccel'!$DD:$DD)</f>
        <v>0</v>
      </c>
      <c r="HA248" s="6">
        <f>SUMIF('Eredeti fejléccel'!$B:$B,'Felosztás eredménykim'!$B248,'Eredeti fejléccel'!$DE:$DE)</f>
        <v>0</v>
      </c>
      <c r="HB248" s="103">
        <f>SUM(GX248:HA248)</f>
        <v>0</v>
      </c>
      <c r="HD248" s="9">
        <f t="shared" si="547"/>
        <v>-525478</v>
      </c>
      <c r="HE248" s="9">
        <v>-525478</v>
      </c>
      <c r="HF248" s="476"/>
      <c r="HH248" s="34">
        <f>+HD248-HE248</f>
        <v>0</v>
      </c>
    </row>
    <row r="249" spans="1:217" x14ac:dyDescent="0.25">
      <c r="A249" s="4" t="s">
        <v>1682</v>
      </c>
      <c r="B249" s="4" t="s">
        <v>1682</v>
      </c>
      <c r="C249" s="1" t="s">
        <v>1683</v>
      </c>
      <c r="D249" s="6">
        <f>SUMIF('Eredeti fejléccel'!$B:$B,'Felosztás eredménykim'!$B249,'Eredeti fejléccel'!$D:$D)</f>
        <v>0</v>
      </c>
      <c r="E249" s="6">
        <f>SUMIF('Eredeti fejléccel'!$B:$B,'Felosztás eredménykim'!$B249,'Eredeti fejléccel'!$E:$E)</f>
        <v>0</v>
      </c>
      <c r="F249" s="6">
        <f>SUMIF('Eredeti fejléccel'!$B:$B,'Felosztás eredménykim'!$B249,'Eredeti fejléccel'!$F:$F)</f>
        <v>0</v>
      </c>
      <c r="G249" s="6">
        <f>SUMIF('Eredeti fejléccel'!$B:$B,'Felosztás eredménykim'!$B249,'Eredeti fejléccel'!$G:$G)</f>
        <v>0</v>
      </c>
      <c r="H249" s="6"/>
      <c r="I249" s="6">
        <f>SUMIF('Eredeti fejléccel'!$B:$B,'Felosztás eredménykim'!$B249,'Eredeti fejléccel'!$O:$O)</f>
        <v>0</v>
      </c>
      <c r="J249" s="6">
        <f>SUMIF('Eredeti fejléccel'!$B:$B,'Felosztás eredménykim'!$B249,'Eredeti fejléccel'!$P:$P)</f>
        <v>0</v>
      </c>
      <c r="K249" s="6">
        <f>SUMIF('Eredeti fejléccel'!$B:$B,'Felosztás eredménykim'!$B249,'Eredeti fejléccel'!$Q:$Q)</f>
        <v>0</v>
      </c>
      <c r="L249" s="6">
        <f>SUMIF('Eredeti fejléccel'!$B:$B,'Felosztás eredménykim'!$B249,'Eredeti fejléccel'!$R:$R)</f>
        <v>0</v>
      </c>
      <c r="M249" s="6">
        <f>SUMIF('Eredeti fejléccel'!$B:$B,'Felosztás eredménykim'!$B249,'Eredeti fejléccel'!$T:$T)</f>
        <v>0</v>
      </c>
      <c r="N249" s="6">
        <f>SUMIF('Eredeti fejléccel'!$B:$B,'Felosztás eredménykim'!$B249,'Eredeti fejléccel'!$U:$U)</f>
        <v>0</v>
      </c>
      <c r="O249" s="6">
        <f>SUMIF('Eredeti fejléccel'!$B:$B,'Felosztás eredménykim'!$B249,'Eredeti fejléccel'!$V:$V)</f>
        <v>0</v>
      </c>
      <c r="P249" s="6">
        <f>SUMIF('Eredeti fejléccel'!$B:$B,'Felosztás eredménykim'!$B249,'Eredeti fejléccel'!$W:$W)</f>
        <v>0</v>
      </c>
      <c r="Q249" s="6">
        <f>SUMIF('Eredeti fejléccel'!$B:$B,'Felosztás eredménykim'!$B249,'Eredeti fejléccel'!$X:$X)</f>
        <v>0</v>
      </c>
      <c r="R249" s="6">
        <f>SUMIF('Eredeti fejléccel'!$B:$B,'Felosztás eredménykim'!$B249,'Eredeti fejléccel'!$Y:$Y)</f>
        <v>0</v>
      </c>
      <c r="S249" s="6">
        <f>SUMIF('Eredeti fejléccel'!$B:$B,'Felosztás eredménykim'!$B249,'Eredeti fejléccel'!$Z:$Z)</f>
        <v>0</v>
      </c>
      <c r="T249" s="6">
        <f>SUMIF('Eredeti fejléccel'!$B:$B,'Felosztás eredménykim'!$B249,'Eredeti fejléccel'!$AA:$AA)</f>
        <v>0</v>
      </c>
      <c r="U249" s="6">
        <f>SUMIF('Eredeti fejléccel'!$B:$B,'Felosztás eredménykim'!$B249,'Eredeti fejléccel'!$D:$D)</f>
        <v>0</v>
      </c>
      <c r="V249" s="6">
        <f>SUMIF('Eredeti fejléccel'!$B:$B,'Felosztás eredménykim'!$B249,'Eredeti fejléccel'!$AT:$AT)</f>
        <v>0</v>
      </c>
      <c r="X249" s="36">
        <f t="shared" si="414"/>
        <v>0</v>
      </c>
      <c r="Z249" s="6">
        <f>SUMIF('Eredeti fejléccel'!$B:$B,'Felosztás eredménykim'!$B249,'Eredeti fejléccel'!$K:$K)</f>
        <v>0</v>
      </c>
      <c r="AB249" s="6">
        <f>SUMIF('Eredeti fejléccel'!$B:$B,'Felosztás eredménykim'!$B249,'Eredeti fejléccel'!$AB:$AB)</f>
        <v>0</v>
      </c>
      <c r="AC249" s="6">
        <f>SUMIF('Eredeti fejléccel'!$B:$B,'Felosztás eredménykim'!$B249,'Eredeti fejléccel'!$AQ:$AQ)</f>
        <v>0</v>
      </c>
      <c r="AE249" s="73">
        <f t="shared" si="548"/>
        <v>0</v>
      </c>
      <c r="AF249" s="36">
        <f t="shared" si="549"/>
        <v>0</v>
      </c>
      <c r="AG249" s="8">
        <f t="shared" si="399"/>
        <v>0</v>
      </c>
      <c r="AI249" s="6">
        <f>SUMIF('Eredeti fejléccel'!$B:$B,'Felosztás eredménykim'!$B249,'Eredeti fejléccel'!$BB:$BB)</f>
        <v>0</v>
      </c>
      <c r="AJ249" s="6">
        <f>SUMIF('Eredeti fejléccel'!$B:$B,'Felosztás eredménykim'!$B249,'Eredeti fejléccel'!$AF:$AF)</f>
        <v>0</v>
      </c>
      <c r="AK249" s="8">
        <f t="shared" si="522"/>
        <v>0</v>
      </c>
      <c r="AL249" s="36">
        <f t="shared" si="550"/>
        <v>0</v>
      </c>
      <c r="AM249" s="8">
        <f t="shared" si="400"/>
        <v>0</v>
      </c>
      <c r="AN249" s="6">
        <f t="shared" si="538"/>
        <v>0</v>
      </c>
      <c r="AO249" s="6">
        <f>SUMIF('Eredeti fejléccel'!$B:$B,'Felosztás eredménykim'!$B249,'Eredeti fejléccel'!$AC:$AC)</f>
        <v>0</v>
      </c>
      <c r="AP249" s="6">
        <f>SUMIF('Eredeti fejléccel'!$B:$B,'Felosztás eredménykim'!$B249,'Eredeti fejléccel'!$AD:$AD)</f>
        <v>0</v>
      </c>
      <c r="AQ249" s="6">
        <f>SUMIF('Eredeti fejléccel'!$B:$B,'Felosztás eredménykim'!$B249,'Eredeti fejléccel'!$AE:$AE)</f>
        <v>0</v>
      </c>
      <c r="AR249" s="6">
        <f>SUMIF('Eredeti fejléccel'!$B:$B,'Felosztás eredménykim'!$B249,'Eredeti fejléccel'!$AG:$AG)</f>
        <v>0</v>
      </c>
      <c r="AS249" s="6">
        <f t="shared" si="539"/>
        <v>0</v>
      </c>
      <c r="AT249" s="36">
        <f t="shared" si="551"/>
        <v>0</v>
      </c>
      <c r="AU249" s="8">
        <f t="shared" si="401"/>
        <v>0</v>
      </c>
      <c r="AV249" s="6">
        <f>SUMIF('Eredeti fejléccel'!$B:$B,'Felosztás eredménykim'!$B249,'Eredeti fejléccel'!$AI:$AI)</f>
        <v>0</v>
      </c>
      <c r="AW249" s="6">
        <f>SUMIF('Eredeti fejléccel'!$B:$B,'Felosztás eredménykim'!$B249,'Eredeti fejléccel'!$AJ:$AJ)</f>
        <v>0</v>
      </c>
      <c r="AX249" s="6">
        <f>SUMIF('Eredeti fejléccel'!$B:$B,'Felosztás eredménykim'!$B249,'Eredeti fejléccel'!$AK:$AK)</f>
        <v>0</v>
      </c>
      <c r="AY249" s="6">
        <f>SUMIF('Eredeti fejléccel'!$B:$B,'Felosztás eredménykim'!$B249,'Eredeti fejléccel'!$AL:$AL)</f>
        <v>0</v>
      </c>
      <c r="AZ249" s="6">
        <f>SUMIF('Eredeti fejléccel'!$B:$B,'Felosztás eredménykim'!$B249,'Eredeti fejléccel'!$AM:$AM)</f>
        <v>0</v>
      </c>
      <c r="BA249" s="6">
        <f>SUMIF('Eredeti fejléccel'!$B:$B,'Felosztás eredménykim'!$B249,'Eredeti fejléccel'!$AN:$AN)</f>
        <v>0</v>
      </c>
      <c r="BB249" s="6">
        <f>SUMIF('Eredeti fejléccel'!$B:$B,'Felosztás eredménykim'!$B249,'Eredeti fejléccel'!$AP:$AP)</f>
        <v>0</v>
      </c>
      <c r="BD249" s="6">
        <f>SUMIF('Eredeti fejléccel'!$B:$B,'Felosztás eredménykim'!$B249,'Eredeti fejléccel'!$AS:$AS)</f>
        <v>0</v>
      </c>
      <c r="BE249" s="8">
        <f t="shared" si="523"/>
        <v>0</v>
      </c>
      <c r="BF249" s="36">
        <f t="shared" si="552"/>
        <v>0</v>
      </c>
      <c r="BG249" s="8">
        <f t="shared" si="402"/>
        <v>0</v>
      </c>
      <c r="BH249" s="6">
        <f t="shared" si="540"/>
        <v>0</v>
      </c>
      <c r="BI249" s="6">
        <f>SUMIF('Eredeti fejléccel'!$B:$B,'Felosztás eredménykim'!$B249,'Eredeti fejléccel'!$AH:$AH)</f>
        <v>0</v>
      </c>
      <c r="BJ249" s="6">
        <f>SUMIF('Eredeti fejléccel'!$B:$B,'Felosztás eredménykim'!$B249,'Eredeti fejléccel'!$AO:$AO)</f>
        <v>0</v>
      </c>
      <c r="BK249" s="6">
        <f>SUMIF('Eredeti fejléccel'!$B:$B,'Felosztás eredménykim'!$B249,'Eredeti fejléccel'!$BF:$BF)</f>
        <v>0</v>
      </c>
      <c r="BL249" s="8">
        <f t="shared" si="541"/>
        <v>0</v>
      </c>
      <c r="BM249" s="36">
        <f t="shared" si="553"/>
        <v>0</v>
      </c>
      <c r="BN249" s="8">
        <f t="shared" si="403"/>
        <v>0</v>
      </c>
      <c r="BP249" s="8">
        <f t="shared" si="542"/>
        <v>0</v>
      </c>
      <c r="BQ249" s="6">
        <f>SUMIF('Eredeti fejléccel'!$B:$B,'Felosztás eredménykim'!$B249,'Eredeti fejléccel'!$N:$N)</f>
        <v>0</v>
      </c>
      <c r="BR249" s="6">
        <f>SUMIF('Eredeti fejléccel'!$B:$B,'Felosztás eredménykim'!$B249,'Eredeti fejléccel'!$S:$S)</f>
        <v>0</v>
      </c>
      <c r="BT249" s="6">
        <f>SUMIF('Eredeti fejléccel'!$B:$B,'Felosztás eredménykim'!$B249,'Eredeti fejléccel'!$AR:$AR)</f>
        <v>0</v>
      </c>
      <c r="BU249" s="6">
        <f>SUMIF('Eredeti fejléccel'!$B:$B,'Felosztás eredménykim'!$B249,'Eredeti fejléccel'!$AU:$AU)</f>
        <v>0</v>
      </c>
      <c r="BV249" s="6">
        <f>SUMIF('Eredeti fejléccel'!$B:$B,'Felosztás eredménykim'!$B249,'Eredeti fejléccel'!$AV:$AV)</f>
        <v>0</v>
      </c>
      <c r="BW249" s="6">
        <f>SUMIF('Eredeti fejléccel'!$B:$B,'Felosztás eredménykim'!$B249,'Eredeti fejléccel'!$AW:$AW)</f>
        <v>0</v>
      </c>
      <c r="BX249" s="6">
        <f>SUMIF('Eredeti fejléccel'!$B:$B,'Felosztás eredménykim'!$B249,'Eredeti fejléccel'!$AX:$AX)</f>
        <v>0</v>
      </c>
      <c r="BY249" s="6">
        <f>SUMIF('Eredeti fejléccel'!$B:$B,'Felosztás eredménykim'!$B249,'Eredeti fejléccel'!$AY:$AY)</f>
        <v>0</v>
      </c>
      <c r="BZ249" s="6">
        <f>SUMIF('Eredeti fejléccel'!$B:$B,'Felosztás eredménykim'!$B249,'Eredeti fejléccel'!$AZ:$AZ)</f>
        <v>0</v>
      </c>
      <c r="CA249" s="6">
        <f>SUMIF('Eredeti fejléccel'!$B:$B,'Felosztás eredménykim'!$B249,'Eredeti fejléccel'!$BA:$BA)</f>
        <v>0</v>
      </c>
      <c r="CB249" s="6">
        <f t="shared" si="481"/>
        <v>0</v>
      </c>
      <c r="CC249" s="36">
        <f t="shared" si="554"/>
        <v>0</v>
      </c>
      <c r="CD249" s="8">
        <f t="shared" si="404"/>
        <v>0</v>
      </c>
      <c r="CE249" s="6">
        <f>SUMIF('Eredeti fejléccel'!$B:$B,'Felosztás eredménykim'!$B249,'Eredeti fejléccel'!$BC:$BC)</f>
        <v>0</v>
      </c>
      <c r="CF249" s="8">
        <f t="shared" si="555"/>
        <v>0</v>
      </c>
      <c r="CG249" s="6">
        <f>SUMIF('Eredeti fejléccel'!$B:$B,'Felosztás eredménykim'!$B249,'Eredeti fejléccel'!$H:$H)</f>
        <v>0</v>
      </c>
      <c r="CH249" s="6">
        <f>SUMIF('Eredeti fejléccel'!$B:$B,'Felosztás eredménykim'!$B249,'Eredeti fejléccel'!$BE:$BE)</f>
        <v>0</v>
      </c>
      <c r="CI249" s="6">
        <f t="shared" si="524"/>
        <v>0</v>
      </c>
      <c r="CJ249" s="36">
        <f t="shared" si="556"/>
        <v>0</v>
      </c>
      <c r="CK249" s="8">
        <f t="shared" si="405"/>
        <v>0</v>
      </c>
      <c r="CL249" s="8">
        <f t="shared" si="557"/>
        <v>0</v>
      </c>
      <c r="CM249" s="6">
        <f>SUMIF('Eredeti fejléccel'!$B:$B,'Felosztás eredménykim'!$B249,'Eredeti fejléccel'!$BD:$BD)</f>
        <v>0</v>
      </c>
      <c r="CN249" s="8">
        <f t="shared" si="525"/>
        <v>0</v>
      </c>
      <c r="CO249" s="8">
        <f t="shared" si="482"/>
        <v>0</v>
      </c>
      <c r="CR249" s="36">
        <f t="shared" si="406"/>
        <v>0</v>
      </c>
      <c r="CS249" s="6">
        <f>SUMIF('Eredeti fejléccel'!$B:$B,'Felosztás eredménykim'!$B249,'Eredeti fejléccel'!$I:$I)</f>
        <v>0</v>
      </c>
      <c r="CT249" s="6">
        <f>SUMIF('Eredeti fejléccel'!$B:$B,'Felosztás eredménykim'!$B249,'Eredeti fejléccel'!$BG:$BG)</f>
        <v>0</v>
      </c>
      <c r="CU249" s="6">
        <f>SUMIF('Eredeti fejléccel'!$B:$B,'Felosztás eredménykim'!$B249,'Eredeti fejléccel'!$BH:$BH)</f>
        <v>0</v>
      </c>
      <c r="CV249" s="6">
        <f>SUMIF('Eredeti fejléccel'!$B:$B,'Felosztás eredménykim'!$B249,'Eredeti fejléccel'!$BI:$BI)</f>
        <v>0</v>
      </c>
      <c r="CW249" s="6">
        <f>SUMIF('Eredeti fejléccel'!$B:$B,'Felosztás eredménykim'!$B249,'Eredeti fejléccel'!$BL:$BL)</f>
        <v>0</v>
      </c>
      <c r="CX249" s="6">
        <f t="shared" si="526"/>
        <v>0</v>
      </c>
      <c r="CY249" s="6">
        <f>SUMIF('Eredeti fejléccel'!$B:$B,'Felosztás eredménykim'!$B249,'Eredeti fejléccel'!$BJ:$BJ)</f>
        <v>0</v>
      </c>
      <c r="CZ249" s="6">
        <f>SUMIF('Eredeti fejléccel'!$B:$B,'Felosztás eredménykim'!$B249,'Eredeti fejléccel'!$BK:$BK)</f>
        <v>0</v>
      </c>
      <c r="DA249" s="99">
        <f t="shared" si="415"/>
        <v>0</v>
      </c>
      <c r="DC249" s="36">
        <f t="shared" si="407"/>
        <v>0</v>
      </c>
      <c r="DD249" s="6">
        <f>SUMIF('Eredeti fejléccel'!$B:$B,'Felosztás eredménykim'!$B249,'Eredeti fejléccel'!$J:$J)</f>
        <v>0</v>
      </c>
      <c r="DE249" s="6">
        <f>SUMIF('Eredeti fejléccel'!$B:$B,'Felosztás eredménykim'!$B249,'Eredeti fejléccel'!$BM:$BM)</f>
        <v>0</v>
      </c>
      <c r="DF249" s="6">
        <f t="shared" si="543"/>
        <v>0</v>
      </c>
      <c r="DG249" s="8">
        <f t="shared" si="483"/>
        <v>0</v>
      </c>
      <c r="DH249" s="8">
        <f t="shared" si="544"/>
        <v>0</v>
      </c>
      <c r="DJ249" s="6">
        <f>SUMIF('Eredeti fejléccel'!$B:$B,'Felosztás eredménykim'!$B249,'Eredeti fejléccel'!$BN:$BN)</f>
        <v>0</v>
      </c>
      <c r="DK249" s="6">
        <f>SUMIF('Eredeti fejléccel'!$B:$B,'Felosztás eredménykim'!$B249,'Eredeti fejléccel'!$BZ:$BZ)</f>
        <v>0</v>
      </c>
      <c r="DL249" s="8">
        <f t="shared" si="545"/>
        <v>0</v>
      </c>
      <c r="DM249" s="6">
        <f>SUMIF('Eredeti fejléccel'!$B:$B,'Felosztás eredménykim'!$B249,'Eredeti fejléccel'!$BR:$BR)</f>
        <v>0</v>
      </c>
      <c r="DN249" s="6">
        <f>SUMIF('Eredeti fejléccel'!$B:$B,'Felosztás eredménykim'!$B249,'Eredeti fejléccel'!$BS:$BS)</f>
        <v>0</v>
      </c>
      <c r="DO249" s="6">
        <f>SUMIF('Eredeti fejléccel'!$B:$B,'Felosztás eredménykim'!$B249,'Eredeti fejléccel'!$BO:$BO)</f>
        <v>0</v>
      </c>
      <c r="DP249" s="6">
        <f>SUMIF('Eredeti fejléccel'!$B:$B,'Felosztás eredménykim'!$B249,'Eredeti fejléccel'!$BP:$BP)</f>
        <v>0</v>
      </c>
      <c r="DQ249" s="6">
        <f>SUMIF('Eredeti fejléccel'!$B:$B,'Felosztás eredménykim'!$B249,'Eredeti fejléccel'!$BQ:$BQ)</f>
        <v>0</v>
      </c>
      <c r="DS249" s="8"/>
      <c r="DU249" s="6">
        <f>SUMIF('Eredeti fejléccel'!$B:$B,'Felosztás eredménykim'!$B249,'Eredeti fejléccel'!$BT:$BT)</f>
        <v>0</v>
      </c>
      <c r="DV249" s="6">
        <f>SUMIF('Eredeti fejléccel'!$B:$B,'Felosztás eredménykim'!$B249,'Eredeti fejléccel'!$BU:$BU)</f>
        <v>0</v>
      </c>
      <c r="DW249" s="6">
        <f>SUMIF('Eredeti fejléccel'!$B:$B,'Felosztás eredménykim'!$B249,'Eredeti fejléccel'!$BV:$BV)</f>
        <v>0</v>
      </c>
      <c r="DX249" s="6">
        <f>SUMIF('Eredeti fejléccel'!$B:$B,'Felosztás eredménykim'!$B249,'Eredeti fejléccel'!$BW:$BW)</f>
        <v>0</v>
      </c>
      <c r="DY249" s="6">
        <f>SUMIF('Eredeti fejléccel'!$B:$B,'Felosztás eredménykim'!$B249,'Eredeti fejléccel'!$BX:$BX)</f>
        <v>0</v>
      </c>
      <c r="EA249" s="6"/>
      <c r="EC249" s="6"/>
      <c r="EE249" s="6">
        <f>SUMIF('Eredeti fejléccel'!$B:$B,'Felosztás eredménykim'!$B249,'Eredeti fejléccel'!$CA:$CA)</f>
        <v>0</v>
      </c>
      <c r="EF249" s="6">
        <f>SUMIF('Eredeti fejléccel'!$B:$B,'Felosztás eredménykim'!$B249,'Eredeti fejléccel'!$CB:$CB)</f>
        <v>0</v>
      </c>
      <c r="EG249" s="6">
        <f>SUMIF('Eredeti fejléccel'!$B:$B,'Felosztás eredménykim'!$B249,'Eredeti fejléccel'!$CC:$CC)</f>
        <v>0</v>
      </c>
      <c r="EH249" s="6">
        <f>SUMIF('Eredeti fejléccel'!$B:$B,'Felosztás eredménykim'!$B249,'Eredeti fejléccel'!$CD:$CD)</f>
        <v>0</v>
      </c>
      <c r="EK249" s="6">
        <f>SUMIF('Eredeti fejléccel'!$B:$B,'Felosztás eredménykim'!$B249,'Eredeti fejléccel'!$CE:$CE)</f>
        <v>0</v>
      </c>
      <c r="EN249" s="6">
        <f>SUMIF('Eredeti fejléccel'!$B:$B,'Felosztás eredménykim'!$B249,'Eredeti fejléccel'!$CF:$CF)</f>
        <v>0</v>
      </c>
      <c r="EP249" s="6">
        <f>SUMIF('Eredeti fejléccel'!$B:$B,'Felosztás eredménykim'!$B249,'Eredeti fejléccel'!$CG:$CG)</f>
        <v>0</v>
      </c>
      <c r="ES249" s="6">
        <f>SUMIF('Eredeti fejléccel'!$B:$B,'Felosztás eredménykim'!$B249,'Eredeti fejléccel'!$CH:$CH)</f>
        <v>0</v>
      </c>
      <c r="ET249" s="6">
        <f>SUMIF('Eredeti fejléccel'!$B:$B,'Felosztás eredménykim'!$B249,'Eredeti fejléccel'!$CI:$CI)</f>
        <v>0</v>
      </c>
      <c r="EW249" s="8">
        <f t="shared" si="535"/>
        <v>0</v>
      </c>
      <c r="EX249" s="8">
        <f t="shared" si="527"/>
        <v>0</v>
      </c>
      <c r="EY249" s="8">
        <f t="shared" si="416"/>
        <v>0</v>
      </c>
      <c r="EZ249" s="8">
        <f t="shared" si="536"/>
        <v>0</v>
      </c>
      <c r="FA249" s="8">
        <f t="shared" si="537"/>
        <v>0</v>
      </c>
      <c r="FC249" s="6">
        <f>SUMIF('Eredeti fejléccel'!$B:$B,'Felosztás eredménykim'!$B249,'Eredeti fejléccel'!$L:$L)</f>
        <v>0</v>
      </c>
      <c r="FD249" s="6">
        <f>SUMIF('Eredeti fejléccel'!$B:$B,'Felosztás eredménykim'!$B249,'Eredeti fejléccel'!$CJ:$CJ)</f>
        <v>0</v>
      </c>
      <c r="FE249" s="6">
        <f>SUMIF('Eredeti fejléccel'!$B:$B,'Felosztás eredménykim'!$B249,'Eredeti fejléccel'!$CL:$CL)</f>
        <v>0</v>
      </c>
      <c r="FG249" s="99">
        <f t="shared" si="528"/>
        <v>0</v>
      </c>
      <c r="FH249" s="6">
        <f>SUMIF('Eredeti fejléccel'!$B:$B,'Felosztás eredménykim'!$B249,'Eredeti fejléccel'!$CK:$CK)</f>
        <v>0</v>
      </c>
      <c r="FI249" s="36">
        <f t="shared" si="558"/>
        <v>0</v>
      </c>
      <c r="FJ249" s="101">
        <f t="shared" si="408"/>
        <v>0</v>
      </c>
      <c r="FK249" s="6">
        <f>SUMIF('Eredeti fejléccel'!$B:$B,'Felosztás eredménykim'!$B249,'Eredeti fejléccel'!$CM:$CM)</f>
        <v>0</v>
      </c>
      <c r="FL249" s="6">
        <f>SUMIF('Eredeti fejléccel'!$B:$B,'Felosztás eredménykim'!$B249,'Eredeti fejléccel'!$CN:$CN)</f>
        <v>0</v>
      </c>
      <c r="FM249" s="8">
        <f t="shared" si="529"/>
        <v>0</v>
      </c>
      <c r="FN249" s="36">
        <f t="shared" si="559"/>
        <v>0</v>
      </c>
      <c r="FO249" s="101">
        <f t="shared" si="409"/>
        <v>0</v>
      </c>
      <c r="FP249" s="6">
        <f>SUMIF('Eredeti fejléccel'!$B:$B,'Felosztás eredménykim'!$B249,'Eredeti fejléccel'!$CO:$CO)</f>
        <v>0</v>
      </c>
      <c r="FQ249" s="6">
        <f>'Eredeti fejléccel'!CP249</f>
        <v>0</v>
      </c>
      <c r="FR249" s="6">
        <f>'Eredeti fejléccel'!CQ249</f>
        <v>0</v>
      </c>
      <c r="FS249" s="103">
        <f t="shared" si="417"/>
        <v>0</v>
      </c>
      <c r="FT249" s="36">
        <f t="shared" si="560"/>
        <v>0</v>
      </c>
      <c r="FU249" s="101">
        <f t="shared" si="410"/>
        <v>0</v>
      </c>
      <c r="FV249" s="101"/>
      <c r="FW249" s="6">
        <f>SUMIF('Eredeti fejléccel'!$B:$B,'Felosztás eredménykim'!$B249,'Eredeti fejléccel'!$CR:$CR)</f>
        <v>0</v>
      </c>
      <c r="FX249" s="6">
        <f>SUMIF('Eredeti fejléccel'!$B:$B,'Felosztás eredménykim'!$B249,'Eredeti fejléccel'!$CS:$CS)</f>
        <v>0</v>
      </c>
      <c r="FY249" s="6">
        <f>SUMIF('Eredeti fejléccel'!$B:$B,'Felosztás eredménykim'!$B249,'Eredeti fejléccel'!$CT:$CT)</f>
        <v>0</v>
      </c>
      <c r="FZ249" s="6">
        <f>SUMIF('Eredeti fejléccel'!$B:$B,'Felosztás eredménykim'!$B249,'Eredeti fejléccel'!$CU:$CU)</f>
        <v>0</v>
      </c>
      <c r="GA249" s="103">
        <f t="shared" si="530"/>
        <v>0</v>
      </c>
      <c r="GB249" s="36">
        <f t="shared" si="561"/>
        <v>0</v>
      </c>
      <c r="GC249" s="101">
        <f t="shared" si="411"/>
        <v>0</v>
      </c>
      <c r="GD249" s="6">
        <f>SUMIF('Eredeti fejléccel'!$B:$B,'Felosztás eredménykim'!$B249,'Eredeti fejléccel'!$CV:$CV)</f>
        <v>0</v>
      </c>
      <c r="GE249" s="6">
        <f>SUMIF('Eredeti fejléccel'!$B:$B,'Felosztás eredménykim'!$B249,'Eredeti fejléccel'!$CW:$CW)</f>
        <v>0</v>
      </c>
      <c r="GF249" s="103">
        <f t="shared" si="531"/>
        <v>0</v>
      </c>
      <c r="GG249" s="36">
        <f t="shared" si="412"/>
        <v>0</v>
      </c>
      <c r="GM249" s="6">
        <f>SUMIF('Eredeti fejléccel'!$B:$B,'Felosztás eredménykim'!$B249,'Eredeti fejléccel'!$CX:$CX)</f>
        <v>0</v>
      </c>
      <c r="GN249" s="6">
        <f>SUMIF('Eredeti fejléccel'!$B:$B,'Felosztás eredménykim'!$B249,'Eredeti fejléccel'!$CY:$CY)</f>
        <v>0</v>
      </c>
      <c r="GO249" s="6">
        <f>SUMIF('Eredeti fejléccel'!$B:$B,'Felosztás eredménykim'!$B249,'Eredeti fejléccel'!$CZ:$CZ)</f>
        <v>0</v>
      </c>
      <c r="GP249" s="6">
        <f>SUMIF('Eredeti fejléccel'!$B:$B,'Felosztás eredménykim'!$B249,'Eredeti fejléccel'!$DA:$DA)</f>
        <v>0</v>
      </c>
      <c r="GQ249" s="6">
        <f>SUMIF('Eredeti fejléccel'!$B:$B,'Felosztás eredménykim'!$B249,'Eredeti fejléccel'!$DB:$DB)</f>
        <v>0</v>
      </c>
      <c r="GR249" s="103">
        <f t="shared" si="532"/>
        <v>0</v>
      </c>
      <c r="GW249" s="36">
        <f t="shared" si="413"/>
        <v>0</v>
      </c>
      <c r="GX249" s="6">
        <f>SUMIF('Eredeti fejléccel'!$B:$B,'Felosztás eredménykim'!$B249,'Eredeti fejléccel'!$M:$M)</f>
        <v>0</v>
      </c>
      <c r="GY249" s="6">
        <f>SUMIF('Eredeti fejléccel'!$B:$B,'Felosztás eredménykim'!$B249,'Eredeti fejléccel'!$DC:$DC)</f>
        <v>0</v>
      </c>
      <c r="GZ249" s="6">
        <f>SUMIF('Eredeti fejléccel'!$B:$B,'Felosztás eredménykim'!$B249,'Eredeti fejléccel'!$DD:$DD)</f>
        <v>0</v>
      </c>
      <c r="HA249" s="6">
        <f>SUMIF('Eredeti fejléccel'!$B:$B,'Felosztás eredménykim'!$B249,'Eredeti fejléccel'!$DE:$DE)</f>
        <v>0</v>
      </c>
      <c r="HB249" s="103">
        <f t="shared" si="533"/>
        <v>0</v>
      </c>
      <c r="HD249" s="9">
        <f t="shared" si="547"/>
        <v>0</v>
      </c>
      <c r="HE249" s="9"/>
      <c r="HF249" s="476"/>
      <c r="HH249" s="34">
        <f t="shared" si="534"/>
        <v>0</v>
      </c>
    </row>
    <row r="250" spans="1:217" x14ac:dyDescent="0.25">
      <c r="A250" s="4" t="s">
        <v>333</v>
      </c>
      <c r="B250" s="4" t="s">
        <v>333</v>
      </c>
      <c r="C250" s="1" t="s">
        <v>334</v>
      </c>
      <c r="D250" s="6">
        <f>SUMIF('Eredeti fejléccel'!$B:$B,'Felosztás eredménykim'!$B250,'Eredeti fejléccel'!$D:$D)</f>
        <v>0</v>
      </c>
      <c r="E250" s="6">
        <f>SUMIF('Eredeti fejléccel'!$B:$B,'Felosztás eredménykim'!$B250,'Eredeti fejléccel'!$E:$E)</f>
        <v>0</v>
      </c>
      <c r="F250" s="6">
        <f>SUMIF('Eredeti fejléccel'!$B:$B,'Felosztás eredménykim'!$B250,'Eredeti fejléccel'!$F:$F)</f>
        <v>0</v>
      </c>
      <c r="G250" s="6">
        <f>SUMIF('Eredeti fejléccel'!$B:$B,'Felosztás eredménykim'!$B250,'Eredeti fejléccel'!$G:$G)</f>
        <v>0</v>
      </c>
      <c r="H250" s="6"/>
      <c r="I250" s="6">
        <f>SUMIF('Eredeti fejléccel'!$B:$B,'Felosztás eredménykim'!$B250,'Eredeti fejléccel'!$O:$O)</f>
        <v>0</v>
      </c>
      <c r="J250" s="6">
        <f>SUMIF('Eredeti fejléccel'!$B:$B,'Felosztás eredménykim'!$B250,'Eredeti fejléccel'!$P:$P)</f>
        <v>0</v>
      </c>
      <c r="K250" s="6">
        <f>SUMIF('Eredeti fejléccel'!$B:$B,'Felosztás eredménykim'!$B250,'Eredeti fejléccel'!$Q:$Q)</f>
        <v>0</v>
      </c>
      <c r="L250" s="6">
        <f>SUMIF('Eredeti fejléccel'!$B:$B,'Felosztás eredménykim'!$B250,'Eredeti fejléccel'!$R:$R)</f>
        <v>0</v>
      </c>
      <c r="M250" s="6">
        <f>SUMIF('Eredeti fejléccel'!$B:$B,'Felosztás eredménykim'!$B250,'Eredeti fejléccel'!$T:$T)</f>
        <v>0</v>
      </c>
      <c r="N250" s="6">
        <f>SUMIF('Eredeti fejléccel'!$B:$B,'Felosztás eredménykim'!$B250,'Eredeti fejléccel'!$U:$U)</f>
        <v>0</v>
      </c>
      <c r="O250" s="6">
        <f>SUMIF('Eredeti fejléccel'!$B:$B,'Felosztás eredménykim'!$B250,'Eredeti fejléccel'!$V:$V)</f>
        <v>0</v>
      </c>
      <c r="P250" s="6">
        <f>SUMIF('Eredeti fejléccel'!$B:$B,'Felosztás eredménykim'!$B250,'Eredeti fejléccel'!$W:$W)</f>
        <v>0</v>
      </c>
      <c r="Q250" s="6">
        <f>SUMIF('Eredeti fejléccel'!$B:$B,'Felosztás eredménykim'!$B250,'Eredeti fejléccel'!$X:$X)</f>
        <v>0</v>
      </c>
      <c r="R250" s="6">
        <f>SUMIF('Eredeti fejléccel'!$B:$B,'Felosztás eredménykim'!$B250,'Eredeti fejléccel'!$Y:$Y)</f>
        <v>0</v>
      </c>
      <c r="S250" s="6">
        <f>SUMIF('Eredeti fejléccel'!$B:$B,'Felosztás eredménykim'!$B250,'Eredeti fejléccel'!$Z:$Z)</f>
        <v>0</v>
      </c>
      <c r="T250" s="6">
        <f>SUMIF('Eredeti fejléccel'!$B:$B,'Felosztás eredménykim'!$B250,'Eredeti fejléccel'!$AA:$AA)</f>
        <v>0</v>
      </c>
      <c r="U250" s="6">
        <f>SUMIF('Eredeti fejléccel'!$B:$B,'Felosztás eredménykim'!$B250,'Eredeti fejléccel'!$D:$D)</f>
        <v>0</v>
      </c>
      <c r="V250" s="6">
        <f>SUMIF('Eredeti fejléccel'!$B:$B,'Felosztás eredménykim'!$B250,'Eredeti fejléccel'!$AT:$AT)</f>
        <v>0</v>
      </c>
      <c r="X250" s="36">
        <f t="shared" si="414"/>
        <v>0</v>
      </c>
      <c r="Z250" s="6">
        <f>SUMIF('Eredeti fejléccel'!$B:$B,'Felosztás eredménykim'!$B250,'Eredeti fejléccel'!$K:$K)</f>
        <v>0</v>
      </c>
      <c r="AB250" s="6">
        <f>SUMIF('Eredeti fejléccel'!$B:$B,'Felosztás eredménykim'!$B250,'Eredeti fejléccel'!$AB:$AB)</f>
        <v>0</v>
      </c>
      <c r="AC250" s="6">
        <f>SUMIF('Eredeti fejléccel'!$B:$B,'Felosztás eredménykim'!$B250,'Eredeti fejléccel'!$AQ:$AQ)</f>
        <v>0</v>
      </c>
      <c r="AE250" s="73">
        <f t="shared" si="548"/>
        <v>0</v>
      </c>
      <c r="AF250" s="36">
        <f t="shared" si="549"/>
        <v>0</v>
      </c>
      <c r="AG250" s="8">
        <f t="shared" si="399"/>
        <v>0</v>
      </c>
      <c r="AI250" s="6">
        <f>SUMIF('Eredeti fejléccel'!$B:$B,'Felosztás eredménykim'!$B250,'Eredeti fejléccel'!$BB:$BB)</f>
        <v>0</v>
      </c>
      <c r="AJ250" s="6">
        <f>SUMIF('Eredeti fejléccel'!$B:$B,'Felosztás eredménykim'!$B250,'Eredeti fejléccel'!$AF:$AF)</f>
        <v>0</v>
      </c>
      <c r="AK250" s="8">
        <f t="shared" si="522"/>
        <v>0</v>
      </c>
      <c r="AL250" s="36">
        <f t="shared" si="550"/>
        <v>0</v>
      </c>
      <c r="AM250" s="8">
        <f t="shared" si="400"/>
        <v>0</v>
      </c>
      <c r="AN250" s="6">
        <f t="shared" si="538"/>
        <v>0</v>
      </c>
      <c r="AO250" s="6">
        <f>SUMIF('Eredeti fejléccel'!$B:$B,'Felosztás eredménykim'!$B250,'Eredeti fejléccel'!$AC:$AC)</f>
        <v>0</v>
      </c>
      <c r="AP250" s="6">
        <f>SUMIF('Eredeti fejléccel'!$B:$B,'Felosztás eredménykim'!$B250,'Eredeti fejléccel'!$AD:$AD)</f>
        <v>0</v>
      </c>
      <c r="AQ250" s="6">
        <f>SUMIF('Eredeti fejléccel'!$B:$B,'Felosztás eredménykim'!$B250,'Eredeti fejléccel'!$AE:$AE)</f>
        <v>0</v>
      </c>
      <c r="AR250" s="6">
        <f>SUMIF('Eredeti fejléccel'!$B:$B,'Felosztás eredménykim'!$B250,'Eredeti fejléccel'!$AG:$AG)</f>
        <v>0</v>
      </c>
      <c r="AS250" s="6">
        <f t="shared" si="539"/>
        <v>0</v>
      </c>
      <c r="AT250" s="36">
        <f t="shared" si="551"/>
        <v>0</v>
      </c>
      <c r="AU250" s="8">
        <f t="shared" si="401"/>
        <v>0</v>
      </c>
      <c r="AV250" s="6">
        <f>SUMIF('Eredeti fejléccel'!$B:$B,'Felosztás eredménykim'!$B250,'Eredeti fejléccel'!$AI:$AI)</f>
        <v>0</v>
      </c>
      <c r="AW250" s="6">
        <f>SUMIF('Eredeti fejléccel'!$B:$B,'Felosztás eredménykim'!$B250,'Eredeti fejléccel'!$AJ:$AJ)</f>
        <v>0</v>
      </c>
      <c r="AX250" s="6">
        <f>SUMIF('Eredeti fejléccel'!$B:$B,'Felosztás eredménykim'!$B250,'Eredeti fejléccel'!$AK:$AK)</f>
        <v>0</v>
      </c>
      <c r="AY250" s="6">
        <f>SUMIF('Eredeti fejléccel'!$B:$B,'Felosztás eredménykim'!$B250,'Eredeti fejléccel'!$AL:$AL)</f>
        <v>0</v>
      </c>
      <c r="AZ250" s="6">
        <f>SUMIF('Eredeti fejléccel'!$B:$B,'Felosztás eredménykim'!$B250,'Eredeti fejléccel'!$AM:$AM)</f>
        <v>0</v>
      </c>
      <c r="BA250" s="6">
        <f>SUMIF('Eredeti fejléccel'!$B:$B,'Felosztás eredménykim'!$B250,'Eredeti fejléccel'!$AN:$AN)</f>
        <v>0</v>
      </c>
      <c r="BB250" s="6">
        <f>SUMIF('Eredeti fejléccel'!$B:$B,'Felosztás eredménykim'!$B250,'Eredeti fejléccel'!$AP:$AP)</f>
        <v>0</v>
      </c>
      <c r="BD250" s="6">
        <f>SUMIF('Eredeti fejléccel'!$B:$B,'Felosztás eredménykim'!$B250,'Eredeti fejléccel'!$AS:$AS)</f>
        <v>0</v>
      </c>
      <c r="BE250" s="8">
        <f t="shared" si="523"/>
        <v>0</v>
      </c>
      <c r="BF250" s="36">
        <f t="shared" si="552"/>
        <v>0</v>
      </c>
      <c r="BG250" s="8">
        <f t="shared" si="402"/>
        <v>0</v>
      </c>
      <c r="BH250" s="6">
        <f t="shared" si="540"/>
        <v>0</v>
      </c>
      <c r="BI250" s="6">
        <f>SUMIF('Eredeti fejléccel'!$B:$B,'Felosztás eredménykim'!$B250,'Eredeti fejléccel'!$AH:$AH)</f>
        <v>0</v>
      </c>
      <c r="BJ250" s="6">
        <f>SUMIF('Eredeti fejléccel'!$B:$B,'Felosztás eredménykim'!$B250,'Eredeti fejléccel'!$AO:$AO)</f>
        <v>0</v>
      </c>
      <c r="BK250" s="6">
        <f>SUMIF('Eredeti fejléccel'!$B:$B,'Felosztás eredménykim'!$B250,'Eredeti fejléccel'!$BF:$BF)</f>
        <v>0</v>
      </c>
      <c r="BL250" s="8">
        <f t="shared" si="541"/>
        <v>0</v>
      </c>
      <c r="BM250" s="36">
        <f t="shared" si="553"/>
        <v>0</v>
      </c>
      <c r="BN250" s="8">
        <f t="shared" si="403"/>
        <v>0</v>
      </c>
      <c r="BP250" s="8">
        <f t="shared" si="542"/>
        <v>0</v>
      </c>
      <c r="BQ250" s="6">
        <f>SUMIF('Eredeti fejléccel'!$B:$B,'Felosztás eredménykim'!$B250,'Eredeti fejléccel'!$N:$N)</f>
        <v>0</v>
      </c>
      <c r="BR250" s="6">
        <f>SUMIF('Eredeti fejléccel'!$B:$B,'Felosztás eredménykim'!$B250,'Eredeti fejléccel'!$S:$S)</f>
        <v>0</v>
      </c>
      <c r="BT250" s="6">
        <f>SUMIF('Eredeti fejléccel'!$B:$B,'Felosztás eredménykim'!$B250,'Eredeti fejléccel'!$AR:$AR)</f>
        <v>0</v>
      </c>
      <c r="BU250" s="6">
        <f>SUMIF('Eredeti fejléccel'!$B:$B,'Felosztás eredménykim'!$B250,'Eredeti fejléccel'!$AU:$AU)</f>
        <v>0</v>
      </c>
      <c r="BV250" s="6">
        <f>SUMIF('Eredeti fejléccel'!$B:$B,'Felosztás eredménykim'!$B250,'Eredeti fejléccel'!$AV:$AV)</f>
        <v>0</v>
      </c>
      <c r="BW250" s="6">
        <f>SUMIF('Eredeti fejléccel'!$B:$B,'Felosztás eredménykim'!$B250,'Eredeti fejléccel'!$AW:$AW)</f>
        <v>0</v>
      </c>
      <c r="BX250" s="6">
        <f>SUMIF('Eredeti fejléccel'!$B:$B,'Felosztás eredménykim'!$B250,'Eredeti fejléccel'!$AX:$AX)</f>
        <v>0</v>
      </c>
      <c r="BY250" s="6">
        <f>SUMIF('Eredeti fejléccel'!$B:$B,'Felosztás eredménykim'!$B250,'Eredeti fejléccel'!$AY:$AY)</f>
        <v>0</v>
      </c>
      <c r="BZ250" s="6">
        <f>SUMIF('Eredeti fejléccel'!$B:$B,'Felosztás eredménykim'!$B250,'Eredeti fejléccel'!$AZ:$AZ)</f>
        <v>0</v>
      </c>
      <c r="CA250" s="6">
        <f>SUMIF('Eredeti fejléccel'!$B:$B,'Felosztás eredménykim'!$B250,'Eredeti fejléccel'!$BA:$BA)</f>
        <v>-616500</v>
      </c>
      <c r="CB250" s="6">
        <f t="shared" si="481"/>
        <v>-616500</v>
      </c>
      <c r="CC250" s="36">
        <f t="shared" si="554"/>
        <v>0</v>
      </c>
      <c r="CD250" s="8">
        <f t="shared" si="404"/>
        <v>0</v>
      </c>
      <c r="CE250" s="6">
        <f>SUMIF('Eredeti fejléccel'!$B:$B,'Felosztás eredménykim'!$B250,'Eredeti fejléccel'!$BC:$BC)</f>
        <v>0</v>
      </c>
      <c r="CF250" s="8">
        <f t="shared" si="555"/>
        <v>0</v>
      </c>
      <c r="CG250" s="6">
        <f>SUMIF('Eredeti fejléccel'!$B:$B,'Felosztás eredménykim'!$B250,'Eredeti fejléccel'!$H:$H)</f>
        <v>0</v>
      </c>
      <c r="CH250" s="6">
        <f>SUMIF('Eredeti fejléccel'!$B:$B,'Felosztás eredménykim'!$B250,'Eredeti fejléccel'!$BE:$BE)</f>
        <v>0</v>
      </c>
      <c r="CI250" s="6">
        <f t="shared" si="524"/>
        <v>0</v>
      </c>
      <c r="CJ250" s="36">
        <f t="shared" si="556"/>
        <v>0</v>
      </c>
      <c r="CK250" s="8">
        <f t="shared" si="405"/>
        <v>0</v>
      </c>
      <c r="CL250" s="8">
        <f t="shared" si="557"/>
        <v>0</v>
      </c>
      <c r="CM250" s="6">
        <f>SUMIF('Eredeti fejléccel'!$B:$B,'Felosztás eredménykim'!$B250,'Eredeti fejléccel'!$BD:$BD)</f>
        <v>0</v>
      </c>
      <c r="CN250" s="8">
        <f t="shared" si="525"/>
        <v>0</v>
      </c>
      <c r="CO250" s="8">
        <f t="shared" si="482"/>
        <v>-616500</v>
      </c>
      <c r="CR250" s="36">
        <f t="shared" si="406"/>
        <v>0</v>
      </c>
      <c r="CS250" s="6">
        <f>SUMIF('Eredeti fejléccel'!$B:$B,'Felosztás eredménykim'!$B250,'Eredeti fejléccel'!$I:$I)</f>
        <v>0</v>
      </c>
      <c r="CT250" s="6">
        <f>SUMIF('Eredeti fejléccel'!$B:$B,'Felosztás eredménykim'!$B250,'Eredeti fejléccel'!$BG:$BG)</f>
        <v>0</v>
      </c>
      <c r="CU250" s="6">
        <f>SUMIF('Eredeti fejléccel'!$B:$B,'Felosztás eredménykim'!$B250,'Eredeti fejléccel'!$BH:$BH)</f>
        <v>0</v>
      </c>
      <c r="CV250" s="6">
        <f>SUMIF('Eredeti fejléccel'!$B:$B,'Felosztás eredménykim'!$B250,'Eredeti fejléccel'!$BI:$BI)</f>
        <v>0</v>
      </c>
      <c r="CW250" s="6">
        <f>SUMIF('Eredeti fejléccel'!$B:$B,'Felosztás eredménykim'!$B250,'Eredeti fejléccel'!$BL:$BL)</f>
        <v>0</v>
      </c>
      <c r="CX250" s="6">
        <f t="shared" si="526"/>
        <v>0</v>
      </c>
      <c r="CY250" s="6">
        <f>SUMIF('Eredeti fejléccel'!$B:$B,'Felosztás eredménykim'!$B250,'Eredeti fejléccel'!$BJ:$BJ)</f>
        <v>0</v>
      </c>
      <c r="CZ250" s="6">
        <f>SUMIF('Eredeti fejléccel'!$B:$B,'Felosztás eredménykim'!$B250,'Eredeti fejléccel'!$BK:$BK)</f>
        <v>0</v>
      </c>
      <c r="DA250" s="99">
        <f t="shared" si="415"/>
        <v>0</v>
      </c>
      <c r="DC250" s="36">
        <f t="shared" si="407"/>
        <v>0</v>
      </c>
      <c r="DD250" s="6">
        <f>SUMIF('Eredeti fejléccel'!$B:$B,'Felosztás eredménykim'!$B250,'Eredeti fejléccel'!$J:$J)</f>
        <v>0</v>
      </c>
      <c r="DE250" s="6">
        <f>SUMIF('Eredeti fejléccel'!$B:$B,'Felosztás eredménykim'!$B250,'Eredeti fejléccel'!$BM:$BM)</f>
        <v>0</v>
      </c>
      <c r="DF250" s="6">
        <f t="shared" si="543"/>
        <v>0</v>
      </c>
      <c r="DG250" s="8">
        <f t="shared" si="483"/>
        <v>0</v>
      </c>
      <c r="DH250" s="8">
        <f t="shared" si="544"/>
        <v>0</v>
      </c>
      <c r="DJ250" s="6">
        <f>SUMIF('Eredeti fejléccel'!$B:$B,'Felosztás eredménykim'!$B250,'Eredeti fejléccel'!$BN:$BN)</f>
        <v>0</v>
      </c>
      <c r="DK250" s="6">
        <f>SUMIF('Eredeti fejléccel'!$B:$B,'Felosztás eredménykim'!$B250,'Eredeti fejléccel'!$BZ:$BZ)</f>
        <v>0</v>
      </c>
      <c r="DL250" s="8">
        <f t="shared" si="545"/>
        <v>0</v>
      </c>
      <c r="DM250" s="6">
        <f>SUMIF('Eredeti fejléccel'!$B:$B,'Felosztás eredménykim'!$B250,'Eredeti fejléccel'!$BR:$BR)</f>
        <v>0</v>
      </c>
      <c r="DN250" s="6">
        <f>SUMIF('Eredeti fejléccel'!$B:$B,'Felosztás eredménykim'!$B250,'Eredeti fejléccel'!$BS:$BS)</f>
        <v>0</v>
      </c>
      <c r="DO250" s="6">
        <f>SUMIF('Eredeti fejléccel'!$B:$B,'Felosztás eredménykim'!$B250,'Eredeti fejléccel'!$BO:$BO)</f>
        <v>0</v>
      </c>
      <c r="DP250" s="6">
        <f>SUMIF('Eredeti fejléccel'!$B:$B,'Felosztás eredménykim'!$B250,'Eredeti fejléccel'!$BP:$BP)</f>
        <v>0</v>
      </c>
      <c r="DQ250" s="6">
        <f>SUMIF('Eredeti fejléccel'!$B:$B,'Felosztás eredménykim'!$B250,'Eredeti fejléccel'!$BQ:$BQ)</f>
        <v>0</v>
      </c>
      <c r="DS250" s="8"/>
      <c r="DU250" s="6">
        <f>SUMIF('Eredeti fejléccel'!$B:$B,'Felosztás eredménykim'!$B250,'Eredeti fejléccel'!$BT:$BT)</f>
        <v>0</v>
      </c>
      <c r="DV250" s="6">
        <f>SUMIF('Eredeti fejléccel'!$B:$B,'Felosztás eredménykim'!$B250,'Eredeti fejléccel'!$BU:$BU)</f>
        <v>0</v>
      </c>
      <c r="DW250" s="6">
        <f>SUMIF('Eredeti fejléccel'!$B:$B,'Felosztás eredménykim'!$B250,'Eredeti fejléccel'!$BV:$BV)</f>
        <v>0</v>
      </c>
      <c r="DX250" s="6">
        <f>SUMIF('Eredeti fejléccel'!$B:$B,'Felosztás eredménykim'!$B250,'Eredeti fejléccel'!$BW:$BW)</f>
        <v>0</v>
      </c>
      <c r="DY250" s="6">
        <f>SUMIF('Eredeti fejléccel'!$B:$B,'Felosztás eredménykim'!$B250,'Eredeti fejléccel'!$BX:$BX)</f>
        <v>0</v>
      </c>
      <c r="EA250" s="6"/>
      <c r="EC250" s="6"/>
      <c r="EE250" s="6">
        <f>SUMIF('Eredeti fejléccel'!$B:$B,'Felosztás eredménykim'!$B250,'Eredeti fejléccel'!$CA:$CA)</f>
        <v>0</v>
      </c>
      <c r="EF250" s="6">
        <f>SUMIF('Eredeti fejléccel'!$B:$B,'Felosztás eredménykim'!$B250,'Eredeti fejléccel'!$CB:$CB)</f>
        <v>0</v>
      </c>
      <c r="EG250" s="6">
        <f>SUMIF('Eredeti fejléccel'!$B:$B,'Felosztás eredménykim'!$B250,'Eredeti fejléccel'!$CC:$CC)</f>
        <v>0</v>
      </c>
      <c r="EH250" s="6">
        <f>SUMIF('Eredeti fejléccel'!$B:$B,'Felosztás eredménykim'!$B250,'Eredeti fejléccel'!$CD:$CD)</f>
        <v>0</v>
      </c>
      <c r="EK250" s="6">
        <f>SUMIF('Eredeti fejléccel'!$B:$B,'Felosztás eredménykim'!$B250,'Eredeti fejléccel'!$CE:$CE)</f>
        <v>0</v>
      </c>
      <c r="EN250" s="6">
        <f>SUMIF('Eredeti fejléccel'!$B:$B,'Felosztás eredménykim'!$B250,'Eredeti fejléccel'!$CF:$CF)</f>
        <v>0</v>
      </c>
      <c r="EP250" s="6">
        <f>SUMIF('Eredeti fejléccel'!$B:$B,'Felosztás eredménykim'!$B250,'Eredeti fejléccel'!$CG:$CG)</f>
        <v>0</v>
      </c>
      <c r="ES250" s="6">
        <f>SUMIF('Eredeti fejléccel'!$B:$B,'Felosztás eredménykim'!$B250,'Eredeti fejléccel'!$CH:$CH)</f>
        <v>0</v>
      </c>
      <c r="ET250" s="6">
        <f>SUMIF('Eredeti fejléccel'!$B:$B,'Felosztás eredménykim'!$B250,'Eredeti fejléccel'!$CI:$CI)</f>
        <v>0</v>
      </c>
      <c r="EW250" s="8">
        <f t="shared" si="535"/>
        <v>0</v>
      </c>
      <c r="EX250" s="8">
        <f t="shared" si="527"/>
        <v>0</v>
      </c>
      <c r="EY250" s="8">
        <f t="shared" si="416"/>
        <v>0</v>
      </c>
      <c r="EZ250" s="8">
        <f t="shared" si="536"/>
        <v>0</v>
      </c>
      <c r="FA250" s="8">
        <f t="shared" si="537"/>
        <v>0</v>
      </c>
      <c r="FC250" s="6">
        <f>SUMIF('Eredeti fejléccel'!$B:$B,'Felosztás eredménykim'!$B250,'Eredeti fejléccel'!$L:$L)</f>
        <v>0</v>
      </c>
      <c r="FD250" s="6">
        <f>SUMIF('Eredeti fejléccel'!$B:$B,'Felosztás eredménykim'!$B250,'Eredeti fejléccel'!$CJ:$CJ)</f>
        <v>0</v>
      </c>
      <c r="FE250" s="6">
        <f>SUMIF('Eredeti fejléccel'!$B:$B,'Felosztás eredménykim'!$B250,'Eredeti fejléccel'!$CL:$CL)</f>
        <v>0</v>
      </c>
      <c r="FG250" s="99">
        <f t="shared" si="528"/>
        <v>0</v>
      </c>
      <c r="FH250" s="6">
        <f>SUMIF('Eredeti fejléccel'!$B:$B,'Felosztás eredménykim'!$B250,'Eredeti fejléccel'!$CK:$CK)</f>
        <v>0</v>
      </c>
      <c r="FI250" s="36">
        <f t="shared" si="558"/>
        <v>0</v>
      </c>
      <c r="FJ250" s="101">
        <f t="shared" si="408"/>
        <v>0</v>
      </c>
      <c r="FK250" s="6">
        <f>SUMIF('Eredeti fejléccel'!$B:$B,'Felosztás eredménykim'!$B250,'Eredeti fejléccel'!$CM:$CM)</f>
        <v>0</v>
      </c>
      <c r="FL250" s="6">
        <f>SUMIF('Eredeti fejléccel'!$B:$B,'Felosztás eredménykim'!$B250,'Eredeti fejléccel'!$CN:$CN)</f>
        <v>0</v>
      </c>
      <c r="FM250" s="8">
        <f t="shared" si="529"/>
        <v>0</v>
      </c>
      <c r="FN250" s="36">
        <f t="shared" si="559"/>
        <v>0</v>
      </c>
      <c r="FO250" s="101">
        <f t="shared" si="409"/>
        <v>0</v>
      </c>
      <c r="FP250" s="6">
        <f>SUMIF('Eredeti fejléccel'!$B:$B,'Felosztás eredménykim'!$B250,'Eredeti fejléccel'!$CO:$CO)</f>
        <v>0</v>
      </c>
      <c r="FQ250" s="6">
        <f>'Eredeti fejléccel'!CP250</f>
        <v>0</v>
      </c>
      <c r="FR250" s="6">
        <f>'Eredeti fejléccel'!CQ250</f>
        <v>0</v>
      </c>
      <c r="FS250" s="103">
        <f t="shared" si="417"/>
        <v>0</v>
      </c>
      <c r="FT250" s="36">
        <f t="shared" si="560"/>
        <v>0</v>
      </c>
      <c r="FU250" s="101">
        <f t="shared" si="410"/>
        <v>0</v>
      </c>
      <c r="FV250" s="101"/>
      <c r="FW250" s="6">
        <f>SUMIF('Eredeti fejléccel'!$B:$B,'Felosztás eredménykim'!$B250,'Eredeti fejléccel'!$CR:$CR)</f>
        <v>0</v>
      </c>
      <c r="FX250" s="6">
        <f>SUMIF('Eredeti fejléccel'!$B:$B,'Felosztás eredménykim'!$B250,'Eredeti fejléccel'!$CS:$CS)</f>
        <v>0</v>
      </c>
      <c r="FY250" s="6">
        <f>SUMIF('Eredeti fejléccel'!$B:$B,'Felosztás eredménykim'!$B250,'Eredeti fejléccel'!$CT:$CT)</f>
        <v>0</v>
      </c>
      <c r="FZ250" s="6">
        <f>SUMIF('Eredeti fejléccel'!$B:$B,'Felosztás eredménykim'!$B250,'Eredeti fejléccel'!$CU:$CU)</f>
        <v>0</v>
      </c>
      <c r="GA250" s="103">
        <f t="shared" si="530"/>
        <v>0</v>
      </c>
      <c r="GB250" s="36">
        <f t="shared" si="561"/>
        <v>0</v>
      </c>
      <c r="GC250" s="101">
        <f t="shared" si="411"/>
        <v>0</v>
      </c>
      <c r="GD250" s="6">
        <f>SUMIF('Eredeti fejléccel'!$B:$B,'Felosztás eredménykim'!$B250,'Eredeti fejléccel'!$CV:$CV)</f>
        <v>0</v>
      </c>
      <c r="GE250" s="6">
        <f>SUMIF('Eredeti fejléccel'!$B:$B,'Felosztás eredménykim'!$B250,'Eredeti fejléccel'!$CW:$CW)</f>
        <v>0</v>
      </c>
      <c r="GF250" s="103">
        <f t="shared" si="531"/>
        <v>0</v>
      </c>
      <c r="GG250" s="36">
        <f t="shared" si="412"/>
        <v>0</v>
      </c>
      <c r="GM250" s="6">
        <f>SUMIF('Eredeti fejléccel'!$B:$B,'Felosztás eredménykim'!$B250,'Eredeti fejléccel'!$CX:$CX)</f>
        <v>0</v>
      </c>
      <c r="GN250" s="6">
        <f>SUMIF('Eredeti fejléccel'!$B:$B,'Felosztás eredménykim'!$B250,'Eredeti fejléccel'!$CY:$CY)</f>
        <v>0</v>
      </c>
      <c r="GO250" s="6">
        <f>SUMIF('Eredeti fejléccel'!$B:$B,'Felosztás eredménykim'!$B250,'Eredeti fejléccel'!$CZ:$CZ)</f>
        <v>0</v>
      </c>
      <c r="GP250" s="6">
        <f>SUMIF('Eredeti fejléccel'!$B:$B,'Felosztás eredménykim'!$B250,'Eredeti fejléccel'!$DA:$DA)</f>
        <v>0</v>
      </c>
      <c r="GQ250" s="6">
        <f>SUMIF('Eredeti fejléccel'!$B:$B,'Felosztás eredménykim'!$B250,'Eredeti fejléccel'!$DB:$DB)</f>
        <v>0</v>
      </c>
      <c r="GR250" s="103">
        <f t="shared" si="532"/>
        <v>0</v>
      </c>
      <c r="GW250" s="36">
        <f t="shared" si="413"/>
        <v>0</v>
      </c>
      <c r="GX250" s="6">
        <f>SUMIF('Eredeti fejléccel'!$B:$B,'Felosztás eredménykim'!$B250,'Eredeti fejléccel'!$M:$M)</f>
        <v>0</v>
      </c>
      <c r="GY250" s="6">
        <f>SUMIF('Eredeti fejléccel'!$B:$B,'Felosztás eredménykim'!$B250,'Eredeti fejléccel'!$DC:$DC)</f>
        <v>0</v>
      </c>
      <c r="GZ250" s="6">
        <f>SUMIF('Eredeti fejléccel'!$B:$B,'Felosztás eredménykim'!$B250,'Eredeti fejléccel'!$DD:$DD)</f>
        <v>0</v>
      </c>
      <c r="HA250" s="6">
        <f>SUMIF('Eredeti fejléccel'!$B:$B,'Felosztás eredménykim'!$B250,'Eredeti fejléccel'!$DE:$DE)</f>
        <v>0</v>
      </c>
      <c r="HB250" s="103">
        <f t="shared" si="533"/>
        <v>0</v>
      </c>
      <c r="HD250" s="9">
        <f t="shared" si="547"/>
        <v>-616500</v>
      </c>
      <c r="HE250" s="9">
        <v>-616500</v>
      </c>
      <c r="HF250" s="476"/>
      <c r="HH250" s="34">
        <f t="shared" si="534"/>
        <v>0</v>
      </c>
    </row>
    <row r="251" spans="1:217" x14ac:dyDescent="0.25">
      <c r="A251" s="4" t="s">
        <v>335</v>
      </c>
      <c r="B251" s="4" t="s">
        <v>335</v>
      </c>
      <c r="C251" s="1" t="s">
        <v>336</v>
      </c>
      <c r="D251" s="6">
        <f>SUMIF('Eredeti fejléccel'!$B:$B,'Felosztás eredménykim'!$B251,'Eredeti fejléccel'!$D:$D)</f>
        <v>0</v>
      </c>
      <c r="E251" s="6">
        <f>SUMIF('Eredeti fejléccel'!$B:$B,'Felosztás eredménykim'!$B251,'Eredeti fejléccel'!$E:$E)</f>
        <v>0</v>
      </c>
      <c r="F251" s="6">
        <f>SUMIF('Eredeti fejléccel'!$B:$B,'Felosztás eredménykim'!$B251,'Eredeti fejléccel'!$F:$F)</f>
        <v>0</v>
      </c>
      <c r="G251" s="6">
        <f>SUMIF('Eredeti fejléccel'!$B:$B,'Felosztás eredménykim'!$B251,'Eredeti fejléccel'!$G:$G)</f>
        <v>0</v>
      </c>
      <c r="H251" s="6"/>
      <c r="I251" s="6">
        <f>SUMIF('Eredeti fejléccel'!$B:$B,'Felosztás eredménykim'!$B251,'Eredeti fejléccel'!$O:$O)</f>
        <v>0</v>
      </c>
      <c r="J251" s="6">
        <f>SUMIF('Eredeti fejléccel'!$B:$B,'Felosztás eredménykim'!$B251,'Eredeti fejléccel'!$P:$P)</f>
        <v>0</v>
      </c>
      <c r="K251" s="6">
        <f>SUMIF('Eredeti fejléccel'!$B:$B,'Felosztás eredménykim'!$B251,'Eredeti fejléccel'!$Q:$Q)</f>
        <v>0</v>
      </c>
      <c r="L251" s="6">
        <f>SUMIF('Eredeti fejléccel'!$B:$B,'Felosztás eredménykim'!$B251,'Eredeti fejléccel'!$R:$R)</f>
        <v>0</v>
      </c>
      <c r="M251" s="6">
        <f>SUMIF('Eredeti fejléccel'!$B:$B,'Felosztás eredménykim'!$B251,'Eredeti fejléccel'!$T:$T)</f>
        <v>0</v>
      </c>
      <c r="N251" s="6">
        <f>SUMIF('Eredeti fejléccel'!$B:$B,'Felosztás eredménykim'!$B251,'Eredeti fejléccel'!$U:$U)</f>
        <v>0</v>
      </c>
      <c r="O251" s="6">
        <f>SUMIF('Eredeti fejléccel'!$B:$B,'Felosztás eredménykim'!$B251,'Eredeti fejléccel'!$V:$V)</f>
        <v>0</v>
      </c>
      <c r="P251" s="6">
        <f>SUMIF('Eredeti fejléccel'!$B:$B,'Felosztás eredménykim'!$B251,'Eredeti fejléccel'!$W:$W)</f>
        <v>0</v>
      </c>
      <c r="Q251" s="6">
        <f>SUMIF('Eredeti fejléccel'!$B:$B,'Felosztás eredménykim'!$B251,'Eredeti fejléccel'!$X:$X)</f>
        <v>0</v>
      </c>
      <c r="R251" s="6">
        <f>SUMIF('Eredeti fejléccel'!$B:$B,'Felosztás eredménykim'!$B251,'Eredeti fejléccel'!$Y:$Y)</f>
        <v>0</v>
      </c>
      <c r="S251" s="6">
        <f>SUMIF('Eredeti fejléccel'!$B:$B,'Felosztás eredménykim'!$B251,'Eredeti fejléccel'!$Z:$Z)</f>
        <v>0</v>
      </c>
      <c r="T251" s="6">
        <f>SUMIF('Eredeti fejléccel'!$B:$B,'Felosztás eredménykim'!$B251,'Eredeti fejléccel'!$AA:$AA)</f>
        <v>0</v>
      </c>
      <c r="U251" s="6">
        <f>SUMIF('Eredeti fejléccel'!$B:$B,'Felosztás eredménykim'!$B251,'Eredeti fejléccel'!$D:$D)</f>
        <v>0</v>
      </c>
      <c r="V251" s="6">
        <f>SUMIF('Eredeti fejléccel'!$B:$B,'Felosztás eredménykim'!$B251,'Eredeti fejléccel'!$AT:$AT)</f>
        <v>0</v>
      </c>
      <c r="X251" s="36">
        <f t="shared" si="414"/>
        <v>0</v>
      </c>
      <c r="Z251" s="6">
        <f>SUMIF('Eredeti fejléccel'!$B:$B,'Felosztás eredménykim'!$B251,'Eredeti fejléccel'!$K:$K)</f>
        <v>0</v>
      </c>
      <c r="AB251" s="6">
        <f>SUMIF('Eredeti fejléccel'!$B:$B,'Felosztás eredménykim'!$B251,'Eredeti fejléccel'!$AB:$AB)</f>
        <v>0</v>
      </c>
      <c r="AC251" s="6">
        <f>SUMIF('Eredeti fejléccel'!$B:$B,'Felosztás eredménykim'!$B251,'Eredeti fejléccel'!$AQ:$AQ)</f>
        <v>0</v>
      </c>
      <c r="AE251" s="73">
        <f t="shared" si="548"/>
        <v>0</v>
      </c>
      <c r="AF251" s="36">
        <f t="shared" si="549"/>
        <v>0</v>
      </c>
      <c r="AG251" s="8">
        <f t="shared" si="399"/>
        <v>0</v>
      </c>
      <c r="AI251" s="6">
        <f>SUMIF('Eredeti fejléccel'!$B:$B,'Felosztás eredménykim'!$B251,'Eredeti fejléccel'!$BB:$BB)</f>
        <v>0</v>
      </c>
      <c r="AJ251" s="6">
        <f>SUMIF('Eredeti fejléccel'!$B:$B,'Felosztás eredménykim'!$B251,'Eredeti fejléccel'!$AF:$AF)</f>
        <v>0</v>
      </c>
      <c r="AK251" s="8">
        <f t="shared" si="522"/>
        <v>0</v>
      </c>
      <c r="AL251" s="36">
        <f t="shared" si="550"/>
        <v>0</v>
      </c>
      <c r="AM251" s="8">
        <f t="shared" si="400"/>
        <v>0</v>
      </c>
      <c r="AN251" s="6">
        <f t="shared" si="538"/>
        <v>0</v>
      </c>
      <c r="AO251" s="6">
        <f>SUMIF('Eredeti fejléccel'!$B:$B,'Felosztás eredménykim'!$B251,'Eredeti fejléccel'!$AC:$AC)</f>
        <v>0</v>
      </c>
      <c r="AP251" s="6">
        <f>SUMIF('Eredeti fejléccel'!$B:$B,'Felosztás eredménykim'!$B251,'Eredeti fejléccel'!$AD:$AD)</f>
        <v>0</v>
      </c>
      <c r="AQ251" s="6">
        <f>SUMIF('Eredeti fejléccel'!$B:$B,'Felosztás eredménykim'!$B251,'Eredeti fejléccel'!$AE:$AE)</f>
        <v>0</v>
      </c>
      <c r="AR251" s="6">
        <f>SUMIF('Eredeti fejléccel'!$B:$B,'Felosztás eredménykim'!$B251,'Eredeti fejléccel'!$AG:$AG)</f>
        <v>0</v>
      </c>
      <c r="AS251" s="6">
        <f t="shared" si="539"/>
        <v>0</v>
      </c>
      <c r="AT251" s="36">
        <f t="shared" si="551"/>
        <v>0</v>
      </c>
      <c r="AU251" s="8">
        <f t="shared" si="401"/>
        <v>0</v>
      </c>
      <c r="AV251" s="6">
        <f>SUMIF('Eredeti fejléccel'!$B:$B,'Felosztás eredménykim'!$B251,'Eredeti fejléccel'!$AI:$AI)</f>
        <v>0</v>
      </c>
      <c r="AW251" s="6">
        <f>SUMIF('Eredeti fejléccel'!$B:$B,'Felosztás eredménykim'!$B251,'Eredeti fejléccel'!$AJ:$AJ)</f>
        <v>0</v>
      </c>
      <c r="AX251" s="6">
        <f>SUMIF('Eredeti fejléccel'!$B:$B,'Felosztás eredménykim'!$B251,'Eredeti fejléccel'!$AK:$AK)</f>
        <v>0</v>
      </c>
      <c r="AY251" s="6">
        <f>SUMIF('Eredeti fejléccel'!$B:$B,'Felosztás eredménykim'!$B251,'Eredeti fejléccel'!$AL:$AL)</f>
        <v>0</v>
      </c>
      <c r="AZ251" s="6">
        <f>SUMIF('Eredeti fejléccel'!$B:$B,'Felosztás eredménykim'!$B251,'Eredeti fejléccel'!$AM:$AM)</f>
        <v>0</v>
      </c>
      <c r="BA251" s="6">
        <f>SUMIF('Eredeti fejléccel'!$B:$B,'Felosztás eredménykim'!$B251,'Eredeti fejléccel'!$AN:$AN)</f>
        <v>0</v>
      </c>
      <c r="BB251" s="6">
        <f>SUMIF('Eredeti fejléccel'!$B:$B,'Felosztás eredménykim'!$B251,'Eredeti fejléccel'!$AP:$AP)</f>
        <v>0</v>
      </c>
      <c r="BD251" s="6">
        <f>SUMIF('Eredeti fejléccel'!$B:$B,'Felosztás eredménykim'!$B251,'Eredeti fejléccel'!$AS:$AS)</f>
        <v>0</v>
      </c>
      <c r="BE251" s="8">
        <f t="shared" si="523"/>
        <v>0</v>
      </c>
      <c r="BF251" s="36">
        <f t="shared" si="552"/>
        <v>0</v>
      </c>
      <c r="BG251" s="8">
        <f t="shared" si="402"/>
        <v>0</v>
      </c>
      <c r="BH251" s="6">
        <f t="shared" si="540"/>
        <v>0</v>
      </c>
      <c r="BI251" s="6">
        <f>SUMIF('Eredeti fejléccel'!$B:$B,'Felosztás eredménykim'!$B251,'Eredeti fejléccel'!$AH:$AH)</f>
        <v>0</v>
      </c>
      <c r="BJ251" s="6">
        <f>SUMIF('Eredeti fejléccel'!$B:$B,'Felosztás eredménykim'!$B251,'Eredeti fejléccel'!$AO:$AO)</f>
        <v>0</v>
      </c>
      <c r="BK251" s="6">
        <f>SUMIF('Eredeti fejléccel'!$B:$B,'Felosztás eredménykim'!$B251,'Eredeti fejléccel'!$BF:$BF)</f>
        <v>0</v>
      </c>
      <c r="BL251" s="8">
        <f t="shared" si="541"/>
        <v>0</v>
      </c>
      <c r="BM251" s="36">
        <f t="shared" si="553"/>
        <v>0</v>
      </c>
      <c r="BN251" s="8">
        <f t="shared" si="403"/>
        <v>0</v>
      </c>
      <c r="BP251" s="8">
        <f t="shared" si="542"/>
        <v>0</v>
      </c>
      <c r="BQ251" s="6">
        <f>SUMIF('Eredeti fejléccel'!$B:$B,'Felosztás eredménykim'!$B251,'Eredeti fejléccel'!$N:$N)</f>
        <v>0</v>
      </c>
      <c r="BR251" s="6">
        <f>SUMIF('Eredeti fejléccel'!$B:$B,'Felosztás eredménykim'!$B251,'Eredeti fejléccel'!$S:$S)</f>
        <v>0</v>
      </c>
      <c r="BT251" s="6">
        <f>SUMIF('Eredeti fejléccel'!$B:$B,'Felosztás eredménykim'!$B251,'Eredeti fejléccel'!$AR:$AR)</f>
        <v>0</v>
      </c>
      <c r="BU251" s="6">
        <f>SUMIF('Eredeti fejléccel'!$B:$B,'Felosztás eredménykim'!$B251,'Eredeti fejléccel'!$AU:$AU)</f>
        <v>0</v>
      </c>
      <c r="BV251" s="6">
        <f>SUMIF('Eredeti fejléccel'!$B:$B,'Felosztás eredménykim'!$B251,'Eredeti fejléccel'!$AV:$AV)</f>
        <v>-9299212.5099999998</v>
      </c>
      <c r="BW251" s="6">
        <f>SUMIF('Eredeti fejléccel'!$B:$B,'Felosztás eredménykim'!$B251,'Eredeti fejléccel'!$AW:$AW)</f>
        <v>0</v>
      </c>
      <c r="BX251" s="6">
        <f>SUMIF('Eredeti fejléccel'!$B:$B,'Felosztás eredménykim'!$B251,'Eredeti fejléccel'!$AX:$AX)</f>
        <v>0</v>
      </c>
      <c r="BY251" s="6">
        <f>SUMIF('Eredeti fejléccel'!$B:$B,'Felosztás eredménykim'!$B251,'Eredeti fejléccel'!$AY:$AY)</f>
        <v>0</v>
      </c>
      <c r="BZ251" s="6">
        <f>SUMIF('Eredeti fejléccel'!$B:$B,'Felosztás eredménykim'!$B251,'Eredeti fejléccel'!$AZ:$AZ)</f>
        <v>0</v>
      </c>
      <c r="CA251" s="6">
        <f>SUMIF('Eredeti fejléccel'!$B:$B,'Felosztás eredménykim'!$B251,'Eredeti fejléccel'!$BA:$BA)</f>
        <v>-11023621</v>
      </c>
      <c r="CB251" s="6">
        <f t="shared" si="481"/>
        <v>-20322833.509999998</v>
      </c>
      <c r="CC251" s="36">
        <f t="shared" si="554"/>
        <v>0</v>
      </c>
      <c r="CD251" s="8">
        <f t="shared" si="404"/>
        <v>0</v>
      </c>
      <c r="CE251" s="6">
        <f>SUMIF('Eredeti fejléccel'!$B:$B,'Felosztás eredménykim'!$B251,'Eredeti fejléccel'!$BC:$BC)</f>
        <v>0</v>
      </c>
      <c r="CF251" s="8">
        <f t="shared" si="555"/>
        <v>0</v>
      </c>
      <c r="CG251" s="6">
        <f>SUMIF('Eredeti fejléccel'!$B:$B,'Felosztás eredménykim'!$B251,'Eredeti fejléccel'!$H:$H)</f>
        <v>0</v>
      </c>
      <c r="CH251" s="6">
        <f>SUMIF('Eredeti fejléccel'!$B:$B,'Felosztás eredménykim'!$B251,'Eredeti fejléccel'!$BE:$BE)</f>
        <v>0</v>
      </c>
      <c r="CI251" s="6">
        <f t="shared" si="524"/>
        <v>0</v>
      </c>
      <c r="CJ251" s="36">
        <f t="shared" si="556"/>
        <v>0</v>
      </c>
      <c r="CK251" s="8">
        <f t="shared" si="405"/>
        <v>0</v>
      </c>
      <c r="CL251" s="8">
        <f t="shared" si="557"/>
        <v>0</v>
      </c>
      <c r="CM251" s="6">
        <f>SUMIF('Eredeti fejléccel'!$B:$B,'Felosztás eredménykim'!$B251,'Eredeti fejléccel'!$BD:$BD)</f>
        <v>0</v>
      </c>
      <c r="CN251" s="8">
        <f t="shared" si="525"/>
        <v>0</v>
      </c>
      <c r="CO251" s="8">
        <f t="shared" si="482"/>
        <v>-20322833.509999998</v>
      </c>
      <c r="CR251" s="36">
        <f t="shared" si="406"/>
        <v>0</v>
      </c>
      <c r="CS251" s="6">
        <f>SUMIF('Eredeti fejléccel'!$B:$B,'Felosztás eredménykim'!$B251,'Eredeti fejléccel'!$I:$I)</f>
        <v>0</v>
      </c>
      <c r="CT251" s="6">
        <f>SUMIF('Eredeti fejléccel'!$B:$B,'Felosztás eredménykim'!$B251,'Eredeti fejléccel'!$BG:$BG)</f>
        <v>0</v>
      </c>
      <c r="CU251" s="6">
        <f>SUMIF('Eredeti fejléccel'!$B:$B,'Felosztás eredménykim'!$B251,'Eredeti fejléccel'!$BH:$BH)</f>
        <v>0</v>
      </c>
      <c r="CV251" s="6">
        <f>SUMIF('Eredeti fejléccel'!$B:$B,'Felosztás eredménykim'!$B251,'Eredeti fejléccel'!$BI:$BI)</f>
        <v>0</v>
      </c>
      <c r="CW251" s="6">
        <f>SUMIF('Eredeti fejléccel'!$B:$B,'Felosztás eredménykim'!$B251,'Eredeti fejléccel'!$BL:$BL)</f>
        <v>0</v>
      </c>
      <c r="CX251" s="6">
        <f t="shared" si="526"/>
        <v>0</v>
      </c>
      <c r="CY251" s="6">
        <f>SUMIF('Eredeti fejléccel'!$B:$B,'Felosztás eredménykim'!$B251,'Eredeti fejléccel'!$BJ:$BJ)</f>
        <v>0</v>
      </c>
      <c r="CZ251" s="6">
        <f>SUMIF('Eredeti fejléccel'!$B:$B,'Felosztás eredménykim'!$B251,'Eredeti fejléccel'!$BK:$BK)</f>
        <v>0</v>
      </c>
      <c r="DA251" s="99">
        <f t="shared" si="415"/>
        <v>0</v>
      </c>
      <c r="DC251" s="36">
        <f t="shared" si="407"/>
        <v>0</v>
      </c>
      <c r="DD251" s="6">
        <f>SUMIF('Eredeti fejléccel'!$B:$B,'Felosztás eredménykim'!$B251,'Eredeti fejléccel'!$J:$J)</f>
        <v>0</v>
      </c>
      <c r="DE251" s="6">
        <f>SUMIF('Eredeti fejléccel'!$B:$B,'Felosztás eredménykim'!$B251,'Eredeti fejléccel'!$BM:$BM)</f>
        <v>0</v>
      </c>
      <c r="DF251" s="6">
        <f t="shared" si="543"/>
        <v>0</v>
      </c>
      <c r="DG251" s="8">
        <f t="shared" si="483"/>
        <v>0</v>
      </c>
      <c r="DH251" s="8">
        <f t="shared" si="544"/>
        <v>0</v>
      </c>
      <c r="DJ251" s="6">
        <f>SUMIF('Eredeti fejléccel'!$B:$B,'Felosztás eredménykim'!$B251,'Eredeti fejléccel'!$BN:$BN)</f>
        <v>0</v>
      </c>
      <c r="DK251" s="6">
        <f>SUMIF('Eredeti fejléccel'!$B:$B,'Felosztás eredménykim'!$B251,'Eredeti fejléccel'!$BZ:$BZ)</f>
        <v>0</v>
      </c>
      <c r="DL251" s="8">
        <f t="shared" si="545"/>
        <v>0</v>
      </c>
      <c r="DM251" s="6">
        <f>SUMIF('Eredeti fejléccel'!$B:$B,'Felosztás eredménykim'!$B251,'Eredeti fejléccel'!$BR:$BR)</f>
        <v>0</v>
      </c>
      <c r="DN251" s="6">
        <f>SUMIF('Eredeti fejléccel'!$B:$B,'Felosztás eredménykim'!$B251,'Eredeti fejléccel'!$BS:$BS)</f>
        <v>0</v>
      </c>
      <c r="DO251" s="6">
        <f>SUMIF('Eredeti fejléccel'!$B:$B,'Felosztás eredménykim'!$B251,'Eredeti fejléccel'!$BO:$BO)</f>
        <v>0</v>
      </c>
      <c r="DP251" s="6">
        <f>SUMIF('Eredeti fejléccel'!$B:$B,'Felosztás eredménykim'!$B251,'Eredeti fejléccel'!$BP:$BP)</f>
        <v>0</v>
      </c>
      <c r="DQ251" s="6">
        <f>SUMIF('Eredeti fejléccel'!$B:$B,'Felosztás eredménykim'!$B251,'Eredeti fejléccel'!$BQ:$BQ)</f>
        <v>0</v>
      </c>
      <c r="DS251" s="8"/>
      <c r="DU251" s="6">
        <f>SUMIF('Eredeti fejléccel'!$B:$B,'Felosztás eredménykim'!$B251,'Eredeti fejléccel'!$BT:$BT)</f>
        <v>0</v>
      </c>
      <c r="DV251" s="6">
        <f>SUMIF('Eredeti fejléccel'!$B:$B,'Felosztás eredménykim'!$B251,'Eredeti fejléccel'!$BU:$BU)</f>
        <v>0</v>
      </c>
      <c r="DW251" s="6">
        <f>SUMIF('Eredeti fejléccel'!$B:$B,'Felosztás eredménykim'!$B251,'Eredeti fejléccel'!$BV:$BV)</f>
        <v>0</v>
      </c>
      <c r="DX251" s="6">
        <f>SUMIF('Eredeti fejléccel'!$B:$B,'Felosztás eredménykim'!$B251,'Eredeti fejléccel'!$BW:$BW)</f>
        <v>0</v>
      </c>
      <c r="DY251" s="6">
        <f>SUMIF('Eredeti fejléccel'!$B:$B,'Felosztás eredménykim'!$B251,'Eredeti fejléccel'!$BX:$BX)</f>
        <v>0</v>
      </c>
      <c r="EA251" s="6"/>
      <c r="EC251" s="6"/>
      <c r="EE251" s="6">
        <f>SUMIF('Eredeti fejléccel'!$B:$B,'Felosztás eredménykim'!$B251,'Eredeti fejléccel'!$CA:$CA)</f>
        <v>0</v>
      </c>
      <c r="EF251" s="6">
        <f>SUMIF('Eredeti fejléccel'!$B:$B,'Felosztás eredménykim'!$B251,'Eredeti fejléccel'!$CB:$CB)</f>
        <v>0</v>
      </c>
      <c r="EG251" s="6">
        <f>SUMIF('Eredeti fejléccel'!$B:$B,'Felosztás eredménykim'!$B251,'Eredeti fejléccel'!$CC:$CC)</f>
        <v>0</v>
      </c>
      <c r="EH251" s="6">
        <f>SUMIF('Eredeti fejléccel'!$B:$B,'Felosztás eredménykim'!$B251,'Eredeti fejléccel'!$CD:$CD)</f>
        <v>0</v>
      </c>
      <c r="EK251" s="6">
        <f>SUMIF('Eredeti fejléccel'!$B:$B,'Felosztás eredménykim'!$B251,'Eredeti fejléccel'!$CE:$CE)</f>
        <v>0</v>
      </c>
      <c r="EN251" s="6">
        <f>SUMIF('Eredeti fejléccel'!$B:$B,'Felosztás eredménykim'!$B251,'Eredeti fejléccel'!$CF:$CF)</f>
        <v>0</v>
      </c>
      <c r="EP251" s="6">
        <f>SUMIF('Eredeti fejléccel'!$B:$B,'Felosztás eredménykim'!$B251,'Eredeti fejléccel'!$CG:$CG)</f>
        <v>0</v>
      </c>
      <c r="ES251" s="6">
        <f>SUMIF('Eredeti fejléccel'!$B:$B,'Felosztás eredménykim'!$B251,'Eredeti fejléccel'!$CH:$CH)</f>
        <v>0</v>
      </c>
      <c r="ET251" s="6">
        <f>SUMIF('Eredeti fejléccel'!$B:$B,'Felosztás eredménykim'!$B251,'Eredeti fejléccel'!$CI:$CI)</f>
        <v>0</v>
      </c>
      <c r="EW251" s="8">
        <f t="shared" si="535"/>
        <v>0</v>
      </c>
      <c r="EX251" s="8">
        <f t="shared" si="527"/>
        <v>0</v>
      </c>
      <c r="EY251" s="8">
        <f t="shared" si="416"/>
        <v>0</v>
      </c>
      <c r="EZ251" s="8">
        <f t="shared" si="536"/>
        <v>0</v>
      </c>
      <c r="FA251" s="8">
        <f t="shared" si="537"/>
        <v>0</v>
      </c>
      <c r="FC251" s="6">
        <f>SUMIF('Eredeti fejléccel'!$B:$B,'Felosztás eredménykim'!$B251,'Eredeti fejléccel'!$L:$L)</f>
        <v>0</v>
      </c>
      <c r="FD251" s="6">
        <f>SUMIF('Eredeti fejléccel'!$B:$B,'Felosztás eredménykim'!$B251,'Eredeti fejléccel'!$CJ:$CJ)</f>
        <v>0</v>
      </c>
      <c r="FE251" s="6">
        <f>SUMIF('Eredeti fejléccel'!$B:$B,'Felosztás eredménykim'!$B251,'Eredeti fejléccel'!$CL:$CL)</f>
        <v>0</v>
      </c>
      <c r="FG251" s="99">
        <f t="shared" si="528"/>
        <v>0</v>
      </c>
      <c r="FH251" s="6">
        <f>SUMIF('Eredeti fejléccel'!$B:$B,'Felosztás eredménykim'!$B251,'Eredeti fejléccel'!$CK:$CK)</f>
        <v>0</v>
      </c>
      <c r="FI251" s="36">
        <f t="shared" si="558"/>
        <v>0</v>
      </c>
      <c r="FJ251" s="101">
        <f t="shared" si="408"/>
        <v>0</v>
      </c>
      <c r="FK251" s="6">
        <f>SUMIF('Eredeti fejléccel'!$B:$B,'Felosztás eredménykim'!$B251,'Eredeti fejléccel'!$CM:$CM)</f>
        <v>0</v>
      </c>
      <c r="FL251" s="6">
        <f>SUMIF('Eredeti fejléccel'!$B:$B,'Felosztás eredménykim'!$B251,'Eredeti fejléccel'!$CN:$CN)</f>
        <v>0</v>
      </c>
      <c r="FM251" s="8">
        <f t="shared" si="529"/>
        <v>0</v>
      </c>
      <c r="FN251" s="36">
        <f t="shared" si="559"/>
        <v>0</v>
      </c>
      <c r="FO251" s="101">
        <f t="shared" si="409"/>
        <v>0</v>
      </c>
      <c r="FP251" s="6">
        <f>SUMIF('Eredeti fejléccel'!$B:$B,'Felosztás eredménykim'!$B251,'Eredeti fejléccel'!$CO:$CO)</f>
        <v>-18110236</v>
      </c>
      <c r="FQ251" s="6">
        <f>'Eredeti fejléccel'!CP251</f>
        <v>0</v>
      </c>
      <c r="FR251" s="6">
        <f>'Eredeti fejléccel'!CQ251</f>
        <v>-2314961</v>
      </c>
      <c r="FS251" s="103">
        <f t="shared" si="417"/>
        <v>-20425197</v>
      </c>
      <c r="FT251" s="36">
        <f t="shared" si="560"/>
        <v>0</v>
      </c>
      <c r="FU251" s="101">
        <f t="shared" si="410"/>
        <v>0</v>
      </c>
      <c r="FV251" s="101"/>
      <c r="FW251" s="6">
        <f>SUMIF('Eredeti fejléccel'!$B:$B,'Felosztás eredménykim'!$B251,'Eredeti fejléccel'!$CR:$CR)</f>
        <v>0</v>
      </c>
      <c r="FX251" s="6">
        <f>SUMIF('Eredeti fejléccel'!$B:$B,'Felosztás eredménykim'!$B251,'Eredeti fejléccel'!$CS:$CS)</f>
        <v>0</v>
      </c>
      <c r="FY251" s="6">
        <f>SUMIF('Eredeti fejléccel'!$B:$B,'Felosztás eredménykim'!$B251,'Eredeti fejléccel'!$CT:$CT)</f>
        <v>0</v>
      </c>
      <c r="FZ251" s="6">
        <f>SUMIF('Eredeti fejléccel'!$B:$B,'Felosztás eredménykim'!$B251,'Eredeti fejléccel'!$CU:$CU)</f>
        <v>0</v>
      </c>
      <c r="GA251" s="103">
        <f t="shared" si="530"/>
        <v>0</v>
      </c>
      <c r="GB251" s="36">
        <f t="shared" si="561"/>
        <v>0</v>
      </c>
      <c r="GC251" s="101">
        <f t="shared" si="411"/>
        <v>0</v>
      </c>
      <c r="GD251" s="6">
        <f>SUMIF('Eredeti fejléccel'!$B:$B,'Felosztás eredménykim'!$B251,'Eredeti fejléccel'!$CV:$CV)</f>
        <v>-24834646</v>
      </c>
      <c r="GE251" s="6">
        <f>SUMIF('Eredeti fejléccel'!$B:$B,'Felosztás eredménykim'!$B251,'Eredeti fejléccel'!$CW:$CW)</f>
        <v>-1574803</v>
      </c>
      <c r="GF251" s="103">
        <f t="shared" si="531"/>
        <v>-26409449</v>
      </c>
      <c r="GG251" s="36">
        <f t="shared" si="412"/>
        <v>0</v>
      </c>
      <c r="GM251" s="6">
        <f>SUMIF('Eredeti fejléccel'!$B:$B,'Felosztás eredménykim'!$B251,'Eredeti fejléccel'!$CX:$CX)</f>
        <v>0</v>
      </c>
      <c r="GN251" s="6">
        <f>SUMIF('Eredeti fejléccel'!$B:$B,'Felosztás eredménykim'!$B251,'Eredeti fejléccel'!$CY:$CY)</f>
        <v>0</v>
      </c>
      <c r="GO251" s="6">
        <f>SUMIF('Eredeti fejléccel'!$B:$B,'Felosztás eredménykim'!$B251,'Eredeti fejléccel'!$CZ:$CZ)</f>
        <v>0</v>
      </c>
      <c r="GP251" s="6">
        <f>SUMIF('Eredeti fejléccel'!$B:$B,'Felosztás eredménykim'!$B251,'Eredeti fejléccel'!$DA:$DA)</f>
        <v>0</v>
      </c>
      <c r="GQ251" s="6">
        <f>SUMIF('Eredeti fejléccel'!$B:$B,'Felosztás eredménykim'!$B251,'Eredeti fejléccel'!$DB:$DB)</f>
        <v>0</v>
      </c>
      <c r="GR251" s="103">
        <f t="shared" si="532"/>
        <v>0</v>
      </c>
      <c r="GW251" s="36">
        <f t="shared" si="413"/>
        <v>0</v>
      </c>
      <c r="GX251" s="6">
        <f>SUMIF('Eredeti fejléccel'!$B:$B,'Felosztás eredménykim'!$B251,'Eredeti fejléccel'!$M:$M)</f>
        <v>0</v>
      </c>
      <c r="GY251" s="6">
        <f>SUMIF('Eredeti fejléccel'!$B:$B,'Felosztás eredménykim'!$B251,'Eredeti fejléccel'!$DC:$DC)</f>
        <v>0</v>
      </c>
      <c r="GZ251" s="6">
        <f>SUMIF('Eredeti fejléccel'!$B:$B,'Felosztás eredménykim'!$B251,'Eredeti fejléccel'!$DD:$DD)</f>
        <v>0</v>
      </c>
      <c r="HA251" s="6">
        <f>SUMIF('Eredeti fejléccel'!$B:$B,'Felosztás eredménykim'!$B251,'Eredeti fejléccel'!$DE:$DE)</f>
        <v>0</v>
      </c>
      <c r="HB251" s="103">
        <f t="shared" si="533"/>
        <v>0</v>
      </c>
      <c r="HD251" s="9">
        <f t="shared" si="547"/>
        <v>-67157479.51000002</v>
      </c>
      <c r="HE251" s="9">
        <v>-67157479.50999999</v>
      </c>
      <c r="HF251" s="476"/>
      <c r="HH251" s="34">
        <f t="shared" si="534"/>
        <v>0</v>
      </c>
    </row>
    <row r="252" spans="1:217" x14ac:dyDescent="0.25">
      <c r="A252" s="4" t="s">
        <v>337</v>
      </c>
      <c r="B252" s="4" t="s">
        <v>337</v>
      </c>
      <c r="C252" s="1" t="s">
        <v>338</v>
      </c>
      <c r="D252" s="6">
        <f>SUMIF('Eredeti fejléccel'!$B:$B,'Felosztás eredménykim'!$B252,'Eredeti fejléccel'!$D:$D)</f>
        <v>0</v>
      </c>
      <c r="E252" s="6">
        <f>SUMIF('Eredeti fejléccel'!$B:$B,'Felosztás eredménykim'!$B252,'Eredeti fejléccel'!$E:$E)</f>
        <v>0</v>
      </c>
      <c r="F252" s="6">
        <f>SUMIF('Eredeti fejléccel'!$B:$B,'Felosztás eredménykim'!$B252,'Eredeti fejléccel'!$F:$F)</f>
        <v>0</v>
      </c>
      <c r="G252" s="6">
        <f>SUMIF('Eredeti fejléccel'!$B:$B,'Felosztás eredménykim'!$B252,'Eredeti fejléccel'!$G:$G)</f>
        <v>0</v>
      </c>
      <c r="H252" s="6"/>
      <c r="I252" s="6">
        <f>SUMIF('Eredeti fejléccel'!$B:$B,'Felosztás eredménykim'!$B252,'Eredeti fejléccel'!$O:$O)</f>
        <v>0</v>
      </c>
      <c r="J252" s="6">
        <f>SUMIF('Eredeti fejléccel'!$B:$B,'Felosztás eredménykim'!$B252,'Eredeti fejléccel'!$P:$P)</f>
        <v>0</v>
      </c>
      <c r="K252" s="6">
        <f>SUMIF('Eredeti fejléccel'!$B:$B,'Felosztás eredménykim'!$B252,'Eredeti fejléccel'!$Q:$Q)</f>
        <v>0</v>
      </c>
      <c r="L252" s="6">
        <f>SUMIF('Eredeti fejléccel'!$B:$B,'Felosztás eredménykim'!$B252,'Eredeti fejléccel'!$R:$R)</f>
        <v>0</v>
      </c>
      <c r="M252" s="6">
        <f>SUMIF('Eredeti fejléccel'!$B:$B,'Felosztás eredménykim'!$B252,'Eredeti fejléccel'!$T:$T)</f>
        <v>0</v>
      </c>
      <c r="N252" s="6">
        <f>SUMIF('Eredeti fejléccel'!$B:$B,'Felosztás eredménykim'!$B252,'Eredeti fejléccel'!$U:$U)</f>
        <v>0</v>
      </c>
      <c r="O252" s="6">
        <f>SUMIF('Eredeti fejléccel'!$B:$B,'Felosztás eredménykim'!$B252,'Eredeti fejléccel'!$V:$V)</f>
        <v>0</v>
      </c>
      <c r="P252" s="6">
        <f>SUMIF('Eredeti fejléccel'!$B:$B,'Felosztás eredménykim'!$B252,'Eredeti fejléccel'!$W:$W)</f>
        <v>0</v>
      </c>
      <c r="Q252" s="6">
        <f>SUMIF('Eredeti fejléccel'!$B:$B,'Felosztás eredménykim'!$B252,'Eredeti fejléccel'!$X:$X)</f>
        <v>0</v>
      </c>
      <c r="R252" s="6">
        <f>SUMIF('Eredeti fejléccel'!$B:$B,'Felosztás eredménykim'!$B252,'Eredeti fejléccel'!$Y:$Y)</f>
        <v>0</v>
      </c>
      <c r="S252" s="6">
        <f>SUMIF('Eredeti fejléccel'!$B:$B,'Felosztás eredménykim'!$B252,'Eredeti fejléccel'!$Z:$Z)</f>
        <v>0</v>
      </c>
      <c r="T252" s="6">
        <f>SUMIF('Eredeti fejléccel'!$B:$B,'Felosztás eredménykim'!$B252,'Eredeti fejléccel'!$AA:$AA)</f>
        <v>0</v>
      </c>
      <c r="U252" s="6">
        <f>SUMIF('Eredeti fejléccel'!$B:$B,'Felosztás eredménykim'!$B252,'Eredeti fejléccel'!$D:$D)</f>
        <v>0</v>
      </c>
      <c r="V252" s="6">
        <f>SUMIF('Eredeti fejléccel'!$B:$B,'Felosztás eredménykim'!$B252,'Eredeti fejléccel'!$AT:$AT)</f>
        <v>0</v>
      </c>
      <c r="X252" s="36">
        <f t="shared" si="414"/>
        <v>0</v>
      </c>
      <c r="Z252" s="6">
        <f>SUMIF('Eredeti fejléccel'!$B:$B,'Felosztás eredménykim'!$B252,'Eredeti fejléccel'!$K:$K)</f>
        <v>0</v>
      </c>
      <c r="AB252" s="6">
        <f>SUMIF('Eredeti fejléccel'!$B:$B,'Felosztás eredménykim'!$B252,'Eredeti fejléccel'!$AB:$AB)</f>
        <v>0</v>
      </c>
      <c r="AC252" s="6">
        <f>SUMIF('Eredeti fejléccel'!$B:$B,'Felosztás eredménykim'!$B252,'Eredeti fejléccel'!$AQ:$AQ)</f>
        <v>0</v>
      </c>
      <c r="AE252" s="73">
        <f t="shared" si="548"/>
        <v>0</v>
      </c>
      <c r="AF252" s="36">
        <f t="shared" si="549"/>
        <v>0</v>
      </c>
      <c r="AG252" s="8">
        <f t="shared" si="399"/>
        <v>0</v>
      </c>
      <c r="AI252" s="6">
        <f>SUMIF('Eredeti fejléccel'!$B:$B,'Felosztás eredménykim'!$B252,'Eredeti fejléccel'!$BB:$BB)</f>
        <v>0</v>
      </c>
      <c r="AJ252" s="6">
        <f>SUMIF('Eredeti fejléccel'!$B:$B,'Felosztás eredménykim'!$B252,'Eredeti fejléccel'!$AF:$AF)</f>
        <v>0</v>
      </c>
      <c r="AK252" s="8">
        <f t="shared" si="522"/>
        <v>0</v>
      </c>
      <c r="AL252" s="36">
        <f t="shared" si="550"/>
        <v>0</v>
      </c>
      <c r="AM252" s="8">
        <f t="shared" si="400"/>
        <v>0</v>
      </c>
      <c r="AN252" s="6">
        <f t="shared" si="538"/>
        <v>0</v>
      </c>
      <c r="AO252" s="6">
        <f>SUMIF('Eredeti fejléccel'!$B:$B,'Felosztás eredménykim'!$B252,'Eredeti fejléccel'!$AC:$AC)</f>
        <v>0</v>
      </c>
      <c r="AP252" s="6">
        <f>SUMIF('Eredeti fejléccel'!$B:$B,'Felosztás eredménykim'!$B252,'Eredeti fejléccel'!$AD:$AD)</f>
        <v>0</v>
      </c>
      <c r="AQ252" s="6">
        <f>SUMIF('Eredeti fejléccel'!$B:$B,'Felosztás eredménykim'!$B252,'Eredeti fejléccel'!$AE:$AE)</f>
        <v>0</v>
      </c>
      <c r="AR252" s="6">
        <f>SUMIF('Eredeti fejléccel'!$B:$B,'Felosztás eredménykim'!$B252,'Eredeti fejléccel'!$AG:$AG)</f>
        <v>0</v>
      </c>
      <c r="AS252" s="6">
        <f t="shared" si="539"/>
        <v>0</v>
      </c>
      <c r="AT252" s="36">
        <f t="shared" si="551"/>
        <v>0</v>
      </c>
      <c r="AU252" s="8">
        <f t="shared" si="401"/>
        <v>0</v>
      </c>
      <c r="AV252" s="6">
        <f>SUMIF('Eredeti fejléccel'!$B:$B,'Felosztás eredménykim'!$B252,'Eredeti fejléccel'!$AI:$AI)</f>
        <v>0</v>
      </c>
      <c r="AW252" s="6">
        <f>SUMIF('Eredeti fejléccel'!$B:$B,'Felosztás eredménykim'!$B252,'Eredeti fejléccel'!$AJ:$AJ)</f>
        <v>0</v>
      </c>
      <c r="AX252" s="6">
        <f>SUMIF('Eredeti fejléccel'!$B:$B,'Felosztás eredménykim'!$B252,'Eredeti fejléccel'!$AK:$AK)</f>
        <v>0</v>
      </c>
      <c r="AY252" s="6">
        <f>SUMIF('Eredeti fejléccel'!$B:$B,'Felosztás eredménykim'!$B252,'Eredeti fejléccel'!$AL:$AL)</f>
        <v>0</v>
      </c>
      <c r="AZ252" s="6">
        <f>SUMIF('Eredeti fejléccel'!$B:$B,'Felosztás eredménykim'!$B252,'Eredeti fejléccel'!$AM:$AM)</f>
        <v>0</v>
      </c>
      <c r="BA252" s="6">
        <f>SUMIF('Eredeti fejléccel'!$B:$B,'Felosztás eredménykim'!$B252,'Eredeti fejléccel'!$AN:$AN)</f>
        <v>0</v>
      </c>
      <c r="BB252" s="6">
        <f>SUMIF('Eredeti fejléccel'!$B:$B,'Felosztás eredménykim'!$B252,'Eredeti fejléccel'!$AP:$AP)</f>
        <v>0</v>
      </c>
      <c r="BD252" s="6">
        <f>SUMIF('Eredeti fejléccel'!$B:$B,'Felosztás eredménykim'!$B252,'Eredeti fejléccel'!$AS:$AS)</f>
        <v>0</v>
      </c>
      <c r="BE252" s="8">
        <f t="shared" si="523"/>
        <v>0</v>
      </c>
      <c r="BF252" s="36">
        <f t="shared" si="552"/>
        <v>0</v>
      </c>
      <c r="BG252" s="8">
        <f t="shared" si="402"/>
        <v>0</v>
      </c>
      <c r="BH252" s="6">
        <f t="shared" si="540"/>
        <v>0</v>
      </c>
      <c r="BI252" s="6">
        <f>SUMIF('Eredeti fejléccel'!$B:$B,'Felosztás eredménykim'!$B252,'Eredeti fejléccel'!$AH:$AH)</f>
        <v>0</v>
      </c>
      <c r="BJ252" s="6">
        <f>SUMIF('Eredeti fejléccel'!$B:$B,'Felosztás eredménykim'!$B252,'Eredeti fejléccel'!$AO:$AO)</f>
        <v>0</v>
      </c>
      <c r="BK252" s="6">
        <f>SUMIF('Eredeti fejléccel'!$B:$B,'Felosztás eredménykim'!$B252,'Eredeti fejléccel'!$BF:$BF)</f>
        <v>0</v>
      </c>
      <c r="BL252" s="8">
        <f t="shared" si="541"/>
        <v>0</v>
      </c>
      <c r="BM252" s="36">
        <f t="shared" si="553"/>
        <v>0</v>
      </c>
      <c r="BN252" s="8">
        <f t="shared" si="403"/>
        <v>0</v>
      </c>
      <c r="BP252" s="8">
        <f t="shared" si="542"/>
        <v>0</v>
      </c>
      <c r="BQ252" s="6">
        <f>SUMIF('Eredeti fejléccel'!$B:$B,'Felosztás eredménykim'!$B252,'Eredeti fejléccel'!$N:$N)</f>
        <v>0</v>
      </c>
      <c r="BR252" s="6">
        <f>SUMIF('Eredeti fejléccel'!$B:$B,'Felosztás eredménykim'!$B252,'Eredeti fejléccel'!$S:$S)</f>
        <v>0</v>
      </c>
      <c r="BT252" s="6">
        <f>SUMIF('Eredeti fejléccel'!$B:$B,'Felosztás eredménykim'!$B252,'Eredeti fejléccel'!$AR:$AR)</f>
        <v>0</v>
      </c>
      <c r="BU252" s="6">
        <f>SUMIF('Eredeti fejléccel'!$B:$B,'Felosztás eredménykim'!$B252,'Eredeti fejléccel'!$AU:$AU)</f>
        <v>0</v>
      </c>
      <c r="BV252" s="6">
        <f>SUMIF('Eredeti fejléccel'!$B:$B,'Felosztás eredménykim'!$B252,'Eredeti fejléccel'!$AV:$AV)</f>
        <v>0</v>
      </c>
      <c r="BW252" s="6">
        <f>SUMIF('Eredeti fejléccel'!$B:$B,'Felosztás eredménykim'!$B252,'Eredeti fejléccel'!$AW:$AW)</f>
        <v>0</v>
      </c>
      <c r="BX252" s="6">
        <f>SUMIF('Eredeti fejléccel'!$B:$B,'Felosztás eredménykim'!$B252,'Eredeti fejléccel'!$AX:$AX)</f>
        <v>0</v>
      </c>
      <c r="BY252" s="6">
        <f>SUMIF('Eredeti fejléccel'!$B:$B,'Felosztás eredménykim'!$B252,'Eredeti fejléccel'!$AY:$AY)</f>
        <v>0</v>
      </c>
      <c r="BZ252" s="6">
        <f>SUMIF('Eredeti fejléccel'!$B:$B,'Felosztás eredménykim'!$B252,'Eredeti fejléccel'!$AZ:$AZ)</f>
        <v>0</v>
      </c>
      <c r="CA252" s="6">
        <f>SUMIF('Eredeti fejléccel'!$B:$B,'Felosztás eredménykim'!$B252,'Eredeti fejléccel'!$BA:$BA)</f>
        <v>-75000</v>
      </c>
      <c r="CB252" s="6">
        <f t="shared" si="481"/>
        <v>-75000</v>
      </c>
      <c r="CC252" s="36">
        <f t="shared" si="554"/>
        <v>0</v>
      </c>
      <c r="CD252" s="8">
        <f t="shared" si="404"/>
        <v>0</v>
      </c>
      <c r="CE252" s="6">
        <f>SUMIF('Eredeti fejléccel'!$B:$B,'Felosztás eredménykim'!$B252,'Eredeti fejléccel'!$BC:$BC)</f>
        <v>0</v>
      </c>
      <c r="CF252" s="8">
        <f t="shared" si="555"/>
        <v>0</v>
      </c>
      <c r="CG252" s="6">
        <f>SUMIF('Eredeti fejléccel'!$B:$B,'Felosztás eredménykim'!$B252,'Eredeti fejléccel'!$H:$H)</f>
        <v>0</v>
      </c>
      <c r="CH252" s="6">
        <f>SUMIF('Eredeti fejléccel'!$B:$B,'Felosztás eredménykim'!$B252,'Eredeti fejléccel'!$BE:$BE)</f>
        <v>0</v>
      </c>
      <c r="CI252" s="6">
        <f t="shared" si="524"/>
        <v>0</v>
      </c>
      <c r="CJ252" s="36">
        <f t="shared" si="556"/>
        <v>0</v>
      </c>
      <c r="CK252" s="8">
        <f t="shared" si="405"/>
        <v>0</v>
      </c>
      <c r="CL252" s="8">
        <f t="shared" si="557"/>
        <v>0</v>
      </c>
      <c r="CM252" s="6">
        <f>SUMIF('Eredeti fejléccel'!$B:$B,'Felosztás eredménykim'!$B252,'Eredeti fejléccel'!$BD:$BD)</f>
        <v>0</v>
      </c>
      <c r="CN252" s="8">
        <f t="shared" si="525"/>
        <v>0</v>
      </c>
      <c r="CO252" s="8">
        <f t="shared" si="482"/>
        <v>-75000</v>
      </c>
      <c r="CR252" s="36">
        <f t="shared" si="406"/>
        <v>0</v>
      </c>
      <c r="CS252" s="6">
        <f>SUMIF('Eredeti fejléccel'!$B:$B,'Felosztás eredménykim'!$B252,'Eredeti fejléccel'!$I:$I)</f>
        <v>0</v>
      </c>
      <c r="CT252" s="6">
        <f>SUMIF('Eredeti fejléccel'!$B:$B,'Felosztás eredménykim'!$B252,'Eredeti fejléccel'!$BG:$BG)</f>
        <v>0</v>
      </c>
      <c r="CU252" s="6">
        <f>SUMIF('Eredeti fejléccel'!$B:$B,'Felosztás eredménykim'!$B252,'Eredeti fejléccel'!$BH:$BH)</f>
        <v>0</v>
      </c>
      <c r="CV252" s="6">
        <f>SUMIF('Eredeti fejléccel'!$B:$B,'Felosztás eredménykim'!$B252,'Eredeti fejléccel'!$BI:$BI)</f>
        <v>0</v>
      </c>
      <c r="CW252" s="6">
        <f>SUMIF('Eredeti fejléccel'!$B:$B,'Felosztás eredménykim'!$B252,'Eredeti fejléccel'!$BL:$BL)</f>
        <v>0</v>
      </c>
      <c r="CX252" s="6">
        <f t="shared" si="526"/>
        <v>0</v>
      </c>
      <c r="CY252" s="6">
        <f>SUMIF('Eredeti fejléccel'!$B:$B,'Felosztás eredménykim'!$B252,'Eredeti fejléccel'!$BJ:$BJ)</f>
        <v>0</v>
      </c>
      <c r="CZ252" s="6">
        <f>SUMIF('Eredeti fejléccel'!$B:$B,'Felosztás eredménykim'!$B252,'Eredeti fejléccel'!$BK:$BK)</f>
        <v>0</v>
      </c>
      <c r="DA252" s="99">
        <f t="shared" si="415"/>
        <v>0</v>
      </c>
      <c r="DC252" s="36">
        <f t="shared" si="407"/>
        <v>0</v>
      </c>
      <c r="DD252" s="6">
        <f>SUMIF('Eredeti fejléccel'!$B:$B,'Felosztás eredménykim'!$B252,'Eredeti fejléccel'!$J:$J)</f>
        <v>0</v>
      </c>
      <c r="DE252" s="6">
        <f>SUMIF('Eredeti fejléccel'!$B:$B,'Felosztás eredménykim'!$B252,'Eredeti fejléccel'!$BM:$BM)</f>
        <v>0</v>
      </c>
      <c r="DF252" s="6">
        <f t="shared" si="543"/>
        <v>0</v>
      </c>
      <c r="DG252" s="8">
        <f t="shared" si="483"/>
        <v>0</v>
      </c>
      <c r="DH252" s="8">
        <f t="shared" si="544"/>
        <v>0</v>
      </c>
      <c r="DJ252" s="6">
        <f>SUMIF('Eredeti fejléccel'!$B:$B,'Felosztás eredménykim'!$B252,'Eredeti fejléccel'!$BN:$BN)</f>
        <v>0</v>
      </c>
      <c r="DK252" s="6">
        <f>SUMIF('Eredeti fejléccel'!$B:$B,'Felosztás eredménykim'!$B252,'Eredeti fejléccel'!$BZ:$BZ)</f>
        <v>0</v>
      </c>
      <c r="DL252" s="8">
        <f t="shared" si="545"/>
        <v>0</v>
      </c>
      <c r="DM252" s="6">
        <f>SUMIF('Eredeti fejléccel'!$B:$B,'Felosztás eredménykim'!$B252,'Eredeti fejléccel'!$BR:$BR)</f>
        <v>-286260</v>
      </c>
      <c r="DN252" s="6">
        <f>SUMIF('Eredeti fejléccel'!$B:$B,'Felosztás eredménykim'!$B252,'Eredeti fejléccel'!$BS:$BS)</f>
        <v>0</v>
      </c>
      <c r="DO252" s="6">
        <f>SUMIF('Eredeti fejléccel'!$B:$B,'Felosztás eredménykim'!$B252,'Eredeti fejléccel'!$BO:$BO)</f>
        <v>0</v>
      </c>
      <c r="DP252" s="6">
        <f>SUMIF('Eredeti fejléccel'!$B:$B,'Felosztás eredménykim'!$B252,'Eredeti fejléccel'!$BP:$BP)</f>
        <v>0</v>
      </c>
      <c r="DQ252" s="6">
        <f>SUMIF('Eredeti fejléccel'!$B:$B,'Felosztás eredménykim'!$B252,'Eredeti fejléccel'!$BQ:$BQ)</f>
        <v>0</v>
      </c>
      <c r="DS252" s="8"/>
      <c r="DU252" s="6">
        <f>SUMIF('Eredeti fejléccel'!$B:$B,'Felosztás eredménykim'!$B252,'Eredeti fejléccel'!$BT:$BT)</f>
        <v>0</v>
      </c>
      <c r="DV252" s="6">
        <f>SUMIF('Eredeti fejléccel'!$B:$B,'Felosztás eredménykim'!$B252,'Eredeti fejléccel'!$BU:$BU)</f>
        <v>0</v>
      </c>
      <c r="DW252" s="6">
        <f>SUMIF('Eredeti fejléccel'!$B:$B,'Felosztás eredménykim'!$B252,'Eredeti fejléccel'!$BV:$BV)</f>
        <v>0</v>
      </c>
      <c r="DX252" s="6">
        <f>SUMIF('Eredeti fejléccel'!$B:$B,'Felosztás eredménykim'!$B252,'Eredeti fejléccel'!$BW:$BW)</f>
        <v>0</v>
      </c>
      <c r="DY252" s="6">
        <f>SUMIF('Eredeti fejléccel'!$B:$B,'Felosztás eredménykim'!$B252,'Eredeti fejléccel'!$BX:$BX)</f>
        <v>0</v>
      </c>
      <c r="EA252" s="6"/>
      <c r="EC252" s="6"/>
      <c r="EE252" s="6">
        <f>SUMIF('Eredeti fejléccel'!$B:$B,'Felosztás eredménykim'!$B252,'Eredeti fejléccel'!$CA:$CA)</f>
        <v>0</v>
      </c>
      <c r="EF252" s="6">
        <f>SUMIF('Eredeti fejléccel'!$B:$B,'Felosztás eredménykim'!$B252,'Eredeti fejléccel'!$CB:$CB)</f>
        <v>0</v>
      </c>
      <c r="EG252" s="6">
        <f>SUMIF('Eredeti fejléccel'!$B:$B,'Felosztás eredménykim'!$B252,'Eredeti fejléccel'!$CC:$CC)</f>
        <v>0</v>
      </c>
      <c r="EH252" s="6">
        <f>SUMIF('Eredeti fejléccel'!$B:$B,'Felosztás eredménykim'!$B252,'Eredeti fejléccel'!$CD:$CD)</f>
        <v>0</v>
      </c>
      <c r="EK252" s="6">
        <f>SUMIF('Eredeti fejléccel'!$B:$B,'Felosztás eredménykim'!$B252,'Eredeti fejléccel'!$CE:$CE)</f>
        <v>0</v>
      </c>
      <c r="EN252" s="6">
        <f>SUMIF('Eredeti fejléccel'!$B:$B,'Felosztás eredménykim'!$B252,'Eredeti fejléccel'!$CF:$CF)</f>
        <v>0</v>
      </c>
      <c r="EP252" s="6">
        <f>SUMIF('Eredeti fejléccel'!$B:$B,'Felosztás eredménykim'!$B252,'Eredeti fejléccel'!$CG:$CG)</f>
        <v>0</v>
      </c>
      <c r="ES252" s="6">
        <f>SUMIF('Eredeti fejléccel'!$B:$B,'Felosztás eredménykim'!$B252,'Eredeti fejléccel'!$CH:$CH)</f>
        <v>0</v>
      </c>
      <c r="ET252" s="6">
        <f>SUMIF('Eredeti fejléccel'!$B:$B,'Felosztás eredménykim'!$B252,'Eredeti fejléccel'!$CI:$CI)</f>
        <v>0</v>
      </c>
      <c r="EW252" s="8">
        <f t="shared" si="535"/>
        <v>0</v>
      </c>
      <c r="EX252" s="8">
        <f t="shared" si="527"/>
        <v>0</v>
      </c>
      <c r="EY252" s="8">
        <f t="shared" si="416"/>
        <v>0</v>
      </c>
      <c r="EZ252" s="8">
        <f t="shared" si="536"/>
        <v>-286260</v>
      </c>
      <c r="FA252" s="8">
        <f t="shared" si="537"/>
        <v>0</v>
      </c>
      <c r="FC252" s="6">
        <f>SUMIF('Eredeti fejléccel'!$B:$B,'Felosztás eredménykim'!$B252,'Eredeti fejléccel'!$L:$L)</f>
        <v>0</v>
      </c>
      <c r="FD252" s="6">
        <f>SUMIF('Eredeti fejléccel'!$B:$B,'Felosztás eredménykim'!$B252,'Eredeti fejléccel'!$CJ:$CJ)</f>
        <v>0</v>
      </c>
      <c r="FE252" s="6">
        <f>SUMIF('Eredeti fejléccel'!$B:$B,'Felosztás eredménykim'!$B252,'Eredeti fejléccel'!$CL:$CL)</f>
        <v>0</v>
      </c>
      <c r="FG252" s="99">
        <f t="shared" si="528"/>
        <v>0</v>
      </c>
      <c r="FH252" s="6">
        <f>SUMIF('Eredeti fejléccel'!$B:$B,'Felosztás eredménykim'!$B252,'Eredeti fejléccel'!$CK:$CK)</f>
        <v>0</v>
      </c>
      <c r="FI252" s="36">
        <f t="shared" si="558"/>
        <v>0</v>
      </c>
      <c r="FJ252" s="101">
        <f t="shared" si="408"/>
        <v>0</v>
      </c>
      <c r="FK252" s="6">
        <f>SUMIF('Eredeti fejléccel'!$B:$B,'Felosztás eredménykim'!$B252,'Eredeti fejléccel'!$CM:$CM)</f>
        <v>0</v>
      </c>
      <c r="FL252" s="6">
        <f>SUMIF('Eredeti fejléccel'!$B:$B,'Felosztás eredménykim'!$B252,'Eredeti fejléccel'!$CN:$CN)</f>
        <v>0</v>
      </c>
      <c r="FM252" s="8">
        <f t="shared" si="529"/>
        <v>0</v>
      </c>
      <c r="FN252" s="36">
        <f t="shared" si="559"/>
        <v>0</v>
      </c>
      <c r="FO252" s="101">
        <f t="shared" si="409"/>
        <v>0</v>
      </c>
      <c r="FP252" s="6">
        <f>SUMIF('Eredeti fejléccel'!$B:$B,'Felosztás eredménykim'!$B252,'Eredeti fejléccel'!$CO:$CO)</f>
        <v>0</v>
      </c>
      <c r="FQ252" s="6">
        <f>'Eredeti fejléccel'!CP252</f>
        <v>0</v>
      </c>
      <c r="FR252" s="6">
        <f>'Eredeti fejléccel'!CQ252</f>
        <v>0</v>
      </c>
      <c r="FS252" s="103">
        <f t="shared" si="417"/>
        <v>0</v>
      </c>
      <c r="FT252" s="36">
        <f t="shared" si="560"/>
        <v>0</v>
      </c>
      <c r="FU252" s="101">
        <f t="shared" si="410"/>
        <v>0</v>
      </c>
      <c r="FV252" s="101"/>
      <c r="FW252" s="6">
        <f>SUMIF('Eredeti fejléccel'!$B:$B,'Felosztás eredménykim'!$B252,'Eredeti fejléccel'!$CR:$CR)</f>
        <v>0</v>
      </c>
      <c r="FX252" s="6">
        <f>SUMIF('Eredeti fejléccel'!$B:$B,'Felosztás eredménykim'!$B252,'Eredeti fejléccel'!$CS:$CS)</f>
        <v>0</v>
      </c>
      <c r="FY252" s="6">
        <f>SUMIF('Eredeti fejléccel'!$B:$B,'Felosztás eredménykim'!$B252,'Eredeti fejléccel'!$CT:$CT)</f>
        <v>0</v>
      </c>
      <c r="FZ252" s="6">
        <f>SUMIF('Eredeti fejléccel'!$B:$B,'Felosztás eredménykim'!$B252,'Eredeti fejléccel'!$CU:$CU)</f>
        <v>0</v>
      </c>
      <c r="GA252" s="103">
        <f t="shared" si="530"/>
        <v>0</v>
      </c>
      <c r="GB252" s="36">
        <f t="shared" si="561"/>
        <v>0</v>
      </c>
      <c r="GC252" s="101">
        <f t="shared" si="411"/>
        <v>0</v>
      </c>
      <c r="GD252" s="6">
        <f>SUMIF('Eredeti fejléccel'!$B:$B,'Felosztás eredménykim'!$B252,'Eredeti fejléccel'!$CV:$CV)</f>
        <v>0</v>
      </c>
      <c r="GE252" s="6">
        <f>SUMIF('Eredeti fejléccel'!$B:$B,'Felosztás eredménykim'!$B252,'Eredeti fejléccel'!$CW:$CW)</f>
        <v>0</v>
      </c>
      <c r="GF252" s="103">
        <f t="shared" si="531"/>
        <v>0</v>
      </c>
      <c r="GG252" s="36">
        <f t="shared" si="412"/>
        <v>0</v>
      </c>
      <c r="GM252" s="6">
        <f>SUMIF('Eredeti fejléccel'!$B:$B,'Felosztás eredménykim'!$B252,'Eredeti fejléccel'!$CX:$CX)</f>
        <v>0</v>
      </c>
      <c r="GN252" s="6">
        <f>SUMIF('Eredeti fejléccel'!$B:$B,'Felosztás eredménykim'!$B252,'Eredeti fejléccel'!$CY:$CY)</f>
        <v>0</v>
      </c>
      <c r="GO252" s="6">
        <f>SUMIF('Eredeti fejléccel'!$B:$B,'Felosztás eredménykim'!$B252,'Eredeti fejléccel'!$CZ:$CZ)</f>
        <v>0</v>
      </c>
      <c r="GP252" s="6">
        <f>SUMIF('Eredeti fejléccel'!$B:$B,'Felosztás eredménykim'!$B252,'Eredeti fejléccel'!$DA:$DA)</f>
        <v>0</v>
      </c>
      <c r="GQ252" s="6">
        <f>SUMIF('Eredeti fejléccel'!$B:$B,'Felosztás eredménykim'!$B252,'Eredeti fejléccel'!$DB:$DB)</f>
        <v>0</v>
      </c>
      <c r="GR252" s="103">
        <f t="shared" si="532"/>
        <v>0</v>
      </c>
      <c r="GW252" s="36">
        <f t="shared" si="413"/>
        <v>0</v>
      </c>
      <c r="GX252" s="6">
        <f>SUMIF('Eredeti fejléccel'!$B:$B,'Felosztás eredménykim'!$B252,'Eredeti fejléccel'!$M:$M)</f>
        <v>0</v>
      </c>
      <c r="GY252" s="6">
        <f>SUMIF('Eredeti fejléccel'!$B:$B,'Felosztás eredménykim'!$B252,'Eredeti fejléccel'!$DC:$DC)</f>
        <v>0</v>
      </c>
      <c r="GZ252" s="6">
        <f>SUMIF('Eredeti fejléccel'!$B:$B,'Felosztás eredménykim'!$B252,'Eredeti fejléccel'!$DD:$DD)</f>
        <v>0</v>
      </c>
      <c r="HA252" s="6">
        <f>SUMIF('Eredeti fejléccel'!$B:$B,'Felosztás eredménykim'!$B252,'Eredeti fejléccel'!$DE:$DE)</f>
        <v>0</v>
      </c>
      <c r="HB252" s="103">
        <f t="shared" si="533"/>
        <v>0</v>
      </c>
      <c r="HD252" s="9">
        <f t="shared" si="547"/>
        <v>-361260</v>
      </c>
      <c r="HE252" s="9">
        <v>-361260</v>
      </c>
      <c r="HF252" s="476"/>
      <c r="HH252" s="34">
        <f t="shared" si="534"/>
        <v>0</v>
      </c>
    </row>
    <row r="253" spans="1:217" x14ac:dyDescent="0.25">
      <c r="A253" s="4" t="s">
        <v>1778</v>
      </c>
      <c r="B253" s="4" t="s">
        <v>1778</v>
      </c>
      <c r="C253" s="1" t="s">
        <v>1779</v>
      </c>
      <c r="D253" s="6">
        <f>SUMIF('Eredeti fejléccel'!$B:$B,'Felosztás eredménykim'!$B253,'Eredeti fejléccel'!$D:$D)</f>
        <v>0</v>
      </c>
      <c r="E253" s="6">
        <f>SUMIF('Eredeti fejléccel'!$B:$B,'Felosztás eredménykim'!$B253,'Eredeti fejléccel'!$E:$E)</f>
        <v>0</v>
      </c>
      <c r="F253" s="6">
        <f>SUMIF('Eredeti fejléccel'!$B:$B,'Felosztás eredménykim'!$B253,'Eredeti fejléccel'!$F:$F)</f>
        <v>0</v>
      </c>
      <c r="G253" s="6">
        <f>SUMIF('Eredeti fejléccel'!$B:$B,'Felosztás eredménykim'!$B253,'Eredeti fejléccel'!$G:$G)</f>
        <v>0</v>
      </c>
      <c r="H253" s="6"/>
      <c r="I253" s="6">
        <f>SUMIF('Eredeti fejléccel'!$B:$B,'Felosztás eredménykim'!$B253,'Eredeti fejléccel'!$O:$O)</f>
        <v>0</v>
      </c>
      <c r="J253" s="6">
        <f>SUMIF('Eredeti fejléccel'!$B:$B,'Felosztás eredménykim'!$B253,'Eredeti fejléccel'!$P:$P)</f>
        <v>0</v>
      </c>
      <c r="K253" s="6">
        <f>SUMIF('Eredeti fejléccel'!$B:$B,'Felosztás eredménykim'!$B253,'Eredeti fejléccel'!$Q:$Q)</f>
        <v>0</v>
      </c>
      <c r="L253" s="6">
        <f>SUMIF('Eredeti fejléccel'!$B:$B,'Felosztás eredménykim'!$B253,'Eredeti fejléccel'!$R:$R)</f>
        <v>0</v>
      </c>
      <c r="M253" s="6">
        <f>SUMIF('Eredeti fejléccel'!$B:$B,'Felosztás eredménykim'!$B253,'Eredeti fejléccel'!$T:$T)</f>
        <v>0</v>
      </c>
      <c r="N253" s="6">
        <f>SUMIF('Eredeti fejléccel'!$B:$B,'Felosztás eredménykim'!$B253,'Eredeti fejléccel'!$U:$U)</f>
        <v>0</v>
      </c>
      <c r="O253" s="6">
        <f>SUMIF('Eredeti fejléccel'!$B:$B,'Felosztás eredménykim'!$B253,'Eredeti fejléccel'!$V:$V)</f>
        <v>0</v>
      </c>
      <c r="P253" s="6">
        <f>SUMIF('Eredeti fejléccel'!$B:$B,'Felosztás eredménykim'!$B253,'Eredeti fejléccel'!$W:$W)</f>
        <v>0</v>
      </c>
      <c r="Q253" s="6">
        <f>SUMIF('Eredeti fejléccel'!$B:$B,'Felosztás eredménykim'!$B253,'Eredeti fejléccel'!$X:$X)</f>
        <v>0</v>
      </c>
      <c r="R253" s="6">
        <f>SUMIF('Eredeti fejléccel'!$B:$B,'Felosztás eredménykim'!$B253,'Eredeti fejléccel'!$Y:$Y)</f>
        <v>0</v>
      </c>
      <c r="S253" s="6">
        <f>SUMIF('Eredeti fejléccel'!$B:$B,'Felosztás eredménykim'!$B253,'Eredeti fejléccel'!$Z:$Z)</f>
        <v>0</v>
      </c>
      <c r="T253" s="6">
        <f>SUMIF('Eredeti fejléccel'!$B:$B,'Felosztás eredménykim'!$B253,'Eredeti fejléccel'!$AA:$AA)</f>
        <v>0</v>
      </c>
      <c r="U253" s="6">
        <f>SUMIF('Eredeti fejléccel'!$B:$B,'Felosztás eredménykim'!$B253,'Eredeti fejléccel'!$D:$D)</f>
        <v>0</v>
      </c>
      <c r="V253" s="6">
        <f>SUMIF('Eredeti fejléccel'!$B:$B,'Felosztás eredménykim'!$B253,'Eredeti fejléccel'!$AT:$AT)</f>
        <v>0</v>
      </c>
      <c r="X253" s="36">
        <f t="shared" si="414"/>
        <v>0</v>
      </c>
      <c r="Z253" s="6">
        <f>SUMIF('Eredeti fejléccel'!$B:$B,'Felosztás eredménykim'!$B253,'Eredeti fejléccel'!$K:$K)</f>
        <v>0</v>
      </c>
      <c r="AB253" s="6">
        <f>SUMIF('Eredeti fejléccel'!$B:$B,'Felosztás eredménykim'!$B253,'Eredeti fejléccel'!$AB:$AB)</f>
        <v>0</v>
      </c>
      <c r="AC253" s="6">
        <f>SUMIF('Eredeti fejléccel'!$B:$B,'Felosztás eredménykim'!$B253,'Eredeti fejléccel'!$AQ:$AQ)</f>
        <v>0</v>
      </c>
      <c r="AE253" s="73">
        <f t="shared" ref="AE253" si="562">SUM(Z253:AD253)</f>
        <v>0</v>
      </c>
      <c r="AF253" s="36">
        <f t="shared" si="549"/>
        <v>0</v>
      </c>
      <c r="AG253" s="8">
        <f t="shared" si="399"/>
        <v>0</v>
      </c>
      <c r="AI253" s="6">
        <f>SUMIF('Eredeti fejléccel'!$B:$B,'Felosztás eredménykim'!$B253,'Eredeti fejléccel'!$BB:$BB)</f>
        <v>0</v>
      </c>
      <c r="AJ253" s="6">
        <f>SUMIF('Eredeti fejléccel'!$B:$B,'Felosztás eredménykim'!$B253,'Eredeti fejléccel'!$AF:$AF)</f>
        <v>0</v>
      </c>
      <c r="AK253" s="8">
        <f t="shared" ref="AK253" si="563">SUM(AG253:AJ253)</f>
        <v>0</v>
      </c>
      <c r="AL253" s="36">
        <f t="shared" si="550"/>
        <v>0</v>
      </c>
      <c r="AM253" s="8">
        <f t="shared" si="400"/>
        <v>0</v>
      </c>
      <c r="AN253" s="6">
        <f t="shared" ref="AN253" si="564">-AO253/2</f>
        <v>0</v>
      </c>
      <c r="AO253" s="6">
        <f>SUMIF('Eredeti fejléccel'!$B:$B,'Felosztás eredménykim'!$B253,'Eredeti fejléccel'!$AC:$AC)</f>
        <v>0</v>
      </c>
      <c r="AP253" s="6">
        <f>SUMIF('Eredeti fejléccel'!$B:$B,'Felosztás eredménykim'!$B253,'Eredeti fejléccel'!$AD:$AD)</f>
        <v>0</v>
      </c>
      <c r="AQ253" s="6">
        <f>SUMIF('Eredeti fejléccel'!$B:$B,'Felosztás eredménykim'!$B253,'Eredeti fejléccel'!$AE:$AE)</f>
        <v>0</v>
      </c>
      <c r="AR253" s="6">
        <f>SUMIF('Eredeti fejléccel'!$B:$B,'Felosztás eredménykim'!$B253,'Eredeti fejléccel'!$AG:$AG)</f>
        <v>0</v>
      </c>
      <c r="AS253" s="6">
        <f t="shared" ref="AS253" si="565">SUM(AM253:AR253)</f>
        <v>0</v>
      </c>
      <c r="AT253" s="36">
        <f t="shared" si="551"/>
        <v>0</v>
      </c>
      <c r="AU253" s="8">
        <f t="shared" si="401"/>
        <v>0</v>
      </c>
      <c r="AV253" s="6">
        <f>SUMIF('Eredeti fejléccel'!$B:$B,'Felosztás eredménykim'!$B253,'Eredeti fejléccel'!$AI:$AI)</f>
        <v>0</v>
      </c>
      <c r="AW253" s="6">
        <f>SUMIF('Eredeti fejléccel'!$B:$B,'Felosztás eredménykim'!$B253,'Eredeti fejléccel'!$AJ:$AJ)</f>
        <v>0</v>
      </c>
      <c r="AX253" s="6">
        <f>SUMIF('Eredeti fejléccel'!$B:$B,'Felosztás eredménykim'!$B253,'Eredeti fejléccel'!$AK:$AK)</f>
        <v>0</v>
      </c>
      <c r="AY253" s="6">
        <f>SUMIF('Eredeti fejléccel'!$B:$B,'Felosztás eredménykim'!$B253,'Eredeti fejléccel'!$AL:$AL)</f>
        <v>0</v>
      </c>
      <c r="AZ253" s="6">
        <f>SUMIF('Eredeti fejléccel'!$B:$B,'Felosztás eredménykim'!$B253,'Eredeti fejléccel'!$AM:$AM)</f>
        <v>0</v>
      </c>
      <c r="BA253" s="6">
        <f>SUMIF('Eredeti fejléccel'!$B:$B,'Felosztás eredménykim'!$B253,'Eredeti fejléccel'!$AN:$AN)</f>
        <v>0</v>
      </c>
      <c r="BB253" s="6">
        <f>SUMIF('Eredeti fejléccel'!$B:$B,'Felosztás eredménykim'!$B253,'Eredeti fejléccel'!$AP:$AP)</f>
        <v>0</v>
      </c>
      <c r="BD253" s="6">
        <f>SUMIF('Eredeti fejléccel'!$B:$B,'Felosztás eredménykim'!$B253,'Eredeti fejléccel'!$AS:$AS)</f>
        <v>0</v>
      </c>
      <c r="BE253" s="8">
        <f t="shared" ref="BE253" si="566">SUM(AU253:BD253)</f>
        <v>0</v>
      </c>
      <c r="BF253" s="36">
        <f t="shared" si="552"/>
        <v>0</v>
      </c>
      <c r="BG253" s="8">
        <f t="shared" si="402"/>
        <v>0</v>
      </c>
      <c r="BH253" s="6">
        <f t="shared" ref="BH253" si="567">AO253/2</f>
        <v>0</v>
      </c>
      <c r="BI253" s="6">
        <f>SUMIF('Eredeti fejléccel'!$B:$B,'Felosztás eredménykim'!$B253,'Eredeti fejléccel'!$AH:$AH)</f>
        <v>0</v>
      </c>
      <c r="BJ253" s="6">
        <f>SUMIF('Eredeti fejléccel'!$B:$B,'Felosztás eredménykim'!$B253,'Eredeti fejléccel'!$AO:$AO)</f>
        <v>0</v>
      </c>
      <c r="BK253" s="6">
        <f>SUMIF('Eredeti fejléccel'!$B:$B,'Felosztás eredménykim'!$B253,'Eredeti fejléccel'!$BF:$BF)</f>
        <v>0</v>
      </c>
      <c r="BL253" s="8">
        <f t="shared" ref="BL253" si="568">SUM(BG253:BK253)</f>
        <v>0</v>
      </c>
      <c r="BM253" s="36">
        <f t="shared" si="553"/>
        <v>0</v>
      </c>
      <c r="BN253" s="8">
        <f t="shared" si="403"/>
        <v>0</v>
      </c>
      <c r="BP253" s="8">
        <f t="shared" ref="BP253" si="569">-FV253</f>
        <v>0</v>
      </c>
      <c r="BQ253" s="6">
        <f>SUMIF('Eredeti fejléccel'!$B:$B,'Felosztás eredménykim'!$B253,'Eredeti fejléccel'!$N:$N)</f>
        <v>0</v>
      </c>
      <c r="BR253" s="6">
        <f>SUMIF('Eredeti fejléccel'!$B:$B,'Felosztás eredménykim'!$B253,'Eredeti fejléccel'!$S:$S)</f>
        <v>0</v>
      </c>
      <c r="BT253" s="6">
        <f>SUMIF('Eredeti fejléccel'!$B:$B,'Felosztás eredménykim'!$B253,'Eredeti fejléccel'!$AR:$AR)</f>
        <v>0</v>
      </c>
      <c r="BU253" s="6">
        <f>SUMIF('Eredeti fejléccel'!$B:$B,'Felosztás eredménykim'!$B253,'Eredeti fejléccel'!$AU:$AU)</f>
        <v>0</v>
      </c>
      <c r="BV253" s="6">
        <f>SUMIF('Eredeti fejléccel'!$B:$B,'Felosztás eredménykim'!$B253,'Eredeti fejléccel'!$AV:$AV)</f>
        <v>0</v>
      </c>
      <c r="BW253" s="6">
        <f>SUMIF('Eredeti fejléccel'!$B:$B,'Felosztás eredménykim'!$B253,'Eredeti fejléccel'!$AW:$AW)</f>
        <v>0</v>
      </c>
      <c r="BX253" s="6">
        <f>SUMIF('Eredeti fejléccel'!$B:$B,'Felosztás eredménykim'!$B253,'Eredeti fejléccel'!$AX:$AX)</f>
        <v>0</v>
      </c>
      <c r="BY253" s="6">
        <f>SUMIF('Eredeti fejléccel'!$B:$B,'Felosztás eredménykim'!$B253,'Eredeti fejléccel'!$AY:$AY)</f>
        <v>0</v>
      </c>
      <c r="BZ253" s="6">
        <f>SUMIF('Eredeti fejléccel'!$B:$B,'Felosztás eredménykim'!$B253,'Eredeti fejléccel'!$AZ:$AZ)</f>
        <v>0</v>
      </c>
      <c r="CA253" s="6">
        <f>SUMIF('Eredeti fejléccel'!$B:$B,'Felosztás eredménykim'!$B253,'Eredeti fejléccel'!$BA:$BA)</f>
        <v>0</v>
      </c>
      <c r="CB253" s="6">
        <f t="shared" ref="CB253" si="570">SUM(BN253:CA253)</f>
        <v>0</v>
      </c>
      <c r="CC253" s="36">
        <f t="shared" si="554"/>
        <v>0</v>
      </c>
      <c r="CD253" s="8">
        <f t="shared" si="404"/>
        <v>0</v>
      </c>
      <c r="CE253" s="6">
        <f>SUMIF('Eredeti fejléccel'!$B:$B,'Felosztás eredménykim'!$B253,'Eredeti fejléccel'!$BC:$BC)</f>
        <v>0</v>
      </c>
      <c r="CF253" s="8">
        <f t="shared" ref="CF253" si="571">-CE253/2</f>
        <v>0</v>
      </c>
      <c r="CG253" s="6">
        <f>SUMIF('Eredeti fejléccel'!$B:$B,'Felosztás eredménykim'!$B253,'Eredeti fejléccel'!$H:$H)</f>
        <v>0</v>
      </c>
      <c r="CH253" s="6">
        <f>SUMIF('Eredeti fejléccel'!$B:$B,'Felosztás eredménykim'!$B253,'Eredeti fejléccel'!$BE:$BE)</f>
        <v>0</v>
      </c>
      <c r="CI253" s="6">
        <f t="shared" ref="CI253" si="572">SUM(CD253:CH253)</f>
        <v>0</v>
      </c>
      <c r="CJ253" s="36">
        <f t="shared" si="556"/>
        <v>0</v>
      </c>
      <c r="CK253" s="8">
        <f t="shared" si="405"/>
        <v>0</v>
      </c>
      <c r="CL253" s="8">
        <f t="shared" ref="CL253" si="573">CE253/2</f>
        <v>0</v>
      </c>
      <c r="CM253" s="6">
        <f>SUMIF('Eredeti fejléccel'!$B:$B,'Felosztás eredménykim'!$B253,'Eredeti fejléccel'!$BD:$BD)</f>
        <v>0</v>
      </c>
      <c r="CN253" s="8">
        <f t="shared" ref="CN253" si="574">SUM(CK253:CM253)</f>
        <v>0</v>
      </c>
      <c r="CO253" s="8">
        <f t="shared" ref="CO253" si="575">+AF253+AK253+AL253+AS253+AT253+BE253+BF253+BL253+BM253+CB253+CC253+CI253+CJ253+CN253</f>
        <v>0</v>
      </c>
      <c r="CR253" s="36">
        <f t="shared" si="406"/>
        <v>0</v>
      </c>
      <c r="CS253" s="6">
        <f>SUMIF('Eredeti fejléccel'!$B:$B,'Felosztás eredménykim'!$B253,'Eredeti fejléccel'!$I:$I)</f>
        <v>0</v>
      </c>
      <c r="CT253" s="6">
        <f>SUMIF('Eredeti fejléccel'!$B:$B,'Felosztás eredménykim'!$B253,'Eredeti fejléccel'!$BG:$BG)</f>
        <v>0</v>
      </c>
      <c r="CU253" s="6">
        <f>SUMIF('Eredeti fejléccel'!$B:$B,'Felosztás eredménykim'!$B253,'Eredeti fejléccel'!$BH:$BH)</f>
        <v>0</v>
      </c>
      <c r="CV253" s="6">
        <f>SUMIF('Eredeti fejléccel'!$B:$B,'Felosztás eredménykim'!$B253,'Eredeti fejléccel'!$BI:$BI)</f>
        <v>0</v>
      </c>
      <c r="CW253" s="6">
        <f>SUMIF('Eredeti fejléccel'!$B:$B,'Felosztás eredménykim'!$B253,'Eredeti fejléccel'!$BL:$BL)</f>
        <v>0</v>
      </c>
      <c r="CX253" s="6">
        <f t="shared" ref="CX253" si="576">SUM(CS253:CW253)</f>
        <v>0</v>
      </c>
      <c r="CY253" s="6">
        <f>SUMIF('Eredeti fejléccel'!$B:$B,'Felosztás eredménykim'!$B253,'Eredeti fejléccel'!$BJ:$BJ)</f>
        <v>0</v>
      </c>
      <c r="CZ253" s="6">
        <f>SUMIF('Eredeti fejléccel'!$B:$B,'Felosztás eredménykim'!$B253,'Eredeti fejléccel'!$BK:$BK)</f>
        <v>0</v>
      </c>
      <c r="DA253" s="99">
        <f t="shared" si="415"/>
        <v>0</v>
      </c>
      <c r="DC253" s="36">
        <f t="shared" si="407"/>
        <v>0</v>
      </c>
      <c r="DD253" s="6">
        <f>SUMIF('Eredeti fejléccel'!$B:$B,'Felosztás eredménykim'!$B253,'Eredeti fejléccel'!$J:$J)</f>
        <v>0</v>
      </c>
      <c r="DE253" s="6">
        <f>SUMIF('Eredeti fejléccel'!$B:$B,'Felosztás eredménykim'!$B253,'Eredeti fejléccel'!$BM:$BM)</f>
        <v>0</v>
      </c>
      <c r="DF253" s="6">
        <f t="shared" ref="DF253" si="577">-DI253</f>
        <v>0</v>
      </c>
      <c r="DG253" s="8">
        <f t="shared" ref="DG253" si="578">-BO253</f>
        <v>0</v>
      </c>
      <c r="DH253" s="8">
        <f t="shared" ref="DH253" si="579">SUM(DD253:DG253)</f>
        <v>0</v>
      </c>
      <c r="DJ253" s="6">
        <f>SUMIF('Eredeti fejléccel'!$B:$B,'Felosztás eredménykim'!$B253,'Eredeti fejléccel'!$BN:$BN)</f>
        <v>0</v>
      </c>
      <c r="DK253" s="6">
        <f>SUMIF('Eredeti fejléccel'!$B:$B,'Felosztás eredménykim'!$B253,'Eredeti fejléccel'!$BZ:$BZ)</f>
        <v>0</v>
      </c>
      <c r="DL253" s="8">
        <f t="shared" ref="DL253" si="580">SUM(DI253:DK253)</f>
        <v>0</v>
      </c>
      <c r="DM253" s="6">
        <f>SUMIF('Eredeti fejléccel'!$B:$B,'Felosztás eredménykim'!$B253,'Eredeti fejléccel'!$BR:$BR)</f>
        <v>0</v>
      </c>
      <c r="DN253" s="6">
        <f>SUMIF('Eredeti fejléccel'!$B:$B,'Felosztás eredménykim'!$B253,'Eredeti fejléccel'!$BS:$BS)</f>
        <v>0</v>
      </c>
      <c r="DO253" s="6">
        <f>SUMIF('Eredeti fejléccel'!$B:$B,'Felosztás eredménykim'!$B253,'Eredeti fejléccel'!$BO:$BO)</f>
        <v>0</v>
      </c>
      <c r="DP253" s="6">
        <f>SUMIF('Eredeti fejléccel'!$B:$B,'Felosztás eredménykim'!$B253,'Eredeti fejléccel'!$BP:$BP)</f>
        <v>0</v>
      </c>
      <c r="DQ253" s="6">
        <f>SUMIF('Eredeti fejléccel'!$B:$B,'Felosztás eredménykim'!$B253,'Eredeti fejléccel'!$BQ:$BQ)</f>
        <v>0</v>
      </c>
      <c r="DS253" s="8"/>
      <c r="DU253" s="6">
        <f>SUMIF('Eredeti fejléccel'!$B:$B,'Felosztás eredménykim'!$B253,'Eredeti fejléccel'!$BT:$BT)</f>
        <v>0</v>
      </c>
      <c r="DV253" s="6">
        <f>SUMIF('Eredeti fejléccel'!$B:$B,'Felosztás eredménykim'!$B253,'Eredeti fejléccel'!$BU:$BU)</f>
        <v>0</v>
      </c>
      <c r="DW253" s="6">
        <f>SUMIF('Eredeti fejléccel'!$B:$B,'Felosztás eredménykim'!$B253,'Eredeti fejléccel'!$BV:$BV)</f>
        <v>0</v>
      </c>
      <c r="DX253" s="6">
        <f>SUMIF('Eredeti fejléccel'!$B:$B,'Felosztás eredménykim'!$B253,'Eredeti fejléccel'!$BW:$BW)</f>
        <v>0</v>
      </c>
      <c r="DY253" s="6">
        <f>SUMIF('Eredeti fejléccel'!$B:$B,'Felosztás eredménykim'!$B253,'Eredeti fejléccel'!$BX:$BX)</f>
        <v>0</v>
      </c>
      <c r="EA253" s="6"/>
      <c r="EC253" s="6"/>
      <c r="EE253" s="6">
        <f>SUMIF('Eredeti fejléccel'!$B:$B,'Felosztás eredménykim'!$B253,'Eredeti fejléccel'!$CA:$CA)</f>
        <v>0</v>
      </c>
      <c r="EF253" s="6">
        <f>SUMIF('Eredeti fejléccel'!$B:$B,'Felosztás eredménykim'!$B253,'Eredeti fejléccel'!$CB:$CB)</f>
        <v>0</v>
      </c>
      <c r="EG253" s="6">
        <f>SUMIF('Eredeti fejléccel'!$B:$B,'Felosztás eredménykim'!$B253,'Eredeti fejléccel'!$CC:$CC)</f>
        <v>0</v>
      </c>
      <c r="EH253" s="6">
        <f>SUMIF('Eredeti fejléccel'!$B:$B,'Felosztás eredménykim'!$B253,'Eredeti fejléccel'!$CD:$CD)</f>
        <v>0</v>
      </c>
      <c r="EK253" s="6">
        <f>SUMIF('Eredeti fejléccel'!$B:$B,'Felosztás eredménykim'!$B253,'Eredeti fejléccel'!$CE:$CE)</f>
        <v>0</v>
      </c>
      <c r="EN253" s="6">
        <f>SUMIF('Eredeti fejléccel'!$B:$B,'Felosztás eredménykim'!$B253,'Eredeti fejléccel'!$CF:$CF)</f>
        <v>0</v>
      </c>
      <c r="EP253" s="6">
        <f>SUMIF('Eredeti fejléccel'!$B:$B,'Felosztás eredménykim'!$B253,'Eredeti fejléccel'!$CG:$CG)</f>
        <v>0</v>
      </c>
      <c r="ES253" s="6">
        <f>SUMIF('Eredeti fejléccel'!$B:$B,'Felosztás eredménykim'!$B253,'Eredeti fejléccel'!$CH:$CH)</f>
        <v>0</v>
      </c>
      <c r="ET253" s="6">
        <f>SUMIF('Eredeti fejléccel'!$B:$B,'Felosztás eredménykim'!$B253,'Eredeti fejléccel'!$CI:$CI)</f>
        <v>0</v>
      </c>
      <c r="EW253" s="8">
        <f t="shared" ref="EW253" si="581">SUM(DR253:ED253)</f>
        <v>0</v>
      </c>
      <c r="EX253" s="8">
        <f t="shared" ref="EX253" si="582">SUM(EE253:EV253)</f>
        <v>0</v>
      </c>
      <c r="EY253" s="8">
        <f t="shared" si="416"/>
        <v>0</v>
      </c>
      <c r="EZ253" s="8">
        <f t="shared" ref="EZ253" si="583">EY253+DL253+DM253+DN253+DO253+DP253+DQ253</f>
        <v>0</v>
      </c>
      <c r="FA253" s="8">
        <f t="shared" ref="FA253" si="584">EZ253-DL253-DM253</f>
        <v>0</v>
      </c>
      <c r="FC253" s="6">
        <f>SUMIF('Eredeti fejléccel'!$B:$B,'Felosztás eredménykim'!$B253,'Eredeti fejléccel'!$L:$L)</f>
        <v>0</v>
      </c>
      <c r="FD253" s="6">
        <f>SUMIF('Eredeti fejléccel'!$B:$B,'Felosztás eredménykim'!$B253,'Eredeti fejléccel'!$CJ:$CJ)</f>
        <v>0</v>
      </c>
      <c r="FE253" s="6">
        <f>SUMIF('Eredeti fejléccel'!$B:$B,'Felosztás eredménykim'!$B253,'Eredeti fejléccel'!$CL:$CL)</f>
        <v>0</v>
      </c>
      <c r="FG253" s="99">
        <f t="shared" ref="FG253" si="585">SUM(FC253:FF253)</f>
        <v>0</v>
      </c>
      <c r="FH253" s="6">
        <f>SUMIF('Eredeti fejléccel'!$B:$B,'Felosztás eredménykim'!$B253,'Eredeti fejléccel'!$CK:$CK)</f>
        <v>0</v>
      </c>
      <c r="FI253" s="36">
        <f t="shared" si="558"/>
        <v>0</v>
      </c>
      <c r="FJ253" s="101">
        <f t="shared" si="408"/>
        <v>0</v>
      </c>
      <c r="FK253" s="6">
        <f>SUMIF('Eredeti fejléccel'!$B:$B,'Felosztás eredménykim'!$B253,'Eredeti fejléccel'!$CM:$CM)</f>
        <v>0</v>
      </c>
      <c r="FL253" s="6">
        <f>SUMIF('Eredeti fejléccel'!$B:$B,'Felosztás eredménykim'!$B253,'Eredeti fejléccel'!$CN:$CN)</f>
        <v>0</v>
      </c>
      <c r="FM253" s="8">
        <f t="shared" ref="FM253" si="586">SUM(FJ253:FL253)</f>
        <v>0</v>
      </c>
      <c r="FN253" s="36">
        <f t="shared" si="559"/>
        <v>0</v>
      </c>
      <c r="FO253" s="101">
        <f t="shared" si="409"/>
        <v>0</v>
      </c>
      <c r="FP253" s="6">
        <f>SUMIF('Eredeti fejléccel'!$B:$B,'Felosztás eredménykim'!$B253,'Eredeti fejléccel'!$CO:$CO)</f>
        <v>0</v>
      </c>
      <c r="FQ253" s="6">
        <f>'Eredeti fejléccel'!CP253</f>
        <v>0</v>
      </c>
      <c r="FR253" s="6">
        <f>'Eredeti fejléccel'!CQ253</f>
        <v>0</v>
      </c>
      <c r="FS253" s="103">
        <f t="shared" ref="FS253" si="587">SUM(FO253:FR253)</f>
        <v>0</v>
      </c>
      <c r="FT253" s="36">
        <f t="shared" si="560"/>
        <v>0</v>
      </c>
      <c r="FU253" s="101">
        <f t="shared" si="410"/>
        <v>0</v>
      </c>
      <c r="FV253" s="101"/>
      <c r="FW253" s="6">
        <f>SUMIF('Eredeti fejléccel'!$B:$B,'Felosztás eredménykim'!$B253,'Eredeti fejléccel'!$CR:$CR)</f>
        <v>0</v>
      </c>
      <c r="FX253" s="6">
        <f>SUMIF('Eredeti fejléccel'!$B:$B,'Felosztás eredménykim'!$B253,'Eredeti fejléccel'!$CS:$CS)</f>
        <v>0</v>
      </c>
      <c r="FY253" s="6">
        <f>SUMIF('Eredeti fejléccel'!$B:$B,'Felosztás eredménykim'!$B253,'Eredeti fejléccel'!$CT:$CT)</f>
        <v>0</v>
      </c>
      <c r="FZ253" s="6">
        <f>SUMIF('Eredeti fejléccel'!$B:$B,'Felosztás eredménykim'!$B253,'Eredeti fejléccel'!$CU:$CU)</f>
        <v>0</v>
      </c>
      <c r="GA253" s="103">
        <f t="shared" ref="GA253" si="588">SUM(FU253:FZ253)</f>
        <v>0</v>
      </c>
      <c r="GB253" s="36">
        <f t="shared" si="561"/>
        <v>0</v>
      </c>
      <c r="GC253" s="101">
        <f t="shared" si="411"/>
        <v>0</v>
      </c>
      <c r="GD253" s="6">
        <f>SUMIF('Eredeti fejléccel'!$B:$B,'Felosztás eredménykim'!$B253,'Eredeti fejléccel'!$CV:$CV)</f>
        <v>0</v>
      </c>
      <c r="GE253" s="6">
        <f>SUMIF('Eredeti fejléccel'!$B:$B,'Felosztás eredménykim'!$B253,'Eredeti fejléccel'!$CW:$CW)</f>
        <v>0</v>
      </c>
      <c r="GF253" s="103">
        <f t="shared" ref="GF253" si="589">SUM(GC253:GE253)</f>
        <v>0</v>
      </c>
      <c r="GG253" s="36">
        <f t="shared" si="412"/>
        <v>0</v>
      </c>
      <c r="GM253" s="6">
        <f>SUMIF('Eredeti fejléccel'!$B:$B,'Felosztás eredménykim'!$B253,'Eredeti fejléccel'!$CX:$CX)</f>
        <v>0</v>
      </c>
      <c r="GN253" s="6">
        <f>SUMIF('Eredeti fejléccel'!$B:$B,'Felosztás eredménykim'!$B253,'Eredeti fejléccel'!$CY:$CY)</f>
        <v>0</v>
      </c>
      <c r="GO253" s="6">
        <f>SUMIF('Eredeti fejléccel'!$B:$B,'Felosztás eredménykim'!$B253,'Eredeti fejléccel'!$CZ:$CZ)</f>
        <v>0</v>
      </c>
      <c r="GP253" s="6">
        <f>SUMIF('Eredeti fejléccel'!$B:$B,'Felosztás eredménykim'!$B253,'Eredeti fejléccel'!$DA:$DA)</f>
        <v>0</v>
      </c>
      <c r="GQ253" s="6">
        <f>SUMIF('Eredeti fejléccel'!$B:$B,'Felosztás eredménykim'!$B253,'Eredeti fejléccel'!$DB:$DB)</f>
        <v>0</v>
      </c>
      <c r="GR253" s="103">
        <f t="shared" ref="GR253" si="590">SUM(GH253:GQ253)</f>
        <v>0</v>
      </c>
      <c r="GW253" s="36">
        <f t="shared" si="413"/>
        <v>0</v>
      </c>
      <c r="GX253" s="6">
        <f>SUMIF('Eredeti fejléccel'!$B:$B,'Felosztás eredménykim'!$B253,'Eredeti fejléccel'!$M:$M)</f>
        <v>0</v>
      </c>
      <c r="GY253" s="6">
        <f>SUMIF('Eredeti fejléccel'!$B:$B,'Felosztás eredménykim'!$B253,'Eredeti fejléccel'!$DC:$DC)</f>
        <v>0</v>
      </c>
      <c r="GZ253" s="6">
        <f>SUMIF('Eredeti fejléccel'!$B:$B,'Felosztás eredménykim'!$B253,'Eredeti fejléccel'!$DD:$DD)</f>
        <v>0</v>
      </c>
      <c r="HA253" s="6">
        <f>SUMIF('Eredeti fejléccel'!$B:$B,'Felosztás eredménykim'!$B253,'Eredeti fejléccel'!$DE:$DE)</f>
        <v>0</v>
      </c>
      <c r="HB253" s="103">
        <f t="shared" ref="HB253" si="591">SUM(GX253:HA253)</f>
        <v>0</v>
      </c>
      <c r="HD253" s="9">
        <f t="shared" si="547"/>
        <v>0</v>
      </c>
      <c r="HE253" s="9">
        <v>0</v>
      </c>
      <c r="HF253" s="476"/>
      <c r="HH253" s="34">
        <f t="shared" ref="HH253" si="592">+HD253-HE253</f>
        <v>0</v>
      </c>
    </row>
    <row r="254" spans="1:217" x14ac:dyDescent="0.25">
      <c r="A254" s="4" t="s">
        <v>784</v>
      </c>
      <c r="B254" s="4" t="s">
        <v>784</v>
      </c>
      <c r="C254" s="1" t="s">
        <v>785</v>
      </c>
      <c r="D254" s="6">
        <f>SUMIF('Eredeti fejléccel'!$B:$B,'Felosztás eredménykim'!$B254,'Eredeti fejléccel'!$D:$D)</f>
        <v>0</v>
      </c>
      <c r="E254" s="6">
        <f>SUMIF('Eredeti fejléccel'!$B:$B,'Felosztás eredménykim'!$B254,'Eredeti fejléccel'!$E:$E)</f>
        <v>0</v>
      </c>
      <c r="F254" s="6">
        <f>SUMIF('Eredeti fejléccel'!$B:$B,'Felosztás eredménykim'!$B254,'Eredeti fejléccel'!$F:$F)</f>
        <v>0</v>
      </c>
      <c r="G254" s="6">
        <f>SUMIF('Eredeti fejléccel'!$B:$B,'Felosztás eredménykim'!$B254,'Eredeti fejléccel'!$G:$G)</f>
        <v>0</v>
      </c>
      <c r="H254" s="6"/>
      <c r="I254" s="6">
        <f>SUMIF('Eredeti fejléccel'!$B:$B,'Felosztás eredménykim'!$B254,'Eredeti fejléccel'!$O:$O)</f>
        <v>0</v>
      </c>
      <c r="J254" s="6">
        <f>SUMIF('Eredeti fejléccel'!$B:$B,'Felosztás eredménykim'!$B254,'Eredeti fejléccel'!$P:$P)</f>
        <v>0</v>
      </c>
      <c r="K254" s="6">
        <f>SUMIF('Eredeti fejléccel'!$B:$B,'Felosztás eredménykim'!$B254,'Eredeti fejléccel'!$Q:$Q)</f>
        <v>0</v>
      </c>
      <c r="L254" s="6">
        <f>SUMIF('Eredeti fejléccel'!$B:$B,'Felosztás eredménykim'!$B254,'Eredeti fejléccel'!$R:$R)</f>
        <v>0</v>
      </c>
      <c r="M254" s="6">
        <f>SUMIF('Eredeti fejléccel'!$B:$B,'Felosztás eredménykim'!$B254,'Eredeti fejléccel'!$T:$T)</f>
        <v>0</v>
      </c>
      <c r="N254" s="6">
        <f>SUMIF('Eredeti fejléccel'!$B:$B,'Felosztás eredménykim'!$B254,'Eredeti fejléccel'!$U:$U)</f>
        <v>0</v>
      </c>
      <c r="O254" s="6">
        <f>SUMIF('Eredeti fejléccel'!$B:$B,'Felosztás eredménykim'!$B254,'Eredeti fejléccel'!$V:$V)</f>
        <v>0</v>
      </c>
      <c r="P254" s="6">
        <f>SUMIF('Eredeti fejléccel'!$B:$B,'Felosztás eredménykim'!$B254,'Eredeti fejléccel'!$W:$W)</f>
        <v>0</v>
      </c>
      <c r="Q254" s="6">
        <f>SUMIF('Eredeti fejléccel'!$B:$B,'Felosztás eredménykim'!$B254,'Eredeti fejléccel'!$X:$X)</f>
        <v>0</v>
      </c>
      <c r="R254" s="6">
        <f>SUMIF('Eredeti fejléccel'!$B:$B,'Felosztás eredménykim'!$B254,'Eredeti fejléccel'!$Y:$Y)</f>
        <v>0</v>
      </c>
      <c r="S254" s="6">
        <f>SUMIF('Eredeti fejléccel'!$B:$B,'Felosztás eredménykim'!$B254,'Eredeti fejléccel'!$Z:$Z)</f>
        <v>0</v>
      </c>
      <c r="T254" s="6">
        <f>SUMIF('Eredeti fejléccel'!$B:$B,'Felosztás eredménykim'!$B254,'Eredeti fejléccel'!$AA:$AA)</f>
        <v>0</v>
      </c>
      <c r="U254" s="6">
        <f>SUMIF('Eredeti fejléccel'!$B:$B,'Felosztás eredménykim'!$B254,'Eredeti fejléccel'!$D:$D)</f>
        <v>0</v>
      </c>
      <c r="V254" s="6">
        <f>SUMIF('Eredeti fejléccel'!$B:$B,'Felosztás eredménykim'!$B254,'Eredeti fejléccel'!$AT:$AT)</f>
        <v>-237947713</v>
      </c>
      <c r="W254" s="36">
        <f>-V254</f>
        <v>237947713</v>
      </c>
      <c r="X254" s="36">
        <f t="shared" si="414"/>
        <v>0</v>
      </c>
      <c r="Z254" s="6">
        <f>SUMIF('Eredeti fejléccel'!$B:$B,'Felosztás eredménykim'!$B254,'Eredeti fejléccel'!$K:$K)</f>
        <v>0</v>
      </c>
      <c r="AB254" s="6">
        <f>SUMIF('Eredeti fejléccel'!$B:$B,'Felosztás eredménykim'!$B254,'Eredeti fejléccel'!$AB:$AB)</f>
        <v>0</v>
      </c>
      <c r="AC254" s="6">
        <f>SUMIF('Eredeti fejléccel'!$B:$B,'Felosztás eredménykim'!$B254,'Eredeti fejléccel'!$AQ:$AQ)</f>
        <v>0</v>
      </c>
      <c r="AE254" s="73">
        <f t="shared" si="548"/>
        <v>0</v>
      </c>
      <c r="AF254" s="36">
        <f t="shared" si="549"/>
        <v>0</v>
      </c>
      <c r="AG254" s="8">
        <f t="shared" si="399"/>
        <v>0</v>
      </c>
      <c r="AI254" s="6">
        <f>SUMIF('Eredeti fejléccel'!$B:$B,'Felosztás eredménykim'!$B254,'Eredeti fejléccel'!$BB:$BB)</f>
        <v>0</v>
      </c>
      <c r="AJ254" s="6">
        <f>SUMIF('Eredeti fejléccel'!$B:$B,'Felosztás eredménykim'!$B254,'Eredeti fejléccel'!$AF:$AF)</f>
        <v>0</v>
      </c>
      <c r="AK254" s="8">
        <f t="shared" si="522"/>
        <v>0</v>
      </c>
      <c r="AL254" s="36">
        <f t="shared" si="550"/>
        <v>0</v>
      </c>
      <c r="AM254" s="8">
        <f t="shared" si="400"/>
        <v>0</v>
      </c>
      <c r="AN254" s="6">
        <f t="shared" si="538"/>
        <v>0</v>
      </c>
      <c r="AO254" s="6">
        <f>SUMIF('Eredeti fejléccel'!$B:$B,'Felosztás eredménykim'!$B254,'Eredeti fejléccel'!$AC:$AC)</f>
        <v>0</v>
      </c>
      <c r="AP254" s="6">
        <f>SUMIF('Eredeti fejléccel'!$B:$B,'Felosztás eredménykim'!$B254,'Eredeti fejléccel'!$AD:$AD)</f>
        <v>0</v>
      </c>
      <c r="AQ254" s="6">
        <f>SUMIF('Eredeti fejléccel'!$B:$B,'Felosztás eredménykim'!$B254,'Eredeti fejléccel'!$AE:$AE)</f>
        <v>0</v>
      </c>
      <c r="AR254" s="6">
        <f>SUMIF('Eredeti fejléccel'!$B:$B,'Felosztás eredménykim'!$B254,'Eredeti fejléccel'!$AG:$AG)</f>
        <v>0</v>
      </c>
      <c r="AS254" s="6">
        <f t="shared" si="539"/>
        <v>0</v>
      </c>
      <c r="AT254" s="36">
        <f t="shared" si="551"/>
        <v>0</v>
      </c>
      <c r="AU254" s="8">
        <f t="shared" si="401"/>
        <v>0</v>
      </c>
      <c r="AV254" s="6">
        <f>SUMIF('Eredeti fejléccel'!$B:$B,'Felosztás eredménykim'!$B254,'Eredeti fejléccel'!$AI:$AI)</f>
        <v>0</v>
      </c>
      <c r="AW254" s="6">
        <f>SUMIF('Eredeti fejléccel'!$B:$B,'Felosztás eredménykim'!$B254,'Eredeti fejléccel'!$AJ:$AJ)</f>
        <v>0</v>
      </c>
      <c r="AX254" s="6">
        <f>SUMIF('Eredeti fejléccel'!$B:$B,'Felosztás eredménykim'!$B254,'Eredeti fejléccel'!$AK:$AK)</f>
        <v>0</v>
      </c>
      <c r="AY254" s="6">
        <f>SUMIF('Eredeti fejléccel'!$B:$B,'Felosztás eredménykim'!$B254,'Eredeti fejléccel'!$AL:$AL)</f>
        <v>0</v>
      </c>
      <c r="AZ254" s="6">
        <f>SUMIF('Eredeti fejléccel'!$B:$B,'Felosztás eredménykim'!$B254,'Eredeti fejléccel'!$AM:$AM)</f>
        <v>0</v>
      </c>
      <c r="BA254" s="6">
        <f>SUMIF('Eredeti fejléccel'!$B:$B,'Felosztás eredménykim'!$B254,'Eredeti fejléccel'!$AN:$AN)</f>
        <v>0</v>
      </c>
      <c r="BB254" s="6">
        <f>SUMIF('Eredeti fejléccel'!$B:$B,'Felosztás eredménykim'!$B254,'Eredeti fejléccel'!$AP:$AP)</f>
        <v>0</v>
      </c>
      <c r="BD254" s="6">
        <f>SUMIF('Eredeti fejléccel'!$B:$B,'Felosztás eredménykim'!$B254,'Eredeti fejléccel'!$AS:$AS)</f>
        <v>0</v>
      </c>
      <c r="BE254" s="8">
        <f t="shared" si="523"/>
        <v>0</v>
      </c>
      <c r="BF254" s="36">
        <f t="shared" si="552"/>
        <v>0</v>
      </c>
      <c r="BG254" s="8">
        <f t="shared" si="402"/>
        <v>0</v>
      </c>
      <c r="BH254" s="6">
        <f t="shared" si="540"/>
        <v>0</v>
      </c>
      <c r="BI254" s="6">
        <f>SUMIF('Eredeti fejléccel'!$B:$B,'Felosztás eredménykim'!$B254,'Eredeti fejléccel'!$AH:$AH)</f>
        <v>0</v>
      </c>
      <c r="BJ254" s="6">
        <f>SUMIF('Eredeti fejléccel'!$B:$B,'Felosztás eredménykim'!$B254,'Eredeti fejléccel'!$AO:$AO)</f>
        <v>0</v>
      </c>
      <c r="BK254" s="6">
        <f>SUMIF('Eredeti fejléccel'!$B:$B,'Felosztás eredménykim'!$B254,'Eredeti fejléccel'!$BF:$BF)</f>
        <v>0</v>
      </c>
      <c r="BL254" s="8">
        <f t="shared" si="541"/>
        <v>0</v>
      </c>
      <c r="BM254" s="36">
        <f t="shared" si="553"/>
        <v>0</v>
      </c>
      <c r="BN254" s="8">
        <f t="shared" si="403"/>
        <v>0</v>
      </c>
      <c r="BP254" s="8">
        <f t="shared" si="542"/>
        <v>0</v>
      </c>
      <c r="BQ254" s="6">
        <f>SUMIF('Eredeti fejléccel'!$B:$B,'Felosztás eredménykim'!$B254,'Eredeti fejléccel'!$N:$N)</f>
        <v>0</v>
      </c>
      <c r="BR254" s="6">
        <f>SUMIF('Eredeti fejléccel'!$B:$B,'Felosztás eredménykim'!$B254,'Eredeti fejléccel'!$S:$S)</f>
        <v>0</v>
      </c>
      <c r="BT254" s="6">
        <f>SUMIF('Eredeti fejléccel'!$B:$B,'Felosztás eredménykim'!$B254,'Eredeti fejléccel'!$AR:$AR)</f>
        <v>0</v>
      </c>
      <c r="BU254" s="6">
        <f>SUMIF('Eredeti fejléccel'!$B:$B,'Felosztás eredménykim'!$B254,'Eredeti fejléccel'!$AU:$AU)</f>
        <v>0</v>
      </c>
      <c r="BV254" s="6">
        <f>SUMIF('Eredeti fejléccel'!$B:$B,'Felosztás eredménykim'!$B254,'Eredeti fejléccel'!$AV:$AV)</f>
        <v>0</v>
      </c>
      <c r="BW254" s="6">
        <f>SUMIF('Eredeti fejléccel'!$B:$B,'Felosztás eredménykim'!$B254,'Eredeti fejléccel'!$AW:$AW)</f>
        <v>0</v>
      </c>
      <c r="BX254" s="6">
        <f>SUMIF('Eredeti fejléccel'!$B:$B,'Felosztás eredménykim'!$B254,'Eredeti fejléccel'!$AX:$AX)</f>
        <v>0</v>
      </c>
      <c r="BY254" s="6">
        <f>SUMIF('Eredeti fejléccel'!$B:$B,'Felosztás eredménykim'!$B254,'Eredeti fejléccel'!$AY:$AY)</f>
        <v>0</v>
      </c>
      <c r="BZ254" s="6">
        <f>SUMIF('Eredeti fejléccel'!$B:$B,'Felosztás eredménykim'!$B254,'Eredeti fejléccel'!$AZ:$AZ)</f>
        <v>0</v>
      </c>
      <c r="CA254" s="6">
        <f>SUMIF('Eredeti fejléccel'!$B:$B,'Felosztás eredménykim'!$B254,'Eredeti fejléccel'!$BA:$BA)</f>
        <v>0</v>
      </c>
      <c r="CB254" s="6">
        <f t="shared" si="481"/>
        <v>0</v>
      </c>
      <c r="CC254" s="36">
        <f t="shared" si="554"/>
        <v>0</v>
      </c>
      <c r="CD254" s="8">
        <f t="shared" si="404"/>
        <v>0</v>
      </c>
      <c r="CE254" s="6">
        <f>SUMIF('Eredeti fejléccel'!$B:$B,'Felosztás eredménykim'!$B254,'Eredeti fejléccel'!$BC:$BC)</f>
        <v>0</v>
      </c>
      <c r="CF254" s="8">
        <f t="shared" si="555"/>
        <v>0</v>
      </c>
      <c r="CG254" s="6">
        <f>SUMIF('Eredeti fejléccel'!$B:$B,'Felosztás eredménykim'!$B254,'Eredeti fejléccel'!$H:$H)</f>
        <v>0</v>
      </c>
      <c r="CH254" s="6">
        <f>SUMIF('Eredeti fejléccel'!$B:$B,'Felosztás eredménykim'!$B254,'Eredeti fejléccel'!$BE:$BE)</f>
        <v>0</v>
      </c>
      <c r="CI254" s="6">
        <f t="shared" si="524"/>
        <v>0</v>
      </c>
      <c r="CJ254" s="36">
        <f t="shared" si="556"/>
        <v>0</v>
      </c>
      <c r="CK254" s="8">
        <f t="shared" si="405"/>
        <v>0</v>
      </c>
      <c r="CL254" s="8">
        <f t="shared" si="557"/>
        <v>0</v>
      </c>
      <c r="CM254" s="6">
        <f>SUMIF('Eredeti fejléccel'!$B:$B,'Felosztás eredménykim'!$B254,'Eredeti fejléccel'!$BD:$BD)</f>
        <v>0</v>
      </c>
      <c r="CN254" s="8">
        <f t="shared" si="525"/>
        <v>0</v>
      </c>
      <c r="CO254" s="8">
        <f t="shared" si="482"/>
        <v>0</v>
      </c>
      <c r="CR254" s="36">
        <f t="shared" si="406"/>
        <v>0</v>
      </c>
      <c r="CS254" s="6">
        <f>SUMIF('Eredeti fejléccel'!$B:$B,'Felosztás eredménykim'!$B254,'Eredeti fejléccel'!$I:$I)</f>
        <v>0</v>
      </c>
      <c r="CT254" s="6">
        <f>SUMIF('Eredeti fejléccel'!$B:$B,'Felosztás eredménykim'!$B254,'Eredeti fejléccel'!$BG:$BG)</f>
        <v>0</v>
      </c>
      <c r="CU254" s="6">
        <f>SUMIF('Eredeti fejléccel'!$B:$B,'Felosztás eredménykim'!$B254,'Eredeti fejléccel'!$BH:$BH)</f>
        <v>0</v>
      </c>
      <c r="CV254" s="6">
        <f>SUMIF('Eredeti fejléccel'!$B:$B,'Felosztás eredménykim'!$B254,'Eredeti fejléccel'!$BI:$BI)</f>
        <v>0</v>
      </c>
      <c r="CW254" s="6">
        <f>SUMIF('Eredeti fejléccel'!$B:$B,'Felosztás eredménykim'!$B254,'Eredeti fejléccel'!$BL:$BL)</f>
        <v>0</v>
      </c>
      <c r="CX254" s="6">
        <f t="shared" si="526"/>
        <v>0</v>
      </c>
      <c r="CY254" s="6">
        <f>SUMIF('Eredeti fejléccel'!$B:$B,'Felosztás eredménykim'!$B254,'Eredeti fejléccel'!$BJ:$BJ)</f>
        <v>0</v>
      </c>
      <c r="CZ254" s="6">
        <f>SUMIF('Eredeti fejléccel'!$B:$B,'Felosztás eredménykim'!$B254,'Eredeti fejléccel'!$BK:$BK)</f>
        <v>0</v>
      </c>
      <c r="DA254" s="99">
        <f t="shared" si="415"/>
        <v>0</v>
      </c>
      <c r="DC254" s="36">
        <f t="shared" si="407"/>
        <v>0</v>
      </c>
      <c r="DD254" s="6">
        <f>SUMIF('Eredeti fejléccel'!$B:$B,'Felosztás eredménykim'!$B254,'Eredeti fejléccel'!$J:$J)</f>
        <v>0</v>
      </c>
      <c r="DE254" s="6">
        <f>SUMIF('Eredeti fejléccel'!$B:$B,'Felosztás eredménykim'!$B254,'Eredeti fejléccel'!$BM:$BM)</f>
        <v>0</v>
      </c>
      <c r="DF254" s="6">
        <f t="shared" si="543"/>
        <v>0</v>
      </c>
      <c r="DG254" s="8">
        <f t="shared" si="483"/>
        <v>0</v>
      </c>
      <c r="DH254" s="8">
        <f t="shared" si="544"/>
        <v>0</v>
      </c>
      <c r="DJ254" s="6">
        <f>SUMIF('Eredeti fejléccel'!$B:$B,'Felosztás eredménykim'!$B254,'Eredeti fejléccel'!$BN:$BN)</f>
        <v>0</v>
      </c>
      <c r="DK254" s="6">
        <f>SUMIF('Eredeti fejléccel'!$B:$B,'Felosztás eredménykim'!$B254,'Eredeti fejléccel'!$BZ:$BZ)</f>
        <v>0</v>
      </c>
      <c r="DL254" s="8">
        <f t="shared" si="545"/>
        <v>0</v>
      </c>
      <c r="DM254" s="6">
        <f>SUMIF('Eredeti fejléccel'!$B:$B,'Felosztás eredménykim'!$B254,'Eredeti fejléccel'!$BR:$BR)</f>
        <v>0</v>
      </c>
      <c r="DN254" s="6">
        <f>SUMIF('Eredeti fejléccel'!$B:$B,'Felosztás eredménykim'!$B254,'Eredeti fejléccel'!$BS:$BS)</f>
        <v>0</v>
      </c>
      <c r="DO254" s="6">
        <f>SUMIF('Eredeti fejléccel'!$B:$B,'Felosztás eredménykim'!$B254,'Eredeti fejléccel'!$BO:$BO)</f>
        <v>0</v>
      </c>
      <c r="DP254" s="6">
        <f>SUMIF('Eredeti fejléccel'!$B:$B,'Felosztás eredménykim'!$B254,'Eredeti fejléccel'!$BP:$BP)</f>
        <v>0</v>
      </c>
      <c r="DQ254" s="6">
        <f>SUMIF('Eredeti fejléccel'!$B:$B,'Felosztás eredménykim'!$B254,'Eredeti fejléccel'!$BQ:$BQ)</f>
        <v>0</v>
      </c>
      <c r="DS254" s="8"/>
      <c r="DU254" s="6">
        <f>SUMIF('Eredeti fejléccel'!$B:$B,'Felosztás eredménykim'!$B254,'Eredeti fejléccel'!$BT:$BT)</f>
        <v>0</v>
      </c>
      <c r="DV254" s="6">
        <f>SUMIF('Eredeti fejléccel'!$B:$B,'Felosztás eredménykim'!$B254,'Eredeti fejléccel'!$BU:$BU)</f>
        <v>0</v>
      </c>
      <c r="DW254" s="6">
        <f>SUMIF('Eredeti fejléccel'!$B:$B,'Felosztás eredménykim'!$B254,'Eredeti fejléccel'!$BV:$BV)</f>
        <v>0</v>
      </c>
      <c r="DX254" s="6">
        <f>SUMIF('Eredeti fejléccel'!$B:$B,'Felosztás eredménykim'!$B254,'Eredeti fejléccel'!$BW:$BW)</f>
        <v>0</v>
      </c>
      <c r="DY254" s="6">
        <f>SUMIF('Eredeti fejléccel'!$B:$B,'Felosztás eredménykim'!$B254,'Eredeti fejléccel'!$BX:$BX)</f>
        <v>0</v>
      </c>
      <c r="EA254" s="6"/>
      <c r="EC254" s="6"/>
      <c r="EE254" s="6">
        <f>SUMIF('Eredeti fejléccel'!$B:$B,'Felosztás eredménykim'!$B254,'Eredeti fejléccel'!$CA:$CA)</f>
        <v>0</v>
      </c>
      <c r="EF254" s="6">
        <f>SUMIF('Eredeti fejléccel'!$B:$B,'Felosztás eredménykim'!$B254,'Eredeti fejléccel'!$CB:$CB)</f>
        <v>0</v>
      </c>
      <c r="EG254" s="6">
        <f>SUMIF('Eredeti fejléccel'!$B:$B,'Felosztás eredménykim'!$B254,'Eredeti fejléccel'!$CC:$CC)</f>
        <v>0</v>
      </c>
      <c r="EH254" s="6">
        <f>SUMIF('Eredeti fejléccel'!$B:$B,'Felosztás eredménykim'!$B254,'Eredeti fejléccel'!$CD:$CD)</f>
        <v>0</v>
      </c>
      <c r="EK254" s="6">
        <f>SUMIF('Eredeti fejléccel'!$B:$B,'Felosztás eredménykim'!$B254,'Eredeti fejléccel'!$CE:$CE)</f>
        <v>0</v>
      </c>
      <c r="EN254" s="6">
        <f>SUMIF('Eredeti fejléccel'!$B:$B,'Felosztás eredménykim'!$B254,'Eredeti fejléccel'!$CF:$CF)</f>
        <v>0</v>
      </c>
      <c r="EP254" s="6">
        <f>SUMIF('Eredeti fejléccel'!$B:$B,'Felosztás eredménykim'!$B254,'Eredeti fejléccel'!$CG:$CG)</f>
        <v>0</v>
      </c>
      <c r="ES254" s="6">
        <f>SUMIF('Eredeti fejléccel'!$B:$B,'Felosztás eredménykim'!$B254,'Eredeti fejléccel'!$CH:$CH)</f>
        <v>0</v>
      </c>
      <c r="ET254" s="6">
        <f>SUMIF('Eredeti fejléccel'!$B:$B,'Felosztás eredménykim'!$B254,'Eredeti fejléccel'!$CI:$CI)</f>
        <v>0</v>
      </c>
      <c r="EW254" s="8">
        <f t="shared" si="535"/>
        <v>0</v>
      </c>
      <c r="EX254" s="8">
        <f t="shared" si="527"/>
        <v>0</v>
      </c>
      <c r="EY254" s="8">
        <f t="shared" si="416"/>
        <v>0</v>
      </c>
      <c r="EZ254" s="8">
        <f t="shared" si="536"/>
        <v>0</v>
      </c>
      <c r="FA254" s="8">
        <f t="shared" si="537"/>
        <v>0</v>
      </c>
      <c r="FC254" s="6">
        <f>SUMIF('Eredeti fejléccel'!$B:$B,'Felosztás eredménykim'!$B254,'Eredeti fejléccel'!$L:$L)</f>
        <v>0</v>
      </c>
      <c r="FD254" s="6">
        <f>SUMIF('Eredeti fejléccel'!$B:$B,'Felosztás eredménykim'!$B254,'Eredeti fejléccel'!$CJ:$CJ)</f>
        <v>0</v>
      </c>
      <c r="FE254" s="6">
        <f>SUMIF('Eredeti fejléccel'!$B:$B,'Felosztás eredménykim'!$B254,'Eredeti fejléccel'!$CL:$CL)</f>
        <v>0</v>
      </c>
      <c r="FG254" s="99">
        <f t="shared" si="528"/>
        <v>0</v>
      </c>
      <c r="FH254" s="6">
        <f>SUMIF('Eredeti fejléccel'!$B:$B,'Felosztás eredménykim'!$B254,'Eredeti fejléccel'!$CK:$CK)</f>
        <v>0</v>
      </c>
      <c r="FI254" s="36">
        <f t="shared" si="558"/>
        <v>0</v>
      </c>
      <c r="FJ254" s="101">
        <f t="shared" si="408"/>
        <v>0</v>
      </c>
      <c r="FK254" s="6">
        <f>SUMIF('Eredeti fejléccel'!$B:$B,'Felosztás eredménykim'!$B254,'Eredeti fejléccel'!$CM:$CM)</f>
        <v>0</v>
      </c>
      <c r="FL254" s="6">
        <f>SUMIF('Eredeti fejléccel'!$B:$B,'Felosztás eredménykim'!$B254,'Eredeti fejléccel'!$CN:$CN)</f>
        <v>0</v>
      </c>
      <c r="FM254" s="8">
        <f t="shared" si="529"/>
        <v>0</v>
      </c>
      <c r="FN254" s="36">
        <f t="shared" si="559"/>
        <v>0</v>
      </c>
      <c r="FO254" s="101">
        <f t="shared" si="409"/>
        <v>0</v>
      </c>
      <c r="FP254" s="6">
        <f>SUMIF('Eredeti fejléccel'!$B:$B,'Felosztás eredménykim'!$B254,'Eredeti fejléccel'!$CO:$CO)</f>
        <v>0</v>
      </c>
      <c r="FQ254" s="6">
        <f>'Eredeti fejléccel'!CP254</f>
        <v>0</v>
      </c>
      <c r="FR254" s="6">
        <f>'Eredeti fejléccel'!CQ254</f>
        <v>0</v>
      </c>
      <c r="FS254" s="103">
        <f t="shared" si="417"/>
        <v>0</v>
      </c>
      <c r="FT254" s="36">
        <f t="shared" si="560"/>
        <v>0</v>
      </c>
      <c r="FU254" s="101">
        <f t="shared" si="410"/>
        <v>0</v>
      </c>
      <c r="FV254" s="101"/>
      <c r="FW254" s="6">
        <f>SUMIF('Eredeti fejléccel'!$B:$B,'Felosztás eredménykim'!$B254,'Eredeti fejléccel'!$CR:$CR)</f>
        <v>0</v>
      </c>
      <c r="FX254" s="6">
        <f>SUMIF('Eredeti fejléccel'!$B:$B,'Felosztás eredménykim'!$B254,'Eredeti fejléccel'!$CS:$CS)</f>
        <v>0</v>
      </c>
      <c r="FY254" s="6">
        <f>SUMIF('Eredeti fejléccel'!$B:$B,'Felosztás eredménykim'!$B254,'Eredeti fejléccel'!$CT:$CT)</f>
        <v>0</v>
      </c>
      <c r="FZ254" s="6">
        <f>SUMIF('Eredeti fejléccel'!$B:$B,'Felosztás eredménykim'!$B254,'Eredeti fejléccel'!$CU:$CU)</f>
        <v>0</v>
      </c>
      <c r="GA254" s="103">
        <f t="shared" si="530"/>
        <v>0</v>
      </c>
      <c r="GB254" s="36">
        <f t="shared" si="561"/>
        <v>0</v>
      </c>
      <c r="GC254" s="101">
        <f t="shared" si="411"/>
        <v>0</v>
      </c>
      <c r="GD254" s="6">
        <f>SUMIF('Eredeti fejléccel'!$B:$B,'Felosztás eredménykim'!$B254,'Eredeti fejléccel'!$CV:$CV)</f>
        <v>0</v>
      </c>
      <c r="GE254" s="6">
        <f>SUMIF('Eredeti fejléccel'!$B:$B,'Felosztás eredménykim'!$B254,'Eredeti fejléccel'!$CW:$CW)</f>
        <v>0</v>
      </c>
      <c r="GF254" s="103">
        <f t="shared" si="531"/>
        <v>0</v>
      </c>
      <c r="GG254" s="36">
        <f t="shared" si="412"/>
        <v>0</v>
      </c>
      <c r="GM254" s="6">
        <f>SUMIF('Eredeti fejléccel'!$B:$B,'Felosztás eredménykim'!$B254,'Eredeti fejléccel'!$CX:$CX)</f>
        <v>0</v>
      </c>
      <c r="GN254" s="6">
        <f>SUMIF('Eredeti fejléccel'!$B:$B,'Felosztás eredménykim'!$B254,'Eredeti fejléccel'!$CY:$CY)</f>
        <v>0</v>
      </c>
      <c r="GO254" s="6">
        <f>SUMIF('Eredeti fejléccel'!$B:$B,'Felosztás eredménykim'!$B254,'Eredeti fejléccel'!$CZ:$CZ)</f>
        <v>0</v>
      </c>
      <c r="GP254" s="6">
        <f>SUMIF('Eredeti fejléccel'!$B:$B,'Felosztás eredménykim'!$B254,'Eredeti fejléccel'!$DA:$DA)</f>
        <v>0</v>
      </c>
      <c r="GQ254" s="6">
        <f>SUMIF('Eredeti fejléccel'!$B:$B,'Felosztás eredménykim'!$B254,'Eredeti fejléccel'!$DB:$DB)</f>
        <v>0</v>
      </c>
      <c r="GR254" s="103">
        <f t="shared" si="532"/>
        <v>0</v>
      </c>
      <c r="GW254" s="36">
        <f t="shared" si="413"/>
        <v>0</v>
      </c>
      <c r="GX254" s="6">
        <f>SUMIF('Eredeti fejléccel'!$B:$B,'Felosztás eredménykim'!$B254,'Eredeti fejléccel'!$M:$M)</f>
        <v>0</v>
      </c>
      <c r="GY254" s="6">
        <f>SUMIF('Eredeti fejléccel'!$B:$B,'Felosztás eredménykim'!$B254,'Eredeti fejléccel'!$DC:$DC)</f>
        <v>0</v>
      </c>
      <c r="GZ254" s="6">
        <f>SUMIF('Eredeti fejléccel'!$B:$B,'Felosztás eredménykim'!$B254,'Eredeti fejléccel'!$DD:$DD)</f>
        <v>0</v>
      </c>
      <c r="HA254" s="6">
        <f>SUMIF('Eredeti fejléccel'!$B:$B,'Felosztás eredménykim'!$B254,'Eredeti fejléccel'!$DE:$DE)</f>
        <v>0</v>
      </c>
      <c r="HB254" s="103">
        <f t="shared" si="533"/>
        <v>0</v>
      </c>
      <c r="HD254" s="9">
        <f t="shared" si="547"/>
        <v>-237947713</v>
      </c>
      <c r="HE254" s="9">
        <v>-237947713</v>
      </c>
      <c r="HF254" s="476"/>
      <c r="HH254" s="34">
        <f t="shared" si="534"/>
        <v>0</v>
      </c>
    </row>
    <row r="255" spans="1:217" x14ac:dyDescent="0.25">
      <c r="A255" s="4" t="s">
        <v>890</v>
      </c>
      <c r="B255" s="4" t="s">
        <v>890</v>
      </c>
      <c r="C255" s="1" t="s">
        <v>919</v>
      </c>
      <c r="D255" s="6">
        <f>SUMIF('Eredeti fejléccel'!$B:$B,'Felosztás eredménykim'!$B255,'Eredeti fejléccel'!$D:$D)</f>
        <v>0</v>
      </c>
      <c r="E255" s="6">
        <f>SUMIF('Eredeti fejléccel'!$B:$B,'Felosztás eredménykim'!$B255,'Eredeti fejléccel'!$E:$E)</f>
        <v>0</v>
      </c>
      <c r="F255" s="6">
        <f>SUMIF('Eredeti fejléccel'!$B:$B,'Felosztás eredménykim'!$B255,'Eredeti fejléccel'!$F:$F)</f>
        <v>0</v>
      </c>
      <c r="G255" s="6">
        <f>SUMIF('Eredeti fejléccel'!$B:$B,'Felosztás eredménykim'!$B255,'Eredeti fejléccel'!$G:$G)</f>
        <v>0</v>
      </c>
      <c r="H255" s="6"/>
      <c r="I255" s="6">
        <f>SUMIF('Eredeti fejléccel'!$B:$B,'Felosztás eredménykim'!$B255,'Eredeti fejléccel'!$O:$O)</f>
        <v>0</v>
      </c>
      <c r="J255" s="6">
        <f>SUMIF('Eredeti fejléccel'!$B:$B,'Felosztás eredménykim'!$B255,'Eredeti fejléccel'!$P:$P)</f>
        <v>0</v>
      </c>
      <c r="K255" s="6">
        <f>SUMIF('Eredeti fejléccel'!$B:$B,'Felosztás eredménykim'!$B255,'Eredeti fejléccel'!$Q:$Q)</f>
        <v>0</v>
      </c>
      <c r="L255" s="6">
        <f>SUMIF('Eredeti fejléccel'!$B:$B,'Felosztás eredménykim'!$B255,'Eredeti fejléccel'!$R:$R)</f>
        <v>0</v>
      </c>
      <c r="M255" s="6">
        <f>SUMIF('Eredeti fejléccel'!$B:$B,'Felosztás eredménykim'!$B255,'Eredeti fejléccel'!$T:$T)</f>
        <v>0</v>
      </c>
      <c r="N255" s="6">
        <f>SUMIF('Eredeti fejléccel'!$B:$B,'Felosztás eredménykim'!$B255,'Eredeti fejléccel'!$U:$U)</f>
        <v>0</v>
      </c>
      <c r="O255" s="6">
        <f>SUMIF('Eredeti fejléccel'!$B:$B,'Felosztás eredménykim'!$B255,'Eredeti fejléccel'!$V:$V)</f>
        <v>0</v>
      </c>
      <c r="P255" s="6">
        <f>SUMIF('Eredeti fejléccel'!$B:$B,'Felosztás eredménykim'!$B255,'Eredeti fejléccel'!$W:$W)</f>
        <v>0</v>
      </c>
      <c r="Q255" s="6">
        <f>SUMIF('Eredeti fejléccel'!$B:$B,'Felosztás eredménykim'!$B255,'Eredeti fejléccel'!$X:$X)</f>
        <v>0</v>
      </c>
      <c r="R255" s="6">
        <f>SUMIF('Eredeti fejléccel'!$B:$B,'Felosztás eredménykim'!$B255,'Eredeti fejléccel'!$Y:$Y)</f>
        <v>0</v>
      </c>
      <c r="S255" s="6">
        <f>SUMIF('Eredeti fejléccel'!$B:$B,'Felosztás eredménykim'!$B255,'Eredeti fejléccel'!$Z:$Z)</f>
        <v>0</v>
      </c>
      <c r="T255" s="6">
        <f>SUMIF('Eredeti fejléccel'!$B:$B,'Felosztás eredménykim'!$B255,'Eredeti fejléccel'!$AA:$AA)</f>
        <v>0</v>
      </c>
      <c r="U255" s="6">
        <f>SUMIF('Eredeti fejléccel'!$B:$B,'Felosztás eredménykim'!$B255,'Eredeti fejléccel'!$D:$D)</f>
        <v>0</v>
      </c>
      <c r="V255" s="6">
        <f>SUMIF('Eredeti fejléccel'!$B:$B,'Felosztás eredménykim'!$B255,'Eredeti fejléccel'!$AT:$AT)</f>
        <v>-408997043</v>
      </c>
      <c r="W255" s="36">
        <f>-V255</f>
        <v>408997043</v>
      </c>
      <c r="X255" s="36">
        <f t="shared" si="414"/>
        <v>0</v>
      </c>
      <c r="Z255" s="6">
        <f>SUMIF('Eredeti fejléccel'!$B:$B,'Felosztás eredménykim'!$B255,'Eredeti fejléccel'!$K:$K)</f>
        <v>0</v>
      </c>
      <c r="AB255" s="6">
        <f>SUMIF('Eredeti fejléccel'!$B:$B,'Felosztás eredménykim'!$B255,'Eredeti fejléccel'!$AB:$AB)</f>
        <v>0</v>
      </c>
      <c r="AC255" s="6">
        <f>SUMIF('Eredeti fejléccel'!$B:$B,'Felosztás eredménykim'!$B255,'Eredeti fejléccel'!$AQ:$AQ)</f>
        <v>0</v>
      </c>
      <c r="AE255" s="73">
        <f t="shared" ref="AE255" si="593">SUM(Z255:AD255)</f>
        <v>0</v>
      </c>
      <c r="AF255" s="36">
        <f t="shared" si="549"/>
        <v>0</v>
      </c>
      <c r="AG255" s="8">
        <f t="shared" si="399"/>
        <v>0</v>
      </c>
      <c r="AI255" s="6">
        <f>SUMIF('Eredeti fejléccel'!$B:$B,'Felosztás eredménykim'!$B255,'Eredeti fejléccel'!$BB:$BB)</f>
        <v>0</v>
      </c>
      <c r="AJ255" s="6">
        <f>SUMIF('Eredeti fejléccel'!$B:$B,'Felosztás eredménykim'!$B255,'Eredeti fejléccel'!$AF:$AF)</f>
        <v>0</v>
      </c>
      <c r="AK255" s="8">
        <f t="shared" ref="AK255" si="594">SUM(AG255:AJ255)</f>
        <v>0</v>
      </c>
      <c r="AL255" s="36">
        <f t="shared" si="550"/>
        <v>0</v>
      </c>
      <c r="AM255" s="8">
        <f t="shared" si="400"/>
        <v>0</v>
      </c>
      <c r="AN255" s="6">
        <f t="shared" ref="AN255" si="595">-AO255/2</f>
        <v>0</v>
      </c>
      <c r="AO255" s="6">
        <f>SUMIF('Eredeti fejléccel'!$B:$B,'Felosztás eredménykim'!$B255,'Eredeti fejléccel'!$AC:$AC)</f>
        <v>0</v>
      </c>
      <c r="AP255" s="6">
        <f>SUMIF('Eredeti fejléccel'!$B:$B,'Felosztás eredménykim'!$B255,'Eredeti fejléccel'!$AD:$AD)</f>
        <v>0</v>
      </c>
      <c r="AQ255" s="6">
        <f>SUMIF('Eredeti fejléccel'!$B:$B,'Felosztás eredménykim'!$B255,'Eredeti fejléccel'!$AE:$AE)</f>
        <v>0</v>
      </c>
      <c r="AR255" s="6">
        <f>SUMIF('Eredeti fejléccel'!$B:$B,'Felosztás eredménykim'!$B255,'Eredeti fejléccel'!$AG:$AG)</f>
        <v>0</v>
      </c>
      <c r="AS255" s="6">
        <f t="shared" ref="AS255" si="596">SUM(AM255:AR255)</f>
        <v>0</v>
      </c>
      <c r="AT255" s="36">
        <f t="shared" si="551"/>
        <v>0</v>
      </c>
      <c r="AU255" s="8">
        <f t="shared" si="401"/>
        <v>0</v>
      </c>
      <c r="AV255" s="6">
        <f>SUMIF('Eredeti fejléccel'!$B:$B,'Felosztás eredménykim'!$B255,'Eredeti fejléccel'!$AI:$AI)</f>
        <v>0</v>
      </c>
      <c r="AW255" s="6">
        <f>SUMIF('Eredeti fejléccel'!$B:$B,'Felosztás eredménykim'!$B255,'Eredeti fejléccel'!$AJ:$AJ)</f>
        <v>0</v>
      </c>
      <c r="AX255" s="6">
        <f>SUMIF('Eredeti fejléccel'!$B:$B,'Felosztás eredménykim'!$B255,'Eredeti fejléccel'!$AK:$AK)</f>
        <v>0</v>
      </c>
      <c r="AY255" s="6">
        <f>SUMIF('Eredeti fejléccel'!$B:$B,'Felosztás eredménykim'!$B255,'Eredeti fejléccel'!$AL:$AL)</f>
        <v>0</v>
      </c>
      <c r="AZ255" s="6">
        <f>SUMIF('Eredeti fejléccel'!$B:$B,'Felosztás eredménykim'!$B255,'Eredeti fejléccel'!$AM:$AM)</f>
        <v>0</v>
      </c>
      <c r="BA255" s="6">
        <f>SUMIF('Eredeti fejléccel'!$B:$B,'Felosztás eredménykim'!$B255,'Eredeti fejléccel'!$AN:$AN)</f>
        <v>0</v>
      </c>
      <c r="BB255" s="6">
        <f>SUMIF('Eredeti fejléccel'!$B:$B,'Felosztás eredménykim'!$B255,'Eredeti fejléccel'!$AP:$AP)</f>
        <v>0</v>
      </c>
      <c r="BD255" s="6">
        <f>SUMIF('Eredeti fejléccel'!$B:$B,'Felosztás eredménykim'!$B255,'Eredeti fejléccel'!$AS:$AS)</f>
        <v>0</v>
      </c>
      <c r="BE255" s="8">
        <f t="shared" ref="BE255" si="597">SUM(AU255:BD255)</f>
        <v>0</v>
      </c>
      <c r="BF255" s="36">
        <f t="shared" si="552"/>
        <v>0</v>
      </c>
      <c r="BG255" s="8">
        <f t="shared" si="402"/>
        <v>0</v>
      </c>
      <c r="BH255" s="6">
        <f t="shared" ref="BH255" si="598">AO255/2</f>
        <v>0</v>
      </c>
      <c r="BI255" s="6">
        <f>SUMIF('Eredeti fejléccel'!$B:$B,'Felosztás eredménykim'!$B255,'Eredeti fejléccel'!$AH:$AH)</f>
        <v>0</v>
      </c>
      <c r="BJ255" s="6">
        <f>SUMIF('Eredeti fejléccel'!$B:$B,'Felosztás eredménykim'!$B255,'Eredeti fejléccel'!$AO:$AO)</f>
        <v>0</v>
      </c>
      <c r="BK255" s="6">
        <f>SUMIF('Eredeti fejléccel'!$B:$B,'Felosztás eredménykim'!$B255,'Eredeti fejléccel'!$BF:$BF)</f>
        <v>0</v>
      </c>
      <c r="BL255" s="8">
        <f t="shared" ref="BL255" si="599">SUM(BG255:BK255)</f>
        <v>0</v>
      </c>
      <c r="BM255" s="36">
        <f t="shared" si="553"/>
        <v>0</v>
      </c>
      <c r="BN255" s="8">
        <f t="shared" si="403"/>
        <v>0</v>
      </c>
      <c r="BP255" s="8">
        <f t="shared" ref="BP255" si="600">-FV255</f>
        <v>0</v>
      </c>
      <c r="BQ255" s="6">
        <f>SUMIF('Eredeti fejléccel'!$B:$B,'Felosztás eredménykim'!$B255,'Eredeti fejléccel'!$N:$N)</f>
        <v>0</v>
      </c>
      <c r="BR255" s="6">
        <f>SUMIF('Eredeti fejléccel'!$B:$B,'Felosztás eredménykim'!$B255,'Eredeti fejléccel'!$S:$S)</f>
        <v>0</v>
      </c>
      <c r="BT255" s="6">
        <f>SUMIF('Eredeti fejléccel'!$B:$B,'Felosztás eredménykim'!$B255,'Eredeti fejléccel'!$AR:$AR)</f>
        <v>0</v>
      </c>
      <c r="BU255" s="6">
        <f>SUMIF('Eredeti fejléccel'!$B:$B,'Felosztás eredménykim'!$B255,'Eredeti fejléccel'!$AU:$AU)</f>
        <v>0</v>
      </c>
      <c r="BV255" s="6">
        <f>SUMIF('Eredeti fejléccel'!$B:$B,'Felosztás eredménykim'!$B255,'Eredeti fejléccel'!$AV:$AV)</f>
        <v>0</v>
      </c>
      <c r="BW255" s="6">
        <f>SUMIF('Eredeti fejléccel'!$B:$B,'Felosztás eredménykim'!$B255,'Eredeti fejléccel'!$AW:$AW)</f>
        <v>0</v>
      </c>
      <c r="BX255" s="6">
        <f>SUMIF('Eredeti fejléccel'!$B:$B,'Felosztás eredménykim'!$B255,'Eredeti fejléccel'!$AX:$AX)</f>
        <v>0</v>
      </c>
      <c r="BY255" s="6">
        <f>SUMIF('Eredeti fejléccel'!$B:$B,'Felosztás eredménykim'!$B255,'Eredeti fejléccel'!$AY:$AY)</f>
        <v>0</v>
      </c>
      <c r="BZ255" s="6">
        <f>SUMIF('Eredeti fejléccel'!$B:$B,'Felosztás eredménykim'!$B255,'Eredeti fejléccel'!$AZ:$AZ)</f>
        <v>0</v>
      </c>
      <c r="CA255" s="6">
        <f>SUMIF('Eredeti fejléccel'!$B:$B,'Felosztás eredménykim'!$B255,'Eredeti fejléccel'!$BA:$BA)</f>
        <v>0</v>
      </c>
      <c r="CB255" s="6">
        <f t="shared" si="481"/>
        <v>0</v>
      </c>
      <c r="CC255" s="36">
        <f t="shared" si="554"/>
        <v>0</v>
      </c>
      <c r="CD255" s="8">
        <f t="shared" si="404"/>
        <v>0</v>
      </c>
      <c r="CE255" s="6">
        <f>SUMIF('Eredeti fejléccel'!$B:$B,'Felosztás eredménykim'!$B255,'Eredeti fejléccel'!$BC:$BC)</f>
        <v>0</v>
      </c>
      <c r="CF255" s="8">
        <f t="shared" ref="CF255" si="601">-CE255/2</f>
        <v>0</v>
      </c>
      <c r="CG255" s="6">
        <f>SUMIF('Eredeti fejléccel'!$B:$B,'Felosztás eredménykim'!$B255,'Eredeti fejléccel'!$H:$H)</f>
        <v>0</v>
      </c>
      <c r="CH255" s="6">
        <f>SUMIF('Eredeti fejléccel'!$B:$B,'Felosztás eredménykim'!$B255,'Eredeti fejléccel'!$BE:$BE)</f>
        <v>0</v>
      </c>
      <c r="CI255" s="6">
        <f t="shared" ref="CI255" si="602">SUM(CD255:CH255)</f>
        <v>0</v>
      </c>
      <c r="CJ255" s="36">
        <f t="shared" si="556"/>
        <v>0</v>
      </c>
      <c r="CK255" s="8">
        <f t="shared" si="405"/>
        <v>0</v>
      </c>
      <c r="CL255" s="8">
        <f t="shared" ref="CL255" si="603">CE255/2</f>
        <v>0</v>
      </c>
      <c r="CM255" s="6">
        <f>SUMIF('Eredeti fejléccel'!$B:$B,'Felosztás eredménykim'!$B255,'Eredeti fejléccel'!$BD:$BD)</f>
        <v>0</v>
      </c>
      <c r="CN255" s="8">
        <f t="shared" ref="CN255" si="604">SUM(CK255:CM255)</f>
        <v>0</v>
      </c>
      <c r="CO255" s="8">
        <f t="shared" si="482"/>
        <v>0</v>
      </c>
      <c r="CR255" s="36">
        <f t="shared" si="406"/>
        <v>0</v>
      </c>
      <c r="CS255" s="6">
        <f>SUMIF('Eredeti fejléccel'!$B:$B,'Felosztás eredménykim'!$B255,'Eredeti fejléccel'!$I:$I)</f>
        <v>0</v>
      </c>
      <c r="CT255" s="6">
        <f>SUMIF('Eredeti fejléccel'!$B:$B,'Felosztás eredménykim'!$B255,'Eredeti fejléccel'!$BG:$BG)</f>
        <v>0</v>
      </c>
      <c r="CU255" s="6">
        <f>SUMIF('Eredeti fejléccel'!$B:$B,'Felosztás eredménykim'!$B255,'Eredeti fejléccel'!$BH:$BH)</f>
        <v>0</v>
      </c>
      <c r="CV255" s="6">
        <f>SUMIF('Eredeti fejléccel'!$B:$B,'Felosztás eredménykim'!$B255,'Eredeti fejléccel'!$BI:$BI)</f>
        <v>0</v>
      </c>
      <c r="CW255" s="6">
        <f>SUMIF('Eredeti fejléccel'!$B:$B,'Felosztás eredménykim'!$B255,'Eredeti fejléccel'!$BL:$BL)</f>
        <v>0</v>
      </c>
      <c r="CX255" s="6">
        <f t="shared" ref="CX255" si="605">SUM(CS255:CW255)</f>
        <v>0</v>
      </c>
      <c r="CY255" s="6">
        <f>SUMIF('Eredeti fejléccel'!$B:$B,'Felosztás eredménykim'!$B255,'Eredeti fejléccel'!$BJ:$BJ)</f>
        <v>0</v>
      </c>
      <c r="CZ255" s="6">
        <f>SUMIF('Eredeti fejléccel'!$B:$B,'Felosztás eredménykim'!$B255,'Eredeti fejléccel'!$BK:$BK)</f>
        <v>0</v>
      </c>
      <c r="DA255" s="99">
        <f t="shared" si="415"/>
        <v>0</v>
      </c>
      <c r="DC255" s="36">
        <f t="shared" si="407"/>
        <v>0</v>
      </c>
      <c r="DD255" s="6">
        <f>SUMIF('Eredeti fejléccel'!$B:$B,'Felosztás eredménykim'!$B255,'Eredeti fejléccel'!$J:$J)</f>
        <v>0</v>
      </c>
      <c r="DE255" s="6">
        <f>SUMIF('Eredeti fejléccel'!$B:$B,'Felosztás eredménykim'!$B255,'Eredeti fejléccel'!$BM:$BM)</f>
        <v>0</v>
      </c>
      <c r="DF255" s="6">
        <f t="shared" ref="DF255" si="606">-DI255</f>
        <v>0</v>
      </c>
      <c r="DG255" s="8">
        <f t="shared" si="483"/>
        <v>0</v>
      </c>
      <c r="DH255" s="8">
        <f t="shared" ref="DH255" si="607">SUM(DD255:DG255)</f>
        <v>0</v>
      </c>
      <c r="DJ255" s="6">
        <f>SUMIF('Eredeti fejléccel'!$B:$B,'Felosztás eredménykim'!$B255,'Eredeti fejléccel'!$BN:$BN)</f>
        <v>0</v>
      </c>
      <c r="DK255" s="6">
        <f>SUMIF('Eredeti fejléccel'!$B:$B,'Felosztás eredménykim'!$B255,'Eredeti fejléccel'!$BZ:$BZ)</f>
        <v>0</v>
      </c>
      <c r="DL255" s="8">
        <f t="shared" ref="DL255" si="608">SUM(DI255:DK255)</f>
        <v>0</v>
      </c>
      <c r="DM255" s="6">
        <f>SUMIF('Eredeti fejléccel'!$B:$B,'Felosztás eredménykim'!$B255,'Eredeti fejléccel'!$BR:$BR)</f>
        <v>0</v>
      </c>
      <c r="DN255" s="6">
        <f>SUMIF('Eredeti fejléccel'!$B:$B,'Felosztás eredménykim'!$B255,'Eredeti fejléccel'!$BS:$BS)</f>
        <v>0</v>
      </c>
      <c r="DO255" s="6">
        <f>SUMIF('Eredeti fejléccel'!$B:$B,'Felosztás eredménykim'!$B255,'Eredeti fejléccel'!$BO:$BO)</f>
        <v>0</v>
      </c>
      <c r="DP255" s="6">
        <f>SUMIF('Eredeti fejléccel'!$B:$B,'Felosztás eredménykim'!$B255,'Eredeti fejléccel'!$BP:$BP)</f>
        <v>0</v>
      </c>
      <c r="DQ255" s="6">
        <f>SUMIF('Eredeti fejléccel'!$B:$B,'Felosztás eredménykim'!$B255,'Eredeti fejléccel'!$BQ:$BQ)</f>
        <v>0</v>
      </c>
      <c r="DS255" s="8"/>
      <c r="DU255" s="6">
        <f>SUMIF('Eredeti fejléccel'!$B:$B,'Felosztás eredménykim'!$B255,'Eredeti fejléccel'!$BT:$BT)</f>
        <v>0</v>
      </c>
      <c r="DV255" s="6">
        <f>SUMIF('Eredeti fejléccel'!$B:$B,'Felosztás eredménykim'!$B255,'Eredeti fejléccel'!$BU:$BU)</f>
        <v>0</v>
      </c>
      <c r="DW255" s="6">
        <f>SUMIF('Eredeti fejléccel'!$B:$B,'Felosztás eredménykim'!$B255,'Eredeti fejléccel'!$BV:$BV)</f>
        <v>0</v>
      </c>
      <c r="DX255" s="6">
        <f>SUMIF('Eredeti fejléccel'!$B:$B,'Felosztás eredménykim'!$B255,'Eredeti fejléccel'!$BW:$BW)</f>
        <v>0</v>
      </c>
      <c r="DY255" s="6">
        <f>SUMIF('Eredeti fejléccel'!$B:$B,'Felosztás eredménykim'!$B255,'Eredeti fejléccel'!$BX:$BX)</f>
        <v>0</v>
      </c>
      <c r="EA255" s="6"/>
      <c r="EC255" s="6"/>
      <c r="EE255" s="6">
        <f>SUMIF('Eredeti fejléccel'!$B:$B,'Felosztás eredménykim'!$B255,'Eredeti fejléccel'!$CA:$CA)</f>
        <v>0</v>
      </c>
      <c r="EF255" s="6">
        <f>SUMIF('Eredeti fejléccel'!$B:$B,'Felosztás eredménykim'!$B255,'Eredeti fejléccel'!$CB:$CB)</f>
        <v>0</v>
      </c>
      <c r="EG255" s="6">
        <f>SUMIF('Eredeti fejléccel'!$B:$B,'Felosztás eredménykim'!$B255,'Eredeti fejléccel'!$CC:$CC)</f>
        <v>0</v>
      </c>
      <c r="EH255" s="6">
        <f>SUMIF('Eredeti fejléccel'!$B:$B,'Felosztás eredménykim'!$B255,'Eredeti fejléccel'!$CD:$CD)</f>
        <v>0</v>
      </c>
      <c r="EK255" s="6">
        <f>SUMIF('Eredeti fejléccel'!$B:$B,'Felosztás eredménykim'!$B255,'Eredeti fejléccel'!$CE:$CE)</f>
        <v>0</v>
      </c>
      <c r="EN255" s="6">
        <f>SUMIF('Eredeti fejléccel'!$B:$B,'Felosztás eredménykim'!$B255,'Eredeti fejléccel'!$CF:$CF)</f>
        <v>0</v>
      </c>
      <c r="EP255" s="6">
        <f>SUMIF('Eredeti fejléccel'!$B:$B,'Felosztás eredménykim'!$B255,'Eredeti fejléccel'!$CG:$CG)</f>
        <v>0</v>
      </c>
      <c r="ES255" s="6">
        <f>SUMIF('Eredeti fejléccel'!$B:$B,'Felosztás eredménykim'!$B255,'Eredeti fejléccel'!$CH:$CH)</f>
        <v>0</v>
      </c>
      <c r="ET255" s="6">
        <f>SUMIF('Eredeti fejléccel'!$B:$B,'Felosztás eredménykim'!$B255,'Eredeti fejléccel'!$CI:$CI)</f>
        <v>0</v>
      </c>
      <c r="EW255" s="8">
        <f t="shared" ref="EW255" si="609">SUM(DR255:ED255)</f>
        <v>0</v>
      </c>
      <c r="EX255" s="8">
        <f t="shared" ref="EX255" si="610">SUM(EE255:EV255)</f>
        <v>0</v>
      </c>
      <c r="EY255" s="8">
        <f t="shared" si="416"/>
        <v>0</v>
      </c>
      <c r="EZ255" s="8">
        <f t="shared" ref="EZ255" si="611">EY255+DL255+DM255+DN255+DO255+DP255+DQ255</f>
        <v>0</v>
      </c>
      <c r="FA255" s="8">
        <f t="shared" ref="FA255" si="612">EZ255-DL255-DM255</f>
        <v>0</v>
      </c>
      <c r="FC255" s="6">
        <f>SUMIF('Eredeti fejléccel'!$B:$B,'Felosztás eredménykim'!$B255,'Eredeti fejléccel'!$L:$L)</f>
        <v>0</v>
      </c>
      <c r="FD255" s="6">
        <f>SUMIF('Eredeti fejléccel'!$B:$B,'Felosztás eredménykim'!$B255,'Eredeti fejléccel'!$CJ:$CJ)</f>
        <v>0</v>
      </c>
      <c r="FE255" s="6">
        <f>SUMIF('Eredeti fejléccel'!$B:$B,'Felosztás eredménykim'!$B255,'Eredeti fejléccel'!$CL:$CL)</f>
        <v>0</v>
      </c>
      <c r="FG255" s="99">
        <f t="shared" ref="FG255" si="613">SUM(FC255:FF255)</f>
        <v>0</v>
      </c>
      <c r="FH255" s="6">
        <f>SUMIF('Eredeti fejléccel'!$B:$B,'Felosztás eredménykim'!$B255,'Eredeti fejléccel'!$CK:$CK)</f>
        <v>0</v>
      </c>
      <c r="FI255" s="36">
        <f t="shared" si="558"/>
        <v>0</v>
      </c>
      <c r="FJ255" s="101">
        <f t="shared" si="408"/>
        <v>0</v>
      </c>
      <c r="FK255" s="6">
        <f>SUMIF('Eredeti fejléccel'!$B:$B,'Felosztás eredménykim'!$B255,'Eredeti fejléccel'!$CM:$CM)</f>
        <v>0</v>
      </c>
      <c r="FL255" s="6">
        <f>SUMIF('Eredeti fejléccel'!$B:$B,'Felosztás eredménykim'!$B255,'Eredeti fejléccel'!$CN:$CN)</f>
        <v>0</v>
      </c>
      <c r="FM255" s="8">
        <f t="shared" ref="FM255" si="614">SUM(FJ255:FL255)</f>
        <v>0</v>
      </c>
      <c r="FN255" s="36">
        <f t="shared" si="559"/>
        <v>0</v>
      </c>
      <c r="FO255" s="101">
        <f t="shared" si="409"/>
        <v>0</v>
      </c>
      <c r="FP255" s="6">
        <f>SUMIF('Eredeti fejléccel'!$B:$B,'Felosztás eredménykim'!$B255,'Eredeti fejléccel'!$CO:$CO)</f>
        <v>0</v>
      </c>
      <c r="FQ255" s="6">
        <f>'Eredeti fejléccel'!CP255</f>
        <v>0</v>
      </c>
      <c r="FR255" s="6">
        <f>'Eredeti fejléccel'!CQ255</f>
        <v>0</v>
      </c>
      <c r="FS255" s="103">
        <f t="shared" si="417"/>
        <v>0</v>
      </c>
      <c r="FT255" s="36">
        <f t="shared" si="560"/>
        <v>0</v>
      </c>
      <c r="FU255" s="101">
        <f t="shared" si="410"/>
        <v>0</v>
      </c>
      <c r="FV255" s="101"/>
      <c r="FW255" s="6">
        <f>SUMIF('Eredeti fejléccel'!$B:$B,'Felosztás eredménykim'!$B255,'Eredeti fejléccel'!$CR:$CR)</f>
        <v>0</v>
      </c>
      <c r="FX255" s="6">
        <f>SUMIF('Eredeti fejléccel'!$B:$B,'Felosztás eredménykim'!$B255,'Eredeti fejléccel'!$CS:$CS)</f>
        <v>0</v>
      </c>
      <c r="FY255" s="6">
        <f>SUMIF('Eredeti fejléccel'!$B:$B,'Felosztás eredménykim'!$B255,'Eredeti fejléccel'!$CT:$CT)</f>
        <v>0</v>
      </c>
      <c r="FZ255" s="6">
        <f>SUMIF('Eredeti fejléccel'!$B:$B,'Felosztás eredménykim'!$B255,'Eredeti fejléccel'!$CU:$CU)</f>
        <v>0</v>
      </c>
      <c r="GA255" s="103">
        <f t="shared" ref="GA255" si="615">SUM(FU255:FZ255)</f>
        <v>0</v>
      </c>
      <c r="GB255" s="36">
        <f t="shared" si="561"/>
        <v>0</v>
      </c>
      <c r="GC255" s="101">
        <f t="shared" si="411"/>
        <v>0</v>
      </c>
      <c r="GD255" s="6">
        <f>SUMIF('Eredeti fejléccel'!$B:$B,'Felosztás eredménykim'!$B255,'Eredeti fejléccel'!$CV:$CV)</f>
        <v>0</v>
      </c>
      <c r="GE255" s="6">
        <f>SUMIF('Eredeti fejléccel'!$B:$B,'Felosztás eredménykim'!$B255,'Eredeti fejléccel'!$CW:$CW)</f>
        <v>0</v>
      </c>
      <c r="GF255" s="103">
        <f t="shared" ref="GF255" si="616">SUM(GC255:GE255)</f>
        <v>0</v>
      </c>
      <c r="GG255" s="36">
        <f t="shared" si="412"/>
        <v>0</v>
      </c>
      <c r="GM255" s="6">
        <f>SUMIF('Eredeti fejléccel'!$B:$B,'Felosztás eredménykim'!$B255,'Eredeti fejléccel'!$CX:$CX)</f>
        <v>0</v>
      </c>
      <c r="GN255" s="6">
        <f>SUMIF('Eredeti fejléccel'!$B:$B,'Felosztás eredménykim'!$B255,'Eredeti fejléccel'!$CY:$CY)</f>
        <v>0</v>
      </c>
      <c r="GO255" s="6">
        <f>SUMIF('Eredeti fejléccel'!$B:$B,'Felosztás eredménykim'!$B255,'Eredeti fejléccel'!$CZ:$CZ)</f>
        <v>0</v>
      </c>
      <c r="GP255" s="6">
        <f>SUMIF('Eredeti fejléccel'!$B:$B,'Felosztás eredménykim'!$B255,'Eredeti fejléccel'!$DA:$DA)</f>
        <v>0</v>
      </c>
      <c r="GQ255" s="6">
        <f>SUMIF('Eredeti fejléccel'!$B:$B,'Felosztás eredménykim'!$B255,'Eredeti fejléccel'!$DB:$DB)</f>
        <v>0</v>
      </c>
      <c r="GR255" s="103">
        <f t="shared" ref="GR255" si="617">SUM(GH255:GQ255)</f>
        <v>0</v>
      </c>
      <c r="GW255" s="36">
        <f t="shared" si="413"/>
        <v>0</v>
      </c>
      <c r="GX255" s="6">
        <f>SUMIF('Eredeti fejléccel'!$B:$B,'Felosztás eredménykim'!$B255,'Eredeti fejléccel'!$M:$M)</f>
        <v>0</v>
      </c>
      <c r="GY255" s="6">
        <f>SUMIF('Eredeti fejléccel'!$B:$B,'Felosztás eredménykim'!$B255,'Eredeti fejléccel'!$DC:$DC)</f>
        <v>0</v>
      </c>
      <c r="GZ255" s="6">
        <f>SUMIF('Eredeti fejléccel'!$B:$B,'Felosztás eredménykim'!$B255,'Eredeti fejléccel'!$DD:$DD)</f>
        <v>0</v>
      </c>
      <c r="HA255" s="6">
        <f>SUMIF('Eredeti fejléccel'!$B:$B,'Felosztás eredménykim'!$B255,'Eredeti fejléccel'!$DE:$DE)</f>
        <v>0</v>
      </c>
      <c r="HB255" s="103">
        <f t="shared" ref="HB255" si="618">SUM(GX255:HA255)</f>
        <v>0</v>
      </c>
      <c r="HD255" s="9">
        <f t="shared" si="547"/>
        <v>-408997043</v>
      </c>
      <c r="HE255" s="9">
        <v>-408997043</v>
      </c>
      <c r="HF255" s="476"/>
      <c r="HH255" s="34">
        <f t="shared" ref="HH255" si="619">+HD255-HE255</f>
        <v>0</v>
      </c>
    </row>
    <row r="256" spans="1:217" x14ac:dyDescent="0.25">
      <c r="A256" s="4" t="s">
        <v>1593</v>
      </c>
      <c r="B256" s="4" t="s">
        <v>1593</v>
      </c>
      <c r="C256" s="1" t="s">
        <v>1594</v>
      </c>
      <c r="D256" s="6">
        <f>SUMIF('Eredeti fejléccel'!$B:$B,'Felosztás eredménykim'!$B256,'Eredeti fejléccel'!$D:$D)</f>
        <v>0</v>
      </c>
      <c r="E256" s="6">
        <f>SUMIF('Eredeti fejléccel'!$B:$B,'Felosztás eredménykim'!$B256,'Eredeti fejléccel'!$E:$E)</f>
        <v>0</v>
      </c>
      <c r="F256" s="6">
        <f>SUMIF('Eredeti fejléccel'!$B:$B,'Felosztás eredménykim'!$B256,'Eredeti fejléccel'!$F:$F)</f>
        <v>0</v>
      </c>
      <c r="G256" s="6">
        <f>SUMIF('Eredeti fejléccel'!$B:$B,'Felosztás eredménykim'!$B256,'Eredeti fejléccel'!$G:$G)</f>
        <v>0</v>
      </c>
      <c r="H256" s="6"/>
      <c r="I256" s="6">
        <f>SUMIF('Eredeti fejléccel'!$B:$B,'Felosztás eredménykim'!$B256,'Eredeti fejléccel'!$O:$O)</f>
        <v>0</v>
      </c>
      <c r="J256" s="6">
        <f>SUMIF('Eredeti fejléccel'!$B:$B,'Felosztás eredménykim'!$B256,'Eredeti fejléccel'!$P:$P)</f>
        <v>0</v>
      </c>
      <c r="K256" s="6">
        <f>SUMIF('Eredeti fejléccel'!$B:$B,'Felosztás eredménykim'!$B256,'Eredeti fejléccel'!$Q:$Q)</f>
        <v>0</v>
      </c>
      <c r="L256" s="6">
        <f>SUMIF('Eredeti fejléccel'!$B:$B,'Felosztás eredménykim'!$B256,'Eredeti fejléccel'!$R:$R)</f>
        <v>0</v>
      </c>
      <c r="M256" s="6">
        <f>SUMIF('Eredeti fejléccel'!$B:$B,'Felosztás eredménykim'!$B256,'Eredeti fejléccel'!$T:$T)</f>
        <v>0</v>
      </c>
      <c r="N256" s="6">
        <f>SUMIF('Eredeti fejléccel'!$B:$B,'Felosztás eredménykim'!$B256,'Eredeti fejléccel'!$U:$U)</f>
        <v>0</v>
      </c>
      <c r="O256" s="6">
        <f>SUMIF('Eredeti fejléccel'!$B:$B,'Felosztás eredménykim'!$B256,'Eredeti fejléccel'!$V:$V)</f>
        <v>0</v>
      </c>
      <c r="P256" s="6">
        <f>SUMIF('Eredeti fejléccel'!$B:$B,'Felosztás eredménykim'!$B256,'Eredeti fejléccel'!$W:$W)</f>
        <v>0</v>
      </c>
      <c r="Q256" s="6">
        <f>SUMIF('Eredeti fejléccel'!$B:$B,'Felosztás eredménykim'!$B256,'Eredeti fejléccel'!$X:$X)</f>
        <v>0</v>
      </c>
      <c r="R256" s="6">
        <f>SUMIF('Eredeti fejléccel'!$B:$B,'Felosztás eredménykim'!$B256,'Eredeti fejléccel'!$Y:$Y)</f>
        <v>0</v>
      </c>
      <c r="S256" s="6">
        <f>SUMIF('Eredeti fejléccel'!$B:$B,'Felosztás eredménykim'!$B256,'Eredeti fejléccel'!$Z:$Z)</f>
        <v>0</v>
      </c>
      <c r="T256" s="6">
        <f>SUMIF('Eredeti fejléccel'!$B:$B,'Felosztás eredménykim'!$B256,'Eredeti fejléccel'!$AA:$AA)</f>
        <v>0</v>
      </c>
      <c r="U256" s="6">
        <f>SUMIF('Eredeti fejléccel'!$B:$B,'Felosztás eredménykim'!$B256,'Eredeti fejléccel'!$D:$D)</f>
        <v>0</v>
      </c>
      <c r="V256" s="6">
        <f>SUMIF('Eredeti fejléccel'!$B:$B,'Felosztás eredménykim'!$B256,'Eredeti fejléccel'!$AT:$AT)</f>
        <v>-758023</v>
      </c>
      <c r="W256" s="36">
        <f>-V256</f>
        <v>758023</v>
      </c>
      <c r="X256" s="36">
        <f t="shared" si="414"/>
        <v>0</v>
      </c>
      <c r="Z256" s="6">
        <f>SUMIF('Eredeti fejléccel'!$B:$B,'Felosztás eredménykim'!$B256,'Eredeti fejléccel'!$K:$K)</f>
        <v>0</v>
      </c>
      <c r="AB256" s="6">
        <f>SUMIF('Eredeti fejléccel'!$B:$B,'Felosztás eredménykim'!$B256,'Eredeti fejléccel'!$AB:$AB)</f>
        <v>0</v>
      </c>
      <c r="AC256" s="6">
        <f>SUMIF('Eredeti fejléccel'!$B:$B,'Felosztás eredménykim'!$B256,'Eredeti fejléccel'!$AQ:$AQ)</f>
        <v>0</v>
      </c>
      <c r="AE256" s="73">
        <f t="shared" si="548"/>
        <v>0</v>
      </c>
      <c r="AF256" s="36">
        <f t="shared" si="549"/>
        <v>0</v>
      </c>
      <c r="AG256" s="8">
        <f t="shared" si="399"/>
        <v>0</v>
      </c>
      <c r="AI256" s="6">
        <f>SUMIF('Eredeti fejléccel'!$B:$B,'Felosztás eredménykim'!$B256,'Eredeti fejléccel'!$BB:$BB)</f>
        <v>0</v>
      </c>
      <c r="AJ256" s="6">
        <f>SUMIF('Eredeti fejléccel'!$B:$B,'Felosztás eredménykim'!$B256,'Eredeti fejléccel'!$AF:$AF)</f>
        <v>0</v>
      </c>
      <c r="AK256" s="8">
        <f t="shared" si="522"/>
        <v>0</v>
      </c>
      <c r="AL256" s="36">
        <f t="shared" si="550"/>
        <v>0</v>
      </c>
      <c r="AM256" s="8">
        <f t="shared" si="400"/>
        <v>0</v>
      </c>
      <c r="AN256" s="6">
        <f t="shared" si="538"/>
        <v>0</v>
      </c>
      <c r="AO256" s="6">
        <f>SUMIF('Eredeti fejléccel'!$B:$B,'Felosztás eredménykim'!$B256,'Eredeti fejléccel'!$AC:$AC)</f>
        <v>0</v>
      </c>
      <c r="AP256" s="6">
        <f>SUMIF('Eredeti fejléccel'!$B:$B,'Felosztás eredménykim'!$B256,'Eredeti fejléccel'!$AD:$AD)</f>
        <v>0</v>
      </c>
      <c r="AQ256" s="6">
        <f>SUMIF('Eredeti fejléccel'!$B:$B,'Felosztás eredménykim'!$B256,'Eredeti fejléccel'!$AE:$AE)</f>
        <v>0</v>
      </c>
      <c r="AR256" s="6">
        <f>SUMIF('Eredeti fejléccel'!$B:$B,'Felosztás eredménykim'!$B256,'Eredeti fejléccel'!$AG:$AG)</f>
        <v>0</v>
      </c>
      <c r="AS256" s="6">
        <f t="shared" si="539"/>
        <v>0</v>
      </c>
      <c r="AT256" s="36">
        <f t="shared" si="551"/>
        <v>0</v>
      </c>
      <c r="AU256" s="8">
        <f t="shared" si="401"/>
        <v>0</v>
      </c>
      <c r="AV256" s="6">
        <f>SUMIF('Eredeti fejléccel'!$B:$B,'Felosztás eredménykim'!$B256,'Eredeti fejléccel'!$AI:$AI)</f>
        <v>0</v>
      </c>
      <c r="AW256" s="6">
        <f>SUMIF('Eredeti fejléccel'!$B:$B,'Felosztás eredménykim'!$B256,'Eredeti fejléccel'!$AJ:$AJ)</f>
        <v>0</v>
      </c>
      <c r="AX256" s="6">
        <f>SUMIF('Eredeti fejléccel'!$B:$B,'Felosztás eredménykim'!$B256,'Eredeti fejléccel'!$AK:$AK)</f>
        <v>0</v>
      </c>
      <c r="AY256" s="6">
        <f>SUMIF('Eredeti fejléccel'!$B:$B,'Felosztás eredménykim'!$B256,'Eredeti fejléccel'!$AL:$AL)</f>
        <v>0</v>
      </c>
      <c r="AZ256" s="6">
        <f>SUMIF('Eredeti fejléccel'!$B:$B,'Felosztás eredménykim'!$B256,'Eredeti fejléccel'!$AM:$AM)</f>
        <v>0</v>
      </c>
      <c r="BA256" s="6">
        <f>SUMIF('Eredeti fejléccel'!$B:$B,'Felosztás eredménykim'!$B256,'Eredeti fejléccel'!$AN:$AN)</f>
        <v>0</v>
      </c>
      <c r="BB256" s="6">
        <f>SUMIF('Eredeti fejléccel'!$B:$B,'Felosztás eredménykim'!$B256,'Eredeti fejléccel'!$AP:$AP)</f>
        <v>0</v>
      </c>
      <c r="BD256" s="6">
        <f>SUMIF('Eredeti fejléccel'!$B:$B,'Felosztás eredménykim'!$B256,'Eredeti fejléccel'!$AS:$AS)</f>
        <v>0</v>
      </c>
      <c r="BE256" s="8">
        <f t="shared" si="523"/>
        <v>0</v>
      </c>
      <c r="BF256" s="36">
        <f t="shared" si="552"/>
        <v>0</v>
      </c>
      <c r="BG256" s="8">
        <f t="shared" si="402"/>
        <v>0</v>
      </c>
      <c r="BH256" s="6">
        <f t="shared" si="540"/>
        <v>0</v>
      </c>
      <c r="BI256" s="6">
        <f>SUMIF('Eredeti fejléccel'!$B:$B,'Felosztás eredménykim'!$B256,'Eredeti fejléccel'!$AH:$AH)</f>
        <v>0</v>
      </c>
      <c r="BJ256" s="6">
        <f>SUMIF('Eredeti fejléccel'!$B:$B,'Felosztás eredménykim'!$B256,'Eredeti fejléccel'!$AO:$AO)</f>
        <v>0</v>
      </c>
      <c r="BK256" s="6">
        <f>SUMIF('Eredeti fejléccel'!$B:$B,'Felosztás eredménykim'!$B256,'Eredeti fejléccel'!$BF:$BF)</f>
        <v>0</v>
      </c>
      <c r="BL256" s="8">
        <f t="shared" si="541"/>
        <v>0</v>
      </c>
      <c r="BM256" s="36">
        <f t="shared" si="553"/>
        <v>0</v>
      </c>
      <c r="BN256" s="8">
        <f t="shared" si="403"/>
        <v>0</v>
      </c>
      <c r="BP256" s="8">
        <f t="shared" si="542"/>
        <v>0</v>
      </c>
      <c r="BQ256" s="6">
        <f>SUMIF('Eredeti fejléccel'!$B:$B,'Felosztás eredménykim'!$B256,'Eredeti fejléccel'!$N:$N)</f>
        <v>0</v>
      </c>
      <c r="BR256" s="6">
        <f>SUMIF('Eredeti fejléccel'!$B:$B,'Felosztás eredménykim'!$B256,'Eredeti fejléccel'!$S:$S)</f>
        <v>0</v>
      </c>
      <c r="BT256" s="6">
        <f>SUMIF('Eredeti fejléccel'!$B:$B,'Felosztás eredménykim'!$B256,'Eredeti fejléccel'!$AR:$AR)</f>
        <v>0</v>
      </c>
      <c r="BU256" s="6">
        <f>SUMIF('Eredeti fejléccel'!$B:$B,'Felosztás eredménykim'!$B256,'Eredeti fejléccel'!$AU:$AU)</f>
        <v>0</v>
      </c>
      <c r="BV256" s="6">
        <f>SUMIF('Eredeti fejléccel'!$B:$B,'Felosztás eredménykim'!$B256,'Eredeti fejléccel'!$AV:$AV)</f>
        <v>0</v>
      </c>
      <c r="BW256" s="6">
        <f>SUMIF('Eredeti fejléccel'!$B:$B,'Felosztás eredménykim'!$B256,'Eredeti fejléccel'!$AW:$AW)</f>
        <v>0</v>
      </c>
      <c r="BX256" s="6">
        <f>SUMIF('Eredeti fejléccel'!$B:$B,'Felosztás eredménykim'!$B256,'Eredeti fejléccel'!$AX:$AX)</f>
        <v>0</v>
      </c>
      <c r="BY256" s="6">
        <f>SUMIF('Eredeti fejléccel'!$B:$B,'Felosztás eredménykim'!$B256,'Eredeti fejléccel'!$AY:$AY)</f>
        <v>0</v>
      </c>
      <c r="BZ256" s="6">
        <f>SUMIF('Eredeti fejléccel'!$B:$B,'Felosztás eredménykim'!$B256,'Eredeti fejléccel'!$AZ:$AZ)</f>
        <v>0</v>
      </c>
      <c r="CA256" s="6">
        <f>SUMIF('Eredeti fejléccel'!$B:$B,'Felosztás eredménykim'!$B256,'Eredeti fejléccel'!$BA:$BA)</f>
        <v>0</v>
      </c>
      <c r="CB256" s="6">
        <f t="shared" si="481"/>
        <v>0</v>
      </c>
      <c r="CC256" s="36">
        <f t="shared" si="554"/>
        <v>0</v>
      </c>
      <c r="CD256" s="8">
        <f t="shared" si="404"/>
        <v>0</v>
      </c>
      <c r="CE256" s="6">
        <f>SUMIF('Eredeti fejléccel'!$B:$B,'Felosztás eredménykim'!$B256,'Eredeti fejléccel'!$BC:$BC)</f>
        <v>0</v>
      </c>
      <c r="CF256" s="8">
        <f t="shared" si="555"/>
        <v>0</v>
      </c>
      <c r="CG256" s="6">
        <f>SUMIF('Eredeti fejléccel'!$B:$B,'Felosztás eredménykim'!$B256,'Eredeti fejléccel'!$H:$H)</f>
        <v>0</v>
      </c>
      <c r="CH256" s="6">
        <f>SUMIF('Eredeti fejléccel'!$B:$B,'Felosztás eredménykim'!$B256,'Eredeti fejléccel'!$BE:$BE)</f>
        <v>0</v>
      </c>
      <c r="CI256" s="6">
        <f t="shared" si="524"/>
        <v>0</v>
      </c>
      <c r="CJ256" s="36">
        <f t="shared" si="556"/>
        <v>0</v>
      </c>
      <c r="CK256" s="8">
        <f t="shared" si="405"/>
        <v>0</v>
      </c>
      <c r="CL256" s="8">
        <f t="shared" si="557"/>
        <v>0</v>
      </c>
      <c r="CM256" s="6">
        <f>SUMIF('Eredeti fejléccel'!$B:$B,'Felosztás eredménykim'!$B256,'Eredeti fejléccel'!$BD:$BD)</f>
        <v>0</v>
      </c>
      <c r="CN256" s="8">
        <f t="shared" si="525"/>
        <v>0</v>
      </c>
      <c r="CO256" s="8">
        <f t="shared" si="482"/>
        <v>0</v>
      </c>
      <c r="CR256" s="36">
        <f t="shared" si="406"/>
        <v>0</v>
      </c>
      <c r="CS256" s="6">
        <f>SUMIF('Eredeti fejléccel'!$B:$B,'Felosztás eredménykim'!$B256,'Eredeti fejléccel'!$I:$I)</f>
        <v>0</v>
      </c>
      <c r="CT256" s="6">
        <f>SUMIF('Eredeti fejléccel'!$B:$B,'Felosztás eredménykim'!$B256,'Eredeti fejléccel'!$BG:$BG)</f>
        <v>0</v>
      </c>
      <c r="CU256" s="6">
        <f>SUMIF('Eredeti fejléccel'!$B:$B,'Felosztás eredménykim'!$B256,'Eredeti fejléccel'!$BH:$BH)</f>
        <v>0</v>
      </c>
      <c r="CV256" s="6">
        <f>SUMIF('Eredeti fejléccel'!$B:$B,'Felosztás eredménykim'!$B256,'Eredeti fejléccel'!$BI:$BI)</f>
        <v>0</v>
      </c>
      <c r="CW256" s="6">
        <f>SUMIF('Eredeti fejléccel'!$B:$B,'Felosztás eredménykim'!$B256,'Eredeti fejléccel'!$BL:$BL)</f>
        <v>0</v>
      </c>
      <c r="CX256" s="6">
        <f t="shared" si="526"/>
        <v>0</v>
      </c>
      <c r="CY256" s="6">
        <f>SUMIF('Eredeti fejléccel'!$B:$B,'Felosztás eredménykim'!$B256,'Eredeti fejléccel'!$BJ:$BJ)</f>
        <v>0</v>
      </c>
      <c r="CZ256" s="6">
        <f>SUMIF('Eredeti fejléccel'!$B:$B,'Felosztás eredménykim'!$B256,'Eredeti fejléccel'!$BK:$BK)</f>
        <v>0</v>
      </c>
      <c r="DA256" s="99">
        <f t="shared" si="415"/>
        <v>0</v>
      </c>
      <c r="DC256" s="36">
        <f t="shared" si="407"/>
        <v>0</v>
      </c>
      <c r="DD256" s="6">
        <f>SUMIF('Eredeti fejléccel'!$B:$B,'Felosztás eredménykim'!$B256,'Eredeti fejléccel'!$J:$J)</f>
        <v>0</v>
      </c>
      <c r="DE256" s="6">
        <f>SUMIF('Eredeti fejléccel'!$B:$B,'Felosztás eredménykim'!$B256,'Eredeti fejléccel'!$BM:$BM)</f>
        <v>0</v>
      </c>
      <c r="DF256" s="6">
        <f t="shared" si="543"/>
        <v>0</v>
      </c>
      <c r="DG256" s="8">
        <f t="shared" si="483"/>
        <v>0</v>
      </c>
      <c r="DH256" s="8">
        <f t="shared" si="544"/>
        <v>0</v>
      </c>
      <c r="DJ256" s="6">
        <f>SUMIF('Eredeti fejléccel'!$B:$B,'Felosztás eredménykim'!$B256,'Eredeti fejléccel'!$BN:$BN)</f>
        <v>0</v>
      </c>
      <c r="DK256" s="6">
        <f>SUMIF('Eredeti fejléccel'!$B:$B,'Felosztás eredménykim'!$B256,'Eredeti fejléccel'!$BZ:$BZ)</f>
        <v>0</v>
      </c>
      <c r="DL256" s="8">
        <f t="shared" si="545"/>
        <v>0</v>
      </c>
      <c r="DM256" s="6">
        <f>SUMIF('Eredeti fejléccel'!$B:$B,'Felosztás eredménykim'!$B256,'Eredeti fejléccel'!$BR:$BR)</f>
        <v>0</v>
      </c>
      <c r="DN256" s="6">
        <f>SUMIF('Eredeti fejléccel'!$B:$B,'Felosztás eredménykim'!$B256,'Eredeti fejléccel'!$BS:$BS)</f>
        <v>0</v>
      </c>
      <c r="DO256" s="6">
        <f>SUMIF('Eredeti fejléccel'!$B:$B,'Felosztás eredménykim'!$B256,'Eredeti fejléccel'!$BO:$BO)</f>
        <v>0</v>
      </c>
      <c r="DP256" s="6">
        <f>SUMIF('Eredeti fejléccel'!$B:$B,'Felosztás eredménykim'!$B256,'Eredeti fejléccel'!$BP:$BP)</f>
        <v>0</v>
      </c>
      <c r="DQ256" s="6">
        <f>SUMIF('Eredeti fejléccel'!$B:$B,'Felosztás eredménykim'!$B256,'Eredeti fejléccel'!$BQ:$BQ)</f>
        <v>0</v>
      </c>
      <c r="DS256" s="8"/>
      <c r="DU256" s="6">
        <f>SUMIF('Eredeti fejléccel'!$B:$B,'Felosztás eredménykim'!$B256,'Eredeti fejléccel'!$BT:$BT)</f>
        <v>0</v>
      </c>
      <c r="DV256" s="6">
        <f>SUMIF('Eredeti fejléccel'!$B:$B,'Felosztás eredménykim'!$B256,'Eredeti fejléccel'!$BU:$BU)</f>
        <v>0</v>
      </c>
      <c r="DW256" s="6">
        <f>SUMIF('Eredeti fejléccel'!$B:$B,'Felosztás eredménykim'!$B256,'Eredeti fejléccel'!$BV:$BV)</f>
        <v>0</v>
      </c>
      <c r="DX256" s="6">
        <f>SUMIF('Eredeti fejléccel'!$B:$B,'Felosztás eredménykim'!$B256,'Eredeti fejléccel'!$BW:$BW)</f>
        <v>0</v>
      </c>
      <c r="DY256" s="6">
        <f>SUMIF('Eredeti fejléccel'!$B:$B,'Felosztás eredménykim'!$B256,'Eredeti fejléccel'!$BX:$BX)</f>
        <v>0</v>
      </c>
      <c r="EA256" s="6"/>
      <c r="EC256" s="6"/>
      <c r="EE256" s="6">
        <f>SUMIF('Eredeti fejléccel'!$B:$B,'Felosztás eredménykim'!$B256,'Eredeti fejléccel'!$CA:$CA)</f>
        <v>0</v>
      </c>
      <c r="EF256" s="6">
        <f>SUMIF('Eredeti fejléccel'!$B:$B,'Felosztás eredménykim'!$B256,'Eredeti fejléccel'!$CB:$CB)</f>
        <v>0</v>
      </c>
      <c r="EG256" s="6">
        <f>SUMIF('Eredeti fejléccel'!$B:$B,'Felosztás eredménykim'!$B256,'Eredeti fejléccel'!$CC:$CC)</f>
        <v>0</v>
      </c>
      <c r="EH256" s="6">
        <f>SUMIF('Eredeti fejléccel'!$B:$B,'Felosztás eredménykim'!$B256,'Eredeti fejléccel'!$CD:$CD)</f>
        <v>0</v>
      </c>
      <c r="EK256" s="6">
        <f>SUMIF('Eredeti fejléccel'!$B:$B,'Felosztás eredménykim'!$B256,'Eredeti fejléccel'!$CE:$CE)</f>
        <v>0</v>
      </c>
      <c r="EN256" s="6">
        <f>SUMIF('Eredeti fejléccel'!$B:$B,'Felosztás eredménykim'!$B256,'Eredeti fejléccel'!$CF:$CF)</f>
        <v>0</v>
      </c>
      <c r="EP256" s="6">
        <f>SUMIF('Eredeti fejléccel'!$B:$B,'Felosztás eredménykim'!$B256,'Eredeti fejléccel'!$CG:$CG)</f>
        <v>0</v>
      </c>
      <c r="ES256" s="6">
        <f>SUMIF('Eredeti fejléccel'!$B:$B,'Felosztás eredménykim'!$B256,'Eredeti fejléccel'!$CH:$CH)</f>
        <v>0</v>
      </c>
      <c r="ET256" s="6">
        <f>SUMIF('Eredeti fejléccel'!$B:$B,'Felosztás eredménykim'!$B256,'Eredeti fejléccel'!$CI:$CI)</f>
        <v>0</v>
      </c>
      <c r="EW256" s="8">
        <f t="shared" si="535"/>
        <v>0</v>
      </c>
      <c r="EX256" s="8">
        <f t="shared" si="527"/>
        <v>0</v>
      </c>
      <c r="EY256" s="8">
        <f t="shared" si="416"/>
        <v>0</v>
      </c>
      <c r="EZ256" s="8">
        <f t="shared" si="536"/>
        <v>0</v>
      </c>
      <c r="FA256" s="8">
        <f t="shared" si="537"/>
        <v>0</v>
      </c>
      <c r="FC256" s="6">
        <f>SUMIF('Eredeti fejléccel'!$B:$B,'Felosztás eredménykim'!$B256,'Eredeti fejléccel'!$L:$L)</f>
        <v>0</v>
      </c>
      <c r="FD256" s="6">
        <f>SUMIF('Eredeti fejléccel'!$B:$B,'Felosztás eredménykim'!$B256,'Eredeti fejléccel'!$CJ:$CJ)</f>
        <v>0</v>
      </c>
      <c r="FE256" s="6">
        <f>SUMIF('Eredeti fejléccel'!$B:$B,'Felosztás eredménykim'!$B256,'Eredeti fejléccel'!$CL:$CL)</f>
        <v>0</v>
      </c>
      <c r="FG256" s="99">
        <f t="shared" si="528"/>
        <v>0</v>
      </c>
      <c r="FH256" s="6">
        <f>SUMIF('Eredeti fejléccel'!$B:$B,'Felosztás eredménykim'!$B256,'Eredeti fejléccel'!$CK:$CK)</f>
        <v>0</v>
      </c>
      <c r="FI256" s="36">
        <f t="shared" si="558"/>
        <v>0</v>
      </c>
      <c r="FJ256" s="101">
        <f t="shared" si="408"/>
        <v>0</v>
      </c>
      <c r="FK256" s="6">
        <f>SUMIF('Eredeti fejléccel'!$B:$B,'Felosztás eredménykim'!$B256,'Eredeti fejléccel'!$CM:$CM)</f>
        <v>0</v>
      </c>
      <c r="FL256" s="6">
        <f>SUMIF('Eredeti fejléccel'!$B:$B,'Felosztás eredménykim'!$B256,'Eredeti fejléccel'!$CN:$CN)</f>
        <v>0</v>
      </c>
      <c r="FM256" s="8">
        <f t="shared" si="529"/>
        <v>0</v>
      </c>
      <c r="FN256" s="36">
        <f t="shared" si="559"/>
        <v>0</v>
      </c>
      <c r="FO256" s="101">
        <f t="shared" si="409"/>
        <v>0</v>
      </c>
      <c r="FP256" s="6">
        <f>SUMIF('Eredeti fejléccel'!$B:$B,'Felosztás eredménykim'!$B256,'Eredeti fejléccel'!$CO:$CO)</f>
        <v>0</v>
      </c>
      <c r="FQ256" s="6">
        <f>'Eredeti fejléccel'!CP256</f>
        <v>0</v>
      </c>
      <c r="FR256" s="6">
        <f>'Eredeti fejléccel'!CQ256</f>
        <v>0</v>
      </c>
      <c r="FS256" s="103">
        <f t="shared" si="417"/>
        <v>0</v>
      </c>
      <c r="FT256" s="36">
        <f t="shared" si="560"/>
        <v>0</v>
      </c>
      <c r="FU256" s="101">
        <f t="shared" si="410"/>
        <v>0</v>
      </c>
      <c r="FV256" s="101"/>
      <c r="FW256" s="6">
        <f>SUMIF('Eredeti fejléccel'!$B:$B,'Felosztás eredménykim'!$B256,'Eredeti fejléccel'!$CR:$CR)</f>
        <v>0</v>
      </c>
      <c r="FX256" s="6">
        <f>SUMIF('Eredeti fejléccel'!$B:$B,'Felosztás eredménykim'!$B256,'Eredeti fejléccel'!$CS:$CS)</f>
        <v>0</v>
      </c>
      <c r="FY256" s="6">
        <f>SUMIF('Eredeti fejléccel'!$B:$B,'Felosztás eredménykim'!$B256,'Eredeti fejléccel'!$CT:$CT)</f>
        <v>0</v>
      </c>
      <c r="FZ256" s="6">
        <f>SUMIF('Eredeti fejléccel'!$B:$B,'Felosztás eredménykim'!$B256,'Eredeti fejléccel'!$CU:$CU)</f>
        <v>0</v>
      </c>
      <c r="GA256" s="103">
        <f t="shared" si="530"/>
        <v>0</v>
      </c>
      <c r="GB256" s="36">
        <f t="shared" si="561"/>
        <v>0</v>
      </c>
      <c r="GC256" s="101">
        <f t="shared" si="411"/>
        <v>0</v>
      </c>
      <c r="GD256" s="6">
        <f>SUMIF('Eredeti fejléccel'!$B:$B,'Felosztás eredménykim'!$B256,'Eredeti fejléccel'!$CV:$CV)</f>
        <v>0</v>
      </c>
      <c r="GE256" s="6">
        <f>SUMIF('Eredeti fejléccel'!$B:$B,'Felosztás eredménykim'!$B256,'Eredeti fejléccel'!$CW:$CW)</f>
        <v>0</v>
      </c>
      <c r="GF256" s="103">
        <f t="shared" si="531"/>
        <v>0</v>
      </c>
      <c r="GG256" s="36">
        <f t="shared" si="412"/>
        <v>0</v>
      </c>
      <c r="GM256" s="6">
        <f>SUMIF('Eredeti fejléccel'!$B:$B,'Felosztás eredménykim'!$B256,'Eredeti fejléccel'!$CX:$CX)</f>
        <v>0</v>
      </c>
      <c r="GN256" s="6">
        <f>SUMIF('Eredeti fejléccel'!$B:$B,'Felosztás eredménykim'!$B256,'Eredeti fejléccel'!$CY:$CY)</f>
        <v>0</v>
      </c>
      <c r="GO256" s="6">
        <f>SUMIF('Eredeti fejléccel'!$B:$B,'Felosztás eredménykim'!$B256,'Eredeti fejléccel'!$CZ:$CZ)</f>
        <v>0</v>
      </c>
      <c r="GP256" s="6">
        <f>SUMIF('Eredeti fejléccel'!$B:$B,'Felosztás eredménykim'!$B256,'Eredeti fejléccel'!$DA:$DA)</f>
        <v>0</v>
      </c>
      <c r="GQ256" s="6">
        <f>SUMIF('Eredeti fejléccel'!$B:$B,'Felosztás eredménykim'!$B256,'Eredeti fejléccel'!$DB:$DB)</f>
        <v>0</v>
      </c>
      <c r="GR256" s="103">
        <f t="shared" si="532"/>
        <v>0</v>
      </c>
      <c r="GW256" s="36">
        <f t="shared" si="413"/>
        <v>0</v>
      </c>
      <c r="GX256" s="6">
        <f>SUMIF('Eredeti fejléccel'!$B:$B,'Felosztás eredménykim'!$B256,'Eredeti fejléccel'!$M:$M)</f>
        <v>0</v>
      </c>
      <c r="GY256" s="6">
        <f>SUMIF('Eredeti fejléccel'!$B:$B,'Felosztás eredménykim'!$B256,'Eredeti fejléccel'!$DC:$DC)</f>
        <v>0</v>
      </c>
      <c r="GZ256" s="6">
        <f>SUMIF('Eredeti fejléccel'!$B:$B,'Felosztás eredménykim'!$B256,'Eredeti fejléccel'!$DD:$DD)</f>
        <v>0</v>
      </c>
      <c r="HA256" s="6">
        <f>SUMIF('Eredeti fejléccel'!$B:$B,'Felosztás eredménykim'!$B256,'Eredeti fejléccel'!$DE:$DE)</f>
        <v>0</v>
      </c>
      <c r="HB256" s="103">
        <f t="shared" si="533"/>
        <v>0</v>
      </c>
      <c r="HD256" s="9">
        <f t="shared" si="547"/>
        <v>-758023</v>
      </c>
      <c r="HE256" s="9">
        <v>-758023</v>
      </c>
      <c r="HF256" s="476"/>
      <c r="HH256" s="34">
        <f t="shared" si="534"/>
        <v>0</v>
      </c>
    </row>
    <row r="257" spans="1:218" x14ac:dyDescent="0.25">
      <c r="A257" s="4" t="s">
        <v>339</v>
      </c>
      <c r="B257" s="4" t="s">
        <v>339</v>
      </c>
      <c r="C257" s="1" t="s">
        <v>340</v>
      </c>
      <c r="D257" s="6">
        <f>SUMIF('Eredeti fejléccel'!$B:$B,'Felosztás eredménykim'!$B257,'Eredeti fejléccel'!$D:$D)</f>
        <v>0</v>
      </c>
      <c r="E257" s="6">
        <f>SUMIF('Eredeti fejléccel'!$B:$B,'Felosztás eredménykim'!$B257,'Eredeti fejléccel'!$E:$E)</f>
        <v>0</v>
      </c>
      <c r="F257" s="6">
        <f>SUMIF('Eredeti fejléccel'!$B:$B,'Felosztás eredménykim'!$B257,'Eredeti fejléccel'!$F:$F)</f>
        <v>0</v>
      </c>
      <c r="G257" s="6">
        <f>SUMIF('Eredeti fejléccel'!$B:$B,'Felosztás eredménykim'!$B257,'Eredeti fejléccel'!$G:$G)</f>
        <v>0</v>
      </c>
      <c r="H257" s="6"/>
      <c r="I257" s="6">
        <f>SUMIF('Eredeti fejléccel'!$B:$B,'Felosztás eredménykim'!$B257,'Eredeti fejléccel'!$O:$O)</f>
        <v>0</v>
      </c>
      <c r="J257" s="6">
        <f>SUMIF('Eredeti fejléccel'!$B:$B,'Felosztás eredménykim'!$B257,'Eredeti fejléccel'!$P:$P)</f>
        <v>0</v>
      </c>
      <c r="K257" s="6">
        <f>SUMIF('Eredeti fejléccel'!$B:$B,'Felosztás eredménykim'!$B257,'Eredeti fejléccel'!$Q:$Q)</f>
        <v>0</v>
      </c>
      <c r="L257" s="6">
        <f>SUMIF('Eredeti fejléccel'!$B:$B,'Felosztás eredménykim'!$B257,'Eredeti fejléccel'!$R:$R)</f>
        <v>0</v>
      </c>
      <c r="M257" s="6">
        <f>SUMIF('Eredeti fejléccel'!$B:$B,'Felosztás eredménykim'!$B257,'Eredeti fejléccel'!$T:$T)</f>
        <v>0</v>
      </c>
      <c r="N257" s="6">
        <f>SUMIF('Eredeti fejléccel'!$B:$B,'Felosztás eredménykim'!$B257,'Eredeti fejléccel'!$U:$U)</f>
        <v>0</v>
      </c>
      <c r="O257" s="6">
        <f>SUMIF('Eredeti fejléccel'!$B:$B,'Felosztás eredménykim'!$B257,'Eredeti fejléccel'!$V:$V)</f>
        <v>0</v>
      </c>
      <c r="P257" s="6">
        <f>SUMIF('Eredeti fejléccel'!$B:$B,'Felosztás eredménykim'!$B257,'Eredeti fejléccel'!$W:$W)</f>
        <v>0</v>
      </c>
      <c r="Q257" s="6">
        <f>SUMIF('Eredeti fejléccel'!$B:$B,'Felosztás eredménykim'!$B257,'Eredeti fejléccel'!$X:$X)</f>
        <v>0</v>
      </c>
      <c r="R257" s="6">
        <f>SUMIF('Eredeti fejléccel'!$B:$B,'Felosztás eredménykim'!$B257,'Eredeti fejléccel'!$Y:$Y)</f>
        <v>0</v>
      </c>
      <c r="S257" s="6">
        <f>SUMIF('Eredeti fejléccel'!$B:$B,'Felosztás eredménykim'!$B257,'Eredeti fejléccel'!$Z:$Z)</f>
        <v>0</v>
      </c>
      <c r="T257" s="6">
        <f>SUMIF('Eredeti fejléccel'!$B:$B,'Felosztás eredménykim'!$B257,'Eredeti fejléccel'!$AA:$AA)</f>
        <v>0</v>
      </c>
      <c r="U257" s="6">
        <f>SUMIF('Eredeti fejléccel'!$B:$B,'Felosztás eredménykim'!$B257,'Eredeti fejléccel'!$D:$D)</f>
        <v>0</v>
      </c>
      <c r="V257" s="6">
        <f>SUMIF('Eredeti fejléccel'!$B:$B,'Felosztás eredménykim'!$B257,'Eredeti fejléccel'!$AT:$AT)</f>
        <v>0</v>
      </c>
      <c r="X257" s="36">
        <f t="shared" si="414"/>
        <v>0</v>
      </c>
      <c r="Z257" s="6">
        <f>SUMIF('Eredeti fejléccel'!$B:$B,'Felosztás eredménykim'!$B257,'Eredeti fejléccel'!$K:$K)</f>
        <v>0</v>
      </c>
      <c r="AB257" s="6">
        <f>SUMIF('Eredeti fejléccel'!$B:$B,'Felosztás eredménykim'!$B257,'Eredeti fejléccel'!$AB:$AB)</f>
        <v>0</v>
      </c>
      <c r="AC257" s="6">
        <f>SUMIF('Eredeti fejléccel'!$B:$B,'Felosztás eredménykim'!$B257,'Eredeti fejléccel'!$AQ:$AQ)</f>
        <v>0</v>
      </c>
      <c r="AE257" s="73">
        <f t="shared" si="548"/>
        <v>0</v>
      </c>
      <c r="AF257" s="36">
        <f t="shared" si="549"/>
        <v>0</v>
      </c>
      <c r="AG257" s="8">
        <f t="shared" si="399"/>
        <v>0</v>
      </c>
      <c r="AI257" s="6">
        <f>SUMIF('Eredeti fejléccel'!$B:$B,'Felosztás eredménykim'!$B257,'Eredeti fejléccel'!$BB:$BB)</f>
        <v>0</v>
      </c>
      <c r="AJ257" s="6">
        <f>SUMIF('Eredeti fejléccel'!$B:$B,'Felosztás eredménykim'!$B257,'Eredeti fejléccel'!$AF:$AF)</f>
        <v>0</v>
      </c>
      <c r="AK257" s="8">
        <f t="shared" si="522"/>
        <v>0</v>
      </c>
      <c r="AL257" s="36">
        <f t="shared" si="550"/>
        <v>0</v>
      </c>
      <c r="AM257" s="8">
        <f t="shared" si="400"/>
        <v>0</v>
      </c>
      <c r="AN257" s="6">
        <f t="shared" si="538"/>
        <v>0</v>
      </c>
      <c r="AO257" s="6">
        <f>SUMIF('Eredeti fejléccel'!$B:$B,'Felosztás eredménykim'!$B257,'Eredeti fejléccel'!$AC:$AC)</f>
        <v>0</v>
      </c>
      <c r="AP257" s="6">
        <f>SUMIF('Eredeti fejléccel'!$B:$B,'Felosztás eredménykim'!$B257,'Eredeti fejléccel'!$AD:$AD)</f>
        <v>0</v>
      </c>
      <c r="AQ257" s="6">
        <f>SUMIF('Eredeti fejléccel'!$B:$B,'Felosztás eredménykim'!$B257,'Eredeti fejléccel'!$AE:$AE)</f>
        <v>0</v>
      </c>
      <c r="AR257" s="6">
        <f>SUMIF('Eredeti fejléccel'!$B:$B,'Felosztás eredménykim'!$B257,'Eredeti fejléccel'!$AG:$AG)</f>
        <v>0</v>
      </c>
      <c r="AS257" s="6">
        <f t="shared" si="539"/>
        <v>0</v>
      </c>
      <c r="AT257" s="36">
        <f t="shared" si="551"/>
        <v>0</v>
      </c>
      <c r="AU257" s="8">
        <f t="shared" si="401"/>
        <v>0</v>
      </c>
      <c r="AV257" s="6">
        <f>SUMIF('Eredeti fejléccel'!$B:$B,'Felosztás eredménykim'!$B257,'Eredeti fejléccel'!$AI:$AI)</f>
        <v>0</v>
      </c>
      <c r="AW257" s="6">
        <f>SUMIF('Eredeti fejléccel'!$B:$B,'Felosztás eredménykim'!$B257,'Eredeti fejléccel'!$AJ:$AJ)</f>
        <v>0</v>
      </c>
      <c r="AX257" s="6">
        <f>SUMIF('Eredeti fejléccel'!$B:$B,'Felosztás eredménykim'!$B257,'Eredeti fejléccel'!$AK:$AK)</f>
        <v>0</v>
      </c>
      <c r="AY257" s="6">
        <f>SUMIF('Eredeti fejléccel'!$B:$B,'Felosztás eredménykim'!$B257,'Eredeti fejléccel'!$AL:$AL)</f>
        <v>0</v>
      </c>
      <c r="AZ257" s="6">
        <f>SUMIF('Eredeti fejléccel'!$B:$B,'Felosztás eredménykim'!$B257,'Eredeti fejléccel'!$AM:$AM)</f>
        <v>0</v>
      </c>
      <c r="BA257" s="6">
        <f>SUMIF('Eredeti fejléccel'!$B:$B,'Felosztás eredménykim'!$B257,'Eredeti fejléccel'!$AN:$AN)</f>
        <v>0</v>
      </c>
      <c r="BB257" s="6">
        <f>SUMIF('Eredeti fejléccel'!$B:$B,'Felosztás eredménykim'!$B257,'Eredeti fejléccel'!$AP:$AP)</f>
        <v>0</v>
      </c>
      <c r="BD257" s="6">
        <f>SUMIF('Eredeti fejléccel'!$B:$B,'Felosztás eredménykim'!$B257,'Eredeti fejléccel'!$AS:$AS)</f>
        <v>0</v>
      </c>
      <c r="BE257" s="8">
        <f t="shared" si="523"/>
        <v>0</v>
      </c>
      <c r="BF257" s="36">
        <f t="shared" si="552"/>
        <v>0</v>
      </c>
      <c r="BG257" s="8">
        <f t="shared" si="402"/>
        <v>0</v>
      </c>
      <c r="BH257" s="6">
        <f t="shared" si="540"/>
        <v>0</v>
      </c>
      <c r="BI257" s="6">
        <f>SUMIF('Eredeti fejléccel'!$B:$B,'Felosztás eredménykim'!$B257,'Eredeti fejléccel'!$AH:$AH)</f>
        <v>0</v>
      </c>
      <c r="BJ257" s="6">
        <f>SUMIF('Eredeti fejléccel'!$B:$B,'Felosztás eredménykim'!$B257,'Eredeti fejléccel'!$AO:$AO)</f>
        <v>0</v>
      </c>
      <c r="BK257" s="6">
        <f>SUMIF('Eredeti fejléccel'!$B:$B,'Felosztás eredménykim'!$B257,'Eredeti fejléccel'!$BF:$BF)</f>
        <v>0</v>
      </c>
      <c r="BL257" s="8">
        <f t="shared" si="541"/>
        <v>0</v>
      </c>
      <c r="BM257" s="36">
        <f t="shared" si="553"/>
        <v>0</v>
      </c>
      <c r="BN257" s="8">
        <f t="shared" si="403"/>
        <v>0</v>
      </c>
      <c r="BP257" s="8">
        <f t="shared" si="542"/>
        <v>0</v>
      </c>
      <c r="BQ257" s="6">
        <f>SUMIF('Eredeti fejléccel'!$B:$B,'Felosztás eredménykim'!$B257,'Eredeti fejléccel'!$N:$N)</f>
        <v>0</v>
      </c>
      <c r="BR257" s="6">
        <f>SUMIF('Eredeti fejléccel'!$B:$B,'Felosztás eredménykim'!$B257,'Eredeti fejléccel'!$S:$S)</f>
        <v>0</v>
      </c>
      <c r="BT257" s="6">
        <f>SUMIF('Eredeti fejléccel'!$B:$B,'Felosztás eredménykim'!$B257,'Eredeti fejléccel'!$AR:$AR)</f>
        <v>0</v>
      </c>
      <c r="BU257" s="6">
        <f>SUMIF('Eredeti fejléccel'!$B:$B,'Felosztás eredménykim'!$B257,'Eredeti fejléccel'!$AU:$AU)</f>
        <v>0</v>
      </c>
      <c r="BV257" s="6">
        <f>SUMIF('Eredeti fejléccel'!$B:$B,'Felosztás eredménykim'!$B257,'Eredeti fejléccel'!$AV:$AV)</f>
        <v>0</v>
      </c>
      <c r="BW257" s="6">
        <f>SUMIF('Eredeti fejléccel'!$B:$B,'Felosztás eredménykim'!$B257,'Eredeti fejléccel'!$AW:$AW)</f>
        <v>0</v>
      </c>
      <c r="BX257" s="6">
        <f>SUMIF('Eredeti fejléccel'!$B:$B,'Felosztás eredménykim'!$B257,'Eredeti fejléccel'!$AX:$AX)</f>
        <v>0</v>
      </c>
      <c r="BY257" s="6">
        <f>SUMIF('Eredeti fejléccel'!$B:$B,'Felosztás eredménykim'!$B257,'Eredeti fejléccel'!$AY:$AY)</f>
        <v>0</v>
      </c>
      <c r="BZ257" s="6">
        <f>SUMIF('Eredeti fejléccel'!$B:$B,'Felosztás eredménykim'!$B257,'Eredeti fejléccel'!$AZ:$AZ)</f>
        <v>0</v>
      </c>
      <c r="CA257" s="6">
        <f>SUMIF('Eredeti fejléccel'!$B:$B,'Felosztás eredménykim'!$B257,'Eredeti fejléccel'!$BA:$BA)</f>
        <v>0</v>
      </c>
      <c r="CB257" s="6">
        <f t="shared" si="481"/>
        <v>0</v>
      </c>
      <c r="CC257" s="36">
        <f t="shared" si="554"/>
        <v>0</v>
      </c>
      <c r="CD257" s="8">
        <f t="shared" si="404"/>
        <v>0</v>
      </c>
      <c r="CE257" s="6">
        <f>SUMIF('Eredeti fejléccel'!$B:$B,'Felosztás eredménykim'!$B257,'Eredeti fejléccel'!$BC:$BC)</f>
        <v>0</v>
      </c>
      <c r="CF257" s="8">
        <f t="shared" si="555"/>
        <v>0</v>
      </c>
      <c r="CG257" s="6">
        <f>SUMIF('Eredeti fejléccel'!$B:$B,'Felosztás eredménykim'!$B257,'Eredeti fejléccel'!$H:$H)</f>
        <v>0</v>
      </c>
      <c r="CH257" s="6">
        <f>SUMIF('Eredeti fejléccel'!$B:$B,'Felosztás eredménykim'!$B257,'Eredeti fejléccel'!$BE:$BE)</f>
        <v>0</v>
      </c>
      <c r="CI257" s="6">
        <f t="shared" si="524"/>
        <v>0</v>
      </c>
      <c r="CJ257" s="36">
        <f t="shared" si="556"/>
        <v>0</v>
      </c>
      <c r="CK257" s="8">
        <f t="shared" si="405"/>
        <v>0</v>
      </c>
      <c r="CL257" s="8">
        <f t="shared" si="557"/>
        <v>0</v>
      </c>
      <c r="CM257" s="6">
        <f>SUMIF('Eredeti fejléccel'!$B:$B,'Felosztás eredménykim'!$B257,'Eredeti fejléccel'!$BD:$BD)</f>
        <v>0</v>
      </c>
      <c r="CN257" s="8">
        <f t="shared" si="525"/>
        <v>0</v>
      </c>
      <c r="CO257" s="8">
        <f t="shared" si="482"/>
        <v>0</v>
      </c>
      <c r="CR257" s="36">
        <f t="shared" si="406"/>
        <v>0</v>
      </c>
      <c r="CS257" s="6">
        <f>SUMIF('Eredeti fejléccel'!$B:$B,'Felosztás eredménykim'!$B257,'Eredeti fejléccel'!$I:$I)</f>
        <v>0</v>
      </c>
      <c r="CT257" s="6">
        <f>SUMIF('Eredeti fejléccel'!$B:$B,'Felosztás eredménykim'!$B257,'Eredeti fejléccel'!$BG:$BG)</f>
        <v>0</v>
      </c>
      <c r="CU257" s="6">
        <f>SUMIF('Eredeti fejléccel'!$B:$B,'Felosztás eredménykim'!$B257,'Eredeti fejléccel'!$BH:$BH)</f>
        <v>0</v>
      </c>
      <c r="CV257" s="6">
        <f>SUMIF('Eredeti fejléccel'!$B:$B,'Felosztás eredménykim'!$B257,'Eredeti fejléccel'!$BI:$BI)</f>
        <v>0</v>
      </c>
      <c r="CW257" s="6">
        <f>SUMIF('Eredeti fejléccel'!$B:$B,'Felosztás eredménykim'!$B257,'Eredeti fejléccel'!$BL:$BL)</f>
        <v>0</v>
      </c>
      <c r="CX257" s="6">
        <f t="shared" si="526"/>
        <v>0</v>
      </c>
      <c r="CY257" s="6">
        <f>SUMIF('Eredeti fejléccel'!$B:$B,'Felosztás eredménykim'!$B257,'Eredeti fejléccel'!$BJ:$BJ)</f>
        <v>0</v>
      </c>
      <c r="CZ257" s="6">
        <f>SUMIF('Eredeti fejléccel'!$B:$B,'Felosztás eredménykim'!$B257,'Eredeti fejléccel'!$BK:$BK)</f>
        <v>0</v>
      </c>
      <c r="DA257" s="99">
        <f t="shared" si="415"/>
        <v>0</v>
      </c>
      <c r="DC257" s="36">
        <f t="shared" si="407"/>
        <v>0</v>
      </c>
      <c r="DD257" s="6">
        <f>SUMIF('Eredeti fejléccel'!$B:$B,'Felosztás eredménykim'!$B257,'Eredeti fejléccel'!$J:$J)</f>
        <v>0</v>
      </c>
      <c r="DE257" s="6">
        <f>SUMIF('Eredeti fejléccel'!$B:$B,'Felosztás eredménykim'!$B257,'Eredeti fejléccel'!$BM:$BM)</f>
        <v>0</v>
      </c>
      <c r="DF257" s="6">
        <f t="shared" si="543"/>
        <v>0</v>
      </c>
      <c r="DG257" s="8">
        <f t="shared" si="483"/>
        <v>0</v>
      </c>
      <c r="DH257" s="8">
        <f t="shared" si="544"/>
        <v>0</v>
      </c>
      <c r="DJ257" s="6">
        <f>SUMIF('Eredeti fejléccel'!$B:$B,'Felosztás eredménykim'!$B257,'Eredeti fejléccel'!$BN:$BN)</f>
        <v>0</v>
      </c>
      <c r="DK257" s="6">
        <f>SUMIF('Eredeti fejléccel'!$B:$B,'Felosztás eredménykim'!$B257,'Eredeti fejléccel'!$BZ:$BZ)</f>
        <v>0</v>
      </c>
      <c r="DL257" s="8">
        <f t="shared" si="545"/>
        <v>0</v>
      </c>
      <c r="DM257" s="6">
        <f>SUMIF('Eredeti fejléccel'!$B:$B,'Felosztás eredménykim'!$B257,'Eredeti fejléccel'!$BR:$BR)</f>
        <v>0</v>
      </c>
      <c r="DN257" s="6">
        <f>SUMIF('Eredeti fejléccel'!$B:$B,'Felosztás eredménykim'!$B257,'Eredeti fejléccel'!$BS:$BS)</f>
        <v>0</v>
      </c>
      <c r="DO257" s="6">
        <f>SUMIF('Eredeti fejléccel'!$B:$B,'Felosztás eredménykim'!$B257,'Eredeti fejléccel'!$BO:$BO)</f>
        <v>0</v>
      </c>
      <c r="DP257" s="6">
        <f>SUMIF('Eredeti fejléccel'!$B:$B,'Felosztás eredménykim'!$B257,'Eredeti fejléccel'!$BP:$BP)</f>
        <v>0</v>
      </c>
      <c r="DQ257" s="6">
        <f>SUMIF('Eredeti fejléccel'!$B:$B,'Felosztás eredménykim'!$B257,'Eredeti fejléccel'!$BQ:$BQ)</f>
        <v>0</v>
      </c>
      <c r="DS257" s="8"/>
      <c r="DU257" s="6">
        <f>SUMIF('Eredeti fejléccel'!$B:$B,'Felosztás eredménykim'!$B257,'Eredeti fejléccel'!$BT:$BT)</f>
        <v>0</v>
      </c>
      <c r="DV257" s="6">
        <f>SUMIF('Eredeti fejléccel'!$B:$B,'Felosztás eredménykim'!$B257,'Eredeti fejléccel'!$BU:$BU)</f>
        <v>0</v>
      </c>
      <c r="DW257" s="6">
        <f>SUMIF('Eredeti fejléccel'!$B:$B,'Felosztás eredménykim'!$B257,'Eredeti fejléccel'!$BV:$BV)</f>
        <v>0</v>
      </c>
      <c r="DX257" s="6">
        <f>SUMIF('Eredeti fejléccel'!$B:$B,'Felosztás eredménykim'!$B257,'Eredeti fejléccel'!$BW:$BW)</f>
        <v>0</v>
      </c>
      <c r="DY257" s="6">
        <f>SUMIF('Eredeti fejléccel'!$B:$B,'Felosztás eredménykim'!$B257,'Eredeti fejléccel'!$BX:$BX)</f>
        <v>0</v>
      </c>
      <c r="EA257" s="6"/>
      <c r="EC257" s="6"/>
      <c r="EE257" s="6">
        <f>SUMIF('Eredeti fejléccel'!$B:$B,'Felosztás eredménykim'!$B257,'Eredeti fejléccel'!$CA:$CA)</f>
        <v>0</v>
      </c>
      <c r="EF257" s="6">
        <f>SUMIF('Eredeti fejléccel'!$B:$B,'Felosztás eredménykim'!$B257,'Eredeti fejléccel'!$CB:$CB)</f>
        <v>0</v>
      </c>
      <c r="EG257" s="6">
        <f>SUMIF('Eredeti fejléccel'!$B:$B,'Felosztás eredménykim'!$B257,'Eredeti fejléccel'!$CC:$CC)</f>
        <v>0</v>
      </c>
      <c r="EH257" s="6">
        <f>SUMIF('Eredeti fejléccel'!$B:$B,'Felosztás eredménykim'!$B257,'Eredeti fejléccel'!$CD:$CD)</f>
        <v>0</v>
      </c>
      <c r="EK257" s="6">
        <f>SUMIF('Eredeti fejléccel'!$B:$B,'Felosztás eredménykim'!$B257,'Eredeti fejléccel'!$CE:$CE)</f>
        <v>0</v>
      </c>
      <c r="EN257" s="6">
        <f>SUMIF('Eredeti fejléccel'!$B:$B,'Felosztás eredménykim'!$B257,'Eredeti fejléccel'!$CF:$CF)</f>
        <v>0</v>
      </c>
      <c r="EP257" s="6">
        <f>SUMIF('Eredeti fejléccel'!$B:$B,'Felosztás eredménykim'!$B257,'Eredeti fejléccel'!$CG:$CG)</f>
        <v>0</v>
      </c>
      <c r="ES257" s="6">
        <f>SUMIF('Eredeti fejléccel'!$B:$B,'Felosztás eredménykim'!$B257,'Eredeti fejléccel'!$CH:$CH)</f>
        <v>0</v>
      </c>
      <c r="ET257" s="6">
        <f>SUMIF('Eredeti fejléccel'!$B:$B,'Felosztás eredménykim'!$B257,'Eredeti fejléccel'!$CI:$CI)</f>
        <v>0</v>
      </c>
      <c r="EW257" s="8">
        <f t="shared" si="535"/>
        <v>0</v>
      </c>
      <c r="EX257" s="8">
        <f t="shared" si="527"/>
        <v>0</v>
      </c>
      <c r="EY257" s="8">
        <f t="shared" si="416"/>
        <v>0</v>
      </c>
      <c r="EZ257" s="8">
        <f t="shared" si="536"/>
        <v>0</v>
      </c>
      <c r="FA257" s="8">
        <f t="shared" si="537"/>
        <v>0</v>
      </c>
      <c r="FC257" s="6">
        <f>SUMIF('Eredeti fejléccel'!$B:$B,'Felosztás eredménykim'!$B257,'Eredeti fejléccel'!$L:$L)</f>
        <v>0</v>
      </c>
      <c r="FD257" s="6">
        <f>SUMIF('Eredeti fejléccel'!$B:$B,'Felosztás eredménykim'!$B257,'Eredeti fejléccel'!$CJ:$CJ)</f>
        <v>0</v>
      </c>
      <c r="FE257" s="6">
        <f>SUMIF('Eredeti fejléccel'!$B:$B,'Felosztás eredménykim'!$B257,'Eredeti fejléccel'!$CL:$CL)</f>
        <v>0</v>
      </c>
      <c r="FG257" s="99">
        <f t="shared" si="528"/>
        <v>0</v>
      </c>
      <c r="FH257" s="6">
        <f>SUMIF('Eredeti fejléccel'!$B:$B,'Felosztás eredménykim'!$B257,'Eredeti fejléccel'!$CK:$CK)</f>
        <v>0</v>
      </c>
      <c r="FI257" s="36">
        <f t="shared" si="558"/>
        <v>0</v>
      </c>
      <c r="FJ257" s="101">
        <f t="shared" si="408"/>
        <v>0</v>
      </c>
      <c r="FK257" s="6">
        <f>SUMIF('Eredeti fejléccel'!$B:$B,'Felosztás eredménykim'!$B257,'Eredeti fejléccel'!$CM:$CM)</f>
        <v>0</v>
      </c>
      <c r="FL257" s="6">
        <f>SUMIF('Eredeti fejléccel'!$B:$B,'Felosztás eredménykim'!$B257,'Eredeti fejléccel'!$CN:$CN)</f>
        <v>0</v>
      </c>
      <c r="FM257" s="8">
        <f t="shared" si="529"/>
        <v>0</v>
      </c>
      <c r="FN257" s="36">
        <f t="shared" si="559"/>
        <v>0</v>
      </c>
      <c r="FO257" s="101">
        <f t="shared" si="409"/>
        <v>0</v>
      </c>
      <c r="FP257" s="6">
        <f>SUMIF('Eredeti fejléccel'!$B:$B,'Felosztás eredménykim'!$B257,'Eredeti fejléccel'!$CO:$CO)</f>
        <v>-47500</v>
      </c>
      <c r="FQ257" s="6">
        <f>'Eredeti fejléccel'!CP257</f>
        <v>0</v>
      </c>
      <c r="FR257" s="6">
        <f>'Eredeti fejléccel'!CQ257</f>
        <v>0</v>
      </c>
      <c r="FS257" s="103">
        <f t="shared" si="417"/>
        <v>-47500</v>
      </c>
      <c r="FT257" s="36">
        <f t="shared" si="560"/>
        <v>0</v>
      </c>
      <c r="FU257" s="101">
        <f t="shared" si="410"/>
        <v>0</v>
      </c>
      <c r="FV257" s="101"/>
      <c r="FW257" s="6">
        <f>SUMIF('Eredeti fejléccel'!$B:$B,'Felosztás eredménykim'!$B257,'Eredeti fejléccel'!$CR:$CR)</f>
        <v>-784170</v>
      </c>
      <c r="FX257" s="6">
        <f>SUMIF('Eredeti fejléccel'!$B:$B,'Felosztás eredménykim'!$B257,'Eredeti fejléccel'!$CS:$CS)</f>
        <v>0</v>
      </c>
      <c r="FY257" s="6">
        <f>SUMIF('Eredeti fejléccel'!$B:$B,'Felosztás eredménykim'!$B257,'Eredeti fejléccel'!$CT:$CT)</f>
        <v>0</v>
      </c>
      <c r="FZ257" s="6">
        <f>SUMIF('Eredeti fejléccel'!$B:$B,'Felosztás eredménykim'!$B257,'Eredeti fejléccel'!$CU:$CU)</f>
        <v>0</v>
      </c>
      <c r="GA257" s="103">
        <f t="shared" si="530"/>
        <v>-784170</v>
      </c>
      <c r="GB257" s="36">
        <f t="shared" si="561"/>
        <v>0</v>
      </c>
      <c r="GC257" s="101">
        <f t="shared" si="411"/>
        <v>0</v>
      </c>
      <c r="GD257" s="6">
        <f>SUMIF('Eredeti fejléccel'!$B:$B,'Felosztás eredménykim'!$B257,'Eredeti fejléccel'!$CV:$CV)</f>
        <v>0</v>
      </c>
      <c r="GE257" s="6">
        <f>SUMIF('Eredeti fejléccel'!$B:$B,'Felosztás eredménykim'!$B257,'Eredeti fejléccel'!$CW:$CW)</f>
        <v>0</v>
      </c>
      <c r="GF257" s="103">
        <f t="shared" si="531"/>
        <v>0</v>
      </c>
      <c r="GG257" s="36">
        <f t="shared" si="412"/>
        <v>0</v>
      </c>
      <c r="GM257" s="6">
        <f>SUMIF('Eredeti fejléccel'!$B:$B,'Felosztás eredménykim'!$B257,'Eredeti fejléccel'!$CX:$CX)</f>
        <v>0</v>
      </c>
      <c r="GN257" s="6">
        <f>SUMIF('Eredeti fejléccel'!$B:$B,'Felosztás eredménykim'!$B257,'Eredeti fejléccel'!$CY:$CY)</f>
        <v>0</v>
      </c>
      <c r="GO257" s="6">
        <f>SUMIF('Eredeti fejléccel'!$B:$B,'Felosztás eredménykim'!$B257,'Eredeti fejléccel'!$CZ:$CZ)</f>
        <v>0</v>
      </c>
      <c r="GP257" s="6">
        <f>SUMIF('Eredeti fejléccel'!$B:$B,'Felosztás eredménykim'!$B257,'Eredeti fejléccel'!$DA:$DA)</f>
        <v>0</v>
      </c>
      <c r="GQ257" s="6">
        <f>SUMIF('Eredeti fejléccel'!$B:$B,'Felosztás eredménykim'!$B257,'Eredeti fejléccel'!$DB:$DB)</f>
        <v>0</v>
      </c>
      <c r="GR257" s="103">
        <f t="shared" si="532"/>
        <v>0</v>
      </c>
      <c r="GW257" s="36">
        <f t="shared" si="413"/>
        <v>0</v>
      </c>
      <c r="GX257" s="6">
        <f>SUMIF('Eredeti fejléccel'!$B:$B,'Felosztás eredménykim'!$B257,'Eredeti fejléccel'!$M:$M)</f>
        <v>0</v>
      </c>
      <c r="GY257" s="6">
        <f>SUMIF('Eredeti fejléccel'!$B:$B,'Felosztás eredménykim'!$B257,'Eredeti fejléccel'!$DC:$DC)</f>
        <v>0</v>
      </c>
      <c r="GZ257" s="6">
        <f>SUMIF('Eredeti fejléccel'!$B:$B,'Felosztás eredménykim'!$B257,'Eredeti fejléccel'!$DD:$DD)</f>
        <v>0</v>
      </c>
      <c r="HA257" s="6">
        <f>SUMIF('Eredeti fejléccel'!$B:$B,'Felosztás eredménykim'!$B257,'Eredeti fejléccel'!$DE:$DE)</f>
        <v>0</v>
      </c>
      <c r="HB257" s="103">
        <f t="shared" si="533"/>
        <v>0</v>
      </c>
      <c r="HD257" s="9">
        <f t="shared" si="547"/>
        <v>-831670</v>
      </c>
      <c r="HE257" s="9">
        <v>-831670</v>
      </c>
      <c r="HF257" s="476"/>
      <c r="HH257" s="34">
        <f t="shared" si="534"/>
        <v>0</v>
      </c>
    </row>
    <row r="258" spans="1:218" x14ac:dyDescent="0.25">
      <c r="A258" s="4" t="s">
        <v>341</v>
      </c>
      <c r="B258" s="4" t="s">
        <v>341</v>
      </c>
      <c r="C258" s="1" t="s">
        <v>342</v>
      </c>
      <c r="D258" s="6">
        <f>SUMIF('Eredeti fejléccel'!$B:$B,'Felosztás eredménykim'!$B258,'Eredeti fejléccel'!$D:$D)</f>
        <v>0</v>
      </c>
      <c r="E258" s="6">
        <f>SUMIF('Eredeti fejléccel'!$B:$B,'Felosztás eredménykim'!$B258,'Eredeti fejléccel'!$E:$E)</f>
        <v>0</v>
      </c>
      <c r="F258" s="6">
        <f>SUMIF('Eredeti fejléccel'!$B:$B,'Felosztás eredménykim'!$B258,'Eredeti fejléccel'!$F:$F)</f>
        <v>0</v>
      </c>
      <c r="G258" s="6">
        <f>SUMIF('Eredeti fejléccel'!$B:$B,'Felosztás eredménykim'!$B258,'Eredeti fejléccel'!$G:$G)</f>
        <v>0</v>
      </c>
      <c r="H258" s="6"/>
      <c r="I258" s="6">
        <f>SUMIF('Eredeti fejléccel'!$B:$B,'Felosztás eredménykim'!$B258,'Eredeti fejléccel'!$O:$O)</f>
        <v>0</v>
      </c>
      <c r="J258" s="6">
        <f>SUMIF('Eredeti fejléccel'!$B:$B,'Felosztás eredménykim'!$B258,'Eredeti fejléccel'!$P:$P)</f>
        <v>0</v>
      </c>
      <c r="K258" s="6">
        <f>SUMIF('Eredeti fejléccel'!$B:$B,'Felosztás eredménykim'!$B258,'Eredeti fejléccel'!$Q:$Q)</f>
        <v>0</v>
      </c>
      <c r="L258" s="6">
        <f>SUMIF('Eredeti fejléccel'!$B:$B,'Felosztás eredménykim'!$B258,'Eredeti fejléccel'!$R:$R)</f>
        <v>0</v>
      </c>
      <c r="M258" s="6">
        <f>SUMIF('Eredeti fejléccel'!$B:$B,'Felosztás eredménykim'!$B258,'Eredeti fejléccel'!$T:$T)</f>
        <v>0</v>
      </c>
      <c r="N258" s="6">
        <f>SUMIF('Eredeti fejléccel'!$B:$B,'Felosztás eredménykim'!$B258,'Eredeti fejléccel'!$U:$U)</f>
        <v>0</v>
      </c>
      <c r="O258" s="6">
        <f>SUMIF('Eredeti fejléccel'!$B:$B,'Felosztás eredménykim'!$B258,'Eredeti fejléccel'!$V:$V)</f>
        <v>0</v>
      </c>
      <c r="P258" s="6">
        <f>SUMIF('Eredeti fejléccel'!$B:$B,'Felosztás eredménykim'!$B258,'Eredeti fejléccel'!$W:$W)</f>
        <v>0</v>
      </c>
      <c r="Q258" s="6">
        <f>SUMIF('Eredeti fejléccel'!$B:$B,'Felosztás eredménykim'!$B258,'Eredeti fejléccel'!$X:$X)</f>
        <v>0</v>
      </c>
      <c r="R258" s="6">
        <f>SUMIF('Eredeti fejléccel'!$B:$B,'Felosztás eredménykim'!$B258,'Eredeti fejléccel'!$Y:$Y)</f>
        <v>0</v>
      </c>
      <c r="S258" s="6">
        <f>SUMIF('Eredeti fejléccel'!$B:$B,'Felosztás eredménykim'!$B258,'Eredeti fejléccel'!$Z:$Z)</f>
        <v>0</v>
      </c>
      <c r="T258" s="6">
        <f>SUMIF('Eredeti fejléccel'!$B:$B,'Felosztás eredménykim'!$B258,'Eredeti fejléccel'!$AA:$AA)</f>
        <v>0</v>
      </c>
      <c r="U258" s="6">
        <f>SUMIF('Eredeti fejléccel'!$B:$B,'Felosztás eredménykim'!$B258,'Eredeti fejléccel'!$D:$D)</f>
        <v>0</v>
      </c>
      <c r="V258" s="6">
        <f>SUMIF('Eredeti fejléccel'!$B:$B,'Felosztás eredménykim'!$B258,'Eredeti fejléccel'!$AT:$AT)</f>
        <v>0</v>
      </c>
      <c r="X258" s="36">
        <f t="shared" si="414"/>
        <v>0</v>
      </c>
      <c r="Z258" s="6">
        <f>SUMIF('Eredeti fejléccel'!$B:$B,'Felosztás eredménykim'!$B258,'Eredeti fejléccel'!$K:$K)</f>
        <v>0</v>
      </c>
      <c r="AB258" s="6">
        <f>SUMIF('Eredeti fejléccel'!$B:$B,'Felosztás eredménykim'!$B258,'Eredeti fejléccel'!$AB:$AB)</f>
        <v>0</v>
      </c>
      <c r="AC258" s="6">
        <f>SUMIF('Eredeti fejléccel'!$B:$B,'Felosztás eredménykim'!$B258,'Eredeti fejléccel'!$AQ:$AQ)</f>
        <v>0</v>
      </c>
      <c r="AE258" s="73">
        <f t="shared" si="548"/>
        <v>0</v>
      </c>
      <c r="AF258" s="36">
        <f t="shared" si="549"/>
        <v>0</v>
      </c>
      <c r="AG258" s="8">
        <f t="shared" si="399"/>
        <v>0</v>
      </c>
      <c r="AI258" s="6">
        <f>SUMIF('Eredeti fejléccel'!$B:$B,'Felosztás eredménykim'!$B258,'Eredeti fejléccel'!$BB:$BB)</f>
        <v>0</v>
      </c>
      <c r="AJ258" s="6">
        <f>SUMIF('Eredeti fejléccel'!$B:$B,'Felosztás eredménykim'!$B258,'Eredeti fejléccel'!$AF:$AF)</f>
        <v>0</v>
      </c>
      <c r="AK258" s="8">
        <f t="shared" si="522"/>
        <v>0</v>
      </c>
      <c r="AL258" s="36">
        <f t="shared" si="550"/>
        <v>0</v>
      </c>
      <c r="AM258" s="8">
        <f t="shared" si="400"/>
        <v>0</v>
      </c>
      <c r="AN258" s="6">
        <f t="shared" si="538"/>
        <v>0</v>
      </c>
      <c r="AO258" s="6">
        <f>SUMIF('Eredeti fejléccel'!$B:$B,'Felosztás eredménykim'!$B258,'Eredeti fejléccel'!$AC:$AC)</f>
        <v>0</v>
      </c>
      <c r="AP258" s="6">
        <f>SUMIF('Eredeti fejléccel'!$B:$B,'Felosztás eredménykim'!$B258,'Eredeti fejléccel'!$AD:$AD)</f>
        <v>0</v>
      </c>
      <c r="AQ258" s="6">
        <f>SUMIF('Eredeti fejléccel'!$B:$B,'Felosztás eredménykim'!$B258,'Eredeti fejléccel'!$AE:$AE)</f>
        <v>0</v>
      </c>
      <c r="AR258" s="6">
        <f>SUMIF('Eredeti fejléccel'!$B:$B,'Felosztás eredménykim'!$B258,'Eredeti fejléccel'!$AG:$AG)</f>
        <v>0</v>
      </c>
      <c r="AS258" s="6">
        <f t="shared" si="539"/>
        <v>0</v>
      </c>
      <c r="AT258" s="36">
        <f t="shared" si="551"/>
        <v>0</v>
      </c>
      <c r="AU258" s="8">
        <f t="shared" si="401"/>
        <v>0</v>
      </c>
      <c r="AV258" s="6">
        <f>SUMIF('Eredeti fejléccel'!$B:$B,'Felosztás eredménykim'!$B258,'Eredeti fejléccel'!$AI:$AI)</f>
        <v>0</v>
      </c>
      <c r="AW258" s="6">
        <f>SUMIF('Eredeti fejléccel'!$B:$B,'Felosztás eredménykim'!$B258,'Eredeti fejléccel'!$AJ:$AJ)</f>
        <v>0</v>
      </c>
      <c r="AX258" s="6">
        <f>SUMIF('Eredeti fejléccel'!$B:$B,'Felosztás eredménykim'!$B258,'Eredeti fejléccel'!$AK:$AK)</f>
        <v>0</v>
      </c>
      <c r="AY258" s="6">
        <f>SUMIF('Eredeti fejléccel'!$B:$B,'Felosztás eredménykim'!$B258,'Eredeti fejléccel'!$AL:$AL)</f>
        <v>0</v>
      </c>
      <c r="AZ258" s="6">
        <f>SUMIF('Eredeti fejléccel'!$B:$B,'Felosztás eredménykim'!$B258,'Eredeti fejléccel'!$AM:$AM)</f>
        <v>0</v>
      </c>
      <c r="BA258" s="6">
        <f>SUMIF('Eredeti fejléccel'!$B:$B,'Felosztás eredménykim'!$B258,'Eredeti fejléccel'!$AN:$AN)</f>
        <v>0</v>
      </c>
      <c r="BB258" s="6">
        <f>SUMIF('Eredeti fejléccel'!$B:$B,'Felosztás eredménykim'!$B258,'Eredeti fejléccel'!$AP:$AP)</f>
        <v>0</v>
      </c>
      <c r="BD258" s="6">
        <f>SUMIF('Eredeti fejléccel'!$B:$B,'Felosztás eredménykim'!$B258,'Eredeti fejléccel'!$AS:$AS)</f>
        <v>0</v>
      </c>
      <c r="BE258" s="8">
        <f t="shared" si="523"/>
        <v>0</v>
      </c>
      <c r="BF258" s="36">
        <f t="shared" si="552"/>
        <v>0</v>
      </c>
      <c r="BG258" s="8">
        <f t="shared" si="402"/>
        <v>0</v>
      </c>
      <c r="BH258" s="6">
        <f t="shared" si="540"/>
        <v>0</v>
      </c>
      <c r="BI258" s="6">
        <f>SUMIF('Eredeti fejléccel'!$B:$B,'Felosztás eredménykim'!$B258,'Eredeti fejléccel'!$AH:$AH)</f>
        <v>0</v>
      </c>
      <c r="BJ258" s="6">
        <f>SUMIF('Eredeti fejléccel'!$B:$B,'Felosztás eredménykim'!$B258,'Eredeti fejléccel'!$AO:$AO)</f>
        <v>0</v>
      </c>
      <c r="BK258" s="6">
        <f>SUMIF('Eredeti fejléccel'!$B:$B,'Felosztás eredménykim'!$B258,'Eredeti fejléccel'!$BF:$BF)</f>
        <v>0</v>
      </c>
      <c r="BL258" s="8">
        <f t="shared" si="541"/>
        <v>0</v>
      </c>
      <c r="BM258" s="36">
        <f t="shared" si="553"/>
        <v>0</v>
      </c>
      <c r="BN258" s="8">
        <f t="shared" si="403"/>
        <v>0</v>
      </c>
      <c r="BP258" s="8">
        <f t="shared" si="542"/>
        <v>0</v>
      </c>
      <c r="BQ258" s="6">
        <f>SUMIF('Eredeti fejléccel'!$B:$B,'Felosztás eredménykim'!$B258,'Eredeti fejléccel'!$N:$N)</f>
        <v>0</v>
      </c>
      <c r="BR258" s="6">
        <f>SUMIF('Eredeti fejléccel'!$B:$B,'Felosztás eredménykim'!$B258,'Eredeti fejléccel'!$S:$S)</f>
        <v>0</v>
      </c>
      <c r="BT258" s="6">
        <f>SUMIF('Eredeti fejléccel'!$B:$B,'Felosztás eredménykim'!$B258,'Eredeti fejléccel'!$AR:$AR)</f>
        <v>0</v>
      </c>
      <c r="BU258" s="6">
        <f>SUMIF('Eredeti fejléccel'!$B:$B,'Felosztás eredménykim'!$B258,'Eredeti fejléccel'!$AU:$AU)</f>
        <v>0</v>
      </c>
      <c r="BV258" s="6">
        <f>SUMIF('Eredeti fejléccel'!$B:$B,'Felosztás eredménykim'!$B258,'Eredeti fejléccel'!$AV:$AV)</f>
        <v>0</v>
      </c>
      <c r="BW258" s="6">
        <f>SUMIF('Eredeti fejléccel'!$B:$B,'Felosztás eredménykim'!$B258,'Eredeti fejléccel'!$AW:$AW)</f>
        <v>0</v>
      </c>
      <c r="BX258" s="6">
        <f>SUMIF('Eredeti fejléccel'!$B:$B,'Felosztás eredménykim'!$B258,'Eredeti fejléccel'!$AX:$AX)</f>
        <v>0</v>
      </c>
      <c r="BY258" s="6">
        <f>SUMIF('Eredeti fejléccel'!$B:$B,'Felosztás eredménykim'!$B258,'Eredeti fejléccel'!$AY:$AY)</f>
        <v>0</v>
      </c>
      <c r="BZ258" s="6">
        <f>SUMIF('Eredeti fejléccel'!$B:$B,'Felosztás eredménykim'!$B258,'Eredeti fejléccel'!$AZ:$AZ)</f>
        <v>0</v>
      </c>
      <c r="CA258" s="6">
        <f>SUMIF('Eredeti fejléccel'!$B:$B,'Felosztás eredménykim'!$B258,'Eredeti fejléccel'!$BA:$BA)</f>
        <v>0</v>
      </c>
      <c r="CB258" s="6">
        <f t="shared" si="481"/>
        <v>0</v>
      </c>
      <c r="CC258" s="36">
        <f t="shared" si="554"/>
        <v>0</v>
      </c>
      <c r="CD258" s="8">
        <f t="shared" si="404"/>
        <v>0</v>
      </c>
      <c r="CE258" s="6">
        <f>SUMIF('Eredeti fejléccel'!$B:$B,'Felosztás eredménykim'!$B258,'Eredeti fejléccel'!$BC:$BC)</f>
        <v>0</v>
      </c>
      <c r="CF258" s="8">
        <f t="shared" si="555"/>
        <v>0</v>
      </c>
      <c r="CG258" s="6">
        <f>SUMIF('Eredeti fejléccel'!$B:$B,'Felosztás eredménykim'!$B258,'Eredeti fejléccel'!$H:$H)</f>
        <v>0</v>
      </c>
      <c r="CH258" s="6">
        <f>SUMIF('Eredeti fejléccel'!$B:$B,'Felosztás eredménykim'!$B258,'Eredeti fejléccel'!$BE:$BE)</f>
        <v>0</v>
      </c>
      <c r="CI258" s="6">
        <f t="shared" si="524"/>
        <v>0</v>
      </c>
      <c r="CJ258" s="36">
        <f t="shared" si="556"/>
        <v>0</v>
      </c>
      <c r="CK258" s="8">
        <f t="shared" si="405"/>
        <v>0</v>
      </c>
      <c r="CL258" s="8">
        <f t="shared" si="557"/>
        <v>0</v>
      </c>
      <c r="CM258" s="6">
        <f>SUMIF('Eredeti fejléccel'!$B:$B,'Felosztás eredménykim'!$B258,'Eredeti fejléccel'!$BD:$BD)</f>
        <v>0</v>
      </c>
      <c r="CN258" s="8">
        <f t="shared" si="525"/>
        <v>0</v>
      </c>
      <c r="CO258" s="8">
        <f t="shared" si="482"/>
        <v>0</v>
      </c>
      <c r="CR258" s="36">
        <f t="shared" si="406"/>
        <v>0</v>
      </c>
      <c r="CS258" s="6">
        <f>SUMIF('Eredeti fejléccel'!$B:$B,'Felosztás eredménykim'!$B258,'Eredeti fejléccel'!$I:$I)</f>
        <v>0</v>
      </c>
      <c r="CT258" s="6">
        <f>SUMIF('Eredeti fejléccel'!$B:$B,'Felosztás eredménykim'!$B258,'Eredeti fejléccel'!$BG:$BG)</f>
        <v>0</v>
      </c>
      <c r="CU258" s="6">
        <f>SUMIF('Eredeti fejléccel'!$B:$B,'Felosztás eredménykim'!$B258,'Eredeti fejléccel'!$BH:$BH)</f>
        <v>0</v>
      </c>
      <c r="CV258" s="6">
        <f>SUMIF('Eredeti fejléccel'!$B:$B,'Felosztás eredménykim'!$B258,'Eredeti fejléccel'!$BI:$BI)</f>
        <v>0</v>
      </c>
      <c r="CW258" s="6">
        <f>SUMIF('Eredeti fejléccel'!$B:$B,'Felosztás eredménykim'!$B258,'Eredeti fejléccel'!$BL:$BL)</f>
        <v>0</v>
      </c>
      <c r="CX258" s="6">
        <f t="shared" si="526"/>
        <v>0</v>
      </c>
      <c r="CY258" s="6">
        <f>SUMIF('Eredeti fejléccel'!$B:$B,'Felosztás eredménykim'!$B258,'Eredeti fejléccel'!$BJ:$BJ)</f>
        <v>0</v>
      </c>
      <c r="CZ258" s="6">
        <f>SUMIF('Eredeti fejléccel'!$B:$B,'Felosztás eredménykim'!$B258,'Eredeti fejléccel'!$BK:$BK)</f>
        <v>0</v>
      </c>
      <c r="DA258" s="99">
        <f t="shared" si="415"/>
        <v>0</v>
      </c>
      <c r="DC258" s="36">
        <f t="shared" si="407"/>
        <v>0</v>
      </c>
      <c r="DD258" s="6">
        <f>SUMIF('Eredeti fejléccel'!$B:$B,'Felosztás eredménykim'!$B258,'Eredeti fejléccel'!$J:$J)</f>
        <v>0</v>
      </c>
      <c r="DE258" s="6">
        <f>SUMIF('Eredeti fejléccel'!$B:$B,'Felosztás eredménykim'!$B258,'Eredeti fejléccel'!$BM:$BM)</f>
        <v>0</v>
      </c>
      <c r="DF258" s="6">
        <f t="shared" si="543"/>
        <v>0</v>
      </c>
      <c r="DG258" s="8">
        <f t="shared" si="483"/>
        <v>0</v>
      </c>
      <c r="DH258" s="8">
        <f t="shared" si="544"/>
        <v>0</v>
      </c>
      <c r="DJ258" s="6">
        <f>SUMIF('Eredeti fejléccel'!$B:$B,'Felosztás eredménykim'!$B258,'Eredeti fejléccel'!$BN:$BN)</f>
        <v>0</v>
      </c>
      <c r="DK258" s="6">
        <f>SUMIF('Eredeti fejléccel'!$B:$B,'Felosztás eredménykim'!$B258,'Eredeti fejléccel'!$BZ:$BZ)</f>
        <v>0</v>
      </c>
      <c r="DL258" s="8">
        <f t="shared" si="545"/>
        <v>0</v>
      </c>
      <c r="DM258" s="6">
        <f>SUMIF('Eredeti fejléccel'!$B:$B,'Felosztás eredménykim'!$B258,'Eredeti fejléccel'!$BR:$BR)</f>
        <v>0</v>
      </c>
      <c r="DN258" s="6">
        <f>SUMIF('Eredeti fejléccel'!$B:$B,'Felosztás eredménykim'!$B258,'Eredeti fejléccel'!$BS:$BS)</f>
        <v>0</v>
      </c>
      <c r="DO258" s="6">
        <f>SUMIF('Eredeti fejléccel'!$B:$B,'Felosztás eredménykim'!$B258,'Eredeti fejléccel'!$BO:$BO)</f>
        <v>0</v>
      </c>
      <c r="DP258" s="6">
        <f>SUMIF('Eredeti fejléccel'!$B:$B,'Felosztás eredménykim'!$B258,'Eredeti fejléccel'!$BP:$BP)</f>
        <v>0</v>
      </c>
      <c r="DQ258" s="6">
        <f>SUMIF('Eredeti fejléccel'!$B:$B,'Felosztás eredménykim'!$B258,'Eredeti fejléccel'!$BQ:$BQ)</f>
        <v>0</v>
      </c>
      <c r="DS258" s="8"/>
      <c r="DU258" s="6">
        <f>SUMIF('Eredeti fejléccel'!$B:$B,'Felosztás eredménykim'!$B258,'Eredeti fejléccel'!$BT:$BT)</f>
        <v>0</v>
      </c>
      <c r="DV258" s="6">
        <f>SUMIF('Eredeti fejléccel'!$B:$B,'Felosztás eredménykim'!$B258,'Eredeti fejléccel'!$BU:$BU)</f>
        <v>0</v>
      </c>
      <c r="DW258" s="6">
        <f>SUMIF('Eredeti fejléccel'!$B:$B,'Felosztás eredménykim'!$B258,'Eredeti fejléccel'!$BV:$BV)</f>
        <v>0</v>
      </c>
      <c r="DX258" s="6">
        <f>SUMIF('Eredeti fejléccel'!$B:$B,'Felosztás eredménykim'!$B258,'Eredeti fejléccel'!$BW:$BW)</f>
        <v>0</v>
      </c>
      <c r="DY258" s="6">
        <f>SUMIF('Eredeti fejléccel'!$B:$B,'Felosztás eredménykim'!$B258,'Eredeti fejléccel'!$BX:$BX)</f>
        <v>0</v>
      </c>
      <c r="EA258" s="6"/>
      <c r="EC258" s="6"/>
      <c r="EE258" s="6">
        <f>SUMIF('Eredeti fejléccel'!$B:$B,'Felosztás eredménykim'!$B258,'Eredeti fejléccel'!$CA:$CA)</f>
        <v>0</v>
      </c>
      <c r="EF258" s="6">
        <f>SUMIF('Eredeti fejléccel'!$B:$B,'Felosztás eredménykim'!$B258,'Eredeti fejléccel'!$CB:$CB)</f>
        <v>0</v>
      </c>
      <c r="EG258" s="6">
        <f>SUMIF('Eredeti fejléccel'!$B:$B,'Felosztás eredménykim'!$B258,'Eredeti fejléccel'!$CC:$CC)</f>
        <v>0</v>
      </c>
      <c r="EH258" s="6">
        <f>SUMIF('Eredeti fejléccel'!$B:$B,'Felosztás eredménykim'!$B258,'Eredeti fejléccel'!$CD:$CD)</f>
        <v>0</v>
      </c>
      <c r="EK258" s="6">
        <f>SUMIF('Eredeti fejléccel'!$B:$B,'Felosztás eredménykim'!$B258,'Eredeti fejléccel'!$CE:$CE)</f>
        <v>0</v>
      </c>
      <c r="EN258" s="6">
        <f>SUMIF('Eredeti fejléccel'!$B:$B,'Felosztás eredménykim'!$B258,'Eredeti fejléccel'!$CF:$CF)</f>
        <v>0</v>
      </c>
      <c r="EP258" s="6">
        <f>SUMIF('Eredeti fejléccel'!$B:$B,'Felosztás eredménykim'!$B258,'Eredeti fejléccel'!$CG:$CG)</f>
        <v>0</v>
      </c>
      <c r="ES258" s="6">
        <f>SUMIF('Eredeti fejléccel'!$B:$B,'Felosztás eredménykim'!$B258,'Eredeti fejléccel'!$CH:$CH)</f>
        <v>0</v>
      </c>
      <c r="ET258" s="6">
        <f>SUMIF('Eredeti fejléccel'!$B:$B,'Felosztás eredménykim'!$B258,'Eredeti fejléccel'!$CI:$CI)</f>
        <v>0</v>
      </c>
      <c r="EW258" s="8">
        <f t="shared" si="535"/>
        <v>0</v>
      </c>
      <c r="EX258" s="8">
        <f t="shared" si="527"/>
        <v>0</v>
      </c>
      <c r="EY258" s="8">
        <f t="shared" si="416"/>
        <v>0</v>
      </c>
      <c r="EZ258" s="8">
        <f t="shared" si="536"/>
        <v>0</v>
      </c>
      <c r="FA258" s="8">
        <f t="shared" si="537"/>
        <v>0</v>
      </c>
      <c r="FC258" s="6">
        <f>SUMIF('Eredeti fejléccel'!$B:$B,'Felosztás eredménykim'!$B258,'Eredeti fejléccel'!$L:$L)</f>
        <v>0</v>
      </c>
      <c r="FD258" s="6">
        <f>SUMIF('Eredeti fejléccel'!$B:$B,'Felosztás eredménykim'!$B258,'Eredeti fejléccel'!$CJ:$CJ)</f>
        <v>0</v>
      </c>
      <c r="FE258" s="6">
        <f>SUMIF('Eredeti fejléccel'!$B:$B,'Felosztás eredménykim'!$B258,'Eredeti fejléccel'!$CL:$CL)</f>
        <v>0</v>
      </c>
      <c r="FG258" s="99">
        <f t="shared" si="528"/>
        <v>0</v>
      </c>
      <c r="FH258" s="6">
        <f>SUMIF('Eredeti fejléccel'!$B:$B,'Felosztás eredménykim'!$B258,'Eredeti fejléccel'!$CK:$CK)</f>
        <v>0</v>
      </c>
      <c r="FI258" s="36">
        <f t="shared" si="558"/>
        <v>0</v>
      </c>
      <c r="FJ258" s="101">
        <f t="shared" si="408"/>
        <v>0</v>
      </c>
      <c r="FK258" s="6">
        <f>SUMIF('Eredeti fejléccel'!$B:$B,'Felosztás eredménykim'!$B258,'Eredeti fejléccel'!$CM:$CM)</f>
        <v>0</v>
      </c>
      <c r="FL258" s="6">
        <f>SUMIF('Eredeti fejléccel'!$B:$B,'Felosztás eredménykim'!$B258,'Eredeti fejléccel'!$CN:$CN)</f>
        <v>0</v>
      </c>
      <c r="FM258" s="8">
        <f t="shared" si="529"/>
        <v>0</v>
      </c>
      <c r="FN258" s="36">
        <f t="shared" si="559"/>
        <v>0</v>
      </c>
      <c r="FO258" s="101">
        <f t="shared" si="409"/>
        <v>0</v>
      </c>
      <c r="FP258" s="6">
        <f>SUMIF('Eredeti fejléccel'!$B:$B,'Felosztás eredménykim'!$B258,'Eredeti fejléccel'!$CO:$CO)</f>
        <v>0</v>
      </c>
      <c r="FQ258" s="6">
        <f>'Eredeti fejléccel'!CP258</f>
        <v>0</v>
      </c>
      <c r="FR258" s="6">
        <f>'Eredeti fejléccel'!CQ258</f>
        <v>0</v>
      </c>
      <c r="FS258" s="103">
        <f t="shared" si="417"/>
        <v>0</v>
      </c>
      <c r="FT258" s="36">
        <f t="shared" si="560"/>
        <v>0</v>
      </c>
      <c r="FU258" s="101">
        <f t="shared" si="410"/>
        <v>0</v>
      </c>
      <c r="FV258" s="101"/>
      <c r="FW258" s="6">
        <f>SUMIF('Eredeti fejléccel'!$B:$B,'Felosztás eredménykim'!$B258,'Eredeti fejléccel'!$CR:$CR)</f>
        <v>0</v>
      </c>
      <c r="FX258" s="6">
        <f>SUMIF('Eredeti fejléccel'!$B:$B,'Felosztás eredménykim'!$B258,'Eredeti fejléccel'!$CS:$CS)</f>
        <v>0</v>
      </c>
      <c r="FY258" s="6">
        <f>SUMIF('Eredeti fejléccel'!$B:$B,'Felosztás eredménykim'!$B258,'Eredeti fejléccel'!$CT:$CT)</f>
        <v>0</v>
      </c>
      <c r="FZ258" s="6">
        <f>SUMIF('Eredeti fejléccel'!$B:$B,'Felosztás eredménykim'!$B258,'Eredeti fejléccel'!$CU:$CU)</f>
        <v>0</v>
      </c>
      <c r="GA258" s="103">
        <f t="shared" si="530"/>
        <v>0</v>
      </c>
      <c r="GB258" s="36">
        <f t="shared" si="561"/>
        <v>0</v>
      </c>
      <c r="GC258" s="101">
        <f t="shared" si="411"/>
        <v>0</v>
      </c>
      <c r="GD258" s="6">
        <f>SUMIF('Eredeti fejléccel'!$B:$B,'Felosztás eredménykim'!$B258,'Eredeti fejléccel'!$CV:$CV)</f>
        <v>0</v>
      </c>
      <c r="GE258" s="6">
        <f>SUMIF('Eredeti fejléccel'!$B:$B,'Felosztás eredménykim'!$B258,'Eredeti fejléccel'!$CW:$CW)</f>
        <v>0</v>
      </c>
      <c r="GF258" s="103">
        <f t="shared" si="531"/>
        <v>0</v>
      </c>
      <c r="GG258" s="36">
        <f t="shared" si="412"/>
        <v>0</v>
      </c>
      <c r="GM258" s="6">
        <f>SUMIF('Eredeti fejléccel'!$B:$B,'Felosztás eredménykim'!$B258,'Eredeti fejléccel'!$CX:$CX)</f>
        <v>0</v>
      </c>
      <c r="GN258" s="6">
        <f>SUMIF('Eredeti fejléccel'!$B:$B,'Felosztás eredménykim'!$B258,'Eredeti fejléccel'!$CY:$CY)</f>
        <v>0</v>
      </c>
      <c r="GO258" s="6">
        <f>SUMIF('Eredeti fejléccel'!$B:$B,'Felosztás eredménykim'!$B258,'Eredeti fejléccel'!$CZ:$CZ)</f>
        <v>0</v>
      </c>
      <c r="GP258" s="6">
        <f>SUMIF('Eredeti fejléccel'!$B:$B,'Felosztás eredménykim'!$B258,'Eredeti fejléccel'!$DA:$DA)</f>
        <v>0</v>
      </c>
      <c r="GQ258" s="6">
        <f>SUMIF('Eredeti fejléccel'!$B:$B,'Felosztás eredménykim'!$B258,'Eredeti fejléccel'!$DB:$DB)</f>
        <v>0</v>
      </c>
      <c r="GR258" s="103">
        <f t="shared" si="532"/>
        <v>0</v>
      </c>
      <c r="GW258" s="36">
        <f t="shared" si="413"/>
        <v>0</v>
      </c>
      <c r="GX258" s="6">
        <f>SUMIF('Eredeti fejléccel'!$B:$B,'Felosztás eredménykim'!$B258,'Eredeti fejléccel'!$M:$M)</f>
        <v>0</v>
      </c>
      <c r="GY258" s="6">
        <f>SUMIF('Eredeti fejléccel'!$B:$B,'Felosztás eredménykim'!$B258,'Eredeti fejléccel'!$DC:$DC)</f>
        <v>0</v>
      </c>
      <c r="GZ258" s="6">
        <f>SUMIF('Eredeti fejléccel'!$B:$B,'Felosztás eredménykim'!$B258,'Eredeti fejléccel'!$DD:$DD)</f>
        <v>0</v>
      </c>
      <c r="HA258" s="6">
        <f>SUMIF('Eredeti fejléccel'!$B:$B,'Felosztás eredménykim'!$B258,'Eredeti fejléccel'!$DE:$DE)</f>
        <v>0</v>
      </c>
      <c r="HB258" s="103">
        <f t="shared" si="533"/>
        <v>0</v>
      </c>
      <c r="HD258" s="9">
        <f t="shared" si="547"/>
        <v>0</v>
      </c>
      <c r="HE258" s="9"/>
      <c r="HF258" s="476"/>
      <c r="HH258" s="34">
        <f t="shared" si="534"/>
        <v>0</v>
      </c>
      <c r="HI258" s="31">
        <f>SUM(HD226:HD258)</f>
        <v>-2558185461.0099998</v>
      </c>
      <c r="HJ258" s="31">
        <f>SUM(HE226:HE258)</f>
        <v>-2750971926.0099998</v>
      </c>
    </row>
    <row r="259" spans="1:218" x14ac:dyDescent="0.25">
      <c r="A259" s="4" t="s">
        <v>786</v>
      </c>
      <c r="B259" s="4" t="s">
        <v>786</v>
      </c>
      <c r="C259" s="1" t="s">
        <v>787</v>
      </c>
      <c r="D259" s="6">
        <f>SUMIF('Eredeti fejléccel'!$B:$B,'Felosztás eredménykim'!$B259,'Eredeti fejléccel'!$D:$D)</f>
        <v>0</v>
      </c>
      <c r="E259" s="6">
        <f>SUMIF('Eredeti fejléccel'!$B:$B,'Felosztás eredménykim'!$B259,'Eredeti fejléccel'!$E:$E)</f>
        <v>0</v>
      </c>
      <c r="F259" s="6">
        <f>SUMIF('Eredeti fejléccel'!$B:$B,'Felosztás eredménykim'!$B259,'Eredeti fejléccel'!$F:$F)</f>
        <v>0</v>
      </c>
      <c r="G259" s="6">
        <f>SUMIF('Eredeti fejléccel'!$B:$B,'Felosztás eredménykim'!$B259,'Eredeti fejléccel'!$G:$G)</f>
        <v>0</v>
      </c>
      <c r="H259" s="6"/>
      <c r="I259" s="6">
        <f>SUMIF('Eredeti fejléccel'!$B:$B,'Felosztás eredménykim'!$B259,'Eredeti fejléccel'!$O:$O)</f>
        <v>0</v>
      </c>
      <c r="J259" s="6">
        <f>SUMIF('Eredeti fejléccel'!$B:$B,'Felosztás eredménykim'!$B259,'Eredeti fejléccel'!$P:$P)</f>
        <v>0</v>
      </c>
      <c r="K259" s="6">
        <f>SUMIF('Eredeti fejléccel'!$B:$B,'Felosztás eredménykim'!$B259,'Eredeti fejléccel'!$Q:$Q)</f>
        <v>0</v>
      </c>
      <c r="L259" s="6">
        <f>SUMIF('Eredeti fejléccel'!$B:$B,'Felosztás eredménykim'!$B259,'Eredeti fejléccel'!$R:$R)</f>
        <v>-31496</v>
      </c>
      <c r="M259" s="6">
        <f>SUMIF('Eredeti fejléccel'!$B:$B,'Felosztás eredménykim'!$B259,'Eredeti fejléccel'!$T:$T)</f>
        <v>0</v>
      </c>
      <c r="N259" s="6">
        <f>SUMIF('Eredeti fejléccel'!$B:$B,'Felosztás eredménykim'!$B259,'Eredeti fejléccel'!$U:$U)</f>
        <v>0</v>
      </c>
      <c r="O259" s="6">
        <f>SUMIF('Eredeti fejléccel'!$B:$B,'Felosztás eredménykim'!$B259,'Eredeti fejléccel'!$V:$V)</f>
        <v>0</v>
      </c>
      <c r="P259" s="6">
        <f>SUMIF('Eredeti fejléccel'!$B:$B,'Felosztás eredménykim'!$B259,'Eredeti fejléccel'!$W:$W)</f>
        <v>0</v>
      </c>
      <c r="Q259" s="6">
        <f>SUMIF('Eredeti fejléccel'!$B:$B,'Felosztás eredménykim'!$B259,'Eredeti fejléccel'!$X:$X)</f>
        <v>-86614</v>
      </c>
      <c r="R259" s="6">
        <f>SUMIF('Eredeti fejléccel'!$B:$B,'Felosztás eredménykim'!$B259,'Eredeti fejléccel'!$Y:$Y)</f>
        <v>0</v>
      </c>
      <c r="S259" s="6">
        <f>SUMIF('Eredeti fejléccel'!$B:$B,'Felosztás eredménykim'!$B259,'Eredeti fejléccel'!$Z:$Z)</f>
        <v>0</v>
      </c>
      <c r="T259" s="6">
        <f>SUMIF('Eredeti fejléccel'!$B:$B,'Felosztás eredménykim'!$B259,'Eredeti fejléccel'!$AA:$AA)</f>
        <v>0</v>
      </c>
      <c r="U259" s="6">
        <f>SUMIF('Eredeti fejléccel'!$B:$B,'Felosztás eredménykim'!$B259,'Eredeti fejléccel'!$D:$D)</f>
        <v>0</v>
      </c>
      <c r="V259" s="6">
        <f>SUMIF('Eredeti fejléccel'!$B:$B,'Felosztás eredménykim'!$B259,'Eredeti fejléccel'!$AT:$AT)</f>
        <v>0</v>
      </c>
      <c r="X259" s="36">
        <f t="shared" si="414"/>
        <v>-118110</v>
      </c>
      <c r="Z259" s="6">
        <f>SUMIF('Eredeti fejléccel'!$B:$B,'Felosztás eredménykim'!$B259,'Eredeti fejléccel'!$K:$K)</f>
        <v>0</v>
      </c>
      <c r="AB259" s="6">
        <f>SUMIF('Eredeti fejléccel'!$B:$B,'Felosztás eredménykim'!$B259,'Eredeti fejléccel'!$AB:$AB)</f>
        <v>0</v>
      </c>
      <c r="AC259" s="6">
        <f>SUMIF('Eredeti fejléccel'!$B:$B,'Felosztás eredménykim'!$B259,'Eredeti fejléccel'!$AQ:$AQ)</f>
        <v>0</v>
      </c>
      <c r="AE259" s="73">
        <f t="shared" si="548"/>
        <v>0</v>
      </c>
      <c r="AF259" s="36">
        <f t="shared" si="549"/>
        <v>-14089.890111594081</v>
      </c>
      <c r="AG259" s="8">
        <f t="shared" si="399"/>
        <v>0</v>
      </c>
      <c r="AI259" s="6">
        <f>SUMIF('Eredeti fejléccel'!$B:$B,'Felosztás eredménykim'!$B259,'Eredeti fejléccel'!$BB:$BB)</f>
        <v>0</v>
      </c>
      <c r="AJ259" s="6">
        <f>SUMIF('Eredeti fejléccel'!$B:$B,'Felosztás eredménykim'!$B259,'Eredeti fejléccel'!$AF:$AF)</f>
        <v>0</v>
      </c>
      <c r="AK259" s="8">
        <f t="shared" si="522"/>
        <v>0</v>
      </c>
      <c r="AL259" s="36">
        <f t="shared" si="550"/>
        <v>-5596.4332112250277</v>
      </c>
      <c r="AM259" s="8">
        <f t="shared" si="400"/>
        <v>0</v>
      </c>
      <c r="AN259" s="6">
        <f t="shared" si="538"/>
        <v>0</v>
      </c>
      <c r="AO259" s="6">
        <f>SUMIF('Eredeti fejléccel'!$B:$B,'Felosztás eredménykim'!$B259,'Eredeti fejléccel'!$AC:$AC)</f>
        <v>0</v>
      </c>
      <c r="AP259" s="6">
        <f>SUMIF('Eredeti fejléccel'!$B:$B,'Felosztás eredménykim'!$B259,'Eredeti fejléccel'!$AD:$AD)</f>
        <v>0</v>
      </c>
      <c r="AQ259" s="6">
        <f>SUMIF('Eredeti fejléccel'!$B:$B,'Felosztás eredménykim'!$B259,'Eredeti fejléccel'!$AE:$AE)</f>
        <v>0</v>
      </c>
      <c r="AR259" s="6">
        <f>SUMIF('Eredeti fejléccel'!$B:$B,'Felosztás eredménykim'!$B259,'Eredeti fejléccel'!$AG:$AG)</f>
        <v>0</v>
      </c>
      <c r="AS259" s="6">
        <f t="shared" si="539"/>
        <v>0</v>
      </c>
      <c r="AT259" s="36">
        <f t="shared" si="551"/>
        <v>-9090.2516848994092</v>
      </c>
      <c r="AU259" s="8">
        <f t="shared" si="401"/>
        <v>0</v>
      </c>
      <c r="AV259" s="6">
        <f>SUMIF('Eredeti fejléccel'!$B:$B,'Felosztás eredménykim'!$B259,'Eredeti fejléccel'!$AI:$AI)</f>
        <v>0</v>
      </c>
      <c r="AW259" s="6">
        <f>SUMIF('Eredeti fejléccel'!$B:$B,'Felosztás eredménykim'!$B259,'Eredeti fejléccel'!$AJ:$AJ)</f>
        <v>0</v>
      </c>
      <c r="AX259" s="6">
        <f>SUMIF('Eredeti fejléccel'!$B:$B,'Felosztás eredménykim'!$B259,'Eredeti fejléccel'!$AK:$AK)</f>
        <v>0</v>
      </c>
      <c r="AY259" s="6">
        <f>SUMIF('Eredeti fejléccel'!$B:$B,'Felosztás eredménykim'!$B259,'Eredeti fejléccel'!$AL:$AL)</f>
        <v>0</v>
      </c>
      <c r="AZ259" s="6">
        <f>SUMIF('Eredeti fejléccel'!$B:$B,'Felosztás eredménykim'!$B259,'Eredeti fejléccel'!$AM:$AM)</f>
        <v>0</v>
      </c>
      <c r="BA259" s="6">
        <f>SUMIF('Eredeti fejléccel'!$B:$B,'Felosztás eredménykim'!$B259,'Eredeti fejléccel'!$AN:$AN)</f>
        <v>0</v>
      </c>
      <c r="BB259" s="6">
        <f>SUMIF('Eredeti fejléccel'!$B:$B,'Felosztás eredménykim'!$B259,'Eredeti fejléccel'!$AP:$AP)</f>
        <v>0</v>
      </c>
      <c r="BD259" s="6">
        <f>SUMIF('Eredeti fejléccel'!$B:$B,'Felosztás eredménykim'!$B259,'Eredeti fejléccel'!$AS:$AS)</f>
        <v>0</v>
      </c>
      <c r="BE259" s="8">
        <f t="shared" si="523"/>
        <v>0</v>
      </c>
      <c r="BF259" s="36">
        <f t="shared" si="552"/>
        <v>-2371.3700047563671</v>
      </c>
      <c r="BG259" s="8">
        <f t="shared" si="402"/>
        <v>0</v>
      </c>
      <c r="BH259" s="6">
        <f t="shared" si="540"/>
        <v>0</v>
      </c>
      <c r="BI259" s="6">
        <f>SUMIF('Eredeti fejléccel'!$B:$B,'Felosztás eredménykim'!$B259,'Eredeti fejléccel'!$AH:$AH)</f>
        <v>0</v>
      </c>
      <c r="BJ259" s="6">
        <f>SUMIF('Eredeti fejléccel'!$B:$B,'Felosztás eredménykim'!$B259,'Eredeti fejléccel'!$AO:$AO)</f>
        <v>0</v>
      </c>
      <c r="BK259" s="6">
        <f>SUMIF('Eredeti fejléccel'!$B:$B,'Felosztás eredménykim'!$B259,'Eredeti fejléccel'!$BF:$BF)</f>
        <v>0</v>
      </c>
      <c r="BL259" s="8">
        <f t="shared" si="541"/>
        <v>0</v>
      </c>
      <c r="BM259" s="36">
        <f t="shared" si="553"/>
        <v>-8884.7329511538574</v>
      </c>
      <c r="BN259" s="8">
        <f t="shared" si="403"/>
        <v>0</v>
      </c>
      <c r="BP259" s="8">
        <f t="shared" si="542"/>
        <v>0</v>
      </c>
      <c r="BQ259" s="6">
        <f>SUMIF('Eredeti fejléccel'!$B:$B,'Felosztás eredménykim'!$B259,'Eredeti fejléccel'!$N:$N)</f>
        <v>0</v>
      </c>
      <c r="BR259" s="6">
        <f>SUMIF('Eredeti fejléccel'!$B:$B,'Felosztás eredménykim'!$B259,'Eredeti fejléccel'!$S:$S)</f>
        <v>0</v>
      </c>
      <c r="BT259" s="6">
        <f>SUMIF('Eredeti fejléccel'!$B:$B,'Felosztás eredménykim'!$B259,'Eredeti fejléccel'!$AR:$AR)</f>
        <v>0</v>
      </c>
      <c r="BU259" s="6">
        <f>SUMIF('Eredeti fejléccel'!$B:$B,'Felosztás eredménykim'!$B259,'Eredeti fejléccel'!$AU:$AU)</f>
        <v>0</v>
      </c>
      <c r="BV259" s="6">
        <f>SUMIF('Eredeti fejléccel'!$B:$B,'Felosztás eredménykim'!$B259,'Eredeti fejléccel'!$AV:$AV)</f>
        <v>0</v>
      </c>
      <c r="BW259" s="6">
        <f>SUMIF('Eredeti fejléccel'!$B:$B,'Felosztás eredménykim'!$B259,'Eredeti fejléccel'!$AW:$AW)</f>
        <v>0</v>
      </c>
      <c r="BX259" s="6">
        <f>SUMIF('Eredeti fejléccel'!$B:$B,'Felosztás eredménykim'!$B259,'Eredeti fejléccel'!$AX:$AX)</f>
        <v>0</v>
      </c>
      <c r="BY259" s="6">
        <f>SUMIF('Eredeti fejléccel'!$B:$B,'Felosztás eredménykim'!$B259,'Eredeti fejléccel'!$AY:$AY)</f>
        <v>0</v>
      </c>
      <c r="BZ259" s="6">
        <f>SUMIF('Eredeti fejléccel'!$B:$B,'Felosztás eredménykim'!$B259,'Eredeti fejléccel'!$AZ:$AZ)</f>
        <v>0</v>
      </c>
      <c r="CA259" s="6">
        <f>SUMIF('Eredeti fejléccel'!$B:$B,'Felosztás eredménykim'!$B259,'Eredeti fejléccel'!$BA:$BA)</f>
        <v>0</v>
      </c>
      <c r="CB259" s="6">
        <f t="shared" si="481"/>
        <v>0</v>
      </c>
      <c r="CC259" s="36">
        <f t="shared" si="554"/>
        <v>-2418.7974048514948</v>
      </c>
      <c r="CD259" s="8">
        <f t="shared" si="404"/>
        <v>0</v>
      </c>
      <c r="CE259" s="6">
        <f>SUMIF('Eredeti fejléccel'!$B:$B,'Felosztás eredménykim'!$B259,'Eredeti fejléccel'!$BC:$BC)</f>
        <v>0</v>
      </c>
      <c r="CF259" s="8">
        <f t="shared" si="555"/>
        <v>0</v>
      </c>
      <c r="CG259" s="6">
        <f>SUMIF('Eredeti fejléccel'!$B:$B,'Felosztás eredménykim'!$B259,'Eredeti fejléccel'!$H:$H)</f>
        <v>0</v>
      </c>
      <c r="CH259" s="6">
        <f>SUMIF('Eredeti fejléccel'!$B:$B,'Felosztás eredménykim'!$B259,'Eredeti fejléccel'!$BE:$BE)</f>
        <v>-11811</v>
      </c>
      <c r="CI259" s="6">
        <f t="shared" si="524"/>
        <v>-11811</v>
      </c>
      <c r="CJ259" s="36">
        <f t="shared" si="556"/>
        <v>-1739.0046701546696</v>
      </c>
      <c r="CK259" s="8">
        <f t="shared" si="405"/>
        <v>0</v>
      </c>
      <c r="CL259" s="8">
        <f t="shared" si="557"/>
        <v>0</v>
      </c>
      <c r="CM259" s="6">
        <f>SUMIF('Eredeti fejléccel'!$B:$B,'Felosztás eredménykim'!$B259,'Eredeti fejléccel'!$BD:$BD)</f>
        <v>0</v>
      </c>
      <c r="CN259" s="8">
        <f t="shared" si="525"/>
        <v>0</v>
      </c>
      <c r="CO259" s="8">
        <f t="shared" si="482"/>
        <v>-56001.480038634902</v>
      </c>
      <c r="CR259" s="36">
        <f t="shared" si="406"/>
        <v>-10445.852221506762</v>
      </c>
      <c r="CS259" s="6">
        <f>SUMIF('Eredeti fejléccel'!$B:$B,'Felosztás eredménykim'!$B259,'Eredeti fejléccel'!$I:$I)</f>
        <v>0</v>
      </c>
      <c r="CT259" s="6">
        <f>SUMIF('Eredeti fejléccel'!$B:$B,'Felosztás eredménykim'!$B259,'Eredeti fejléccel'!$BG:$BG)</f>
        <v>0</v>
      </c>
      <c r="CU259" s="6">
        <f>SUMIF('Eredeti fejléccel'!$B:$B,'Felosztás eredménykim'!$B259,'Eredeti fejléccel'!$BH:$BH)</f>
        <v>0</v>
      </c>
      <c r="CV259" s="6">
        <f>SUMIF('Eredeti fejléccel'!$B:$B,'Felosztás eredménykim'!$B259,'Eredeti fejléccel'!$BI:$BI)</f>
        <v>0</v>
      </c>
      <c r="CW259" s="6">
        <f>SUMIF('Eredeti fejléccel'!$B:$B,'Felosztás eredménykim'!$B259,'Eredeti fejléccel'!$BL:$BL)</f>
        <v>0</v>
      </c>
      <c r="CX259" s="6">
        <f t="shared" si="526"/>
        <v>0</v>
      </c>
      <c r="CY259" s="6">
        <f>SUMIF('Eredeti fejléccel'!$B:$B,'Felosztás eredménykim'!$B259,'Eredeti fejléccel'!$BJ:$BJ)</f>
        <v>0</v>
      </c>
      <c r="CZ259" s="6">
        <f>SUMIF('Eredeti fejléccel'!$B:$B,'Felosztás eredménykim'!$B259,'Eredeti fejléccel'!$BK:$BK)</f>
        <v>0</v>
      </c>
      <c r="DA259" s="99">
        <f t="shared" si="415"/>
        <v>0</v>
      </c>
      <c r="DC259" s="36">
        <f t="shared" si="407"/>
        <v>-9149.1519639407616</v>
      </c>
      <c r="DD259" s="6">
        <f>SUMIF('Eredeti fejléccel'!$B:$B,'Felosztás eredménykim'!$B259,'Eredeti fejléccel'!$J:$J)</f>
        <v>0</v>
      </c>
      <c r="DE259" s="6">
        <f>SUMIF('Eredeti fejléccel'!$B:$B,'Felosztás eredménykim'!$B259,'Eredeti fejléccel'!$BM:$BM)</f>
        <v>0</v>
      </c>
      <c r="DF259" s="6">
        <f t="shared" si="543"/>
        <v>0</v>
      </c>
      <c r="DG259" s="8">
        <f t="shared" si="483"/>
        <v>0</v>
      </c>
      <c r="DH259" s="8">
        <f t="shared" si="544"/>
        <v>0</v>
      </c>
      <c r="DJ259" s="6">
        <f>SUMIF('Eredeti fejléccel'!$B:$B,'Felosztás eredménykim'!$B259,'Eredeti fejléccel'!$BN:$BN)</f>
        <v>0</v>
      </c>
      <c r="DK259" s="6">
        <f>SUMIF('Eredeti fejléccel'!$B:$B,'Felosztás eredménykim'!$B259,'Eredeti fejléccel'!$BZ:$BZ)</f>
        <v>0</v>
      </c>
      <c r="DL259" s="8">
        <f t="shared" si="545"/>
        <v>0</v>
      </c>
      <c r="DM259" s="6">
        <f>SUMIF('Eredeti fejléccel'!$B:$B,'Felosztás eredménykim'!$B259,'Eredeti fejléccel'!$BR:$BR)</f>
        <v>0</v>
      </c>
      <c r="DN259" s="6">
        <f>SUMIF('Eredeti fejléccel'!$B:$B,'Felosztás eredménykim'!$B259,'Eredeti fejléccel'!$BS:$BS)</f>
        <v>0</v>
      </c>
      <c r="DO259" s="6">
        <f>SUMIF('Eredeti fejléccel'!$B:$B,'Felosztás eredménykim'!$B259,'Eredeti fejléccel'!$BO:$BO)</f>
        <v>0</v>
      </c>
      <c r="DP259" s="6">
        <f>SUMIF('Eredeti fejléccel'!$B:$B,'Felosztás eredménykim'!$B259,'Eredeti fejléccel'!$BP:$BP)</f>
        <v>0</v>
      </c>
      <c r="DQ259" s="6">
        <f>SUMIF('Eredeti fejléccel'!$B:$B,'Felosztás eredménykim'!$B259,'Eredeti fejléccel'!$BQ:$BQ)</f>
        <v>0</v>
      </c>
      <c r="DS259" s="8"/>
      <c r="DU259" s="6">
        <f>SUMIF('Eredeti fejléccel'!$B:$B,'Felosztás eredménykim'!$B259,'Eredeti fejléccel'!$BT:$BT)</f>
        <v>0</v>
      </c>
      <c r="DV259" s="6">
        <f>SUMIF('Eredeti fejléccel'!$B:$B,'Felosztás eredménykim'!$B259,'Eredeti fejléccel'!$BU:$BU)</f>
        <v>0</v>
      </c>
      <c r="DW259" s="6">
        <f>SUMIF('Eredeti fejléccel'!$B:$B,'Felosztás eredménykim'!$B259,'Eredeti fejléccel'!$BV:$BV)</f>
        <v>0</v>
      </c>
      <c r="DX259" s="6">
        <f>SUMIF('Eredeti fejléccel'!$B:$B,'Felosztás eredménykim'!$B259,'Eredeti fejléccel'!$BW:$BW)</f>
        <v>0</v>
      </c>
      <c r="DY259" s="6">
        <f>SUMIF('Eredeti fejléccel'!$B:$B,'Felosztás eredménykim'!$B259,'Eredeti fejléccel'!$BX:$BX)</f>
        <v>0</v>
      </c>
      <c r="EA259" s="6"/>
      <c r="EC259" s="6"/>
      <c r="EE259" s="6">
        <f>SUMIF('Eredeti fejléccel'!$B:$B,'Felosztás eredménykim'!$B259,'Eredeti fejléccel'!$CA:$CA)</f>
        <v>0</v>
      </c>
      <c r="EF259" s="6">
        <f>SUMIF('Eredeti fejléccel'!$B:$B,'Felosztás eredménykim'!$B259,'Eredeti fejléccel'!$CB:$CB)</f>
        <v>0</v>
      </c>
      <c r="EG259" s="6">
        <f>SUMIF('Eredeti fejléccel'!$B:$B,'Felosztás eredménykim'!$B259,'Eredeti fejléccel'!$CC:$CC)</f>
        <v>0</v>
      </c>
      <c r="EH259" s="6">
        <f>SUMIF('Eredeti fejléccel'!$B:$B,'Felosztás eredménykim'!$B259,'Eredeti fejléccel'!$CD:$CD)</f>
        <v>0</v>
      </c>
      <c r="EK259" s="6">
        <f>SUMIF('Eredeti fejléccel'!$B:$B,'Felosztás eredménykim'!$B259,'Eredeti fejléccel'!$CE:$CE)</f>
        <v>0</v>
      </c>
      <c r="EN259" s="6">
        <f>SUMIF('Eredeti fejléccel'!$B:$B,'Felosztás eredménykim'!$B259,'Eredeti fejléccel'!$CF:$CF)</f>
        <v>0</v>
      </c>
      <c r="EP259" s="6">
        <f>SUMIF('Eredeti fejléccel'!$B:$B,'Felosztás eredménykim'!$B259,'Eredeti fejléccel'!$CG:$CG)</f>
        <v>0</v>
      </c>
      <c r="ES259" s="6">
        <f>SUMIF('Eredeti fejléccel'!$B:$B,'Felosztás eredménykim'!$B259,'Eredeti fejléccel'!$CH:$CH)</f>
        <v>0</v>
      </c>
      <c r="ET259" s="6">
        <f>SUMIF('Eredeti fejléccel'!$B:$B,'Felosztás eredménykim'!$B259,'Eredeti fejléccel'!$CI:$CI)</f>
        <v>0</v>
      </c>
      <c r="EW259" s="8">
        <f t="shared" si="535"/>
        <v>0</v>
      </c>
      <c r="EX259" s="8">
        <f t="shared" si="527"/>
        <v>0</v>
      </c>
      <c r="EY259" s="8">
        <f t="shared" si="416"/>
        <v>0</v>
      </c>
      <c r="EZ259" s="8">
        <f t="shared" si="536"/>
        <v>0</v>
      </c>
      <c r="FA259" s="8">
        <f t="shared" si="537"/>
        <v>0</v>
      </c>
      <c r="FC259" s="6">
        <f>SUMIF('Eredeti fejléccel'!$B:$B,'Felosztás eredménykim'!$B259,'Eredeti fejléccel'!$L:$L)</f>
        <v>0</v>
      </c>
      <c r="FD259" s="6">
        <f>SUMIF('Eredeti fejléccel'!$B:$B,'Felosztás eredménykim'!$B259,'Eredeti fejléccel'!$CJ:$CJ)</f>
        <v>-43307</v>
      </c>
      <c r="FE259" s="6">
        <f>SUMIF('Eredeti fejléccel'!$B:$B,'Felosztás eredménykim'!$B259,'Eredeti fejléccel'!$CL:$CL)</f>
        <v>0</v>
      </c>
      <c r="FG259" s="99">
        <f t="shared" si="528"/>
        <v>-43307</v>
      </c>
      <c r="FH259" s="6">
        <f>SUMIF('Eredeti fejléccel'!$B:$B,'Felosztás eredménykim'!$B259,'Eredeti fejléccel'!$CK:$CK)</f>
        <v>0</v>
      </c>
      <c r="FI259" s="36">
        <f t="shared" si="558"/>
        <v>-10764.557109795058</v>
      </c>
      <c r="FJ259" s="101">
        <f t="shared" si="408"/>
        <v>-9603.1609539207766</v>
      </c>
      <c r="FK259" s="6">
        <f>SUMIF('Eredeti fejléccel'!$B:$B,'Felosztás eredménykim'!$B259,'Eredeti fejléccel'!$CM:$CM)</f>
        <v>0</v>
      </c>
      <c r="FL259" s="6">
        <f>SUMIF('Eredeti fejléccel'!$B:$B,'Felosztás eredménykim'!$B259,'Eredeti fejléccel'!$CN:$CN)</f>
        <v>0</v>
      </c>
      <c r="FM259" s="8">
        <f t="shared" si="529"/>
        <v>-9603.1609539207766</v>
      </c>
      <c r="FN259" s="36">
        <f t="shared" si="559"/>
        <v>-9151.6395114991155</v>
      </c>
      <c r="FO259" s="101">
        <f t="shared" si="409"/>
        <v>-8164.262247372676</v>
      </c>
      <c r="FP259" s="6">
        <f>SUMIF('Eredeti fejléccel'!$B:$B,'Felosztás eredménykim'!$B259,'Eredeti fejléccel'!$CO:$CO)</f>
        <v>0</v>
      </c>
      <c r="FQ259" s="6">
        <f>'Eredeti fejléccel'!CP259</f>
        <v>0</v>
      </c>
      <c r="FR259" s="6">
        <f>'Eredeti fejléccel'!CQ259</f>
        <v>0</v>
      </c>
      <c r="FS259" s="103">
        <f t="shared" si="417"/>
        <v>-8164.262247372676</v>
      </c>
      <c r="FT259" s="36">
        <f t="shared" si="560"/>
        <v>-25261.19362586613</v>
      </c>
      <c r="FU259" s="101">
        <f t="shared" si="410"/>
        <v>-22535.744462409057</v>
      </c>
      <c r="FV259" s="101"/>
      <c r="FW259" s="6">
        <f>SUMIF('Eredeti fejléccel'!$B:$B,'Felosztás eredménykim'!$B259,'Eredeti fejléccel'!$CR:$CR)</f>
        <v>0</v>
      </c>
      <c r="FX259" s="6">
        <f>SUMIF('Eredeti fejléccel'!$B:$B,'Felosztás eredménykim'!$B259,'Eredeti fejléccel'!$CS:$CS)</f>
        <v>0</v>
      </c>
      <c r="FY259" s="6">
        <f>SUMIF('Eredeti fejléccel'!$B:$B,'Felosztás eredménykim'!$B259,'Eredeti fejléccel'!$CT:$CT)</f>
        <v>0</v>
      </c>
      <c r="FZ259" s="6">
        <f>SUMIF('Eredeti fejléccel'!$B:$B,'Felosztás eredménykim'!$B259,'Eredeti fejléccel'!$CU:$CU)</f>
        <v>0</v>
      </c>
      <c r="GA259" s="103">
        <f t="shared" si="530"/>
        <v>-22535.744462409057</v>
      </c>
      <c r="GB259" s="36">
        <f t="shared" si="561"/>
        <v>-3367.1126504572217</v>
      </c>
      <c r="GC259" s="101">
        <f t="shared" si="411"/>
        <v>-3003.8323362974943</v>
      </c>
      <c r="GD259" s="6">
        <f>SUMIF('Eredeti fejléccel'!$B:$B,'Felosztás eredménykim'!$B259,'Eredeti fejléccel'!$CV:$CV)</f>
        <v>0</v>
      </c>
      <c r="GE259" s="6">
        <f>SUMIF('Eredeti fejléccel'!$B:$B,'Felosztás eredménykim'!$B259,'Eredeti fejléccel'!$CW:$CW)</f>
        <v>0</v>
      </c>
      <c r="GF259" s="103">
        <f t="shared" si="531"/>
        <v>-3003.8323362974943</v>
      </c>
      <c r="GG259" s="36">
        <f t="shared" si="412"/>
        <v>0</v>
      </c>
      <c r="GM259" s="6">
        <f>SUMIF('Eredeti fejléccel'!$B:$B,'Felosztás eredménykim'!$B259,'Eredeti fejléccel'!$CX:$CX)</f>
        <v>0</v>
      </c>
      <c r="GN259" s="6">
        <f>SUMIF('Eredeti fejléccel'!$B:$B,'Felosztás eredménykim'!$B259,'Eredeti fejléccel'!$CY:$CY)</f>
        <v>0</v>
      </c>
      <c r="GO259" s="6">
        <f>SUMIF('Eredeti fejléccel'!$B:$B,'Felosztás eredménykim'!$B259,'Eredeti fejléccel'!$CZ:$CZ)</f>
        <v>0</v>
      </c>
      <c r="GP259" s="6">
        <f>SUMIF('Eredeti fejléccel'!$B:$B,'Felosztás eredménykim'!$B259,'Eredeti fejléccel'!$DA:$DA)</f>
        <v>0</v>
      </c>
      <c r="GQ259" s="6">
        <f>SUMIF('Eredeti fejléccel'!$B:$B,'Felosztás eredménykim'!$B259,'Eredeti fejléccel'!$DB:$DB)</f>
        <v>0</v>
      </c>
      <c r="GR259" s="103">
        <f t="shared" si="532"/>
        <v>0</v>
      </c>
      <c r="GW259" s="36">
        <f t="shared" si="413"/>
        <v>-5780.0128783000646</v>
      </c>
      <c r="GX259" s="6">
        <f>SUMIF('Eredeti fejléccel'!$B:$B,'Felosztás eredménykim'!$B259,'Eredeti fejléccel'!$M:$M)</f>
        <v>0</v>
      </c>
      <c r="GY259" s="6">
        <f>SUMIF('Eredeti fejléccel'!$B:$B,'Felosztás eredménykim'!$B259,'Eredeti fejléccel'!$DC:$DC)</f>
        <v>0</v>
      </c>
      <c r="GZ259" s="6">
        <f>SUMIF('Eredeti fejléccel'!$B:$B,'Felosztás eredménykim'!$B259,'Eredeti fejléccel'!$DD:$DD)</f>
        <v>0</v>
      </c>
      <c r="HA259" s="6">
        <f>SUMIF('Eredeti fejléccel'!$B:$B,'Felosztás eredménykim'!$B259,'Eredeti fejléccel'!$DE:$DE)</f>
        <v>0</v>
      </c>
      <c r="HB259" s="103">
        <f t="shared" si="533"/>
        <v>0</v>
      </c>
      <c r="HD259" s="9">
        <f t="shared" si="547"/>
        <v>-173228</v>
      </c>
      <c r="HE259" s="9">
        <v>-173228</v>
      </c>
      <c r="HF259" s="476"/>
      <c r="HH259" s="34">
        <f t="shared" si="534"/>
        <v>0</v>
      </c>
    </row>
    <row r="260" spans="1:218" x14ac:dyDescent="0.25">
      <c r="A260" s="4" t="s">
        <v>343</v>
      </c>
      <c r="B260" s="4" t="s">
        <v>343</v>
      </c>
      <c r="C260" s="1" t="s">
        <v>344</v>
      </c>
      <c r="D260" s="6">
        <f>SUMIF('Eredeti fejléccel'!$B:$B,'Felosztás eredménykim'!$B260,'Eredeti fejléccel'!$D:$D)</f>
        <v>0</v>
      </c>
      <c r="E260" s="6">
        <f>SUMIF('Eredeti fejléccel'!$B:$B,'Felosztás eredménykim'!$B260,'Eredeti fejléccel'!$E:$E)</f>
        <v>-130577</v>
      </c>
      <c r="F260" s="6">
        <f>SUMIF('Eredeti fejléccel'!$B:$B,'Felosztás eredménykim'!$B260,'Eredeti fejléccel'!$F:$F)</f>
        <v>0</v>
      </c>
      <c r="G260" s="6">
        <f>SUMIF('Eredeti fejléccel'!$B:$B,'Felosztás eredménykim'!$B260,'Eredeti fejléccel'!$G:$G)</f>
        <v>0</v>
      </c>
      <c r="H260" s="6"/>
      <c r="I260" s="6">
        <f>SUMIF('Eredeti fejléccel'!$B:$B,'Felosztás eredménykim'!$B260,'Eredeti fejléccel'!$O:$O)</f>
        <v>0</v>
      </c>
      <c r="J260" s="6">
        <f>SUMIF('Eredeti fejléccel'!$B:$B,'Felosztás eredménykim'!$B260,'Eredeti fejléccel'!$P:$P)</f>
        <v>0</v>
      </c>
      <c r="K260" s="6">
        <f>SUMIF('Eredeti fejléccel'!$B:$B,'Felosztás eredménykim'!$B260,'Eredeti fejléccel'!$Q:$Q)</f>
        <v>0</v>
      </c>
      <c r="L260" s="6">
        <f>SUMIF('Eredeti fejléccel'!$B:$B,'Felosztás eredménykim'!$B260,'Eredeti fejléccel'!$R:$R)</f>
        <v>0</v>
      </c>
      <c r="M260" s="6">
        <f>SUMIF('Eredeti fejléccel'!$B:$B,'Felosztás eredménykim'!$B260,'Eredeti fejléccel'!$T:$T)</f>
        <v>0</v>
      </c>
      <c r="N260" s="6">
        <f>SUMIF('Eredeti fejléccel'!$B:$B,'Felosztás eredménykim'!$B260,'Eredeti fejléccel'!$U:$U)</f>
        <v>0</v>
      </c>
      <c r="O260" s="6">
        <f>SUMIF('Eredeti fejléccel'!$B:$B,'Felosztás eredménykim'!$B260,'Eredeti fejléccel'!$V:$V)</f>
        <v>0</v>
      </c>
      <c r="P260" s="6">
        <f>SUMIF('Eredeti fejléccel'!$B:$B,'Felosztás eredménykim'!$B260,'Eredeti fejléccel'!$W:$W)</f>
        <v>-6929</v>
      </c>
      <c r="Q260" s="6">
        <f>SUMIF('Eredeti fejléccel'!$B:$B,'Felosztás eredménykim'!$B260,'Eredeti fejléccel'!$X:$X)</f>
        <v>0</v>
      </c>
      <c r="R260" s="6">
        <f>SUMIF('Eredeti fejléccel'!$B:$B,'Felosztás eredménykim'!$B260,'Eredeti fejléccel'!$Y:$Y)</f>
        <v>0</v>
      </c>
      <c r="S260" s="6">
        <f>SUMIF('Eredeti fejléccel'!$B:$B,'Felosztás eredménykim'!$B260,'Eredeti fejléccel'!$Z:$Z)</f>
        <v>0</v>
      </c>
      <c r="T260" s="6">
        <f>SUMIF('Eredeti fejléccel'!$B:$B,'Felosztás eredménykim'!$B260,'Eredeti fejléccel'!$AA:$AA)</f>
        <v>0</v>
      </c>
      <c r="U260" s="6">
        <f>SUMIF('Eredeti fejléccel'!$B:$B,'Felosztás eredménykim'!$B260,'Eredeti fejléccel'!$D:$D)</f>
        <v>0</v>
      </c>
      <c r="V260" s="6">
        <f>SUMIF('Eredeti fejléccel'!$B:$B,'Felosztás eredménykim'!$B260,'Eredeti fejléccel'!$AT:$AT)</f>
        <v>0</v>
      </c>
      <c r="X260" s="36">
        <f t="shared" si="414"/>
        <v>-137506</v>
      </c>
      <c r="Z260" s="6">
        <f>SUMIF('Eredeti fejléccel'!$B:$B,'Felosztás eredménykim'!$B260,'Eredeti fejléccel'!$K:$K)</f>
        <v>0</v>
      </c>
      <c r="AB260" s="6">
        <f>SUMIF('Eredeti fejléccel'!$B:$B,'Felosztás eredménykim'!$B260,'Eredeti fejléccel'!$AB:$AB)</f>
        <v>0</v>
      </c>
      <c r="AC260" s="6">
        <f>SUMIF('Eredeti fejléccel'!$B:$B,'Felosztás eredménykim'!$B260,'Eredeti fejléccel'!$AQ:$AQ)</f>
        <v>0</v>
      </c>
      <c r="AE260" s="73">
        <f t="shared" si="548"/>
        <v>0</v>
      </c>
      <c r="AF260" s="36">
        <f t="shared" si="549"/>
        <v>-16403.728978789735</v>
      </c>
      <c r="AG260" s="8">
        <f t="shared" si="399"/>
        <v>0</v>
      </c>
      <c r="AI260" s="6">
        <f>SUMIF('Eredeti fejléccel'!$B:$B,'Felosztás eredménykim'!$B260,'Eredeti fejléccel'!$BB:$BB)</f>
        <v>0</v>
      </c>
      <c r="AJ260" s="6">
        <f>SUMIF('Eredeti fejléccel'!$B:$B,'Felosztás eredménykim'!$B260,'Eredeti fejléccel'!$AF:$AF)</f>
        <v>0</v>
      </c>
      <c r="AK260" s="8">
        <f t="shared" si="522"/>
        <v>0</v>
      </c>
      <c r="AL260" s="36">
        <f t="shared" si="550"/>
        <v>-6515.4783264982525</v>
      </c>
      <c r="AM260" s="8">
        <f t="shared" si="400"/>
        <v>0</v>
      </c>
      <c r="AN260" s="6">
        <f t="shared" si="538"/>
        <v>0</v>
      </c>
      <c r="AO260" s="6">
        <f>SUMIF('Eredeti fejléccel'!$B:$B,'Felosztás eredménykim'!$B260,'Eredeti fejléccel'!$AC:$AC)</f>
        <v>0</v>
      </c>
      <c r="AP260" s="6">
        <f>SUMIF('Eredeti fejléccel'!$B:$B,'Felosztás eredménykim'!$B260,'Eredeti fejléccel'!$AD:$AD)</f>
        <v>0</v>
      </c>
      <c r="AQ260" s="6">
        <f>SUMIF('Eredeti fejléccel'!$B:$B,'Felosztás eredménykim'!$B260,'Eredeti fejléccel'!$AE:$AE)</f>
        <v>0</v>
      </c>
      <c r="AR260" s="6">
        <f>SUMIF('Eredeti fejléccel'!$B:$B,'Felosztás eredménykim'!$B260,'Eredeti fejléccel'!$AG:$AG)</f>
        <v>0</v>
      </c>
      <c r="AS260" s="6">
        <f t="shared" si="539"/>
        <v>0</v>
      </c>
      <c r="AT260" s="36">
        <f t="shared" si="551"/>
        <v>-10583.050954057895</v>
      </c>
      <c r="AU260" s="8">
        <f t="shared" si="401"/>
        <v>0</v>
      </c>
      <c r="AV260" s="6">
        <f>SUMIF('Eredeti fejléccel'!$B:$B,'Felosztás eredménykim'!$B260,'Eredeti fejléccel'!$AI:$AI)</f>
        <v>0</v>
      </c>
      <c r="AW260" s="6">
        <f>SUMIF('Eredeti fejléccel'!$B:$B,'Felosztás eredménykim'!$B260,'Eredeti fejléccel'!$AJ:$AJ)</f>
        <v>0</v>
      </c>
      <c r="AX260" s="6">
        <f>SUMIF('Eredeti fejléccel'!$B:$B,'Felosztás eredménykim'!$B260,'Eredeti fejléccel'!$AK:$AK)</f>
        <v>0</v>
      </c>
      <c r="AY260" s="6">
        <f>SUMIF('Eredeti fejléccel'!$B:$B,'Felosztás eredménykim'!$B260,'Eredeti fejléccel'!$AL:$AL)</f>
        <v>0</v>
      </c>
      <c r="AZ260" s="6">
        <f>SUMIF('Eredeti fejléccel'!$B:$B,'Felosztás eredménykim'!$B260,'Eredeti fejléccel'!$AM:$AM)</f>
        <v>0</v>
      </c>
      <c r="BA260" s="6">
        <f>SUMIF('Eredeti fejléccel'!$B:$B,'Felosztás eredménykim'!$B260,'Eredeti fejléccel'!$AN:$AN)</f>
        <v>0</v>
      </c>
      <c r="BB260" s="6">
        <f>SUMIF('Eredeti fejléccel'!$B:$B,'Felosztás eredménykim'!$B260,'Eredeti fejléccel'!$AP:$AP)</f>
        <v>0</v>
      </c>
      <c r="BD260" s="6">
        <f>SUMIF('Eredeti fejléccel'!$B:$B,'Felosztás eredménykim'!$B260,'Eredeti fejléccel'!$AS:$AS)</f>
        <v>0</v>
      </c>
      <c r="BE260" s="8">
        <f t="shared" si="523"/>
        <v>0</v>
      </c>
      <c r="BF260" s="36">
        <f t="shared" si="552"/>
        <v>-2760.795901058581</v>
      </c>
      <c r="BG260" s="8">
        <f t="shared" si="402"/>
        <v>0</v>
      </c>
      <c r="BH260" s="6">
        <f t="shared" si="540"/>
        <v>0</v>
      </c>
      <c r="BI260" s="6">
        <f>SUMIF('Eredeti fejléccel'!$B:$B,'Felosztás eredménykim'!$B260,'Eredeti fejléccel'!$AH:$AH)</f>
        <v>0</v>
      </c>
      <c r="BJ260" s="6">
        <f>SUMIF('Eredeti fejléccel'!$B:$B,'Felosztás eredménykim'!$B260,'Eredeti fejléccel'!$AO:$AO)</f>
        <v>0</v>
      </c>
      <c r="BK260" s="6">
        <f>SUMIF('Eredeti fejléccel'!$B:$B,'Felosztás eredménykim'!$B260,'Eredeti fejléccel'!$BF:$BF)</f>
        <v>0</v>
      </c>
      <c r="BL260" s="8">
        <f t="shared" si="541"/>
        <v>0</v>
      </c>
      <c r="BM260" s="36">
        <f t="shared" si="553"/>
        <v>-10343.781975966152</v>
      </c>
      <c r="BN260" s="8">
        <f t="shared" si="403"/>
        <v>0</v>
      </c>
      <c r="BP260" s="8">
        <f t="shared" si="542"/>
        <v>0</v>
      </c>
      <c r="BQ260" s="6">
        <f>SUMIF('Eredeti fejléccel'!$B:$B,'Felosztás eredménykim'!$B260,'Eredeti fejléccel'!$N:$N)</f>
        <v>0</v>
      </c>
      <c r="BR260" s="6">
        <f>SUMIF('Eredeti fejléccel'!$B:$B,'Felosztás eredménykim'!$B260,'Eredeti fejléccel'!$S:$S)</f>
        <v>0</v>
      </c>
      <c r="BT260" s="6">
        <f>SUMIF('Eredeti fejléccel'!$B:$B,'Felosztás eredménykim'!$B260,'Eredeti fejléccel'!$AR:$AR)</f>
        <v>0</v>
      </c>
      <c r="BU260" s="6">
        <f>SUMIF('Eredeti fejléccel'!$B:$B,'Felosztás eredménykim'!$B260,'Eredeti fejléccel'!$AU:$AU)</f>
        <v>0</v>
      </c>
      <c r="BV260" s="6">
        <f>SUMIF('Eredeti fejléccel'!$B:$B,'Felosztás eredménykim'!$B260,'Eredeti fejléccel'!$AV:$AV)</f>
        <v>0</v>
      </c>
      <c r="BW260" s="6">
        <f>SUMIF('Eredeti fejléccel'!$B:$B,'Felosztás eredménykim'!$B260,'Eredeti fejléccel'!$AW:$AW)</f>
        <v>0</v>
      </c>
      <c r="BX260" s="6">
        <f>SUMIF('Eredeti fejléccel'!$B:$B,'Felosztás eredménykim'!$B260,'Eredeti fejléccel'!$AX:$AX)</f>
        <v>0</v>
      </c>
      <c r="BY260" s="6">
        <f>SUMIF('Eredeti fejléccel'!$B:$B,'Felosztás eredménykim'!$B260,'Eredeti fejléccel'!$AY:$AY)</f>
        <v>0</v>
      </c>
      <c r="BZ260" s="6">
        <f>SUMIF('Eredeti fejléccel'!$B:$B,'Felosztás eredménykim'!$B260,'Eredeti fejléccel'!$AZ:$AZ)</f>
        <v>0</v>
      </c>
      <c r="CA260" s="6">
        <f>SUMIF('Eredeti fejléccel'!$B:$B,'Felosztás eredménykim'!$B260,'Eredeti fejléccel'!$BA:$BA)</f>
        <v>0</v>
      </c>
      <c r="CB260" s="6">
        <f t="shared" si="481"/>
        <v>0</v>
      </c>
      <c r="CC260" s="36">
        <f t="shared" si="554"/>
        <v>-2816.011819079753</v>
      </c>
      <c r="CD260" s="8">
        <f t="shared" si="404"/>
        <v>0</v>
      </c>
      <c r="CE260" s="6">
        <f>SUMIF('Eredeti fejléccel'!$B:$B,'Felosztás eredménykim'!$B260,'Eredeti fejléccel'!$BC:$BC)</f>
        <v>0</v>
      </c>
      <c r="CF260" s="8">
        <f t="shared" si="555"/>
        <v>0</v>
      </c>
      <c r="CG260" s="6">
        <f>SUMIF('Eredeti fejléccel'!$B:$B,'Felosztás eredménykim'!$B260,'Eredeti fejléccel'!$H:$H)</f>
        <v>0</v>
      </c>
      <c r="CH260" s="6">
        <f>SUMIF('Eredeti fejléccel'!$B:$B,'Felosztás eredménykim'!$B260,'Eredeti fejléccel'!$BE:$BE)</f>
        <v>0</v>
      </c>
      <c r="CI260" s="6">
        <f t="shared" si="524"/>
        <v>0</v>
      </c>
      <c r="CJ260" s="36">
        <f t="shared" si="556"/>
        <v>-2024.5836607762933</v>
      </c>
      <c r="CK260" s="8">
        <f t="shared" si="405"/>
        <v>0</v>
      </c>
      <c r="CL260" s="8">
        <f t="shared" si="557"/>
        <v>0</v>
      </c>
      <c r="CM260" s="6">
        <f>SUMIF('Eredeti fejléccel'!$B:$B,'Felosztás eredménykim'!$B260,'Eredeti fejléccel'!$BD:$BD)</f>
        <v>0</v>
      </c>
      <c r="CN260" s="8">
        <f t="shared" si="525"/>
        <v>0</v>
      </c>
      <c r="CO260" s="8">
        <f t="shared" si="482"/>
        <v>-51447.431616226655</v>
      </c>
      <c r="CR260" s="36">
        <f t="shared" si="406"/>
        <v>-12161.267933032841</v>
      </c>
      <c r="CS260" s="6">
        <f>SUMIF('Eredeti fejléccel'!$B:$B,'Felosztás eredménykim'!$B260,'Eredeti fejléccel'!$I:$I)</f>
        <v>-601785</v>
      </c>
      <c r="CT260" s="6">
        <f>SUMIF('Eredeti fejléccel'!$B:$B,'Felosztás eredménykim'!$B260,'Eredeti fejléccel'!$BG:$BG)</f>
        <v>0</v>
      </c>
      <c r="CU260" s="6">
        <f>SUMIF('Eredeti fejléccel'!$B:$B,'Felosztás eredménykim'!$B260,'Eredeti fejléccel'!$BH:$BH)</f>
        <v>0</v>
      </c>
      <c r="CV260" s="6">
        <f>SUMIF('Eredeti fejléccel'!$B:$B,'Felosztás eredménykim'!$B260,'Eredeti fejléccel'!$BI:$BI)</f>
        <v>0</v>
      </c>
      <c r="CW260" s="6">
        <f>SUMIF('Eredeti fejléccel'!$B:$B,'Felosztás eredménykim'!$B260,'Eredeti fejléccel'!$BL:$BL)</f>
        <v>0</v>
      </c>
      <c r="CX260" s="6">
        <f t="shared" si="526"/>
        <v>-601785</v>
      </c>
      <c r="CY260" s="6">
        <f>SUMIF('Eredeti fejléccel'!$B:$B,'Felosztás eredménykim'!$B260,'Eredeti fejléccel'!$BJ:$BJ)</f>
        <v>0</v>
      </c>
      <c r="CZ260" s="6">
        <f>SUMIF('Eredeti fejléccel'!$B:$B,'Felosztás eredménykim'!$B260,'Eredeti fejléccel'!$BK:$BK)</f>
        <v>0</v>
      </c>
      <c r="DA260" s="99">
        <f t="shared" si="415"/>
        <v>-601785</v>
      </c>
      <c r="DC260" s="36">
        <f t="shared" si="407"/>
        <v>-10651.623824855122</v>
      </c>
      <c r="DD260" s="6">
        <f>SUMIF('Eredeti fejléccel'!$B:$B,'Felosztás eredménykim'!$B260,'Eredeti fejléccel'!$J:$J)</f>
        <v>0</v>
      </c>
      <c r="DE260" s="6">
        <f>SUMIF('Eredeti fejléccel'!$B:$B,'Felosztás eredménykim'!$B260,'Eredeti fejléccel'!$BM:$BM)</f>
        <v>0</v>
      </c>
      <c r="DF260" s="6">
        <f t="shared" si="543"/>
        <v>0</v>
      </c>
      <c r="DG260" s="8">
        <f t="shared" si="483"/>
        <v>0</v>
      </c>
      <c r="DH260" s="8">
        <f t="shared" si="544"/>
        <v>0</v>
      </c>
      <c r="DJ260" s="6">
        <f>SUMIF('Eredeti fejléccel'!$B:$B,'Felosztás eredménykim'!$B260,'Eredeti fejléccel'!$BN:$BN)</f>
        <v>0</v>
      </c>
      <c r="DK260" s="6">
        <f>SUMIF('Eredeti fejléccel'!$B:$B,'Felosztás eredménykim'!$B260,'Eredeti fejléccel'!$BZ:$BZ)</f>
        <v>0</v>
      </c>
      <c r="DL260" s="8">
        <f t="shared" si="545"/>
        <v>0</v>
      </c>
      <c r="DM260" s="6">
        <f>SUMIF('Eredeti fejléccel'!$B:$B,'Felosztás eredménykim'!$B260,'Eredeti fejléccel'!$BR:$BR)</f>
        <v>0</v>
      </c>
      <c r="DN260" s="6">
        <f>SUMIF('Eredeti fejléccel'!$B:$B,'Felosztás eredménykim'!$B260,'Eredeti fejléccel'!$BS:$BS)</f>
        <v>0</v>
      </c>
      <c r="DO260" s="6">
        <f>SUMIF('Eredeti fejléccel'!$B:$B,'Felosztás eredménykim'!$B260,'Eredeti fejléccel'!$BO:$BO)</f>
        <v>0</v>
      </c>
      <c r="DP260" s="6">
        <f>SUMIF('Eredeti fejléccel'!$B:$B,'Felosztás eredménykim'!$B260,'Eredeti fejléccel'!$BP:$BP)</f>
        <v>0</v>
      </c>
      <c r="DQ260" s="6">
        <f>SUMIF('Eredeti fejléccel'!$B:$B,'Felosztás eredménykim'!$B260,'Eredeti fejléccel'!$BQ:$BQ)</f>
        <v>0</v>
      </c>
      <c r="DS260" s="8"/>
      <c r="DU260" s="6">
        <f>SUMIF('Eredeti fejléccel'!$B:$B,'Felosztás eredménykim'!$B260,'Eredeti fejléccel'!$BT:$BT)</f>
        <v>0</v>
      </c>
      <c r="DV260" s="6">
        <f>SUMIF('Eredeti fejléccel'!$B:$B,'Felosztás eredménykim'!$B260,'Eredeti fejléccel'!$BU:$BU)</f>
        <v>0</v>
      </c>
      <c r="DW260" s="6">
        <f>SUMIF('Eredeti fejléccel'!$B:$B,'Felosztás eredménykim'!$B260,'Eredeti fejléccel'!$BV:$BV)</f>
        <v>0</v>
      </c>
      <c r="DX260" s="6">
        <f>SUMIF('Eredeti fejléccel'!$B:$B,'Felosztás eredménykim'!$B260,'Eredeti fejléccel'!$BW:$BW)</f>
        <v>0</v>
      </c>
      <c r="DY260" s="6">
        <f>SUMIF('Eredeti fejléccel'!$B:$B,'Felosztás eredménykim'!$B260,'Eredeti fejléccel'!$BX:$BX)</f>
        <v>0</v>
      </c>
      <c r="EA260" s="6"/>
      <c r="EC260" s="6"/>
      <c r="EE260" s="6">
        <f>SUMIF('Eredeti fejléccel'!$B:$B,'Felosztás eredménykim'!$B260,'Eredeti fejléccel'!$CA:$CA)</f>
        <v>0</v>
      </c>
      <c r="EF260" s="6">
        <f>SUMIF('Eredeti fejléccel'!$B:$B,'Felosztás eredménykim'!$B260,'Eredeti fejléccel'!$CB:$CB)</f>
        <v>0</v>
      </c>
      <c r="EG260" s="6">
        <f>SUMIF('Eredeti fejléccel'!$B:$B,'Felosztás eredménykim'!$B260,'Eredeti fejléccel'!$CC:$CC)</f>
        <v>0</v>
      </c>
      <c r="EH260" s="6">
        <f>SUMIF('Eredeti fejléccel'!$B:$B,'Felosztás eredménykim'!$B260,'Eredeti fejléccel'!$CD:$CD)</f>
        <v>0</v>
      </c>
      <c r="EK260" s="6">
        <f>SUMIF('Eredeti fejléccel'!$B:$B,'Felosztás eredménykim'!$B260,'Eredeti fejléccel'!$CE:$CE)</f>
        <v>0</v>
      </c>
      <c r="EN260" s="6">
        <f>SUMIF('Eredeti fejléccel'!$B:$B,'Felosztás eredménykim'!$B260,'Eredeti fejléccel'!$CF:$CF)</f>
        <v>0</v>
      </c>
      <c r="EP260" s="6">
        <f>SUMIF('Eredeti fejléccel'!$B:$B,'Felosztás eredménykim'!$B260,'Eredeti fejléccel'!$CG:$CG)</f>
        <v>0</v>
      </c>
      <c r="ES260" s="6">
        <f>SUMIF('Eredeti fejléccel'!$B:$B,'Felosztás eredménykim'!$B260,'Eredeti fejléccel'!$CH:$CH)</f>
        <v>0</v>
      </c>
      <c r="ET260" s="6">
        <f>SUMIF('Eredeti fejléccel'!$B:$B,'Felosztás eredménykim'!$B260,'Eredeti fejléccel'!$CI:$CI)</f>
        <v>0</v>
      </c>
      <c r="EW260" s="8">
        <f t="shared" si="535"/>
        <v>0</v>
      </c>
      <c r="EX260" s="8">
        <f t="shared" si="527"/>
        <v>0</v>
      </c>
      <c r="EY260" s="8">
        <f t="shared" si="416"/>
        <v>0</v>
      </c>
      <c r="EZ260" s="8">
        <f t="shared" si="536"/>
        <v>0</v>
      </c>
      <c r="FA260" s="8">
        <f t="shared" si="537"/>
        <v>0</v>
      </c>
      <c r="FC260" s="6">
        <f>SUMIF('Eredeti fejléccel'!$B:$B,'Felosztás eredménykim'!$B260,'Eredeti fejléccel'!$L:$L)</f>
        <v>0</v>
      </c>
      <c r="FD260" s="6">
        <f>SUMIF('Eredeti fejléccel'!$B:$B,'Felosztás eredménykim'!$B260,'Eredeti fejléccel'!$CJ:$CJ)</f>
        <v>0</v>
      </c>
      <c r="FE260" s="6">
        <f>SUMIF('Eredeti fejléccel'!$B:$B,'Felosztás eredménykim'!$B260,'Eredeti fejléccel'!$CL:$CL)</f>
        <v>0</v>
      </c>
      <c r="FG260" s="99">
        <f t="shared" si="528"/>
        <v>0</v>
      </c>
      <c r="FH260" s="6">
        <f>SUMIF('Eredeti fejléccel'!$B:$B,'Felosztás eredménykim'!$B260,'Eredeti fejléccel'!$CK:$CK)</f>
        <v>0</v>
      </c>
      <c r="FI260" s="36">
        <f t="shared" si="558"/>
        <v>-12532.310472775202</v>
      </c>
      <c r="FJ260" s="101">
        <f t="shared" si="408"/>
        <v>0</v>
      </c>
      <c r="FK260" s="6">
        <f>SUMIF('Eredeti fejléccel'!$B:$B,'Felosztás eredménykim'!$B260,'Eredeti fejléccel'!$CM:$CM)</f>
        <v>0</v>
      </c>
      <c r="FL260" s="6">
        <f>SUMIF('Eredeti fejléccel'!$B:$B,'Felosztás eredménykim'!$B260,'Eredeti fejléccel'!$CN:$CN)</f>
        <v>0</v>
      </c>
      <c r="FM260" s="8">
        <f t="shared" si="529"/>
        <v>0</v>
      </c>
      <c r="FN260" s="36">
        <f t="shared" si="559"/>
        <v>-10654.519876963826</v>
      </c>
      <c r="FO260" s="101">
        <f t="shared" si="409"/>
        <v>0</v>
      </c>
      <c r="FP260" s="6">
        <f>SUMIF('Eredeti fejléccel'!$B:$B,'Felosztás eredménykim'!$B260,'Eredeti fejléccel'!$CO:$CO)</f>
        <v>0</v>
      </c>
      <c r="FQ260" s="6">
        <f>'Eredeti fejléccel'!CP260</f>
        <v>0</v>
      </c>
      <c r="FR260" s="6">
        <f>'Eredeti fejléccel'!CQ260</f>
        <v>0</v>
      </c>
      <c r="FS260" s="103">
        <f t="shared" si="417"/>
        <v>0</v>
      </c>
      <c r="FT260" s="36">
        <f t="shared" si="560"/>
        <v>-29409.581667245347</v>
      </c>
      <c r="FU260" s="101">
        <f t="shared" si="410"/>
        <v>0</v>
      </c>
      <c r="FV260" s="101"/>
      <c r="FW260" s="6">
        <f>SUMIF('Eredeti fejléccel'!$B:$B,'Felosztás eredménykim'!$B260,'Eredeti fejléccel'!$CR:$CR)</f>
        <v>-186380</v>
      </c>
      <c r="FX260" s="6">
        <f>SUMIF('Eredeti fejléccel'!$B:$B,'Felosztás eredménykim'!$B260,'Eredeti fejléccel'!$CS:$CS)</f>
        <v>0</v>
      </c>
      <c r="FY260" s="6">
        <f>SUMIF('Eredeti fejléccel'!$B:$B,'Felosztás eredménykim'!$B260,'Eredeti fejléccel'!$CT:$CT)</f>
        <v>0</v>
      </c>
      <c r="FZ260" s="6">
        <f>SUMIF('Eredeti fejléccel'!$B:$B,'Felosztás eredménykim'!$B260,'Eredeti fejléccel'!$CU:$CU)</f>
        <v>0</v>
      </c>
      <c r="GA260" s="103">
        <f t="shared" si="530"/>
        <v>-186380</v>
      </c>
      <c r="GB260" s="36">
        <f t="shared" si="561"/>
        <v>-3920.0592000149923</v>
      </c>
      <c r="GC260" s="101">
        <f t="shared" si="411"/>
        <v>0</v>
      </c>
      <c r="GD260" s="6">
        <f>SUMIF('Eredeti fejléccel'!$B:$B,'Felosztás eredménykim'!$B260,'Eredeti fejléccel'!$CV:$CV)</f>
        <v>0</v>
      </c>
      <c r="GE260" s="6">
        <f>SUMIF('Eredeti fejléccel'!$B:$B,'Felosztás eredménykim'!$B260,'Eredeti fejléccel'!$CW:$CW)</f>
        <v>0</v>
      </c>
      <c r="GF260" s="103">
        <f t="shared" si="531"/>
        <v>0</v>
      </c>
      <c r="GG260" s="36">
        <f t="shared" si="412"/>
        <v>0</v>
      </c>
      <c r="GM260" s="6">
        <f>SUMIF('Eredeti fejléccel'!$B:$B,'Felosztás eredménykim'!$B260,'Eredeti fejléccel'!$CX:$CX)</f>
        <v>0</v>
      </c>
      <c r="GN260" s="6">
        <f>SUMIF('Eredeti fejléccel'!$B:$B,'Felosztás eredménykim'!$B260,'Eredeti fejléccel'!$CY:$CY)</f>
        <v>0</v>
      </c>
      <c r="GO260" s="6">
        <f>SUMIF('Eredeti fejléccel'!$B:$B,'Felosztás eredménykim'!$B260,'Eredeti fejléccel'!$CZ:$CZ)</f>
        <v>0</v>
      </c>
      <c r="GP260" s="6">
        <f>SUMIF('Eredeti fejléccel'!$B:$B,'Felosztás eredménykim'!$B260,'Eredeti fejléccel'!$DA:$DA)</f>
        <v>0</v>
      </c>
      <c r="GQ260" s="6">
        <f>SUMIF('Eredeti fejléccel'!$B:$B,'Felosztás eredménykim'!$B260,'Eredeti fejléccel'!$DB:$DB)</f>
        <v>0</v>
      </c>
      <c r="GR260" s="103">
        <f t="shared" si="532"/>
        <v>0</v>
      </c>
      <c r="GW260" s="36">
        <f t="shared" si="413"/>
        <v>-6729.2054088860277</v>
      </c>
      <c r="GX260" s="6">
        <f>SUMIF('Eredeti fejléccel'!$B:$B,'Felosztás eredménykim'!$B260,'Eredeti fejléccel'!$M:$M)</f>
        <v>0</v>
      </c>
      <c r="GY260" s="6">
        <f>SUMIF('Eredeti fejléccel'!$B:$B,'Felosztás eredménykim'!$B260,'Eredeti fejléccel'!$DC:$DC)</f>
        <v>0</v>
      </c>
      <c r="GZ260" s="6">
        <f>SUMIF('Eredeti fejléccel'!$B:$B,'Felosztás eredménykim'!$B260,'Eredeti fejléccel'!$DD:$DD)</f>
        <v>0</v>
      </c>
      <c r="HA260" s="6">
        <f>SUMIF('Eredeti fejléccel'!$B:$B,'Felosztás eredménykim'!$B260,'Eredeti fejléccel'!$DE:$DE)</f>
        <v>0</v>
      </c>
      <c r="HB260" s="103">
        <f t="shared" si="533"/>
        <v>0</v>
      </c>
      <c r="HD260" s="9">
        <f t="shared" si="547"/>
        <v>-925671.00000000012</v>
      </c>
      <c r="HE260" s="9">
        <v>-925671</v>
      </c>
      <c r="HF260" s="476"/>
      <c r="HH260" s="34">
        <f t="shared" si="534"/>
        <v>0</v>
      </c>
    </row>
    <row r="261" spans="1:218" x14ac:dyDescent="0.25">
      <c r="A261" s="325" t="s">
        <v>345</v>
      </c>
      <c r="B261" s="4" t="s">
        <v>345</v>
      </c>
      <c r="C261" s="1" t="s">
        <v>346</v>
      </c>
      <c r="D261" s="6">
        <f>SUMIF('Eredeti fejléccel'!$B:$B,'Felosztás eredménykim'!$B261,'Eredeti fejléccel'!$D:$D)</f>
        <v>0</v>
      </c>
      <c r="E261" s="6">
        <f>SUMIF('Eredeti fejléccel'!$B:$B,'Felosztás eredménykim'!$B261,'Eredeti fejléccel'!$E:$E)</f>
        <v>0</v>
      </c>
      <c r="F261" s="6">
        <f>SUMIF('Eredeti fejléccel'!$B:$B,'Felosztás eredménykim'!$B261,'Eredeti fejléccel'!$F:$F)</f>
        <v>0</v>
      </c>
      <c r="G261" s="6">
        <f>SUMIF('Eredeti fejléccel'!$B:$B,'Felosztás eredménykim'!$B261,'Eredeti fejléccel'!$G:$G)</f>
        <v>0</v>
      </c>
      <c r="H261" s="6"/>
      <c r="I261" s="6">
        <f>SUMIF('Eredeti fejléccel'!$B:$B,'Felosztás eredménykim'!$B261,'Eredeti fejléccel'!$O:$O)</f>
        <v>0</v>
      </c>
      <c r="J261" s="6">
        <f>SUMIF('Eredeti fejléccel'!$B:$B,'Felosztás eredménykim'!$B261,'Eredeti fejléccel'!$P:$P)</f>
        <v>0</v>
      </c>
      <c r="K261" s="6">
        <f>SUMIF('Eredeti fejléccel'!$B:$B,'Felosztás eredménykim'!$B261,'Eredeti fejléccel'!$Q:$Q)</f>
        <v>0</v>
      </c>
      <c r="L261" s="6">
        <f>SUMIF('Eredeti fejléccel'!$B:$B,'Felosztás eredménykim'!$B261,'Eredeti fejléccel'!$R:$R)</f>
        <v>0</v>
      </c>
      <c r="M261" s="6">
        <f>SUMIF('Eredeti fejléccel'!$B:$B,'Felosztás eredménykim'!$B261,'Eredeti fejléccel'!$T:$T)</f>
        <v>0</v>
      </c>
      <c r="N261" s="6">
        <f>SUMIF('Eredeti fejléccel'!$B:$B,'Felosztás eredménykim'!$B261,'Eredeti fejléccel'!$U:$U)</f>
        <v>0</v>
      </c>
      <c r="O261" s="6">
        <f>SUMIF('Eredeti fejléccel'!$B:$B,'Felosztás eredménykim'!$B261,'Eredeti fejléccel'!$V:$V)</f>
        <v>0</v>
      </c>
      <c r="P261" s="6">
        <f>SUMIF('Eredeti fejléccel'!$B:$B,'Felosztás eredménykim'!$B261,'Eredeti fejléccel'!$W:$W)</f>
        <v>0</v>
      </c>
      <c r="Q261" s="6">
        <f>SUMIF('Eredeti fejléccel'!$B:$B,'Felosztás eredménykim'!$B261,'Eredeti fejléccel'!$X:$X)</f>
        <v>0</v>
      </c>
      <c r="R261" s="6">
        <f>SUMIF('Eredeti fejléccel'!$B:$B,'Felosztás eredménykim'!$B261,'Eredeti fejléccel'!$Y:$Y)</f>
        <v>0</v>
      </c>
      <c r="S261" s="6">
        <f>SUMIF('Eredeti fejléccel'!$B:$B,'Felosztás eredménykim'!$B261,'Eredeti fejléccel'!$Z:$Z)</f>
        <v>0</v>
      </c>
      <c r="T261" s="6">
        <f>SUMIF('Eredeti fejléccel'!$B:$B,'Felosztás eredménykim'!$B261,'Eredeti fejléccel'!$AA:$AA)</f>
        <v>0</v>
      </c>
      <c r="U261" s="6">
        <f>SUMIF('Eredeti fejléccel'!$B:$B,'Felosztás eredménykim'!$B261,'Eredeti fejléccel'!$D:$D)</f>
        <v>0</v>
      </c>
      <c r="V261" s="6">
        <f>SUMIF('Eredeti fejléccel'!$B:$B,'Felosztás eredménykim'!$B261,'Eredeti fejléccel'!$AT:$AT)</f>
        <v>0</v>
      </c>
      <c r="X261" s="36">
        <f t="shared" si="414"/>
        <v>0</v>
      </c>
      <c r="Z261" s="6">
        <f>SUMIF('Eredeti fejléccel'!$B:$B,'Felosztás eredménykim'!$B261,'Eredeti fejléccel'!$K:$K)</f>
        <v>0</v>
      </c>
      <c r="AB261" s="6">
        <f>SUMIF('Eredeti fejléccel'!$B:$B,'Felosztás eredménykim'!$B261,'Eredeti fejléccel'!$AB:$AB)</f>
        <v>0</v>
      </c>
      <c r="AC261" s="6">
        <f>SUMIF('Eredeti fejléccel'!$B:$B,'Felosztás eredménykim'!$B261,'Eredeti fejléccel'!$AQ:$AQ)</f>
        <v>0</v>
      </c>
      <c r="AE261" s="73">
        <f t="shared" si="548"/>
        <v>0</v>
      </c>
      <c r="AF261" s="36">
        <f t="shared" si="549"/>
        <v>0</v>
      </c>
      <c r="AG261" s="8">
        <f t="shared" si="399"/>
        <v>0</v>
      </c>
      <c r="AI261" s="6">
        <f>SUMIF('Eredeti fejléccel'!$B:$B,'Felosztás eredménykim'!$B261,'Eredeti fejléccel'!$BB:$BB)</f>
        <v>0</v>
      </c>
      <c r="AJ261" s="6">
        <f>SUMIF('Eredeti fejléccel'!$B:$B,'Felosztás eredménykim'!$B261,'Eredeti fejléccel'!$AF:$AF)</f>
        <v>0</v>
      </c>
      <c r="AK261" s="8">
        <f t="shared" si="522"/>
        <v>0</v>
      </c>
      <c r="AL261" s="36">
        <f t="shared" si="550"/>
        <v>0</v>
      </c>
      <c r="AM261" s="8">
        <f t="shared" si="400"/>
        <v>0</v>
      </c>
      <c r="AN261" s="6">
        <f t="shared" si="538"/>
        <v>0</v>
      </c>
      <c r="AO261" s="6">
        <f>SUMIF('Eredeti fejléccel'!$B:$B,'Felosztás eredménykim'!$B261,'Eredeti fejléccel'!$AC:$AC)</f>
        <v>0</v>
      </c>
      <c r="AP261" s="6">
        <f>SUMIF('Eredeti fejléccel'!$B:$B,'Felosztás eredménykim'!$B261,'Eredeti fejléccel'!$AD:$AD)</f>
        <v>0</v>
      </c>
      <c r="AQ261" s="6">
        <f>SUMIF('Eredeti fejléccel'!$B:$B,'Felosztás eredménykim'!$B261,'Eredeti fejléccel'!$AE:$AE)</f>
        <v>0</v>
      </c>
      <c r="AR261" s="6">
        <f>SUMIF('Eredeti fejléccel'!$B:$B,'Felosztás eredménykim'!$B261,'Eredeti fejléccel'!$AG:$AG)</f>
        <v>0</v>
      </c>
      <c r="AS261" s="6">
        <f t="shared" si="539"/>
        <v>0</v>
      </c>
      <c r="AT261" s="36">
        <f t="shared" si="551"/>
        <v>0</v>
      </c>
      <c r="AU261" s="8">
        <f t="shared" si="401"/>
        <v>0</v>
      </c>
      <c r="AV261" s="6">
        <f>SUMIF('Eredeti fejléccel'!$B:$B,'Felosztás eredménykim'!$B261,'Eredeti fejléccel'!$AI:$AI)</f>
        <v>0</v>
      </c>
      <c r="AW261" s="6">
        <f>SUMIF('Eredeti fejléccel'!$B:$B,'Felosztás eredménykim'!$B261,'Eredeti fejléccel'!$AJ:$AJ)</f>
        <v>0</v>
      </c>
      <c r="AX261" s="6">
        <f>SUMIF('Eredeti fejléccel'!$B:$B,'Felosztás eredménykim'!$B261,'Eredeti fejléccel'!$AK:$AK)</f>
        <v>0</v>
      </c>
      <c r="AY261" s="6">
        <f>SUMIF('Eredeti fejléccel'!$B:$B,'Felosztás eredménykim'!$B261,'Eredeti fejléccel'!$AL:$AL)</f>
        <v>0</v>
      </c>
      <c r="AZ261" s="6">
        <f>SUMIF('Eredeti fejléccel'!$B:$B,'Felosztás eredménykim'!$B261,'Eredeti fejléccel'!$AM:$AM)</f>
        <v>0</v>
      </c>
      <c r="BA261" s="6">
        <f>SUMIF('Eredeti fejléccel'!$B:$B,'Felosztás eredménykim'!$B261,'Eredeti fejléccel'!$AN:$AN)</f>
        <v>0</v>
      </c>
      <c r="BB261" s="6">
        <f>SUMIF('Eredeti fejléccel'!$B:$B,'Felosztás eredménykim'!$B261,'Eredeti fejléccel'!$AP:$AP)</f>
        <v>0</v>
      </c>
      <c r="BD261" s="6">
        <f>SUMIF('Eredeti fejléccel'!$B:$B,'Felosztás eredménykim'!$B261,'Eredeti fejléccel'!$AS:$AS)</f>
        <v>0</v>
      </c>
      <c r="BE261" s="8">
        <f t="shared" si="523"/>
        <v>0</v>
      </c>
      <c r="BF261" s="36">
        <f t="shared" si="552"/>
        <v>0</v>
      </c>
      <c r="BG261" s="8">
        <f t="shared" si="402"/>
        <v>0</v>
      </c>
      <c r="BH261" s="6">
        <f t="shared" si="540"/>
        <v>0</v>
      </c>
      <c r="BI261" s="6">
        <f>SUMIF('Eredeti fejléccel'!$B:$B,'Felosztás eredménykim'!$B261,'Eredeti fejléccel'!$AH:$AH)</f>
        <v>0</v>
      </c>
      <c r="BJ261" s="6">
        <f>SUMIF('Eredeti fejléccel'!$B:$B,'Felosztás eredménykim'!$B261,'Eredeti fejléccel'!$AO:$AO)</f>
        <v>0</v>
      </c>
      <c r="BK261" s="6">
        <f>SUMIF('Eredeti fejléccel'!$B:$B,'Felosztás eredménykim'!$B261,'Eredeti fejléccel'!$BF:$BF)</f>
        <v>0</v>
      </c>
      <c r="BL261" s="8">
        <f t="shared" si="541"/>
        <v>0</v>
      </c>
      <c r="BM261" s="36">
        <f t="shared" si="553"/>
        <v>0</v>
      </c>
      <c r="BN261" s="8">
        <f t="shared" si="403"/>
        <v>0</v>
      </c>
      <c r="BP261" s="8">
        <f t="shared" si="542"/>
        <v>0</v>
      </c>
      <c r="BQ261" s="6">
        <f>SUMIF('Eredeti fejléccel'!$B:$B,'Felosztás eredménykim'!$B261,'Eredeti fejléccel'!$N:$N)</f>
        <v>0</v>
      </c>
      <c r="BR261" s="6">
        <f>SUMIF('Eredeti fejléccel'!$B:$B,'Felosztás eredménykim'!$B261,'Eredeti fejléccel'!$S:$S)</f>
        <v>0</v>
      </c>
      <c r="BT261" s="6">
        <f>SUMIF('Eredeti fejléccel'!$B:$B,'Felosztás eredménykim'!$B261,'Eredeti fejléccel'!$AR:$AR)</f>
        <v>0</v>
      </c>
      <c r="BU261" s="6">
        <f>SUMIF('Eredeti fejléccel'!$B:$B,'Felosztás eredménykim'!$B261,'Eredeti fejléccel'!$AU:$AU)</f>
        <v>0</v>
      </c>
      <c r="BV261" s="6">
        <f>SUMIF('Eredeti fejléccel'!$B:$B,'Felosztás eredménykim'!$B261,'Eredeti fejléccel'!$AV:$AV)</f>
        <v>0</v>
      </c>
      <c r="BW261" s="6">
        <f>SUMIF('Eredeti fejléccel'!$B:$B,'Felosztás eredménykim'!$B261,'Eredeti fejléccel'!$AW:$AW)</f>
        <v>0</v>
      </c>
      <c r="BX261" s="6">
        <f>SUMIF('Eredeti fejléccel'!$B:$B,'Felosztás eredménykim'!$B261,'Eredeti fejléccel'!$AX:$AX)</f>
        <v>0</v>
      </c>
      <c r="BY261" s="6">
        <f>SUMIF('Eredeti fejléccel'!$B:$B,'Felosztás eredménykim'!$B261,'Eredeti fejléccel'!$AY:$AY)</f>
        <v>0</v>
      </c>
      <c r="BZ261" s="6">
        <f>SUMIF('Eredeti fejléccel'!$B:$B,'Felosztás eredménykim'!$B261,'Eredeti fejléccel'!$AZ:$AZ)</f>
        <v>0</v>
      </c>
      <c r="CA261" s="6">
        <f>SUMIF('Eredeti fejléccel'!$B:$B,'Felosztás eredménykim'!$B261,'Eredeti fejléccel'!$BA:$BA)</f>
        <v>-13400</v>
      </c>
      <c r="CB261" s="6">
        <f t="shared" si="481"/>
        <v>-13400</v>
      </c>
      <c r="CC261" s="36">
        <f t="shared" si="554"/>
        <v>0</v>
      </c>
      <c r="CD261" s="8">
        <f t="shared" si="404"/>
        <v>0</v>
      </c>
      <c r="CE261" s="6">
        <f>SUMIF('Eredeti fejléccel'!$B:$B,'Felosztás eredménykim'!$B261,'Eredeti fejléccel'!$BC:$BC)</f>
        <v>0</v>
      </c>
      <c r="CF261" s="8">
        <f t="shared" si="555"/>
        <v>0</v>
      </c>
      <c r="CG261" s="6">
        <f>SUMIF('Eredeti fejléccel'!$B:$B,'Felosztás eredménykim'!$B261,'Eredeti fejléccel'!$H:$H)</f>
        <v>0</v>
      </c>
      <c r="CH261" s="6">
        <f>SUMIF('Eredeti fejléccel'!$B:$B,'Felosztás eredménykim'!$B261,'Eredeti fejléccel'!$BE:$BE)</f>
        <v>0</v>
      </c>
      <c r="CI261" s="6">
        <f t="shared" si="524"/>
        <v>0</v>
      </c>
      <c r="CJ261" s="36">
        <f t="shared" si="556"/>
        <v>0</v>
      </c>
      <c r="CK261" s="8">
        <f t="shared" si="405"/>
        <v>0</v>
      </c>
      <c r="CL261" s="8">
        <f t="shared" si="557"/>
        <v>0</v>
      </c>
      <c r="CM261" s="6">
        <f>SUMIF('Eredeti fejléccel'!$B:$B,'Felosztás eredménykim'!$B261,'Eredeti fejléccel'!$BD:$BD)</f>
        <v>0</v>
      </c>
      <c r="CN261" s="8">
        <f t="shared" si="525"/>
        <v>0</v>
      </c>
      <c r="CO261" s="8">
        <f t="shared" si="482"/>
        <v>-13400</v>
      </c>
      <c r="CR261" s="36">
        <f t="shared" si="406"/>
        <v>0</v>
      </c>
      <c r="CS261" s="6">
        <f>SUMIF('Eredeti fejléccel'!$B:$B,'Felosztás eredménykim'!$B261,'Eredeti fejléccel'!$I:$I)</f>
        <v>0</v>
      </c>
      <c r="CT261" s="6">
        <f>SUMIF('Eredeti fejléccel'!$B:$B,'Felosztás eredménykim'!$B261,'Eredeti fejléccel'!$BG:$BG)</f>
        <v>0</v>
      </c>
      <c r="CU261" s="6">
        <f>SUMIF('Eredeti fejléccel'!$B:$B,'Felosztás eredménykim'!$B261,'Eredeti fejléccel'!$BH:$BH)</f>
        <v>0</v>
      </c>
      <c r="CV261" s="6">
        <f>SUMIF('Eredeti fejléccel'!$B:$B,'Felosztás eredménykim'!$B261,'Eredeti fejléccel'!$BI:$BI)</f>
        <v>0</v>
      </c>
      <c r="CW261" s="6">
        <f>SUMIF('Eredeti fejléccel'!$B:$B,'Felosztás eredménykim'!$B261,'Eredeti fejléccel'!$BL:$BL)</f>
        <v>0</v>
      </c>
      <c r="CX261" s="6">
        <f t="shared" si="526"/>
        <v>0</v>
      </c>
      <c r="CY261" s="6">
        <f>SUMIF('Eredeti fejléccel'!$B:$B,'Felosztás eredménykim'!$B261,'Eredeti fejléccel'!$BJ:$BJ)</f>
        <v>0</v>
      </c>
      <c r="CZ261" s="6">
        <f>SUMIF('Eredeti fejléccel'!$B:$B,'Felosztás eredménykim'!$B261,'Eredeti fejléccel'!$BK:$BK)</f>
        <v>0</v>
      </c>
      <c r="DA261" s="99">
        <f t="shared" si="415"/>
        <v>0</v>
      </c>
      <c r="DC261" s="36">
        <f t="shared" si="407"/>
        <v>0</v>
      </c>
      <c r="DD261" s="6">
        <f>SUMIF('Eredeti fejléccel'!$B:$B,'Felosztás eredménykim'!$B261,'Eredeti fejléccel'!$J:$J)</f>
        <v>0</v>
      </c>
      <c r="DE261" s="6">
        <f>SUMIF('Eredeti fejléccel'!$B:$B,'Felosztás eredménykim'!$B261,'Eredeti fejléccel'!$BM:$BM)</f>
        <v>-157668</v>
      </c>
      <c r="DF261" s="6">
        <f t="shared" si="543"/>
        <v>0</v>
      </c>
      <c r="DG261" s="8">
        <f t="shared" si="483"/>
        <v>0</v>
      </c>
      <c r="DH261" s="8">
        <f t="shared" si="544"/>
        <v>-157668</v>
      </c>
      <c r="DJ261" s="6">
        <f>SUMIF('Eredeti fejléccel'!$B:$B,'Felosztás eredménykim'!$B261,'Eredeti fejléccel'!$BN:$BN)</f>
        <v>0</v>
      </c>
      <c r="DK261" s="6">
        <f>SUMIF('Eredeti fejléccel'!$B:$B,'Felosztás eredménykim'!$B261,'Eredeti fejléccel'!$BZ:$BZ)</f>
        <v>0</v>
      </c>
      <c r="DL261" s="8">
        <f t="shared" si="545"/>
        <v>0</v>
      </c>
      <c r="DM261" s="6">
        <f>SUMIF('Eredeti fejléccel'!$B:$B,'Felosztás eredménykim'!$B261,'Eredeti fejléccel'!$BR:$BR)</f>
        <v>0</v>
      </c>
      <c r="DN261" s="6">
        <f>SUMIF('Eredeti fejléccel'!$B:$B,'Felosztás eredménykim'!$B261,'Eredeti fejléccel'!$BS:$BS)</f>
        <v>0</v>
      </c>
      <c r="DO261" s="6">
        <f>SUMIF('Eredeti fejléccel'!$B:$B,'Felosztás eredménykim'!$B261,'Eredeti fejléccel'!$BO:$BO)</f>
        <v>0</v>
      </c>
      <c r="DP261" s="6">
        <f>SUMIF('Eredeti fejléccel'!$B:$B,'Felosztás eredménykim'!$B261,'Eredeti fejléccel'!$BP:$BP)</f>
        <v>0</v>
      </c>
      <c r="DQ261" s="6">
        <f>SUMIF('Eredeti fejléccel'!$B:$B,'Felosztás eredménykim'!$B261,'Eredeti fejléccel'!$BQ:$BQ)</f>
        <v>0</v>
      </c>
      <c r="DS261" s="8"/>
      <c r="DU261" s="6">
        <f>SUMIF('Eredeti fejléccel'!$B:$B,'Felosztás eredménykim'!$B261,'Eredeti fejléccel'!$BT:$BT)</f>
        <v>0</v>
      </c>
      <c r="DV261" s="6">
        <f>SUMIF('Eredeti fejléccel'!$B:$B,'Felosztás eredménykim'!$B261,'Eredeti fejléccel'!$BU:$BU)</f>
        <v>0</v>
      </c>
      <c r="DW261" s="6">
        <f>SUMIF('Eredeti fejléccel'!$B:$B,'Felosztás eredménykim'!$B261,'Eredeti fejléccel'!$BV:$BV)</f>
        <v>0</v>
      </c>
      <c r="DX261" s="6">
        <f>SUMIF('Eredeti fejléccel'!$B:$B,'Felosztás eredménykim'!$B261,'Eredeti fejléccel'!$BW:$BW)</f>
        <v>0</v>
      </c>
      <c r="DY261" s="6">
        <f>SUMIF('Eredeti fejléccel'!$B:$B,'Felosztás eredménykim'!$B261,'Eredeti fejléccel'!$BX:$BX)</f>
        <v>0</v>
      </c>
      <c r="EA261" s="6"/>
      <c r="EC261" s="6"/>
      <c r="EE261" s="6">
        <f>SUMIF('Eredeti fejléccel'!$B:$B,'Felosztás eredménykim'!$B261,'Eredeti fejléccel'!$CA:$CA)</f>
        <v>0</v>
      </c>
      <c r="EF261" s="6">
        <f>SUMIF('Eredeti fejléccel'!$B:$B,'Felosztás eredménykim'!$B261,'Eredeti fejléccel'!$CB:$CB)</f>
        <v>0</v>
      </c>
      <c r="EG261" s="6">
        <f>SUMIF('Eredeti fejléccel'!$B:$B,'Felosztás eredménykim'!$B261,'Eredeti fejléccel'!$CC:$CC)</f>
        <v>0</v>
      </c>
      <c r="EH261" s="6">
        <f>SUMIF('Eredeti fejléccel'!$B:$B,'Felosztás eredménykim'!$B261,'Eredeti fejléccel'!$CD:$CD)</f>
        <v>0</v>
      </c>
      <c r="EK261" s="6">
        <f>SUMIF('Eredeti fejléccel'!$B:$B,'Felosztás eredménykim'!$B261,'Eredeti fejléccel'!$CE:$CE)</f>
        <v>0</v>
      </c>
      <c r="EN261" s="6">
        <f>SUMIF('Eredeti fejléccel'!$B:$B,'Felosztás eredménykim'!$B261,'Eredeti fejléccel'!$CF:$CF)</f>
        <v>0</v>
      </c>
      <c r="EP261" s="6">
        <f>SUMIF('Eredeti fejléccel'!$B:$B,'Felosztás eredménykim'!$B261,'Eredeti fejléccel'!$CG:$CG)</f>
        <v>0</v>
      </c>
      <c r="ES261" s="6">
        <f>SUMIF('Eredeti fejléccel'!$B:$B,'Felosztás eredménykim'!$B261,'Eredeti fejléccel'!$CH:$CH)</f>
        <v>0</v>
      </c>
      <c r="ET261" s="6">
        <f>SUMIF('Eredeti fejléccel'!$B:$B,'Felosztás eredménykim'!$B261,'Eredeti fejléccel'!$CI:$CI)</f>
        <v>0</v>
      </c>
      <c r="EW261" s="8">
        <f t="shared" si="535"/>
        <v>0</v>
      </c>
      <c r="EX261" s="8">
        <f t="shared" si="527"/>
        <v>0</v>
      </c>
      <c r="EY261" s="8">
        <f t="shared" si="416"/>
        <v>-157668</v>
      </c>
      <c r="EZ261" s="8">
        <f t="shared" si="536"/>
        <v>-157668</v>
      </c>
      <c r="FA261" s="8">
        <f t="shared" si="537"/>
        <v>-157668</v>
      </c>
      <c r="FC261" s="6">
        <f>SUMIF('Eredeti fejléccel'!$B:$B,'Felosztás eredménykim'!$B261,'Eredeti fejléccel'!$L:$L)</f>
        <v>0</v>
      </c>
      <c r="FD261" s="6">
        <f>SUMIF('Eredeti fejléccel'!$B:$B,'Felosztás eredménykim'!$B261,'Eredeti fejléccel'!$CJ:$CJ)</f>
        <v>0</v>
      </c>
      <c r="FE261" s="6">
        <f>SUMIF('Eredeti fejléccel'!$B:$B,'Felosztás eredménykim'!$B261,'Eredeti fejléccel'!$CL:$CL)</f>
        <v>0</v>
      </c>
      <c r="FG261" s="99">
        <f t="shared" si="528"/>
        <v>0</v>
      </c>
      <c r="FH261" s="6">
        <f>SUMIF('Eredeti fejléccel'!$B:$B,'Felosztás eredménykim'!$B261,'Eredeti fejléccel'!$CK:$CK)</f>
        <v>0</v>
      </c>
      <c r="FI261" s="36">
        <f t="shared" si="558"/>
        <v>0</v>
      </c>
      <c r="FJ261" s="101">
        <f t="shared" si="408"/>
        <v>0</v>
      </c>
      <c r="FK261" s="6">
        <f>SUMIF('Eredeti fejléccel'!$B:$B,'Felosztás eredménykim'!$B261,'Eredeti fejléccel'!$CM:$CM)</f>
        <v>0</v>
      </c>
      <c r="FL261" s="6">
        <f>SUMIF('Eredeti fejléccel'!$B:$B,'Felosztás eredménykim'!$B261,'Eredeti fejléccel'!$CN:$CN)</f>
        <v>0</v>
      </c>
      <c r="FM261" s="8">
        <f t="shared" si="529"/>
        <v>0</v>
      </c>
      <c r="FN261" s="36">
        <f t="shared" si="559"/>
        <v>0</v>
      </c>
      <c r="FO261" s="101">
        <f t="shared" si="409"/>
        <v>0</v>
      </c>
      <c r="FP261" s="6">
        <f>SUMIF('Eredeti fejléccel'!$B:$B,'Felosztás eredménykim'!$B261,'Eredeti fejléccel'!$CO:$CO)</f>
        <v>0</v>
      </c>
      <c r="FQ261" s="6">
        <f>'Eredeti fejléccel'!CP261</f>
        <v>0</v>
      </c>
      <c r="FR261" s="6">
        <f>'Eredeti fejléccel'!CQ261</f>
        <v>0</v>
      </c>
      <c r="FS261" s="103">
        <f t="shared" si="417"/>
        <v>0</v>
      </c>
      <c r="FT261" s="36">
        <f t="shared" si="560"/>
        <v>0</v>
      </c>
      <c r="FU261" s="101">
        <f t="shared" si="410"/>
        <v>0</v>
      </c>
      <c r="FV261" s="101"/>
      <c r="FW261" s="6">
        <f>SUMIF('Eredeti fejléccel'!$B:$B,'Felosztás eredménykim'!$B261,'Eredeti fejléccel'!$CR:$CR)</f>
        <v>0</v>
      </c>
      <c r="FX261" s="6">
        <f>SUMIF('Eredeti fejléccel'!$B:$B,'Felosztás eredménykim'!$B261,'Eredeti fejléccel'!$CS:$CS)</f>
        <v>0</v>
      </c>
      <c r="FY261" s="6">
        <f>SUMIF('Eredeti fejléccel'!$B:$B,'Felosztás eredménykim'!$B261,'Eredeti fejléccel'!$CT:$CT)</f>
        <v>0</v>
      </c>
      <c r="FZ261" s="6">
        <f>SUMIF('Eredeti fejléccel'!$B:$B,'Felosztás eredménykim'!$B261,'Eredeti fejléccel'!$CU:$CU)</f>
        <v>0</v>
      </c>
      <c r="GA261" s="103">
        <f t="shared" si="530"/>
        <v>0</v>
      </c>
      <c r="GB261" s="36">
        <f t="shared" si="561"/>
        <v>0</v>
      </c>
      <c r="GC261" s="101">
        <f t="shared" si="411"/>
        <v>0</v>
      </c>
      <c r="GD261" s="6">
        <f>SUMIF('Eredeti fejléccel'!$B:$B,'Felosztás eredménykim'!$B261,'Eredeti fejléccel'!$CV:$CV)</f>
        <v>-10000</v>
      </c>
      <c r="GE261" s="6">
        <f>SUMIF('Eredeti fejléccel'!$B:$B,'Felosztás eredménykim'!$B261,'Eredeti fejléccel'!$CW:$CW)</f>
        <v>0</v>
      </c>
      <c r="GF261" s="103">
        <f t="shared" si="531"/>
        <v>-10000</v>
      </c>
      <c r="GG261" s="36">
        <f t="shared" si="412"/>
        <v>0</v>
      </c>
      <c r="GM261" s="6">
        <f>SUMIF('Eredeti fejléccel'!$B:$B,'Felosztás eredménykim'!$B261,'Eredeti fejléccel'!$CX:$CX)</f>
        <v>0</v>
      </c>
      <c r="GN261" s="6">
        <f>SUMIF('Eredeti fejléccel'!$B:$B,'Felosztás eredménykim'!$B261,'Eredeti fejléccel'!$CY:$CY)</f>
        <v>0</v>
      </c>
      <c r="GO261" s="6">
        <f>SUMIF('Eredeti fejléccel'!$B:$B,'Felosztás eredménykim'!$B261,'Eredeti fejléccel'!$CZ:$CZ)</f>
        <v>0</v>
      </c>
      <c r="GP261" s="6">
        <f>SUMIF('Eredeti fejléccel'!$B:$B,'Felosztás eredménykim'!$B261,'Eredeti fejléccel'!$DA:$DA)</f>
        <v>0</v>
      </c>
      <c r="GQ261" s="6">
        <f>SUMIF('Eredeti fejléccel'!$B:$B,'Felosztás eredménykim'!$B261,'Eredeti fejléccel'!$DB:$DB)</f>
        <v>0</v>
      </c>
      <c r="GR261" s="103">
        <f t="shared" si="532"/>
        <v>0</v>
      </c>
      <c r="GW261" s="36">
        <f t="shared" si="413"/>
        <v>0</v>
      </c>
      <c r="GX261" s="6">
        <f>SUMIF('Eredeti fejléccel'!$B:$B,'Felosztás eredménykim'!$B261,'Eredeti fejléccel'!$M:$M)</f>
        <v>0</v>
      </c>
      <c r="GY261" s="6">
        <f>SUMIF('Eredeti fejléccel'!$B:$B,'Felosztás eredménykim'!$B261,'Eredeti fejléccel'!$DC:$DC)</f>
        <v>0</v>
      </c>
      <c r="GZ261" s="6">
        <f>SUMIF('Eredeti fejléccel'!$B:$B,'Felosztás eredménykim'!$B261,'Eredeti fejléccel'!$DD:$DD)</f>
        <v>0</v>
      </c>
      <c r="HA261" s="6">
        <f>SUMIF('Eredeti fejléccel'!$B:$B,'Felosztás eredménykim'!$B261,'Eredeti fejléccel'!$DE:$DE)</f>
        <v>0</v>
      </c>
      <c r="HB261" s="103">
        <f t="shared" si="533"/>
        <v>0</v>
      </c>
      <c r="HD261" s="9">
        <f t="shared" si="547"/>
        <v>-181068</v>
      </c>
      <c r="HE261" s="9">
        <v>-181068</v>
      </c>
      <c r="HF261" s="476"/>
      <c r="HH261" s="34">
        <f t="shared" si="534"/>
        <v>0</v>
      </c>
    </row>
    <row r="262" spans="1:218" x14ac:dyDescent="0.25">
      <c r="A262" s="325" t="s">
        <v>788</v>
      </c>
      <c r="B262" s="4" t="s">
        <v>788</v>
      </c>
      <c r="C262" s="1" t="s">
        <v>789</v>
      </c>
      <c r="D262" s="6">
        <f>SUMIF('Eredeti fejléccel'!$B:$B,'Felosztás eredménykim'!$B262,'Eredeti fejléccel'!$D:$D)</f>
        <v>0</v>
      </c>
      <c r="E262" s="6">
        <f>SUMIF('Eredeti fejléccel'!$B:$B,'Felosztás eredménykim'!$B262,'Eredeti fejléccel'!$E:$E)</f>
        <v>0</v>
      </c>
      <c r="F262" s="6">
        <f>SUMIF('Eredeti fejléccel'!$B:$B,'Felosztás eredménykim'!$B262,'Eredeti fejléccel'!$F:$F)</f>
        <v>0</v>
      </c>
      <c r="G262" s="6">
        <f>SUMIF('Eredeti fejléccel'!$B:$B,'Felosztás eredménykim'!$B262,'Eredeti fejléccel'!$G:$G)</f>
        <v>0</v>
      </c>
      <c r="H262" s="6"/>
      <c r="I262" s="6">
        <f>SUMIF('Eredeti fejléccel'!$B:$B,'Felosztás eredménykim'!$B262,'Eredeti fejléccel'!$O:$O)</f>
        <v>0</v>
      </c>
      <c r="J262" s="6">
        <f>SUMIF('Eredeti fejléccel'!$B:$B,'Felosztás eredménykim'!$B262,'Eredeti fejléccel'!$P:$P)</f>
        <v>0</v>
      </c>
      <c r="K262" s="6">
        <f>SUMIF('Eredeti fejléccel'!$B:$B,'Felosztás eredménykim'!$B262,'Eredeti fejléccel'!$Q:$Q)</f>
        <v>0</v>
      </c>
      <c r="L262" s="6">
        <f>SUMIF('Eredeti fejléccel'!$B:$B,'Felosztás eredménykim'!$B262,'Eredeti fejléccel'!$R:$R)</f>
        <v>0</v>
      </c>
      <c r="M262" s="6">
        <f>SUMIF('Eredeti fejléccel'!$B:$B,'Felosztás eredménykim'!$B262,'Eredeti fejléccel'!$T:$T)</f>
        <v>0</v>
      </c>
      <c r="N262" s="6">
        <f>SUMIF('Eredeti fejléccel'!$B:$B,'Felosztás eredménykim'!$B262,'Eredeti fejléccel'!$U:$U)</f>
        <v>0</v>
      </c>
      <c r="O262" s="6">
        <f>SUMIF('Eredeti fejléccel'!$B:$B,'Felosztás eredménykim'!$B262,'Eredeti fejléccel'!$V:$V)</f>
        <v>0</v>
      </c>
      <c r="P262" s="6">
        <f>SUMIF('Eredeti fejléccel'!$B:$B,'Felosztás eredménykim'!$B262,'Eredeti fejléccel'!$W:$W)</f>
        <v>0</v>
      </c>
      <c r="Q262" s="6">
        <f>SUMIF('Eredeti fejléccel'!$B:$B,'Felosztás eredménykim'!$B262,'Eredeti fejléccel'!$X:$X)</f>
        <v>0</v>
      </c>
      <c r="R262" s="6">
        <f>SUMIF('Eredeti fejléccel'!$B:$B,'Felosztás eredménykim'!$B262,'Eredeti fejléccel'!$Y:$Y)</f>
        <v>0</v>
      </c>
      <c r="S262" s="6">
        <f>SUMIF('Eredeti fejléccel'!$B:$B,'Felosztás eredménykim'!$B262,'Eredeti fejléccel'!$Z:$Z)</f>
        <v>0</v>
      </c>
      <c r="T262" s="6">
        <f>SUMIF('Eredeti fejléccel'!$B:$B,'Felosztás eredménykim'!$B262,'Eredeti fejléccel'!$AA:$AA)</f>
        <v>0</v>
      </c>
      <c r="U262" s="6">
        <f>SUMIF('Eredeti fejléccel'!$B:$B,'Felosztás eredménykim'!$B262,'Eredeti fejléccel'!$D:$D)</f>
        <v>0</v>
      </c>
      <c r="V262" s="6">
        <f>SUMIF('Eredeti fejléccel'!$B:$B,'Felosztás eredménykim'!$B262,'Eredeti fejléccel'!$AT:$AT)</f>
        <v>0</v>
      </c>
      <c r="X262" s="36">
        <f t="shared" si="414"/>
        <v>0</v>
      </c>
      <c r="Z262" s="6">
        <f>SUMIF('Eredeti fejléccel'!$B:$B,'Felosztás eredménykim'!$B262,'Eredeti fejléccel'!$K:$K)</f>
        <v>0</v>
      </c>
      <c r="AB262" s="6">
        <f>SUMIF('Eredeti fejléccel'!$B:$B,'Felosztás eredménykim'!$B262,'Eredeti fejléccel'!$AB:$AB)</f>
        <v>0</v>
      </c>
      <c r="AC262" s="6">
        <f>SUMIF('Eredeti fejléccel'!$B:$B,'Felosztás eredménykim'!$B262,'Eredeti fejléccel'!$AQ:$AQ)</f>
        <v>0</v>
      </c>
      <c r="AE262" s="73">
        <f t="shared" si="548"/>
        <v>0</v>
      </c>
      <c r="AF262" s="36">
        <f t="shared" si="549"/>
        <v>0</v>
      </c>
      <c r="AG262" s="8">
        <f t="shared" ref="AG262:AG268" si="620">$AE262/$HD$291*AG$290</f>
        <v>0</v>
      </c>
      <c r="AI262" s="6">
        <f>SUMIF('Eredeti fejléccel'!$B:$B,'Felosztás eredménykim'!$B262,'Eredeti fejléccel'!$BB:$BB)</f>
        <v>0</v>
      </c>
      <c r="AJ262" s="6">
        <f>SUMIF('Eredeti fejléccel'!$B:$B,'Felosztás eredménykim'!$B262,'Eredeti fejléccel'!$AF:$AF)</f>
        <v>0</v>
      </c>
      <c r="AK262" s="8">
        <f t="shared" si="522"/>
        <v>0</v>
      </c>
      <c r="AL262" s="36">
        <f t="shared" si="550"/>
        <v>0</v>
      </c>
      <c r="AM262" s="8">
        <f t="shared" ref="AM262:AM268" si="621">$AE262/$HD$291*AM$290</f>
        <v>0</v>
      </c>
      <c r="AN262" s="6">
        <f t="shared" si="538"/>
        <v>0</v>
      </c>
      <c r="AO262" s="6">
        <f>SUMIF('Eredeti fejléccel'!$B:$B,'Felosztás eredménykim'!$B262,'Eredeti fejléccel'!$AC:$AC)</f>
        <v>0</v>
      </c>
      <c r="AP262" s="6">
        <f>SUMIF('Eredeti fejléccel'!$B:$B,'Felosztás eredménykim'!$B262,'Eredeti fejléccel'!$AD:$AD)</f>
        <v>0</v>
      </c>
      <c r="AQ262" s="6">
        <f>SUMIF('Eredeti fejléccel'!$B:$B,'Felosztás eredménykim'!$B262,'Eredeti fejléccel'!$AE:$AE)</f>
        <v>0</v>
      </c>
      <c r="AR262" s="6">
        <f>SUMIF('Eredeti fejléccel'!$B:$B,'Felosztás eredménykim'!$B262,'Eredeti fejléccel'!$AG:$AG)</f>
        <v>0</v>
      </c>
      <c r="AS262" s="6">
        <f t="shared" si="539"/>
        <v>0</v>
      </c>
      <c r="AT262" s="36">
        <f t="shared" si="551"/>
        <v>0</v>
      </c>
      <c r="AU262" s="8">
        <f t="shared" ref="AU262:AU268" si="622">$AE262/$HD$291*AU$290</f>
        <v>0</v>
      </c>
      <c r="AV262" s="6">
        <f>SUMIF('Eredeti fejléccel'!$B:$B,'Felosztás eredménykim'!$B262,'Eredeti fejléccel'!$AI:$AI)</f>
        <v>0</v>
      </c>
      <c r="AW262" s="6">
        <f>SUMIF('Eredeti fejléccel'!$B:$B,'Felosztás eredménykim'!$B262,'Eredeti fejléccel'!$AJ:$AJ)</f>
        <v>0</v>
      </c>
      <c r="AX262" s="6">
        <f>SUMIF('Eredeti fejléccel'!$B:$B,'Felosztás eredménykim'!$B262,'Eredeti fejléccel'!$AK:$AK)</f>
        <v>0</v>
      </c>
      <c r="AY262" s="6">
        <f>SUMIF('Eredeti fejléccel'!$B:$B,'Felosztás eredménykim'!$B262,'Eredeti fejléccel'!$AL:$AL)</f>
        <v>0</v>
      </c>
      <c r="AZ262" s="6">
        <f>SUMIF('Eredeti fejléccel'!$B:$B,'Felosztás eredménykim'!$B262,'Eredeti fejléccel'!$AM:$AM)</f>
        <v>0</v>
      </c>
      <c r="BA262" s="6">
        <f>SUMIF('Eredeti fejléccel'!$B:$B,'Felosztás eredménykim'!$B262,'Eredeti fejléccel'!$AN:$AN)</f>
        <v>0</v>
      </c>
      <c r="BB262" s="6">
        <f>SUMIF('Eredeti fejléccel'!$B:$B,'Felosztás eredménykim'!$B262,'Eredeti fejléccel'!$AP:$AP)</f>
        <v>0</v>
      </c>
      <c r="BD262" s="6">
        <f>SUMIF('Eredeti fejléccel'!$B:$B,'Felosztás eredménykim'!$B262,'Eredeti fejléccel'!$AS:$AS)</f>
        <v>0</v>
      </c>
      <c r="BE262" s="8">
        <f t="shared" si="523"/>
        <v>0</v>
      </c>
      <c r="BF262" s="36">
        <f t="shared" si="552"/>
        <v>0</v>
      </c>
      <c r="BG262" s="8">
        <f t="shared" ref="BG262:BG268" si="623">$AE262/$HD$291*BG$290</f>
        <v>0</v>
      </c>
      <c r="BH262" s="6">
        <f t="shared" si="540"/>
        <v>0</v>
      </c>
      <c r="BI262" s="6">
        <f>SUMIF('Eredeti fejléccel'!$B:$B,'Felosztás eredménykim'!$B262,'Eredeti fejléccel'!$AH:$AH)</f>
        <v>0</v>
      </c>
      <c r="BJ262" s="6">
        <f>SUMIF('Eredeti fejléccel'!$B:$B,'Felosztás eredménykim'!$B262,'Eredeti fejléccel'!$AO:$AO)</f>
        <v>0</v>
      </c>
      <c r="BK262" s="6">
        <f>SUMIF('Eredeti fejléccel'!$B:$B,'Felosztás eredménykim'!$B262,'Eredeti fejléccel'!$BF:$BF)</f>
        <v>0</v>
      </c>
      <c r="BL262" s="8">
        <f t="shared" si="541"/>
        <v>0</v>
      </c>
      <c r="BM262" s="36">
        <f t="shared" si="553"/>
        <v>0</v>
      </c>
      <c r="BN262" s="8">
        <f t="shared" ref="BN262:BN268" si="624">$AE262/$HD$291*BN$290</f>
        <v>0</v>
      </c>
      <c r="BP262" s="8">
        <f t="shared" si="542"/>
        <v>0</v>
      </c>
      <c r="BQ262" s="6">
        <f>SUMIF('Eredeti fejléccel'!$B:$B,'Felosztás eredménykim'!$B262,'Eredeti fejléccel'!$N:$N)</f>
        <v>0</v>
      </c>
      <c r="BR262" s="6">
        <f>SUMIF('Eredeti fejléccel'!$B:$B,'Felosztás eredménykim'!$B262,'Eredeti fejléccel'!$S:$S)</f>
        <v>0</v>
      </c>
      <c r="BT262" s="6">
        <f>SUMIF('Eredeti fejléccel'!$B:$B,'Felosztás eredménykim'!$B262,'Eredeti fejléccel'!$AR:$AR)</f>
        <v>0</v>
      </c>
      <c r="BU262" s="6">
        <f>SUMIF('Eredeti fejléccel'!$B:$B,'Felosztás eredménykim'!$B262,'Eredeti fejléccel'!$AU:$AU)</f>
        <v>0</v>
      </c>
      <c r="BV262" s="6">
        <f>SUMIF('Eredeti fejléccel'!$B:$B,'Felosztás eredménykim'!$B262,'Eredeti fejléccel'!$AV:$AV)</f>
        <v>0</v>
      </c>
      <c r="BW262" s="6">
        <f>SUMIF('Eredeti fejléccel'!$B:$B,'Felosztás eredménykim'!$B262,'Eredeti fejléccel'!$AW:$AW)</f>
        <v>0</v>
      </c>
      <c r="BX262" s="6">
        <f>SUMIF('Eredeti fejléccel'!$B:$B,'Felosztás eredménykim'!$B262,'Eredeti fejléccel'!$AX:$AX)</f>
        <v>0</v>
      </c>
      <c r="BY262" s="6">
        <f>SUMIF('Eredeti fejléccel'!$B:$B,'Felosztás eredménykim'!$B262,'Eredeti fejléccel'!$AY:$AY)</f>
        <v>0</v>
      </c>
      <c r="BZ262" s="6">
        <f>SUMIF('Eredeti fejléccel'!$B:$B,'Felosztás eredménykim'!$B262,'Eredeti fejléccel'!$AZ:$AZ)</f>
        <v>0</v>
      </c>
      <c r="CA262" s="6">
        <f>SUMIF('Eredeti fejléccel'!$B:$B,'Felosztás eredménykim'!$B262,'Eredeti fejléccel'!$BA:$BA)</f>
        <v>0</v>
      </c>
      <c r="CB262" s="6">
        <f t="shared" si="481"/>
        <v>0</v>
      </c>
      <c r="CC262" s="36">
        <f t="shared" si="554"/>
        <v>0</v>
      </c>
      <c r="CD262" s="8">
        <f t="shared" ref="CD262:CD268" si="625">$AE262/$HD$291*CD$290</f>
        <v>0</v>
      </c>
      <c r="CE262" s="6">
        <f>SUMIF('Eredeti fejléccel'!$B:$B,'Felosztás eredménykim'!$B262,'Eredeti fejléccel'!$BC:$BC)</f>
        <v>0</v>
      </c>
      <c r="CF262" s="8">
        <f t="shared" si="555"/>
        <v>0</v>
      </c>
      <c r="CG262" s="6">
        <f>SUMIF('Eredeti fejléccel'!$B:$B,'Felosztás eredménykim'!$B262,'Eredeti fejléccel'!$H:$H)</f>
        <v>0</v>
      </c>
      <c r="CH262" s="6">
        <f>SUMIF('Eredeti fejléccel'!$B:$B,'Felosztás eredménykim'!$B262,'Eredeti fejléccel'!$BE:$BE)</f>
        <v>0</v>
      </c>
      <c r="CI262" s="6">
        <f t="shared" si="524"/>
        <v>0</v>
      </c>
      <c r="CJ262" s="36">
        <f t="shared" si="556"/>
        <v>0</v>
      </c>
      <c r="CK262" s="8">
        <f t="shared" ref="CK262:CK268" si="626">$AE262/$HD$291*CK$290</f>
        <v>0</v>
      </c>
      <c r="CL262" s="8">
        <f t="shared" si="557"/>
        <v>0</v>
      </c>
      <c r="CM262" s="6">
        <f>SUMIF('Eredeti fejléccel'!$B:$B,'Felosztás eredménykim'!$B262,'Eredeti fejléccel'!$BD:$BD)</f>
        <v>0</v>
      </c>
      <c r="CN262" s="8">
        <f t="shared" si="525"/>
        <v>0</v>
      </c>
      <c r="CO262" s="8">
        <f t="shared" si="482"/>
        <v>0</v>
      </c>
      <c r="CR262" s="36">
        <f t="shared" ref="CR262:CR268" si="627">$X262/$HD$290*CR$290</f>
        <v>0</v>
      </c>
      <c r="CS262" s="6">
        <f>SUMIF('Eredeti fejléccel'!$B:$B,'Felosztás eredménykim'!$B262,'Eredeti fejléccel'!$I:$I)</f>
        <v>0</v>
      </c>
      <c r="CT262" s="6">
        <f>SUMIF('Eredeti fejléccel'!$B:$B,'Felosztás eredménykim'!$B262,'Eredeti fejléccel'!$BG:$BG)</f>
        <v>0</v>
      </c>
      <c r="CU262" s="6">
        <f>SUMIF('Eredeti fejléccel'!$B:$B,'Felosztás eredménykim'!$B262,'Eredeti fejléccel'!$BH:$BH)</f>
        <v>0</v>
      </c>
      <c r="CV262" s="6">
        <f>SUMIF('Eredeti fejléccel'!$B:$B,'Felosztás eredménykim'!$B262,'Eredeti fejléccel'!$BI:$BI)</f>
        <v>0</v>
      </c>
      <c r="CW262" s="6">
        <f>SUMIF('Eredeti fejléccel'!$B:$B,'Felosztás eredménykim'!$B262,'Eredeti fejléccel'!$BL:$BL)</f>
        <v>0</v>
      </c>
      <c r="CX262" s="6">
        <f t="shared" si="526"/>
        <v>0</v>
      </c>
      <c r="CY262" s="6">
        <f>SUMIF('Eredeti fejléccel'!$B:$B,'Felosztás eredménykim'!$B262,'Eredeti fejléccel'!$BJ:$BJ)</f>
        <v>0</v>
      </c>
      <c r="CZ262" s="6">
        <f>SUMIF('Eredeti fejléccel'!$B:$B,'Felosztás eredménykim'!$B262,'Eredeti fejléccel'!$BK:$BK)</f>
        <v>0</v>
      </c>
      <c r="DA262" s="99">
        <f t="shared" si="415"/>
        <v>0</v>
      </c>
      <c r="DC262" s="36">
        <f t="shared" ref="DC262:DC268" si="628">$X262/$HD$290*DC$290</f>
        <v>0</v>
      </c>
      <c r="DD262" s="6">
        <f>SUMIF('Eredeti fejléccel'!$B:$B,'Felosztás eredménykim'!$B262,'Eredeti fejléccel'!$J:$J)</f>
        <v>0</v>
      </c>
      <c r="DE262" s="6">
        <f>SUMIF('Eredeti fejléccel'!$B:$B,'Felosztás eredménykim'!$B262,'Eredeti fejléccel'!$BM:$BM)</f>
        <v>0</v>
      </c>
      <c r="DF262" s="6">
        <f t="shared" si="543"/>
        <v>0</v>
      </c>
      <c r="DG262" s="8">
        <f t="shared" si="483"/>
        <v>0</v>
      </c>
      <c r="DH262" s="8">
        <f t="shared" si="544"/>
        <v>0</v>
      </c>
      <c r="DJ262" s="6">
        <f>SUMIF('Eredeti fejléccel'!$B:$B,'Felosztás eredménykim'!$B262,'Eredeti fejléccel'!$BN:$BN)</f>
        <v>0</v>
      </c>
      <c r="DK262" s="6">
        <f>SUMIF('Eredeti fejléccel'!$B:$B,'Felosztás eredménykim'!$B262,'Eredeti fejléccel'!$BZ:$BZ)</f>
        <v>0</v>
      </c>
      <c r="DL262" s="8">
        <f t="shared" si="545"/>
        <v>0</v>
      </c>
      <c r="DM262" s="6">
        <f>SUMIF('Eredeti fejléccel'!$B:$B,'Felosztás eredménykim'!$B262,'Eredeti fejléccel'!$BR:$BR)</f>
        <v>0</v>
      </c>
      <c r="DN262" s="6">
        <f>SUMIF('Eredeti fejléccel'!$B:$B,'Felosztás eredménykim'!$B262,'Eredeti fejléccel'!$BS:$BS)</f>
        <v>0</v>
      </c>
      <c r="DO262" s="6">
        <f>SUMIF('Eredeti fejléccel'!$B:$B,'Felosztás eredménykim'!$B262,'Eredeti fejléccel'!$BO:$BO)</f>
        <v>0</v>
      </c>
      <c r="DP262" s="6">
        <f>SUMIF('Eredeti fejléccel'!$B:$B,'Felosztás eredménykim'!$B262,'Eredeti fejléccel'!$BP:$BP)</f>
        <v>0</v>
      </c>
      <c r="DQ262" s="6">
        <f>SUMIF('Eredeti fejléccel'!$B:$B,'Felosztás eredménykim'!$B262,'Eredeti fejléccel'!$BQ:$BQ)</f>
        <v>0</v>
      </c>
      <c r="DS262" s="8"/>
      <c r="DU262" s="6">
        <f>SUMIF('Eredeti fejléccel'!$B:$B,'Felosztás eredménykim'!$B262,'Eredeti fejléccel'!$BT:$BT)</f>
        <v>0</v>
      </c>
      <c r="DV262" s="6">
        <f>SUMIF('Eredeti fejléccel'!$B:$B,'Felosztás eredménykim'!$B262,'Eredeti fejléccel'!$BU:$BU)</f>
        <v>0</v>
      </c>
      <c r="DW262" s="6">
        <f>SUMIF('Eredeti fejléccel'!$B:$B,'Felosztás eredménykim'!$B262,'Eredeti fejléccel'!$BV:$BV)</f>
        <v>0</v>
      </c>
      <c r="DX262" s="6">
        <f>SUMIF('Eredeti fejléccel'!$B:$B,'Felosztás eredménykim'!$B262,'Eredeti fejléccel'!$BW:$BW)</f>
        <v>0</v>
      </c>
      <c r="DY262" s="6">
        <f>SUMIF('Eredeti fejléccel'!$B:$B,'Felosztás eredménykim'!$B262,'Eredeti fejléccel'!$BX:$BX)</f>
        <v>0</v>
      </c>
      <c r="EA262" s="6"/>
      <c r="EC262" s="6"/>
      <c r="EE262" s="6">
        <f>SUMIF('Eredeti fejléccel'!$B:$B,'Felosztás eredménykim'!$B262,'Eredeti fejléccel'!$CA:$CA)</f>
        <v>0</v>
      </c>
      <c r="EF262" s="6">
        <f>SUMIF('Eredeti fejléccel'!$B:$B,'Felosztás eredménykim'!$B262,'Eredeti fejléccel'!$CB:$CB)</f>
        <v>0</v>
      </c>
      <c r="EG262" s="6">
        <f>SUMIF('Eredeti fejléccel'!$B:$B,'Felosztás eredménykim'!$B262,'Eredeti fejléccel'!$CC:$CC)</f>
        <v>0</v>
      </c>
      <c r="EH262" s="6">
        <f>SUMIF('Eredeti fejléccel'!$B:$B,'Felosztás eredménykim'!$B262,'Eredeti fejléccel'!$CD:$CD)</f>
        <v>0</v>
      </c>
      <c r="EK262" s="6">
        <f>SUMIF('Eredeti fejléccel'!$B:$B,'Felosztás eredménykim'!$B262,'Eredeti fejléccel'!$CE:$CE)</f>
        <v>0</v>
      </c>
      <c r="EN262" s="6">
        <f>SUMIF('Eredeti fejléccel'!$B:$B,'Felosztás eredménykim'!$B262,'Eredeti fejléccel'!$CF:$CF)</f>
        <v>0</v>
      </c>
      <c r="EP262" s="6">
        <f>SUMIF('Eredeti fejléccel'!$B:$B,'Felosztás eredménykim'!$B262,'Eredeti fejléccel'!$CG:$CG)</f>
        <v>0</v>
      </c>
      <c r="ES262" s="6">
        <f>SUMIF('Eredeti fejléccel'!$B:$B,'Felosztás eredménykim'!$B262,'Eredeti fejléccel'!$CH:$CH)</f>
        <v>0</v>
      </c>
      <c r="ET262" s="6">
        <f>SUMIF('Eredeti fejléccel'!$B:$B,'Felosztás eredménykim'!$B262,'Eredeti fejléccel'!$CI:$CI)</f>
        <v>0</v>
      </c>
      <c r="EW262" s="8">
        <f t="shared" si="535"/>
        <v>0</v>
      </c>
      <c r="EX262" s="8">
        <f t="shared" si="527"/>
        <v>0</v>
      </c>
      <c r="EY262" s="8">
        <f t="shared" si="416"/>
        <v>0</v>
      </c>
      <c r="EZ262" s="8">
        <f t="shared" si="536"/>
        <v>0</v>
      </c>
      <c r="FA262" s="8">
        <f t="shared" si="537"/>
        <v>0</v>
      </c>
      <c r="FC262" s="6">
        <f>SUMIF('Eredeti fejléccel'!$B:$B,'Felosztás eredménykim'!$B262,'Eredeti fejléccel'!$L:$L)</f>
        <v>0</v>
      </c>
      <c r="FD262" s="6">
        <f>SUMIF('Eredeti fejléccel'!$B:$B,'Felosztás eredménykim'!$B262,'Eredeti fejléccel'!$CJ:$CJ)</f>
        <v>0</v>
      </c>
      <c r="FE262" s="6">
        <f>SUMIF('Eredeti fejléccel'!$B:$B,'Felosztás eredménykim'!$B262,'Eredeti fejléccel'!$CL:$CL)</f>
        <v>0</v>
      </c>
      <c r="FG262" s="99">
        <f t="shared" si="528"/>
        <v>0</v>
      </c>
      <c r="FH262" s="6">
        <f>SUMIF('Eredeti fejléccel'!$B:$B,'Felosztás eredménykim'!$B262,'Eredeti fejléccel'!$CK:$CK)</f>
        <v>0</v>
      </c>
      <c r="FI262" s="36">
        <f t="shared" si="558"/>
        <v>0</v>
      </c>
      <c r="FJ262" s="101">
        <f t="shared" ref="FJ262:FJ268" si="629">$FG262/$HD$292*FJ$292</f>
        <v>0</v>
      </c>
      <c r="FK262" s="6">
        <f>SUMIF('Eredeti fejléccel'!$B:$B,'Felosztás eredménykim'!$B262,'Eredeti fejléccel'!$CM:$CM)</f>
        <v>0</v>
      </c>
      <c r="FL262" s="6">
        <f>SUMIF('Eredeti fejléccel'!$B:$B,'Felosztás eredménykim'!$B262,'Eredeti fejléccel'!$CN:$CN)</f>
        <v>0</v>
      </c>
      <c r="FM262" s="8">
        <f t="shared" si="529"/>
        <v>0</v>
      </c>
      <c r="FN262" s="36">
        <f t="shared" si="559"/>
        <v>0</v>
      </c>
      <c r="FO262" s="101">
        <f t="shared" ref="FO262:FO268" si="630">$FG262/$HD$292*FO$292</f>
        <v>0</v>
      </c>
      <c r="FP262" s="6">
        <f>SUMIF('Eredeti fejléccel'!$B:$B,'Felosztás eredménykim'!$B262,'Eredeti fejléccel'!$CO:$CO)</f>
        <v>0</v>
      </c>
      <c r="FQ262" s="6">
        <f>'Eredeti fejléccel'!CP262</f>
        <v>0</v>
      </c>
      <c r="FR262" s="6">
        <f>'Eredeti fejléccel'!CQ262</f>
        <v>0</v>
      </c>
      <c r="FS262" s="103">
        <f t="shared" si="417"/>
        <v>0</v>
      </c>
      <c r="FT262" s="36">
        <f t="shared" si="560"/>
        <v>0</v>
      </c>
      <c r="FU262" s="101">
        <f t="shared" ref="FU262:FU268" si="631">$FG262/$HD$292*FU$292</f>
        <v>0</v>
      </c>
      <c r="FV262" s="101"/>
      <c r="FW262" s="6">
        <f>SUMIF('Eredeti fejléccel'!$B:$B,'Felosztás eredménykim'!$B262,'Eredeti fejléccel'!$CR:$CR)</f>
        <v>0</v>
      </c>
      <c r="FX262" s="6">
        <f>SUMIF('Eredeti fejléccel'!$B:$B,'Felosztás eredménykim'!$B262,'Eredeti fejléccel'!$CS:$CS)</f>
        <v>0</v>
      </c>
      <c r="FY262" s="6">
        <f>SUMIF('Eredeti fejléccel'!$B:$B,'Felosztás eredménykim'!$B262,'Eredeti fejléccel'!$CT:$CT)</f>
        <v>0</v>
      </c>
      <c r="FZ262" s="6">
        <f>SUMIF('Eredeti fejléccel'!$B:$B,'Felosztás eredménykim'!$B262,'Eredeti fejléccel'!$CU:$CU)</f>
        <v>0</v>
      </c>
      <c r="GA262" s="103">
        <f t="shared" si="530"/>
        <v>0</v>
      </c>
      <c r="GB262" s="36">
        <f t="shared" si="561"/>
        <v>0</v>
      </c>
      <c r="GC262" s="101">
        <f t="shared" ref="GC262:GC268" si="632">$FG262/$HD$292*GC$292</f>
        <v>0</v>
      </c>
      <c r="GD262" s="6">
        <f>SUMIF('Eredeti fejléccel'!$B:$B,'Felosztás eredménykim'!$B262,'Eredeti fejléccel'!$CV:$CV)</f>
        <v>0</v>
      </c>
      <c r="GE262" s="6">
        <f>SUMIF('Eredeti fejléccel'!$B:$B,'Felosztás eredménykim'!$B262,'Eredeti fejléccel'!$CW:$CW)</f>
        <v>0</v>
      </c>
      <c r="GF262" s="103">
        <f t="shared" si="531"/>
        <v>0</v>
      </c>
      <c r="GG262" s="36">
        <f t="shared" ref="GG262:GG268" si="633">$X262/$HD$290*GG$290</f>
        <v>0</v>
      </c>
      <c r="GM262" s="6">
        <f>SUMIF('Eredeti fejléccel'!$B:$B,'Felosztás eredménykim'!$B262,'Eredeti fejléccel'!$CX:$CX)</f>
        <v>0</v>
      </c>
      <c r="GN262" s="6">
        <f>SUMIF('Eredeti fejléccel'!$B:$B,'Felosztás eredménykim'!$B262,'Eredeti fejléccel'!$CY:$CY)</f>
        <v>0</v>
      </c>
      <c r="GO262" s="6">
        <f>SUMIF('Eredeti fejléccel'!$B:$B,'Felosztás eredménykim'!$B262,'Eredeti fejléccel'!$CZ:$CZ)</f>
        <v>0</v>
      </c>
      <c r="GP262" s="6">
        <f>SUMIF('Eredeti fejléccel'!$B:$B,'Felosztás eredménykim'!$B262,'Eredeti fejléccel'!$DA:$DA)</f>
        <v>0</v>
      </c>
      <c r="GQ262" s="6">
        <f>SUMIF('Eredeti fejléccel'!$B:$B,'Felosztás eredménykim'!$B262,'Eredeti fejléccel'!$DB:$DB)</f>
        <v>0</v>
      </c>
      <c r="GR262" s="103">
        <f t="shared" si="532"/>
        <v>0</v>
      </c>
      <c r="GW262" s="36">
        <f t="shared" ref="GW262:GW268" si="634">$X262/$HD$290*GW$290</f>
        <v>0</v>
      </c>
      <c r="GX262" s="6">
        <f>SUMIF('Eredeti fejléccel'!$B:$B,'Felosztás eredménykim'!$B262,'Eredeti fejléccel'!$M:$M)</f>
        <v>0</v>
      </c>
      <c r="GY262" s="6">
        <f>SUMIF('Eredeti fejléccel'!$B:$B,'Felosztás eredménykim'!$B262,'Eredeti fejléccel'!$DC:$DC)</f>
        <v>0</v>
      </c>
      <c r="GZ262" s="6">
        <f>SUMIF('Eredeti fejléccel'!$B:$B,'Felosztás eredménykim'!$B262,'Eredeti fejléccel'!$DD:$DD)</f>
        <v>0</v>
      </c>
      <c r="HA262" s="6">
        <f>SUMIF('Eredeti fejléccel'!$B:$B,'Felosztás eredménykim'!$B262,'Eredeti fejléccel'!$DE:$DE)</f>
        <v>0</v>
      </c>
      <c r="HB262" s="103">
        <f t="shared" si="533"/>
        <v>0</v>
      </c>
      <c r="HD262" s="9">
        <f t="shared" si="547"/>
        <v>0</v>
      </c>
      <c r="HE262" s="9"/>
      <c r="HF262" s="476"/>
      <c r="HH262" s="34">
        <f t="shared" si="534"/>
        <v>0</v>
      </c>
    </row>
    <row r="263" spans="1:218" x14ac:dyDescent="0.25">
      <c r="A263" s="4" t="s">
        <v>347</v>
      </c>
      <c r="B263" s="4" t="s">
        <v>347</v>
      </c>
      <c r="C263" s="1" t="s">
        <v>348</v>
      </c>
      <c r="D263" s="6">
        <f>SUMIF('Eredeti fejléccel'!$B:$B,'Felosztás eredménykim'!$B263,'Eredeti fejléccel'!$D:$D)</f>
        <v>0</v>
      </c>
      <c r="E263" s="6">
        <f>SUMIF('Eredeti fejléccel'!$B:$B,'Felosztás eredménykim'!$B263,'Eredeti fejléccel'!$E:$E)</f>
        <v>0</v>
      </c>
      <c r="F263" s="6">
        <f>SUMIF('Eredeti fejléccel'!$B:$B,'Felosztás eredménykim'!$B263,'Eredeti fejléccel'!$F:$F)</f>
        <v>0</v>
      </c>
      <c r="G263" s="6">
        <f>SUMIF('Eredeti fejléccel'!$B:$B,'Felosztás eredménykim'!$B263,'Eredeti fejléccel'!$G:$G)</f>
        <v>0</v>
      </c>
      <c r="H263" s="6"/>
      <c r="I263" s="6">
        <f>SUMIF('Eredeti fejléccel'!$B:$B,'Felosztás eredménykim'!$B263,'Eredeti fejléccel'!$O:$O)</f>
        <v>0</v>
      </c>
      <c r="J263" s="6">
        <f>SUMIF('Eredeti fejléccel'!$B:$B,'Felosztás eredménykim'!$B263,'Eredeti fejléccel'!$P:$P)</f>
        <v>0</v>
      </c>
      <c r="K263" s="6">
        <f>SUMIF('Eredeti fejléccel'!$B:$B,'Felosztás eredménykim'!$B263,'Eredeti fejléccel'!$Q:$Q)</f>
        <v>0</v>
      </c>
      <c r="L263" s="6">
        <f>SUMIF('Eredeti fejléccel'!$B:$B,'Felosztás eredménykim'!$B263,'Eredeti fejléccel'!$R:$R)</f>
        <v>0</v>
      </c>
      <c r="M263" s="6">
        <f>SUMIF('Eredeti fejléccel'!$B:$B,'Felosztás eredménykim'!$B263,'Eredeti fejléccel'!$T:$T)</f>
        <v>0</v>
      </c>
      <c r="N263" s="6">
        <f>SUMIF('Eredeti fejléccel'!$B:$B,'Felosztás eredménykim'!$B263,'Eredeti fejléccel'!$U:$U)</f>
        <v>0</v>
      </c>
      <c r="O263" s="6">
        <f>SUMIF('Eredeti fejléccel'!$B:$B,'Felosztás eredménykim'!$B263,'Eredeti fejléccel'!$V:$V)</f>
        <v>0</v>
      </c>
      <c r="P263" s="6">
        <f>SUMIF('Eredeti fejléccel'!$B:$B,'Felosztás eredménykim'!$B263,'Eredeti fejléccel'!$W:$W)</f>
        <v>0</v>
      </c>
      <c r="Q263" s="6">
        <f>SUMIF('Eredeti fejléccel'!$B:$B,'Felosztás eredménykim'!$B263,'Eredeti fejléccel'!$X:$X)</f>
        <v>0</v>
      </c>
      <c r="R263" s="6">
        <f>SUMIF('Eredeti fejléccel'!$B:$B,'Felosztás eredménykim'!$B263,'Eredeti fejléccel'!$Y:$Y)</f>
        <v>0</v>
      </c>
      <c r="S263" s="6">
        <f>SUMIF('Eredeti fejléccel'!$B:$B,'Felosztás eredménykim'!$B263,'Eredeti fejléccel'!$Z:$Z)</f>
        <v>0</v>
      </c>
      <c r="T263" s="6">
        <f>SUMIF('Eredeti fejléccel'!$B:$B,'Felosztás eredménykim'!$B263,'Eredeti fejléccel'!$AA:$AA)</f>
        <v>0</v>
      </c>
      <c r="U263" s="6">
        <f>SUMIF('Eredeti fejléccel'!$B:$B,'Felosztás eredménykim'!$B263,'Eredeti fejléccel'!$D:$D)</f>
        <v>0</v>
      </c>
      <c r="V263" s="6">
        <f>SUMIF('Eredeti fejléccel'!$B:$B,'Felosztás eredménykim'!$B263,'Eredeti fejléccel'!$AT:$AT)</f>
        <v>0</v>
      </c>
      <c r="X263" s="36">
        <f t="shared" si="414"/>
        <v>0</v>
      </c>
      <c r="Z263" s="6">
        <f>SUMIF('Eredeti fejléccel'!$B:$B,'Felosztás eredménykim'!$B263,'Eredeti fejléccel'!$K:$K)</f>
        <v>0</v>
      </c>
      <c r="AB263" s="6">
        <f>SUMIF('Eredeti fejléccel'!$B:$B,'Felosztás eredménykim'!$B263,'Eredeti fejléccel'!$AB:$AB)</f>
        <v>0</v>
      </c>
      <c r="AC263" s="6">
        <f>SUMIF('Eredeti fejléccel'!$B:$B,'Felosztás eredménykim'!$B263,'Eredeti fejléccel'!$AQ:$AQ)</f>
        <v>0</v>
      </c>
      <c r="AE263" s="73">
        <f t="shared" si="548"/>
        <v>0</v>
      </c>
      <c r="AF263" s="36">
        <f t="shared" si="549"/>
        <v>0</v>
      </c>
      <c r="AG263" s="8">
        <f t="shared" si="620"/>
        <v>0</v>
      </c>
      <c r="AI263" s="6">
        <f>SUMIF('Eredeti fejléccel'!$B:$B,'Felosztás eredménykim'!$B263,'Eredeti fejléccel'!$BB:$BB)</f>
        <v>0</v>
      </c>
      <c r="AJ263" s="6">
        <f>SUMIF('Eredeti fejléccel'!$B:$B,'Felosztás eredménykim'!$B263,'Eredeti fejléccel'!$AF:$AF)</f>
        <v>0</v>
      </c>
      <c r="AK263" s="8">
        <f t="shared" si="522"/>
        <v>0</v>
      </c>
      <c r="AL263" s="36">
        <f t="shared" si="550"/>
        <v>0</v>
      </c>
      <c r="AM263" s="8">
        <f t="shared" si="621"/>
        <v>0</v>
      </c>
      <c r="AN263" s="6">
        <f t="shared" si="538"/>
        <v>0</v>
      </c>
      <c r="AO263" s="6">
        <f>SUMIF('Eredeti fejléccel'!$B:$B,'Felosztás eredménykim'!$B263,'Eredeti fejléccel'!$AC:$AC)</f>
        <v>0</v>
      </c>
      <c r="AP263" s="6">
        <f>SUMIF('Eredeti fejléccel'!$B:$B,'Felosztás eredménykim'!$B263,'Eredeti fejléccel'!$AD:$AD)</f>
        <v>0</v>
      </c>
      <c r="AQ263" s="6">
        <f>SUMIF('Eredeti fejléccel'!$B:$B,'Felosztás eredménykim'!$B263,'Eredeti fejléccel'!$AE:$AE)</f>
        <v>0</v>
      </c>
      <c r="AR263" s="6">
        <f>SUMIF('Eredeti fejléccel'!$B:$B,'Felosztás eredménykim'!$B263,'Eredeti fejléccel'!$AG:$AG)</f>
        <v>0</v>
      </c>
      <c r="AS263" s="6">
        <f t="shared" si="539"/>
        <v>0</v>
      </c>
      <c r="AT263" s="36">
        <f t="shared" si="551"/>
        <v>0</v>
      </c>
      <c r="AU263" s="8">
        <f t="shared" si="622"/>
        <v>0</v>
      </c>
      <c r="AV263" s="6">
        <f>SUMIF('Eredeti fejléccel'!$B:$B,'Felosztás eredménykim'!$B263,'Eredeti fejléccel'!$AI:$AI)</f>
        <v>0</v>
      </c>
      <c r="AW263" s="6">
        <f>SUMIF('Eredeti fejléccel'!$B:$B,'Felosztás eredménykim'!$B263,'Eredeti fejléccel'!$AJ:$AJ)</f>
        <v>0</v>
      </c>
      <c r="AX263" s="6">
        <f>SUMIF('Eredeti fejléccel'!$B:$B,'Felosztás eredménykim'!$B263,'Eredeti fejléccel'!$AK:$AK)</f>
        <v>0</v>
      </c>
      <c r="AY263" s="6">
        <f>SUMIF('Eredeti fejléccel'!$B:$B,'Felosztás eredménykim'!$B263,'Eredeti fejléccel'!$AL:$AL)</f>
        <v>0</v>
      </c>
      <c r="AZ263" s="6">
        <f>SUMIF('Eredeti fejléccel'!$B:$B,'Felosztás eredménykim'!$B263,'Eredeti fejléccel'!$AM:$AM)</f>
        <v>0</v>
      </c>
      <c r="BA263" s="6">
        <f>SUMIF('Eredeti fejléccel'!$B:$B,'Felosztás eredménykim'!$B263,'Eredeti fejléccel'!$AN:$AN)</f>
        <v>0</v>
      </c>
      <c r="BB263" s="6">
        <f>SUMIF('Eredeti fejléccel'!$B:$B,'Felosztás eredménykim'!$B263,'Eredeti fejléccel'!$AP:$AP)</f>
        <v>0</v>
      </c>
      <c r="BD263" s="6">
        <f>SUMIF('Eredeti fejléccel'!$B:$B,'Felosztás eredménykim'!$B263,'Eredeti fejléccel'!$AS:$AS)</f>
        <v>0</v>
      </c>
      <c r="BE263" s="8">
        <f t="shared" si="523"/>
        <v>0</v>
      </c>
      <c r="BF263" s="36">
        <f t="shared" si="552"/>
        <v>0</v>
      </c>
      <c r="BG263" s="8">
        <f t="shared" si="623"/>
        <v>0</v>
      </c>
      <c r="BH263" s="6">
        <f t="shared" si="540"/>
        <v>0</v>
      </c>
      <c r="BI263" s="6">
        <f>SUMIF('Eredeti fejléccel'!$B:$B,'Felosztás eredménykim'!$B263,'Eredeti fejléccel'!$AH:$AH)</f>
        <v>0</v>
      </c>
      <c r="BJ263" s="6">
        <f>SUMIF('Eredeti fejléccel'!$B:$B,'Felosztás eredménykim'!$B263,'Eredeti fejléccel'!$AO:$AO)</f>
        <v>0</v>
      </c>
      <c r="BK263" s="6">
        <f>SUMIF('Eredeti fejléccel'!$B:$B,'Felosztás eredménykim'!$B263,'Eredeti fejléccel'!$BF:$BF)</f>
        <v>0</v>
      </c>
      <c r="BL263" s="8">
        <f t="shared" si="541"/>
        <v>0</v>
      </c>
      <c r="BM263" s="36">
        <f t="shared" si="553"/>
        <v>0</v>
      </c>
      <c r="BN263" s="8">
        <f t="shared" si="624"/>
        <v>0</v>
      </c>
      <c r="BP263" s="8">
        <f t="shared" si="542"/>
        <v>0</v>
      </c>
      <c r="BQ263" s="6">
        <f>SUMIF('Eredeti fejléccel'!$B:$B,'Felosztás eredménykim'!$B263,'Eredeti fejléccel'!$N:$N)</f>
        <v>0</v>
      </c>
      <c r="BR263" s="6">
        <f>SUMIF('Eredeti fejléccel'!$B:$B,'Felosztás eredménykim'!$B263,'Eredeti fejléccel'!$S:$S)</f>
        <v>0</v>
      </c>
      <c r="BT263" s="6">
        <f>SUMIF('Eredeti fejléccel'!$B:$B,'Felosztás eredménykim'!$B263,'Eredeti fejléccel'!$AR:$AR)</f>
        <v>0</v>
      </c>
      <c r="BU263" s="6">
        <f>SUMIF('Eredeti fejléccel'!$B:$B,'Felosztás eredménykim'!$B263,'Eredeti fejléccel'!$AU:$AU)</f>
        <v>0</v>
      </c>
      <c r="BV263" s="6">
        <f>SUMIF('Eredeti fejléccel'!$B:$B,'Felosztás eredménykim'!$B263,'Eredeti fejléccel'!$AV:$AV)</f>
        <v>0</v>
      </c>
      <c r="BW263" s="6">
        <f>SUMIF('Eredeti fejléccel'!$B:$B,'Felosztás eredménykim'!$B263,'Eredeti fejléccel'!$AW:$AW)</f>
        <v>0</v>
      </c>
      <c r="BX263" s="6">
        <f>SUMIF('Eredeti fejléccel'!$B:$B,'Felosztás eredménykim'!$B263,'Eredeti fejléccel'!$AX:$AX)</f>
        <v>0</v>
      </c>
      <c r="BY263" s="6">
        <f>SUMIF('Eredeti fejléccel'!$B:$B,'Felosztás eredménykim'!$B263,'Eredeti fejléccel'!$AY:$AY)</f>
        <v>0</v>
      </c>
      <c r="BZ263" s="6">
        <f>SUMIF('Eredeti fejléccel'!$B:$B,'Felosztás eredménykim'!$B263,'Eredeti fejléccel'!$AZ:$AZ)</f>
        <v>0</v>
      </c>
      <c r="CA263" s="6">
        <f>SUMIF('Eredeti fejléccel'!$B:$B,'Felosztás eredménykim'!$B263,'Eredeti fejléccel'!$BA:$BA)</f>
        <v>0</v>
      </c>
      <c r="CB263" s="6">
        <f t="shared" si="481"/>
        <v>0</v>
      </c>
      <c r="CC263" s="36">
        <f t="shared" si="554"/>
        <v>0</v>
      </c>
      <c r="CD263" s="8">
        <f t="shared" si="625"/>
        <v>0</v>
      </c>
      <c r="CE263" s="6">
        <f>SUMIF('Eredeti fejléccel'!$B:$B,'Felosztás eredménykim'!$B263,'Eredeti fejléccel'!$BC:$BC)</f>
        <v>0</v>
      </c>
      <c r="CF263" s="8">
        <f t="shared" si="555"/>
        <v>0</v>
      </c>
      <c r="CG263" s="6">
        <f>SUMIF('Eredeti fejléccel'!$B:$B,'Felosztás eredménykim'!$B263,'Eredeti fejléccel'!$H:$H)</f>
        <v>0</v>
      </c>
      <c r="CH263" s="6">
        <f>SUMIF('Eredeti fejléccel'!$B:$B,'Felosztás eredménykim'!$B263,'Eredeti fejléccel'!$BE:$BE)</f>
        <v>0</v>
      </c>
      <c r="CI263" s="6">
        <f t="shared" si="524"/>
        <v>0</v>
      </c>
      <c r="CJ263" s="36">
        <f t="shared" si="556"/>
        <v>0</v>
      </c>
      <c r="CK263" s="8">
        <f t="shared" si="626"/>
        <v>0</v>
      </c>
      <c r="CL263" s="8">
        <f t="shared" si="557"/>
        <v>0</v>
      </c>
      <c r="CM263" s="6">
        <f>SUMIF('Eredeti fejléccel'!$B:$B,'Felosztás eredménykim'!$B263,'Eredeti fejléccel'!$BD:$BD)</f>
        <v>0</v>
      </c>
      <c r="CN263" s="8">
        <f t="shared" si="525"/>
        <v>0</v>
      </c>
      <c r="CO263" s="8">
        <f t="shared" si="482"/>
        <v>0</v>
      </c>
      <c r="CR263" s="36">
        <f t="shared" si="627"/>
        <v>0</v>
      </c>
      <c r="CS263" s="6">
        <f>SUMIF('Eredeti fejléccel'!$B:$B,'Felosztás eredménykim'!$B263,'Eredeti fejléccel'!$I:$I)</f>
        <v>0</v>
      </c>
      <c r="CT263" s="6">
        <f>SUMIF('Eredeti fejléccel'!$B:$B,'Felosztás eredménykim'!$B263,'Eredeti fejléccel'!$BG:$BG)</f>
        <v>0</v>
      </c>
      <c r="CU263" s="6">
        <f>SUMIF('Eredeti fejléccel'!$B:$B,'Felosztás eredménykim'!$B263,'Eredeti fejléccel'!$BH:$BH)</f>
        <v>0</v>
      </c>
      <c r="CV263" s="6">
        <f>SUMIF('Eredeti fejléccel'!$B:$B,'Felosztás eredménykim'!$B263,'Eredeti fejléccel'!$BI:$BI)</f>
        <v>0</v>
      </c>
      <c r="CW263" s="6">
        <f>SUMIF('Eredeti fejléccel'!$B:$B,'Felosztás eredménykim'!$B263,'Eredeti fejléccel'!$BL:$BL)</f>
        <v>0</v>
      </c>
      <c r="CX263" s="6">
        <f t="shared" si="526"/>
        <v>0</v>
      </c>
      <c r="CY263" s="6">
        <f>SUMIF('Eredeti fejléccel'!$B:$B,'Felosztás eredménykim'!$B263,'Eredeti fejléccel'!$BJ:$BJ)</f>
        <v>0</v>
      </c>
      <c r="CZ263" s="6">
        <f>SUMIF('Eredeti fejléccel'!$B:$B,'Felosztás eredménykim'!$B263,'Eredeti fejléccel'!$BK:$BK)</f>
        <v>0</v>
      </c>
      <c r="DA263" s="99">
        <f t="shared" si="415"/>
        <v>0</v>
      </c>
      <c r="DC263" s="36">
        <f t="shared" si="628"/>
        <v>0</v>
      </c>
      <c r="DD263" s="6">
        <f>SUMIF('Eredeti fejléccel'!$B:$B,'Felosztás eredménykim'!$B263,'Eredeti fejléccel'!$J:$J)</f>
        <v>0</v>
      </c>
      <c r="DE263" s="210">
        <f>SUMIF('Eredeti fejléccel'!$B:$B,'Felosztás eredménykim'!$B263,'Eredeti fejléccel'!$BM:$BM)</f>
        <v>0</v>
      </c>
      <c r="DF263" s="6">
        <f t="shared" si="543"/>
        <v>0</v>
      </c>
      <c r="DG263" s="8">
        <f>-DE263-DD263</f>
        <v>0</v>
      </c>
      <c r="DH263" s="8">
        <f t="shared" si="544"/>
        <v>0</v>
      </c>
      <c r="DJ263" s="6">
        <f>SUMIF('Eredeti fejléccel'!$B:$B,'Felosztás eredménykim'!$B263,'Eredeti fejléccel'!$BN:$BN)</f>
        <v>0</v>
      </c>
      <c r="DK263" s="6">
        <f>SUMIF('Eredeti fejléccel'!$B:$B,'Felosztás eredménykim'!$B263,'Eredeti fejléccel'!$BZ:$BZ)</f>
        <v>0</v>
      </c>
      <c r="DL263" s="8">
        <f t="shared" si="545"/>
        <v>0</v>
      </c>
      <c r="DM263" s="6">
        <f>SUMIF('Eredeti fejléccel'!$B:$B,'Felosztás eredménykim'!$B263,'Eredeti fejléccel'!$BR:$BR)</f>
        <v>0</v>
      </c>
      <c r="DN263" s="6">
        <f>SUMIF('Eredeti fejléccel'!$B:$B,'Felosztás eredménykim'!$B263,'Eredeti fejléccel'!$BS:$BS)</f>
        <v>0</v>
      </c>
      <c r="DO263" s="6">
        <f>SUMIF('Eredeti fejléccel'!$B:$B,'Felosztás eredménykim'!$B263,'Eredeti fejléccel'!$BO:$BO)</f>
        <v>0</v>
      </c>
      <c r="DP263" s="6">
        <f>SUMIF('Eredeti fejléccel'!$B:$B,'Felosztás eredménykim'!$B263,'Eredeti fejléccel'!$BP:$BP)</f>
        <v>0</v>
      </c>
      <c r="DQ263" s="6">
        <f>SUMIF('Eredeti fejléccel'!$B:$B,'Felosztás eredménykim'!$B263,'Eredeti fejléccel'!$BQ:$BQ)</f>
        <v>0</v>
      </c>
      <c r="DS263" s="8"/>
      <c r="DU263" s="6">
        <f>SUMIF('Eredeti fejléccel'!$B:$B,'Felosztás eredménykim'!$B263,'Eredeti fejléccel'!$BT:$BT)</f>
        <v>0</v>
      </c>
      <c r="DV263" s="6">
        <f>SUMIF('Eredeti fejléccel'!$B:$B,'Felosztás eredménykim'!$B263,'Eredeti fejléccel'!$BU:$BU)</f>
        <v>0</v>
      </c>
      <c r="DW263" s="6">
        <f>SUMIF('Eredeti fejléccel'!$B:$B,'Felosztás eredménykim'!$B263,'Eredeti fejléccel'!$BV:$BV)</f>
        <v>0</v>
      </c>
      <c r="DX263" s="6">
        <f>SUMIF('Eredeti fejléccel'!$B:$B,'Felosztás eredménykim'!$B263,'Eredeti fejléccel'!$BW:$BW)</f>
        <v>0</v>
      </c>
      <c r="DY263" s="6">
        <f>SUMIF('Eredeti fejléccel'!$B:$B,'Felosztás eredménykim'!$B263,'Eredeti fejléccel'!$BX:$BX)</f>
        <v>0</v>
      </c>
      <c r="EA263" s="6"/>
      <c r="EC263" s="6"/>
      <c r="EE263" s="6">
        <f>SUMIF('Eredeti fejléccel'!$B:$B,'Felosztás eredménykim'!$B263,'Eredeti fejléccel'!$CA:$CA)</f>
        <v>0</v>
      </c>
      <c r="EF263" s="6">
        <f>SUMIF('Eredeti fejléccel'!$B:$B,'Felosztás eredménykim'!$B263,'Eredeti fejléccel'!$CB:$CB)</f>
        <v>0</v>
      </c>
      <c r="EG263" s="6">
        <f>SUMIF('Eredeti fejléccel'!$B:$B,'Felosztás eredménykim'!$B263,'Eredeti fejléccel'!$CC:$CC)</f>
        <v>0</v>
      </c>
      <c r="EH263" s="6">
        <f>SUMIF('Eredeti fejléccel'!$B:$B,'Felosztás eredménykim'!$B263,'Eredeti fejléccel'!$CD:$CD)</f>
        <v>0</v>
      </c>
      <c r="EK263" s="6">
        <f>SUMIF('Eredeti fejléccel'!$B:$B,'Felosztás eredménykim'!$B263,'Eredeti fejléccel'!$CE:$CE)</f>
        <v>0</v>
      </c>
      <c r="EN263" s="6">
        <f>SUMIF('Eredeti fejléccel'!$B:$B,'Felosztás eredménykim'!$B263,'Eredeti fejléccel'!$CF:$CF)</f>
        <v>0</v>
      </c>
      <c r="EP263" s="6">
        <f>SUMIF('Eredeti fejléccel'!$B:$B,'Felosztás eredménykim'!$B263,'Eredeti fejléccel'!$CG:$CG)</f>
        <v>0</v>
      </c>
      <c r="ES263" s="6">
        <f>SUMIF('Eredeti fejléccel'!$B:$B,'Felosztás eredménykim'!$B263,'Eredeti fejléccel'!$CH:$CH)</f>
        <v>0</v>
      </c>
      <c r="ET263" s="6">
        <f>SUMIF('Eredeti fejléccel'!$B:$B,'Felosztás eredménykim'!$B263,'Eredeti fejléccel'!$CI:$CI)</f>
        <v>0</v>
      </c>
      <c r="EW263" s="8">
        <f t="shared" si="535"/>
        <v>0</v>
      </c>
      <c r="EX263" s="8">
        <f t="shared" si="527"/>
        <v>0</v>
      </c>
      <c r="EY263" s="8">
        <f t="shared" si="416"/>
        <v>0</v>
      </c>
      <c r="EZ263" s="8">
        <f t="shared" si="536"/>
        <v>0</v>
      </c>
      <c r="FA263" s="8">
        <f t="shared" si="537"/>
        <v>0</v>
      </c>
      <c r="FC263" s="6">
        <f>SUMIF('Eredeti fejléccel'!$B:$B,'Felosztás eredménykim'!$B263,'Eredeti fejléccel'!$L:$L)</f>
        <v>0</v>
      </c>
      <c r="FD263" s="210">
        <f>SUMIF('Eredeti fejléccel'!$B:$B,'Felosztás eredménykim'!$B263,'Eredeti fejléccel'!$CJ:$CJ)</f>
        <v>0</v>
      </c>
      <c r="FE263" s="6">
        <f>SUMIF('Eredeti fejléccel'!$B:$B,'Felosztás eredménykim'!$B263,'Eredeti fejléccel'!$CL:$CL)</f>
        <v>0</v>
      </c>
      <c r="FF263" s="73">
        <f>-FD263-FC263</f>
        <v>0</v>
      </c>
      <c r="FG263" s="99">
        <f t="shared" si="528"/>
        <v>0</v>
      </c>
      <c r="FH263" s="6">
        <f>SUMIF('Eredeti fejléccel'!$B:$B,'Felosztás eredménykim'!$B263,'Eredeti fejléccel'!$CK:$CK)</f>
        <v>0</v>
      </c>
      <c r="FI263" s="36">
        <f t="shared" si="558"/>
        <v>0</v>
      </c>
      <c r="FJ263" s="101">
        <f t="shared" si="629"/>
        <v>0</v>
      </c>
      <c r="FK263" s="6">
        <f>SUMIF('Eredeti fejléccel'!$B:$B,'Felosztás eredménykim'!$B263,'Eredeti fejléccel'!$CM:$CM)</f>
        <v>0</v>
      </c>
      <c r="FL263" s="6">
        <f>SUMIF('Eredeti fejléccel'!$B:$B,'Felosztás eredménykim'!$B263,'Eredeti fejléccel'!$CN:$CN)</f>
        <v>0</v>
      </c>
      <c r="FM263" s="8">
        <f t="shared" si="529"/>
        <v>0</v>
      </c>
      <c r="FN263" s="36">
        <f t="shared" si="559"/>
        <v>0</v>
      </c>
      <c r="FO263" s="101">
        <f t="shared" si="630"/>
        <v>0</v>
      </c>
      <c r="FP263" s="6">
        <f>SUMIF('Eredeti fejléccel'!$B:$B,'Felosztás eredménykim'!$B263,'Eredeti fejléccel'!$CO:$CO)</f>
        <v>0</v>
      </c>
      <c r="FQ263" s="6">
        <f>'Eredeti fejléccel'!CP263</f>
        <v>0</v>
      </c>
      <c r="FR263" s="6">
        <f>'Eredeti fejléccel'!CQ263</f>
        <v>0</v>
      </c>
      <c r="FS263" s="103">
        <f t="shared" si="417"/>
        <v>0</v>
      </c>
      <c r="FT263" s="36">
        <f t="shared" si="560"/>
        <v>0</v>
      </c>
      <c r="FU263" s="101">
        <f t="shared" si="631"/>
        <v>0</v>
      </c>
      <c r="FV263" s="101"/>
      <c r="FW263" s="6">
        <f>SUMIF('Eredeti fejléccel'!$B:$B,'Felosztás eredménykim'!$B263,'Eredeti fejléccel'!$CR:$CR)</f>
        <v>0</v>
      </c>
      <c r="FX263" s="6">
        <f>SUMIF('Eredeti fejléccel'!$B:$B,'Felosztás eredménykim'!$B263,'Eredeti fejléccel'!$CS:$CS)</f>
        <v>0</v>
      </c>
      <c r="FY263" s="6">
        <f>SUMIF('Eredeti fejléccel'!$B:$B,'Felosztás eredménykim'!$B263,'Eredeti fejléccel'!$CT:$CT)</f>
        <v>0</v>
      </c>
      <c r="FZ263" s="6">
        <f>SUMIF('Eredeti fejléccel'!$B:$B,'Felosztás eredménykim'!$B263,'Eredeti fejléccel'!$CU:$CU)</f>
        <v>0</v>
      </c>
      <c r="GA263" s="103">
        <f t="shared" si="530"/>
        <v>0</v>
      </c>
      <c r="GB263" s="36">
        <f t="shared" si="561"/>
        <v>0</v>
      </c>
      <c r="GC263" s="101">
        <f t="shared" si="632"/>
        <v>0</v>
      </c>
      <c r="GD263" s="6">
        <f>SUMIF('Eredeti fejléccel'!$B:$B,'Felosztás eredménykim'!$B263,'Eredeti fejléccel'!$CV:$CV)</f>
        <v>0</v>
      </c>
      <c r="GE263" s="6">
        <f>SUMIF('Eredeti fejléccel'!$B:$B,'Felosztás eredménykim'!$B263,'Eredeti fejléccel'!$CW:$CW)</f>
        <v>0</v>
      </c>
      <c r="GF263" s="103">
        <f t="shared" si="531"/>
        <v>0</v>
      </c>
      <c r="GG263" s="36">
        <f t="shared" si="633"/>
        <v>0</v>
      </c>
      <c r="GM263" s="6">
        <f>SUMIF('Eredeti fejléccel'!$B:$B,'Felosztás eredménykim'!$B263,'Eredeti fejléccel'!$CX:$CX)</f>
        <v>0</v>
      </c>
      <c r="GN263" s="6">
        <f>SUMIF('Eredeti fejléccel'!$B:$B,'Felosztás eredménykim'!$B263,'Eredeti fejléccel'!$CY:$CY)</f>
        <v>0</v>
      </c>
      <c r="GO263" s="6">
        <f>SUMIF('Eredeti fejléccel'!$B:$B,'Felosztás eredménykim'!$B263,'Eredeti fejléccel'!$CZ:$CZ)</f>
        <v>0</v>
      </c>
      <c r="GP263" s="6">
        <f>SUMIF('Eredeti fejléccel'!$B:$B,'Felosztás eredménykim'!$B263,'Eredeti fejléccel'!$DA:$DA)</f>
        <v>0</v>
      </c>
      <c r="GQ263" s="6">
        <f>SUMIF('Eredeti fejléccel'!$B:$B,'Felosztás eredménykim'!$B263,'Eredeti fejléccel'!$DB:$DB)</f>
        <v>0</v>
      </c>
      <c r="GR263" s="103">
        <f t="shared" si="532"/>
        <v>0</v>
      </c>
      <c r="GW263" s="36">
        <f t="shared" si="634"/>
        <v>0</v>
      </c>
      <c r="GX263" s="6">
        <f>SUMIF('Eredeti fejléccel'!$B:$B,'Felosztás eredménykim'!$B263,'Eredeti fejléccel'!$M:$M)</f>
        <v>0</v>
      </c>
      <c r="GY263" s="6">
        <f>SUMIF('Eredeti fejléccel'!$B:$B,'Felosztás eredménykim'!$B263,'Eredeti fejléccel'!$DC:$DC)</f>
        <v>0</v>
      </c>
      <c r="GZ263" s="6">
        <f>SUMIF('Eredeti fejléccel'!$B:$B,'Felosztás eredménykim'!$B263,'Eredeti fejléccel'!$DD:$DD)</f>
        <v>0</v>
      </c>
      <c r="HA263" s="6">
        <f>SUMIF('Eredeti fejléccel'!$B:$B,'Felosztás eredménykim'!$B263,'Eredeti fejléccel'!$DE:$DE)</f>
        <v>0</v>
      </c>
      <c r="HB263" s="103">
        <f t="shared" si="533"/>
        <v>0</v>
      </c>
      <c r="HD263" s="9">
        <f t="shared" si="547"/>
        <v>0</v>
      </c>
      <c r="HE263" s="9"/>
      <c r="HF263" s="476"/>
      <c r="HH263" s="34">
        <f t="shared" si="534"/>
        <v>0</v>
      </c>
    </row>
    <row r="264" spans="1:218" x14ac:dyDescent="0.25">
      <c r="A264" s="4" t="s">
        <v>349</v>
      </c>
      <c r="B264" s="4" t="s">
        <v>349</v>
      </c>
      <c r="C264" s="1" t="s">
        <v>350</v>
      </c>
      <c r="D264" s="6">
        <f>SUMIF('Eredeti fejléccel'!$B:$B,'Felosztás eredménykim'!$B264,'Eredeti fejléccel'!$D:$D)</f>
        <v>0</v>
      </c>
      <c r="E264" s="6">
        <f>SUMIF('Eredeti fejléccel'!$B:$B,'Felosztás eredménykim'!$B264,'Eredeti fejléccel'!$E:$E)</f>
        <v>-407439</v>
      </c>
      <c r="F264" s="6">
        <f>SUMIF('Eredeti fejléccel'!$B:$B,'Felosztás eredménykim'!$B264,'Eredeti fejléccel'!$F:$F)</f>
        <v>0</v>
      </c>
      <c r="G264" s="6">
        <f>SUMIF('Eredeti fejléccel'!$B:$B,'Felosztás eredménykim'!$B264,'Eredeti fejléccel'!$G:$G)</f>
        <v>0</v>
      </c>
      <c r="H264" s="6"/>
      <c r="I264" s="6">
        <f>SUMIF('Eredeti fejléccel'!$B:$B,'Felosztás eredménykim'!$B264,'Eredeti fejléccel'!$O:$O)</f>
        <v>0</v>
      </c>
      <c r="J264" s="6">
        <f>SUMIF('Eredeti fejléccel'!$B:$B,'Felosztás eredménykim'!$B264,'Eredeti fejléccel'!$P:$P)</f>
        <v>0</v>
      </c>
      <c r="K264" s="6">
        <f>SUMIF('Eredeti fejléccel'!$B:$B,'Felosztás eredménykim'!$B264,'Eredeti fejléccel'!$Q:$Q)</f>
        <v>0</v>
      </c>
      <c r="L264" s="6">
        <f>SUMIF('Eredeti fejléccel'!$B:$B,'Felosztás eredménykim'!$B264,'Eredeti fejléccel'!$R:$R)</f>
        <v>0</v>
      </c>
      <c r="M264" s="6">
        <f>SUMIF('Eredeti fejléccel'!$B:$B,'Felosztás eredménykim'!$B264,'Eredeti fejléccel'!$T:$T)</f>
        <v>0</v>
      </c>
      <c r="N264" s="6">
        <f>SUMIF('Eredeti fejléccel'!$B:$B,'Felosztás eredménykim'!$B264,'Eredeti fejléccel'!$U:$U)</f>
        <v>0</v>
      </c>
      <c r="O264" s="6">
        <f>SUMIF('Eredeti fejléccel'!$B:$B,'Felosztás eredménykim'!$B264,'Eredeti fejléccel'!$V:$V)</f>
        <v>0</v>
      </c>
      <c r="P264" s="6">
        <f>SUMIF('Eredeti fejléccel'!$B:$B,'Felosztás eredménykim'!$B264,'Eredeti fejléccel'!$W:$W)</f>
        <v>0</v>
      </c>
      <c r="Q264" s="6">
        <f>SUMIF('Eredeti fejléccel'!$B:$B,'Felosztás eredménykim'!$B264,'Eredeti fejléccel'!$X:$X)</f>
        <v>0</v>
      </c>
      <c r="R264" s="6">
        <f>SUMIF('Eredeti fejléccel'!$B:$B,'Felosztás eredménykim'!$B264,'Eredeti fejléccel'!$Y:$Y)</f>
        <v>0</v>
      </c>
      <c r="S264" s="6">
        <f>SUMIF('Eredeti fejléccel'!$B:$B,'Felosztás eredménykim'!$B264,'Eredeti fejléccel'!$Z:$Z)</f>
        <v>0</v>
      </c>
      <c r="T264" s="6">
        <f>SUMIF('Eredeti fejléccel'!$B:$B,'Felosztás eredménykim'!$B264,'Eredeti fejléccel'!$AA:$AA)</f>
        <v>0</v>
      </c>
      <c r="U264" s="6">
        <v>0</v>
      </c>
      <c r="V264" s="6">
        <f>SUMIF('Eredeti fejléccel'!$B:$B,'Felosztás eredménykim'!$B264,'Eredeti fejléccel'!$AT:$AT)</f>
        <v>0</v>
      </c>
      <c r="X264" s="36">
        <f t="shared" ref="X264:X280" si="635">SUM(D264:W264)</f>
        <v>-407439</v>
      </c>
      <c r="Z264" s="6">
        <f>SUMIF('Eredeti fejléccel'!$B:$B,'Felosztás eredménykim'!$B264,'Eredeti fejléccel'!$K:$K)</f>
        <v>0</v>
      </c>
      <c r="AB264" s="6">
        <f>SUMIF('Eredeti fejléccel'!$B:$B,'Felosztás eredménykim'!$B264,'Eredeti fejléccel'!$AB:$AB)</f>
        <v>0</v>
      </c>
      <c r="AC264" s="6">
        <f>SUMIF('Eredeti fejléccel'!$B:$B,'Felosztás eredménykim'!$B264,'Eredeti fejléccel'!$AQ:$AQ)</f>
        <v>0</v>
      </c>
      <c r="AE264" s="73">
        <f t="shared" si="548"/>
        <v>0</v>
      </c>
      <c r="AF264" s="36">
        <f t="shared" si="549"/>
        <v>-48605.289452017452</v>
      </c>
      <c r="AG264" s="8">
        <f t="shared" si="620"/>
        <v>0</v>
      </c>
      <c r="AI264" s="6">
        <f>SUMIF('Eredeti fejléccel'!$B:$B,'Felosztás eredménykim'!$B264,'Eredeti fejléccel'!$BB:$BB)</f>
        <v>0</v>
      </c>
      <c r="AJ264" s="6">
        <f>SUMIF('Eredeti fejléccel'!$B:$B,'Felosztás eredménykim'!$B264,'Eredeti fejléccel'!$AF:$AF)</f>
        <v>0</v>
      </c>
      <c r="AK264" s="8">
        <f t="shared" si="522"/>
        <v>0</v>
      </c>
      <c r="AL264" s="36">
        <f t="shared" si="550"/>
        <v>-19305.775557940175</v>
      </c>
      <c r="AM264" s="8">
        <f t="shared" si="621"/>
        <v>0</v>
      </c>
      <c r="AN264" s="6">
        <f t="shared" si="538"/>
        <v>0</v>
      </c>
      <c r="AO264" s="6">
        <f>SUMIF('Eredeti fejléccel'!$B:$B,'Felosztás eredménykim'!$B264,'Eredeti fejléccel'!$AC:$AC)</f>
        <v>0</v>
      </c>
      <c r="AP264" s="6">
        <f>SUMIF('Eredeti fejléccel'!$B:$B,'Felosztás eredménykim'!$B264,'Eredeti fejléccel'!$AD:$AD)</f>
        <v>0</v>
      </c>
      <c r="AQ264" s="6">
        <f>SUMIF('Eredeti fejléccel'!$B:$B,'Felosztás eredménykim'!$B264,'Eredeti fejléccel'!$AE:$AE)</f>
        <v>0</v>
      </c>
      <c r="AR264" s="6">
        <f>SUMIF('Eredeti fejléccel'!$B:$B,'Felosztás eredménykim'!$B264,'Eredeti fejléccel'!$AG:$AG)</f>
        <v>0</v>
      </c>
      <c r="AS264" s="6">
        <f t="shared" si="539"/>
        <v>0</v>
      </c>
      <c r="AT264" s="36">
        <f t="shared" si="551"/>
        <v>-31358.251259366101</v>
      </c>
      <c r="AU264" s="8">
        <f t="shared" si="622"/>
        <v>0</v>
      </c>
      <c r="AV264" s="6">
        <f>SUMIF('Eredeti fejléccel'!$B:$B,'Felosztás eredménykim'!$B264,'Eredeti fejléccel'!$AI:$AI)</f>
        <v>0</v>
      </c>
      <c r="AW264" s="6">
        <f>SUMIF('Eredeti fejléccel'!$B:$B,'Felosztás eredménykim'!$B264,'Eredeti fejléccel'!$AJ:$AJ)</f>
        <v>0</v>
      </c>
      <c r="AX264" s="6">
        <f>SUMIF('Eredeti fejléccel'!$B:$B,'Felosztás eredménykim'!$B264,'Eredeti fejléccel'!$AK:$AK)</f>
        <v>0</v>
      </c>
      <c r="AY264" s="6">
        <f>SUMIF('Eredeti fejléccel'!$B:$B,'Felosztás eredménykim'!$B264,'Eredeti fejléccel'!$AL:$AL)</f>
        <v>0</v>
      </c>
      <c r="AZ264" s="6">
        <f>SUMIF('Eredeti fejléccel'!$B:$B,'Felosztás eredménykim'!$B264,'Eredeti fejléccel'!$AM:$AM)</f>
        <v>0</v>
      </c>
      <c r="BA264" s="6">
        <f>SUMIF('Eredeti fejléccel'!$B:$B,'Felosztás eredménykim'!$B264,'Eredeti fejléccel'!$AN:$AN)</f>
        <v>0</v>
      </c>
      <c r="BB264" s="6">
        <f>SUMIF('Eredeti fejléccel'!$B:$B,'Felosztás eredménykim'!$B264,'Eredeti fejléccel'!$AP:$AP)</f>
        <v>0</v>
      </c>
      <c r="BD264" s="6">
        <f>SUMIF('Eredeti fejléccel'!$B:$B,'Felosztás eredménykim'!$B264,'Eredeti fejléccel'!$AS:$AS)</f>
        <v>0</v>
      </c>
      <c r="BE264" s="8">
        <f t="shared" si="523"/>
        <v>0</v>
      </c>
      <c r="BF264" s="36">
        <f t="shared" si="552"/>
        <v>-8180.4133720085474</v>
      </c>
      <c r="BG264" s="8">
        <f t="shared" si="623"/>
        <v>0</v>
      </c>
      <c r="BH264" s="6">
        <f t="shared" si="540"/>
        <v>0</v>
      </c>
      <c r="BI264" s="6">
        <f>SUMIF('Eredeti fejléccel'!$B:$B,'Felosztás eredménykim'!$B264,'Eredeti fejléccel'!$AH:$AH)</f>
        <v>0</v>
      </c>
      <c r="BJ264" s="6">
        <f>SUMIF('Eredeti fejléccel'!$B:$B,'Felosztás eredménykim'!$B264,'Eredeti fejléccel'!$AO:$AO)</f>
        <v>0</v>
      </c>
      <c r="BK264" s="6">
        <f>SUMIF('Eredeti fejléccel'!$B:$B,'Felosztás eredménykim'!$B264,'Eredeti fejléccel'!$BF:$BF)</f>
        <v>0</v>
      </c>
      <c r="BL264" s="8">
        <f t="shared" si="541"/>
        <v>0</v>
      </c>
      <c r="BM264" s="36">
        <f t="shared" si="553"/>
        <v>-30649.282100458695</v>
      </c>
      <c r="BN264" s="8">
        <f t="shared" si="624"/>
        <v>0</v>
      </c>
      <c r="BP264" s="8">
        <f t="shared" si="542"/>
        <v>0</v>
      </c>
      <c r="BQ264" s="6">
        <f>SUMIF('Eredeti fejléccel'!$B:$B,'Felosztás eredménykim'!$B264,'Eredeti fejléccel'!$N:$N)</f>
        <v>0</v>
      </c>
      <c r="BR264" s="6">
        <f>SUMIF('Eredeti fejléccel'!$B:$B,'Felosztás eredménykim'!$B264,'Eredeti fejléccel'!$S:$S)</f>
        <v>0</v>
      </c>
      <c r="BT264" s="6">
        <f>SUMIF('Eredeti fejléccel'!$B:$B,'Felosztás eredménykim'!$B264,'Eredeti fejléccel'!$AR:$AR)</f>
        <v>0</v>
      </c>
      <c r="BU264" s="6">
        <f>SUMIF('Eredeti fejléccel'!$B:$B,'Felosztás eredménykim'!$B264,'Eredeti fejléccel'!$AU:$AU)</f>
        <v>0</v>
      </c>
      <c r="BV264" s="6">
        <f>SUMIF('Eredeti fejléccel'!$B:$B,'Felosztás eredménykim'!$B264,'Eredeti fejléccel'!$AV:$AV)</f>
        <v>0</v>
      </c>
      <c r="BW264" s="6">
        <f>SUMIF('Eredeti fejléccel'!$B:$B,'Felosztás eredménykim'!$B264,'Eredeti fejléccel'!$AW:$AW)</f>
        <v>0</v>
      </c>
      <c r="BX264" s="6">
        <f>SUMIF('Eredeti fejléccel'!$B:$B,'Felosztás eredménykim'!$B264,'Eredeti fejléccel'!$AX:$AX)</f>
        <v>0</v>
      </c>
      <c r="BY264" s="6">
        <f>SUMIF('Eredeti fejléccel'!$B:$B,'Felosztás eredménykim'!$B264,'Eredeti fejléccel'!$AY:$AY)</f>
        <v>0</v>
      </c>
      <c r="BZ264" s="6">
        <f>SUMIF('Eredeti fejléccel'!$B:$B,'Felosztás eredménykim'!$B264,'Eredeti fejléccel'!$AZ:$AZ)</f>
        <v>0</v>
      </c>
      <c r="CA264" s="6">
        <f>SUMIF('Eredeti fejléccel'!$B:$B,'Felosztás eredménykim'!$B264,'Eredeti fejléccel'!$BA:$BA)</f>
        <v>-6600</v>
      </c>
      <c r="CB264" s="6">
        <f t="shared" si="481"/>
        <v>-6600</v>
      </c>
      <c r="CC264" s="36">
        <f t="shared" si="554"/>
        <v>-8344.0216394487179</v>
      </c>
      <c r="CD264" s="8">
        <f t="shared" si="625"/>
        <v>0</v>
      </c>
      <c r="CE264" s="6">
        <f>SUMIF('Eredeti fejléccel'!$B:$B,'Felosztás eredménykim'!$B264,'Eredeti fejléccel'!$BC:$BC)</f>
        <v>0</v>
      </c>
      <c r="CF264" s="8">
        <f t="shared" si="555"/>
        <v>0</v>
      </c>
      <c r="CG264" s="6">
        <f>SUMIF('Eredeti fejléccel'!$B:$B,'Felosztás eredménykim'!$B264,'Eredeti fejléccel'!$H:$H)</f>
        <v>0</v>
      </c>
      <c r="CH264" s="6">
        <f>SUMIF('Eredeti fejléccel'!$B:$B,'Felosztás eredménykim'!$B264,'Eredeti fejléccel'!$BE:$BE)</f>
        <v>0</v>
      </c>
      <c r="CI264" s="6">
        <f t="shared" si="524"/>
        <v>0</v>
      </c>
      <c r="CJ264" s="36">
        <f t="shared" si="556"/>
        <v>-5998.969806139603</v>
      </c>
      <c r="CK264" s="8">
        <f t="shared" si="626"/>
        <v>0</v>
      </c>
      <c r="CL264" s="8">
        <f t="shared" si="557"/>
        <v>0</v>
      </c>
      <c r="CM264" s="6">
        <f>SUMIF('Eredeti fejléccel'!$B:$B,'Felosztás eredménykim'!$B264,'Eredeti fejléccel'!$BD:$BD)</f>
        <v>0</v>
      </c>
      <c r="CN264" s="8">
        <f t="shared" si="525"/>
        <v>0</v>
      </c>
      <c r="CO264" s="8">
        <f t="shared" si="482"/>
        <v>-159042.00318737928</v>
      </c>
      <c r="CR264" s="36">
        <f t="shared" si="627"/>
        <v>-36034.608274307793</v>
      </c>
      <c r="CS264" s="6">
        <f>SUMIF('Eredeti fejléccel'!$B:$B,'Felosztás eredménykim'!$B264,'Eredeti fejléccel'!$I:$I)</f>
        <v>0</v>
      </c>
      <c r="CT264" s="6">
        <f>SUMIF('Eredeti fejléccel'!$B:$B,'Felosztás eredménykim'!$B264,'Eredeti fejléccel'!$BG:$BG)</f>
        <v>0</v>
      </c>
      <c r="CU264" s="6">
        <f>SUMIF('Eredeti fejléccel'!$B:$B,'Felosztás eredménykim'!$B264,'Eredeti fejléccel'!$BH:$BH)</f>
        <v>0</v>
      </c>
      <c r="CV264" s="6">
        <f>SUMIF('Eredeti fejléccel'!$B:$B,'Felosztás eredménykim'!$B264,'Eredeti fejléccel'!$BI:$BI)</f>
        <v>0</v>
      </c>
      <c r="CW264" s="6">
        <f>SUMIF('Eredeti fejléccel'!$B:$B,'Felosztás eredménykim'!$B264,'Eredeti fejléccel'!$BL:$BL)</f>
        <v>0</v>
      </c>
      <c r="CX264" s="6">
        <f t="shared" si="526"/>
        <v>0</v>
      </c>
      <c r="CY264" s="6">
        <f>SUMIF('Eredeti fejléccel'!$B:$B,'Felosztás eredménykim'!$B264,'Eredeti fejléccel'!$BJ:$BJ)</f>
        <v>0</v>
      </c>
      <c r="CZ264" s="6">
        <f>SUMIF('Eredeti fejléccel'!$B:$B,'Felosztás eredménykim'!$B264,'Eredeti fejléccel'!$BK:$BK)</f>
        <v>0</v>
      </c>
      <c r="DA264" s="99">
        <f t="shared" si="415"/>
        <v>0</v>
      </c>
      <c r="DC264" s="36">
        <f t="shared" si="628"/>
        <v>-31561.437025112693</v>
      </c>
      <c r="DD264" s="6">
        <f>SUMIF('Eredeti fejléccel'!$B:$B,'Felosztás eredménykim'!$B264,'Eredeti fejléccel'!$J:$J)</f>
        <v>0</v>
      </c>
      <c r="DE264" s="6">
        <f>SUMIF('Eredeti fejléccel'!$B:$B,'Felosztás eredménykim'!$B264,'Eredeti fejléccel'!$BM:$BM)</f>
        <v>0</v>
      </c>
      <c r="DF264" s="6">
        <f t="shared" si="543"/>
        <v>0</v>
      </c>
      <c r="DG264" s="8">
        <f t="shared" ref="DG264:DG280" si="636">-BO264</f>
        <v>0</v>
      </c>
      <c r="DH264" s="8">
        <f t="shared" si="544"/>
        <v>0</v>
      </c>
      <c r="DJ264" s="6">
        <f>SUMIF('Eredeti fejléccel'!$B:$B,'Felosztás eredménykim'!$B264,'Eredeti fejléccel'!$BN:$BN)</f>
        <v>0</v>
      </c>
      <c r="DK264" s="6">
        <f>SUMIF('Eredeti fejléccel'!$B:$B,'Felosztás eredménykim'!$B264,'Eredeti fejléccel'!$BZ:$BZ)</f>
        <v>0</v>
      </c>
      <c r="DL264" s="8">
        <f t="shared" si="545"/>
        <v>0</v>
      </c>
      <c r="DM264" s="6">
        <f>SUMIF('Eredeti fejléccel'!$B:$B,'Felosztás eredménykim'!$B264,'Eredeti fejléccel'!$BR:$BR)</f>
        <v>0</v>
      </c>
      <c r="DN264" s="6">
        <f>SUMIF('Eredeti fejléccel'!$B:$B,'Felosztás eredménykim'!$B264,'Eredeti fejléccel'!$BS:$BS)</f>
        <v>0</v>
      </c>
      <c r="DO264" s="6">
        <f>SUMIF('Eredeti fejléccel'!$B:$B,'Felosztás eredménykim'!$B264,'Eredeti fejléccel'!$BO:$BO)</f>
        <v>0</v>
      </c>
      <c r="DP264" s="6">
        <f>SUMIF('Eredeti fejléccel'!$B:$B,'Felosztás eredménykim'!$B264,'Eredeti fejléccel'!$BP:$BP)</f>
        <v>0</v>
      </c>
      <c r="DQ264" s="6">
        <f>SUMIF('Eredeti fejléccel'!$B:$B,'Felosztás eredménykim'!$B264,'Eredeti fejléccel'!$BQ:$BQ)</f>
        <v>0</v>
      </c>
      <c r="DS264" s="8"/>
      <c r="DU264" s="6">
        <f>SUMIF('Eredeti fejléccel'!$B:$B,'Felosztás eredménykim'!$B264,'Eredeti fejléccel'!$BT:$BT)</f>
        <v>0</v>
      </c>
      <c r="DV264" s="6">
        <f>SUMIF('Eredeti fejléccel'!$B:$B,'Felosztás eredménykim'!$B264,'Eredeti fejléccel'!$BU:$BU)</f>
        <v>0</v>
      </c>
      <c r="DW264" s="6">
        <f>SUMIF('Eredeti fejléccel'!$B:$B,'Felosztás eredménykim'!$B264,'Eredeti fejléccel'!$BV:$BV)</f>
        <v>0</v>
      </c>
      <c r="DX264" s="6">
        <f>SUMIF('Eredeti fejléccel'!$B:$B,'Felosztás eredménykim'!$B264,'Eredeti fejléccel'!$BW:$BW)</f>
        <v>0</v>
      </c>
      <c r="DY264" s="6">
        <f>SUMIF('Eredeti fejléccel'!$B:$B,'Felosztás eredménykim'!$B264,'Eredeti fejléccel'!$BX:$BX)</f>
        <v>0</v>
      </c>
      <c r="EA264" s="6"/>
      <c r="EC264" s="6"/>
      <c r="EE264" s="6">
        <f>SUMIF('Eredeti fejléccel'!$B:$B,'Felosztás eredménykim'!$B264,'Eredeti fejléccel'!$CA:$CA)</f>
        <v>0</v>
      </c>
      <c r="EF264" s="6">
        <f>SUMIF('Eredeti fejléccel'!$B:$B,'Felosztás eredménykim'!$B264,'Eredeti fejléccel'!$CB:$CB)</f>
        <v>0</v>
      </c>
      <c r="EG264" s="6">
        <f>SUMIF('Eredeti fejléccel'!$B:$B,'Felosztás eredménykim'!$B264,'Eredeti fejléccel'!$CC:$CC)</f>
        <v>0</v>
      </c>
      <c r="EH264" s="6">
        <f>SUMIF('Eredeti fejléccel'!$B:$B,'Felosztás eredménykim'!$B264,'Eredeti fejléccel'!$CD:$CD)</f>
        <v>0</v>
      </c>
      <c r="EK264" s="6">
        <f>SUMIF('Eredeti fejléccel'!$B:$B,'Felosztás eredménykim'!$B264,'Eredeti fejléccel'!$CE:$CE)</f>
        <v>0</v>
      </c>
      <c r="EN264" s="6">
        <f>SUMIF('Eredeti fejléccel'!$B:$B,'Felosztás eredménykim'!$B264,'Eredeti fejléccel'!$CF:$CF)</f>
        <v>0</v>
      </c>
      <c r="EP264" s="6">
        <f>SUMIF('Eredeti fejléccel'!$B:$B,'Felosztás eredménykim'!$B264,'Eredeti fejléccel'!$CG:$CG)</f>
        <v>0</v>
      </c>
      <c r="ES264" s="6">
        <f>SUMIF('Eredeti fejléccel'!$B:$B,'Felosztás eredménykim'!$B264,'Eredeti fejléccel'!$CH:$CH)</f>
        <v>0</v>
      </c>
      <c r="ET264" s="6">
        <f>SUMIF('Eredeti fejléccel'!$B:$B,'Felosztás eredménykim'!$B264,'Eredeti fejléccel'!$CI:$CI)</f>
        <v>0</v>
      </c>
      <c r="EW264" s="8">
        <f t="shared" si="535"/>
        <v>0</v>
      </c>
      <c r="EX264" s="8">
        <f t="shared" si="527"/>
        <v>0</v>
      </c>
      <c r="EY264" s="8">
        <f t="shared" si="416"/>
        <v>0</v>
      </c>
      <c r="EZ264" s="8">
        <f t="shared" si="536"/>
        <v>0</v>
      </c>
      <c r="FA264" s="8">
        <f t="shared" si="537"/>
        <v>0</v>
      </c>
      <c r="FC264" s="6">
        <f>SUMIF('Eredeti fejléccel'!$B:$B,'Felosztás eredménykim'!$B264,'Eredeti fejléccel'!$L:$L)</f>
        <v>0</v>
      </c>
      <c r="FD264" s="210">
        <f>SUMIF('Eredeti fejléccel'!$B:$B,'Felosztás eredménykim'!$B264,'Eredeti fejléccel'!$CJ:$CJ)</f>
        <v>0</v>
      </c>
      <c r="FE264" s="6">
        <f>SUMIF('Eredeti fejléccel'!$B:$B,'Felosztás eredménykim'!$B264,'Eredeti fejléccel'!$CL:$CL)</f>
        <v>0</v>
      </c>
      <c r="FF264" s="73">
        <f>-FD264-FC264</f>
        <v>0</v>
      </c>
      <c r="FG264" s="99">
        <f t="shared" si="528"/>
        <v>0</v>
      </c>
      <c r="FH264" s="6">
        <f>SUMIF('Eredeti fejléccel'!$B:$B,'Felosztás eredménykim'!$B264,'Eredeti fejléccel'!$CK:$CK)+0</f>
        <v>0</v>
      </c>
      <c r="FI264" s="36">
        <f t="shared" si="558"/>
        <v>-37134.030854777651</v>
      </c>
      <c r="FJ264" s="101">
        <f t="shared" si="629"/>
        <v>0</v>
      </c>
      <c r="FK264" s="6">
        <f>SUMIF('Eredeti fejléccel'!$B:$B,'Felosztás eredménykim'!$B264,'Eredeti fejléccel'!$CM:$CM)</f>
        <v>0</v>
      </c>
      <c r="FL264" s="6">
        <f>SUMIF('Eredeti fejléccel'!$B:$B,'Felosztás eredménykim'!$B264,'Eredeti fejléccel'!$CN:$CN)</f>
        <v>0</v>
      </c>
      <c r="FM264" s="8">
        <f t="shared" si="529"/>
        <v>0</v>
      </c>
      <c r="FN264" s="36">
        <f t="shared" si="559"/>
        <v>-31570.018211207251</v>
      </c>
      <c r="FO264" s="101">
        <f t="shared" si="630"/>
        <v>0</v>
      </c>
      <c r="FP264" s="6">
        <f>SUMIF('Eredeti fejléccel'!$B:$B,'Felosztás eredménykim'!$B264,'Eredeti fejléccel'!$CO:$CO)</f>
        <v>0</v>
      </c>
      <c r="FQ264" s="6">
        <f>'Eredeti fejléccel'!CP264</f>
        <v>0</v>
      </c>
      <c r="FR264" s="6">
        <f>'Eredeti fejléccel'!CQ264</f>
        <v>0</v>
      </c>
      <c r="FS264" s="103">
        <f t="shared" si="417"/>
        <v>0</v>
      </c>
      <c r="FT264" s="36">
        <f t="shared" si="560"/>
        <v>-87142.455928619675</v>
      </c>
      <c r="FU264" s="101">
        <f t="shared" si="631"/>
        <v>0</v>
      </c>
      <c r="FV264" s="101"/>
      <c r="FW264" s="6">
        <f>SUMIF('Eredeti fejléccel'!$B:$B,'Felosztás eredménykim'!$B264,'Eredeti fejléccel'!$CR:$CR)</f>
        <v>0</v>
      </c>
      <c r="FX264" s="6">
        <f>SUMIF('Eredeti fejléccel'!$B:$B,'Felosztás eredménykim'!$B264,'Eredeti fejléccel'!$CS:$CS)</f>
        <v>0</v>
      </c>
      <c r="FY264" s="6">
        <f>SUMIF('Eredeti fejléccel'!$B:$B,'Felosztás eredménykim'!$B264,'Eredeti fejléccel'!$CT:$CT)</f>
        <v>0</v>
      </c>
      <c r="FZ264" s="6">
        <f>SUMIF('Eredeti fejléccel'!$B:$B,'Felosztás eredménykim'!$B264,'Eredeti fejléccel'!$CU:$CU)</f>
        <v>0</v>
      </c>
      <c r="GA264" s="103">
        <f t="shared" si="530"/>
        <v>0</v>
      </c>
      <c r="GB264" s="36">
        <f t="shared" si="561"/>
        <v>-11615.384058840404</v>
      </c>
      <c r="GC264" s="101">
        <f t="shared" si="632"/>
        <v>0</v>
      </c>
      <c r="GD264" s="6">
        <f>SUMIF('Eredeti fejléccel'!$B:$B,'Felosztás eredménykim'!$B264,'Eredeti fejléccel'!$CV:$CV)</f>
        <v>0</v>
      </c>
      <c r="GE264" s="6">
        <f>SUMIF('Eredeti fejléccel'!$B:$B,'Felosztás eredménykim'!$B264,'Eredeti fejléccel'!$CW:$CW)</f>
        <v>0</v>
      </c>
      <c r="GF264" s="103">
        <f t="shared" si="531"/>
        <v>0</v>
      </c>
      <c r="GG264" s="36">
        <f t="shared" si="633"/>
        <v>0</v>
      </c>
      <c r="GM264" s="6">
        <f>SUMIF('Eredeti fejléccel'!$B:$B,'Felosztás eredménykim'!$B264,'Eredeti fejléccel'!$CX:$CX)</f>
        <v>0</v>
      </c>
      <c r="GN264" s="6">
        <f>SUMIF('Eredeti fejléccel'!$B:$B,'Felosztás eredménykim'!$B264,'Eredeti fejléccel'!$CY:$CY)</f>
        <v>0</v>
      </c>
      <c r="GO264" s="6">
        <f>SUMIF('Eredeti fejléccel'!$B:$B,'Felosztás eredménykim'!$B264,'Eredeti fejléccel'!$CZ:$CZ)</f>
        <v>0</v>
      </c>
      <c r="GP264" s="6">
        <f>SUMIF('Eredeti fejléccel'!$B:$B,'Felosztás eredménykim'!$B264,'Eredeti fejléccel'!$DA:$DA)</f>
        <v>0</v>
      </c>
      <c r="GQ264" s="6">
        <f>SUMIF('Eredeti fejléccel'!$B:$B,'Felosztás eredménykim'!$B264,'Eredeti fejléccel'!$DB:$DB)</f>
        <v>0</v>
      </c>
      <c r="GR264" s="103">
        <f t="shared" si="532"/>
        <v>0</v>
      </c>
      <c r="GW264" s="36">
        <f t="shared" si="634"/>
        <v>-19939.062459755314</v>
      </c>
      <c r="GX264" s="6">
        <f>SUMIF('Eredeti fejléccel'!$B:$B,'Felosztás eredménykim'!$B264,'Eredeti fejléccel'!$M:$M)</f>
        <v>0</v>
      </c>
      <c r="GY264" s="6">
        <f>SUMIF('Eredeti fejléccel'!$B:$B,'Felosztás eredménykim'!$B264,'Eredeti fejléccel'!$DC:$DC)</f>
        <v>0</v>
      </c>
      <c r="GZ264" s="6">
        <f>SUMIF('Eredeti fejléccel'!$B:$B,'Felosztás eredménykim'!$B264,'Eredeti fejléccel'!$DD:$DD)</f>
        <v>0</v>
      </c>
      <c r="HA264" s="6">
        <f>SUMIF('Eredeti fejléccel'!$B:$B,'Felosztás eredménykim'!$B264,'Eredeti fejléccel'!$DE:$DE)</f>
        <v>0</v>
      </c>
      <c r="HB264" s="103">
        <f t="shared" si="533"/>
        <v>0</v>
      </c>
      <c r="HD264" s="9">
        <f t="shared" si="547"/>
        <v>-414039.00000000012</v>
      </c>
      <c r="HE264" s="9">
        <v>-414039</v>
      </c>
      <c r="HF264" s="476"/>
      <c r="HH264" s="34">
        <f t="shared" si="534"/>
        <v>0</v>
      </c>
    </row>
    <row r="265" spans="1:218" x14ac:dyDescent="0.25">
      <c r="A265" s="4" t="s">
        <v>351</v>
      </c>
      <c r="B265" s="4" t="s">
        <v>351</v>
      </c>
      <c r="C265" s="1" t="s">
        <v>352</v>
      </c>
      <c r="D265" s="6">
        <f>SUMIF('Eredeti fejléccel'!$B:$B,'Felosztás eredménykim'!$B265,'Eredeti fejléccel'!$D:$D)</f>
        <v>0</v>
      </c>
      <c r="E265" s="6">
        <f>SUMIF('Eredeti fejléccel'!$B:$B,'Felosztás eredménykim'!$B265,'Eredeti fejléccel'!$E:$E)</f>
        <v>-30000</v>
      </c>
      <c r="F265" s="6">
        <f>SUMIF('Eredeti fejléccel'!$B:$B,'Felosztás eredménykim'!$B265,'Eredeti fejléccel'!$F:$F)</f>
        <v>0</v>
      </c>
      <c r="G265" s="6">
        <f>SUMIF('Eredeti fejléccel'!$B:$B,'Felosztás eredménykim'!$B265,'Eredeti fejléccel'!$G:$G)</f>
        <v>0</v>
      </c>
      <c r="H265" s="6"/>
      <c r="I265" s="6">
        <f>SUMIF('Eredeti fejléccel'!$B:$B,'Felosztás eredménykim'!$B265,'Eredeti fejléccel'!$O:$O)</f>
        <v>0</v>
      </c>
      <c r="J265" s="6">
        <f>SUMIF('Eredeti fejléccel'!$B:$B,'Felosztás eredménykim'!$B265,'Eredeti fejléccel'!$P:$P)</f>
        <v>0</v>
      </c>
      <c r="K265" s="6">
        <f>SUMIF('Eredeti fejléccel'!$B:$B,'Felosztás eredménykim'!$B265,'Eredeti fejléccel'!$Q:$Q)</f>
        <v>0</v>
      </c>
      <c r="L265" s="6">
        <f>SUMIF('Eredeti fejléccel'!$B:$B,'Felosztás eredménykim'!$B265,'Eredeti fejléccel'!$R:$R)</f>
        <v>-700</v>
      </c>
      <c r="M265" s="6">
        <f>SUMIF('Eredeti fejléccel'!$B:$B,'Felosztás eredménykim'!$B265,'Eredeti fejléccel'!$T:$T)</f>
        <v>0</v>
      </c>
      <c r="N265" s="6">
        <f>SUMIF('Eredeti fejléccel'!$B:$B,'Felosztás eredménykim'!$B265,'Eredeti fejléccel'!$U:$U)</f>
        <v>0</v>
      </c>
      <c r="O265" s="6">
        <f>SUMIF('Eredeti fejléccel'!$B:$B,'Felosztás eredménykim'!$B265,'Eredeti fejléccel'!$V:$V)</f>
        <v>-3850</v>
      </c>
      <c r="P265" s="6">
        <f>SUMIF('Eredeti fejléccel'!$B:$B,'Felosztás eredménykim'!$B265,'Eredeti fejléccel'!$W:$W)</f>
        <v>0</v>
      </c>
      <c r="Q265" s="6">
        <f>SUMIF('Eredeti fejléccel'!$B:$B,'Felosztás eredménykim'!$B265,'Eredeti fejléccel'!$X:$X)</f>
        <v>-8750</v>
      </c>
      <c r="R265" s="6">
        <f>SUMIF('Eredeti fejléccel'!$B:$B,'Felosztás eredménykim'!$B265,'Eredeti fejléccel'!$Y:$Y)</f>
        <v>0</v>
      </c>
      <c r="S265" s="6">
        <f>SUMIF('Eredeti fejléccel'!$B:$B,'Felosztás eredménykim'!$B265,'Eredeti fejléccel'!$Z:$Z)</f>
        <v>-1750</v>
      </c>
      <c r="T265" s="6">
        <f>SUMIF('Eredeti fejléccel'!$B:$B,'Felosztás eredménykim'!$B265,'Eredeti fejléccel'!$AA:$AA)</f>
        <v>0</v>
      </c>
      <c r="U265" s="6">
        <f>SUMIF('Eredeti fejléccel'!$B:$B,'Felosztás eredménykim'!$B265,'Eredeti fejléccel'!$D:$D)</f>
        <v>0</v>
      </c>
      <c r="V265" s="6">
        <f>SUMIF('Eredeti fejléccel'!$B:$B,'Felosztás eredménykim'!$B265,'Eredeti fejléccel'!$AT:$AT)</f>
        <v>0</v>
      </c>
      <c r="X265" s="36">
        <f t="shared" si="635"/>
        <v>-45050</v>
      </c>
      <c r="Z265" s="6">
        <f>SUMIF('Eredeti fejléccel'!$B:$B,'Felosztás eredménykim'!$B265,'Eredeti fejléccel'!$K:$K)</f>
        <v>-3850</v>
      </c>
      <c r="AB265" s="6">
        <f>SUMIF('Eredeti fejléccel'!$B:$B,'Felosztás eredménykim'!$B265,'Eredeti fejléccel'!$AB:$AB)</f>
        <v>0</v>
      </c>
      <c r="AC265" s="6">
        <f>SUMIF('Eredeti fejléccel'!$B:$B,'Felosztás eredménykim'!$B265,'Eredeti fejléccel'!$AQ:$AQ)</f>
        <v>0</v>
      </c>
      <c r="AE265" s="73">
        <f t="shared" si="548"/>
        <v>-3850</v>
      </c>
      <c r="AF265" s="36">
        <f t="shared" si="549"/>
        <v>-5374.2236011117884</v>
      </c>
      <c r="AG265" s="8">
        <f t="shared" si="620"/>
        <v>-1227.5512029335478</v>
      </c>
      <c r="AI265" s="6">
        <f>SUMIF('Eredeti fejléccel'!$B:$B,'Felosztás eredménykim'!$B265,'Eredeti fejléccel'!$BB:$BB)</f>
        <v>-1750</v>
      </c>
      <c r="AJ265" s="6">
        <f>SUMIF('Eredeti fejléccel'!$B:$B,'Felosztás eredménykim'!$B265,'Eredeti fejléccel'!$AF:$AF)</f>
        <v>0</v>
      </c>
      <c r="AK265" s="8">
        <f t="shared" si="522"/>
        <v>-2977.5512029335478</v>
      </c>
      <c r="AL265" s="36">
        <f t="shared" si="550"/>
        <v>-2134.6144794317793</v>
      </c>
      <c r="AM265" s="8">
        <f t="shared" si="621"/>
        <v>-487.57713979071633</v>
      </c>
      <c r="AN265" s="6">
        <f t="shared" si="538"/>
        <v>0</v>
      </c>
      <c r="AO265" s="6">
        <f>SUMIF('Eredeti fejléccel'!$B:$B,'Felosztás eredménykim'!$B265,'Eredeti fejléccel'!$AC:$AC)</f>
        <v>0</v>
      </c>
      <c r="AP265" s="6">
        <f>SUMIF('Eredeti fejléccel'!$B:$B,'Felosztás eredménykim'!$B265,'Eredeti fejléccel'!$AD:$AD)</f>
        <v>0</v>
      </c>
      <c r="AQ265" s="6">
        <f>SUMIF('Eredeti fejléccel'!$B:$B,'Felosztás eredménykim'!$B265,'Eredeti fejléccel'!$AE:$AE)</f>
        <v>0</v>
      </c>
      <c r="AR265" s="6">
        <f>SUMIF('Eredeti fejléccel'!$B:$B,'Felosztás eredménykim'!$B265,'Eredeti fejléccel'!$AG:$AG)</f>
        <v>0</v>
      </c>
      <c r="AS265" s="6">
        <f t="shared" si="539"/>
        <v>-487.57713979071633</v>
      </c>
      <c r="AT265" s="36">
        <f t="shared" si="551"/>
        <v>-3467.2410329753479</v>
      </c>
      <c r="AU265" s="8">
        <f t="shared" si="622"/>
        <v>-791.96851802164383</v>
      </c>
      <c r="AV265" s="6">
        <f>SUMIF('Eredeti fejléccel'!$B:$B,'Felosztás eredménykim'!$B265,'Eredeti fejléccel'!$AI:$AI)</f>
        <v>0</v>
      </c>
      <c r="AW265" s="6">
        <f>SUMIF('Eredeti fejléccel'!$B:$B,'Felosztás eredménykim'!$B265,'Eredeti fejléccel'!$AJ:$AJ)</f>
        <v>0</v>
      </c>
      <c r="AX265" s="6">
        <f>SUMIF('Eredeti fejléccel'!$B:$B,'Felosztás eredménykim'!$B265,'Eredeti fejléccel'!$AK:$AK)</f>
        <v>0</v>
      </c>
      <c r="AY265" s="6">
        <f>SUMIF('Eredeti fejléccel'!$B:$B,'Felosztás eredménykim'!$B265,'Eredeti fejléccel'!$AL:$AL)</f>
        <v>0</v>
      </c>
      <c r="AZ265" s="6">
        <f>SUMIF('Eredeti fejléccel'!$B:$B,'Felosztás eredménykim'!$B265,'Eredeti fejléccel'!$AM:$AM)</f>
        <v>-7350</v>
      </c>
      <c r="BA265" s="6">
        <f>SUMIF('Eredeti fejléccel'!$B:$B,'Felosztás eredménykim'!$B265,'Eredeti fejléccel'!$AN:$AN)</f>
        <v>0</v>
      </c>
      <c r="BB265" s="6">
        <f>SUMIF('Eredeti fejléccel'!$B:$B,'Felosztás eredménykim'!$B265,'Eredeti fejléccel'!$AP:$AP)</f>
        <v>0</v>
      </c>
      <c r="BD265" s="6">
        <f>SUMIF('Eredeti fejléccel'!$B:$B,'Felosztás eredménykim'!$B265,'Eredeti fejléccel'!$AS:$AS)</f>
        <v>0</v>
      </c>
      <c r="BE265" s="8">
        <f t="shared" si="523"/>
        <v>-8141.9685180216438</v>
      </c>
      <c r="BF265" s="36">
        <f t="shared" si="552"/>
        <v>-904.49766077617755</v>
      </c>
      <c r="BG265" s="8">
        <f t="shared" si="623"/>
        <v>-206.60048296216794</v>
      </c>
      <c r="BH265" s="6">
        <f t="shared" si="540"/>
        <v>0</v>
      </c>
      <c r="BI265" s="6">
        <f>SUMIF('Eredeti fejléccel'!$B:$B,'Felosztás eredménykim'!$B265,'Eredeti fejléccel'!$AH:$AH)</f>
        <v>-90000</v>
      </c>
      <c r="BJ265" s="6">
        <f>SUMIF('Eredeti fejléccel'!$B:$B,'Felosztás eredménykim'!$B265,'Eredeti fejléccel'!$AO:$AO)</f>
        <v>0</v>
      </c>
      <c r="BK265" s="6">
        <f>SUMIF('Eredeti fejléccel'!$B:$B,'Felosztás eredménykim'!$B265,'Eredeti fejléccel'!$BF:$BF)</f>
        <v>0</v>
      </c>
      <c r="BL265" s="8">
        <f t="shared" si="541"/>
        <v>-90206.600482962167</v>
      </c>
      <c r="BM265" s="36">
        <f t="shared" si="553"/>
        <v>-3388.851235708079</v>
      </c>
      <c r="BN265" s="8">
        <f t="shared" si="624"/>
        <v>-774.06314283158929</v>
      </c>
      <c r="BP265" s="8">
        <f t="shared" si="542"/>
        <v>0</v>
      </c>
      <c r="BQ265" s="6">
        <f>SUMIF('Eredeti fejléccel'!$B:$B,'Felosztás eredménykim'!$B265,'Eredeti fejléccel'!$N:$N)</f>
        <v>0</v>
      </c>
      <c r="BR265" s="6">
        <f>SUMIF('Eredeti fejléccel'!$B:$B,'Felosztás eredménykim'!$B265,'Eredeti fejléccel'!$S:$S)</f>
        <v>0</v>
      </c>
      <c r="BT265" s="6">
        <f>SUMIF('Eredeti fejléccel'!$B:$B,'Felosztás eredménykim'!$B265,'Eredeti fejléccel'!$AR:$AR)</f>
        <v>0</v>
      </c>
      <c r="BU265" s="6">
        <f>SUMIF('Eredeti fejléccel'!$B:$B,'Felosztás eredménykim'!$B265,'Eredeti fejléccel'!$AU:$AU)</f>
        <v>0</v>
      </c>
      <c r="BV265" s="6">
        <f>SUMIF('Eredeti fejléccel'!$B:$B,'Felosztás eredménykim'!$B265,'Eredeti fejléccel'!$AV:$AV)</f>
        <v>0</v>
      </c>
      <c r="BW265" s="6">
        <f>SUMIF('Eredeti fejléccel'!$B:$B,'Felosztás eredménykim'!$B265,'Eredeti fejléccel'!$AW:$AW)</f>
        <v>0</v>
      </c>
      <c r="BX265" s="6">
        <f>SUMIF('Eredeti fejléccel'!$B:$B,'Felosztás eredménykim'!$B265,'Eredeti fejléccel'!$AX:$AX)</f>
        <v>0</v>
      </c>
      <c r="BY265" s="6">
        <f>SUMIF('Eredeti fejléccel'!$B:$B,'Felosztás eredménykim'!$B265,'Eredeti fejléccel'!$AY:$AY)</f>
        <v>0</v>
      </c>
      <c r="BZ265" s="6">
        <f>SUMIF('Eredeti fejléccel'!$B:$B,'Felosztás eredménykim'!$B265,'Eredeti fejléccel'!$AZ:$AZ)</f>
        <v>0</v>
      </c>
      <c r="CA265" s="6">
        <f>SUMIF('Eredeti fejléccel'!$B:$B,'Felosztás eredménykim'!$B265,'Eredeti fejléccel'!$BA:$BA)</f>
        <v>-7023</v>
      </c>
      <c r="CB265" s="6">
        <f t="shared" si="481"/>
        <v>-7797.0631428315892</v>
      </c>
      <c r="CC265" s="36">
        <f t="shared" si="554"/>
        <v>-922.58761399170112</v>
      </c>
      <c r="CD265" s="8">
        <f t="shared" si="625"/>
        <v>-210.7324926214113</v>
      </c>
      <c r="CE265" s="6">
        <f>SUMIF('Eredeti fejléccel'!$B:$B,'Felosztás eredménykim'!$B265,'Eredeti fejléccel'!$BC:$BC)</f>
        <v>0</v>
      </c>
      <c r="CF265" s="8">
        <f t="shared" si="555"/>
        <v>0</v>
      </c>
      <c r="CG265" s="6">
        <f>SUMIF('Eredeti fejléccel'!$B:$B,'Felosztás eredménykim'!$B265,'Eredeti fejléccel'!$H:$H)</f>
        <v>0</v>
      </c>
      <c r="CH265" s="6">
        <f>SUMIF('Eredeti fejléccel'!$B:$B,'Felosztás eredménykim'!$B265,'Eredeti fejléccel'!$BE:$BE)</f>
        <v>-12950</v>
      </c>
      <c r="CI265" s="6">
        <f t="shared" si="524"/>
        <v>-13160.732492621411</v>
      </c>
      <c r="CJ265" s="36">
        <f t="shared" si="556"/>
        <v>-663.29828456919699</v>
      </c>
      <c r="CK265" s="8">
        <f t="shared" si="626"/>
        <v>-151.50702083892318</v>
      </c>
      <c r="CL265" s="8">
        <f t="shared" si="557"/>
        <v>0</v>
      </c>
      <c r="CM265" s="6">
        <f>SUMIF('Eredeti fejléccel'!$B:$B,'Felosztás eredménykim'!$B265,'Eredeti fejléccel'!$BD:$BD)</f>
        <v>0</v>
      </c>
      <c r="CN265" s="8">
        <f t="shared" si="525"/>
        <v>-151.50702083892318</v>
      </c>
      <c r="CO265" s="8">
        <f t="shared" si="482"/>
        <v>-139778.31390856407</v>
      </c>
      <c r="CR265" s="36">
        <f t="shared" si="627"/>
        <v>-3984.2997424339987</v>
      </c>
      <c r="CS265" s="6">
        <f>SUMIF('Eredeti fejléccel'!$B:$B,'Felosztás eredménykim'!$B265,'Eredeti fejléccel'!$I:$I)</f>
        <v>0</v>
      </c>
      <c r="CT265" s="6">
        <f>SUMIF('Eredeti fejléccel'!$B:$B,'Felosztás eredménykim'!$B265,'Eredeti fejléccel'!$BG:$BG)</f>
        <v>0</v>
      </c>
      <c r="CU265" s="6">
        <f>SUMIF('Eredeti fejléccel'!$B:$B,'Felosztás eredménykim'!$B265,'Eredeti fejléccel'!$BH:$BH)</f>
        <v>0</v>
      </c>
      <c r="CV265" s="6">
        <f>SUMIF('Eredeti fejléccel'!$B:$B,'Felosztás eredménykim'!$B265,'Eredeti fejléccel'!$BI:$BI)</f>
        <v>0</v>
      </c>
      <c r="CW265" s="6">
        <f>SUMIF('Eredeti fejléccel'!$B:$B,'Felosztás eredménykim'!$B265,'Eredeti fejléccel'!$BL:$BL)</f>
        <v>0</v>
      </c>
      <c r="CX265" s="6">
        <f t="shared" si="526"/>
        <v>0</v>
      </c>
      <c r="CY265" s="6">
        <f>SUMIF('Eredeti fejléccel'!$B:$B,'Felosztás eredménykim'!$B265,'Eredeti fejléccel'!$BJ:$BJ)</f>
        <v>0</v>
      </c>
      <c r="CZ265" s="6">
        <f>SUMIF('Eredeti fejléccel'!$B:$B,'Felosztás eredménykim'!$B265,'Eredeti fejléccel'!$BK:$BK)</f>
        <v>0</v>
      </c>
      <c r="DA265" s="99">
        <f t="shared" ref="DA265:DA276" si="637">SUM(CX265:CZ265)</f>
        <v>0</v>
      </c>
      <c r="DC265" s="36">
        <f t="shared" si="628"/>
        <v>-3489.7070186735355</v>
      </c>
      <c r="DD265" s="6">
        <f>SUMIF('Eredeti fejléccel'!$B:$B,'Felosztás eredménykim'!$B265,'Eredeti fejléccel'!$J:$J)</f>
        <v>0</v>
      </c>
      <c r="DE265" s="6">
        <f>SUMIF('Eredeti fejléccel'!$B:$B,'Felosztás eredménykim'!$B265,'Eredeti fejléccel'!$BM:$BM)</f>
        <v>0</v>
      </c>
      <c r="DF265" s="6">
        <f t="shared" si="543"/>
        <v>0</v>
      </c>
      <c r="DG265" s="8">
        <f t="shared" si="636"/>
        <v>0</v>
      </c>
      <c r="DH265" s="8">
        <f t="shared" si="544"/>
        <v>0</v>
      </c>
      <c r="DJ265" s="6">
        <f>SUMIF('Eredeti fejléccel'!$B:$B,'Felosztás eredménykim'!$B265,'Eredeti fejléccel'!$BN:$BN)</f>
        <v>-3350</v>
      </c>
      <c r="DK265" s="6">
        <f>SUMIF('Eredeti fejléccel'!$B:$B,'Felosztás eredménykim'!$B265,'Eredeti fejléccel'!$BZ:$BZ)</f>
        <v>0</v>
      </c>
      <c r="DL265" s="8">
        <f t="shared" si="545"/>
        <v>-3350</v>
      </c>
      <c r="DM265" s="6">
        <f>SUMIF('Eredeti fejléccel'!$B:$B,'Felosztás eredménykim'!$B265,'Eredeti fejléccel'!$BR:$BR)</f>
        <v>0</v>
      </c>
      <c r="DN265" s="6">
        <f>SUMIF('Eredeti fejléccel'!$B:$B,'Felosztás eredménykim'!$B265,'Eredeti fejléccel'!$BS:$BS)</f>
        <v>0</v>
      </c>
      <c r="DO265" s="6">
        <f>SUMIF('Eredeti fejléccel'!$B:$B,'Felosztás eredménykim'!$B265,'Eredeti fejléccel'!$BO:$BO)</f>
        <v>0</v>
      </c>
      <c r="DP265" s="6">
        <f>SUMIF('Eredeti fejléccel'!$B:$B,'Felosztás eredménykim'!$B265,'Eredeti fejléccel'!$BP:$BP)</f>
        <v>0</v>
      </c>
      <c r="DQ265" s="6">
        <f>SUMIF('Eredeti fejléccel'!$B:$B,'Felosztás eredménykim'!$B265,'Eredeti fejléccel'!$BQ:$BQ)</f>
        <v>0</v>
      </c>
      <c r="DS265" s="8"/>
      <c r="DU265" s="6">
        <f>SUMIF('Eredeti fejléccel'!$B:$B,'Felosztás eredménykim'!$B265,'Eredeti fejléccel'!$BT:$BT)</f>
        <v>0</v>
      </c>
      <c r="DV265" s="6">
        <f>SUMIF('Eredeti fejléccel'!$B:$B,'Felosztás eredménykim'!$B265,'Eredeti fejléccel'!$BU:$BU)</f>
        <v>0</v>
      </c>
      <c r="DW265" s="6">
        <f>SUMIF('Eredeti fejléccel'!$B:$B,'Felosztás eredménykim'!$B265,'Eredeti fejléccel'!$BV:$BV)</f>
        <v>0</v>
      </c>
      <c r="DX265" s="6">
        <f>SUMIF('Eredeti fejléccel'!$B:$B,'Felosztás eredménykim'!$B265,'Eredeti fejléccel'!$BW:$BW)</f>
        <v>0</v>
      </c>
      <c r="DY265" s="6">
        <f>SUMIF('Eredeti fejléccel'!$B:$B,'Felosztás eredménykim'!$B265,'Eredeti fejléccel'!$BX:$BX)</f>
        <v>0</v>
      </c>
      <c r="EA265" s="6"/>
      <c r="EC265" s="6"/>
      <c r="EE265" s="6">
        <f>SUMIF('Eredeti fejléccel'!$B:$B,'Felosztás eredménykim'!$B265,'Eredeti fejléccel'!$CA:$CA)</f>
        <v>0</v>
      </c>
      <c r="EF265" s="6">
        <f>SUMIF('Eredeti fejléccel'!$B:$B,'Felosztás eredménykim'!$B265,'Eredeti fejléccel'!$CB:$CB)</f>
        <v>0</v>
      </c>
      <c r="EG265" s="6">
        <f>SUMIF('Eredeti fejléccel'!$B:$B,'Felosztás eredménykim'!$B265,'Eredeti fejléccel'!$CC:$CC)</f>
        <v>0</v>
      </c>
      <c r="EH265" s="6">
        <f>SUMIF('Eredeti fejléccel'!$B:$B,'Felosztás eredménykim'!$B265,'Eredeti fejléccel'!$CD:$CD)</f>
        <v>0</v>
      </c>
      <c r="EK265" s="6">
        <f>SUMIF('Eredeti fejléccel'!$B:$B,'Felosztás eredménykim'!$B265,'Eredeti fejléccel'!$CE:$CE)</f>
        <v>0</v>
      </c>
      <c r="EN265" s="6">
        <f>SUMIF('Eredeti fejléccel'!$B:$B,'Felosztás eredménykim'!$B265,'Eredeti fejléccel'!$CF:$CF)</f>
        <v>0</v>
      </c>
      <c r="EP265" s="6">
        <f>SUMIF('Eredeti fejléccel'!$B:$B,'Felosztás eredménykim'!$B265,'Eredeti fejléccel'!$CG:$CG)</f>
        <v>0</v>
      </c>
      <c r="ES265" s="6">
        <f>SUMIF('Eredeti fejléccel'!$B:$B,'Felosztás eredménykim'!$B265,'Eredeti fejléccel'!$CH:$CH)</f>
        <v>0</v>
      </c>
      <c r="ET265" s="6">
        <f>SUMIF('Eredeti fejléccel'!$B:$B,'Felosztás eredménykim'!$B265,'Eredeti fejléccel'!$CI:$CI)</f>
        <v>0</v>
      </c>
      <c r="EW265" s="8">
        <f t="shared" si="535"/>
        <v>0</v>
      </c>
      <c r="EX265" s="8">
        <f t="shared" si="527"/>
        <v>0</v>
      </c>
      <c r="EY265" s="8">
        <f t="shared" ref="EY265:EY280" si="638">SUM(DR265:EV265)+DH265+DN265+DP265-DS265-DT265</f>
        <v>0</v>
      </c>
      <c r="EZ265" s="8">
        <f t="shared" si="536"/>
        <v>-3350</v>
      </c>
      <c r="FA265" s="8">
        <f t="shared" si="537"/>
        <v>0</v>
      </c>
      <c r="FC265" s="6">
        <f>SUMIF('Eredeti fejléccel'!$B:$B,'Felosztás eredménykim'!$B265,'Eredeti fejléccel'!$L:$L)</f>
        <v>0</v>
      </c>
      <c r="FD265" s="6">
        <f>SUMIF('Eredeti fejléccel'!$B:$B,'Felosztás eredménykim'!$B265,'Eredeti fejléccel'!$CJ:$CJ)</f>
        <v>0</v>
      </c>
      <c r="FE265" s="6">
        <f>SUMIF('Eredeti fejléccel'!$B:$B,'Felosztás eredménykim'!$B265,'Eredeti fejléccel'!$CL:$CL)</f>
        <v>0</v>
      </c>
      <c r="FG265" s="99">
        <f t="shared" si="528"/>
        <v>0</v>
      </c>
      <c r="FH265" s="6">
        <f>SUMIF('Eredeti fejléccel'!$B:$B,'Felosztás eredménykim'!$B265,'Eredeti fejléccel'!$CK:$CK)</f>
        <v>0</v>
      </c>
      <c r="FI265" s="36">
        <f t="shared" si="558"/>
        <v>-4105.8614663979961</v>
      </c>
      <c r="FJ265" s="101">
        <f t="shared" si="629"/>
        <v>0</v>
      </c>
      <c r="FK265" s="6">
        <f>SUMIF('Eredeti fejléccel'!$B:$B,'Felosztás eredménykim'!$B265,'Eredeti fejléccel'!$CM:$CM)</f>
        <v>0</v>
      </c>
      <c r="FL265" s="6">
        <f>SUMIF('Eredeti fejléccel'!$B:$B,'Felosztás eredménykim'!$B265,'Eredeti fejléccel'!$CN:$CN)</f>
        <v>0</v>
      </c>
      <c r="FM265" s="8">
        <f t="shared" si="529"/>
        <v>0</v>
      </c>
      <c r="FN265" s="36">
        <f t="shared" si="559"/>
        <v>-3490.6558292526893</v>
      </c>
      <c r="FO265" s="101">
        <f t="shared" si="630"/>
        <v>0</v>
      </c>
      <c r="FP265" s="6">
        <f>SUMIF('Eredeti fejléccel'!$B:$B,'Felosztás eredménykim'!$B265,'Eredeti fejléccel'!$CO:$CO)</f>
        <v>0</v>
      </c>
      <c r="FQ265" s="6">
        <f>'Eredeti fejléccel'!CP265</f>
        <v>0</v>
      </c>
      <c r="FR265" s="6">
        <f>'Eredeti fejléccel'!CQ265</f>
        <v>0</v>
      </c>
      <c r="FS265" s="103">
        <f t="shared" si="417"/>
        <v>0</v>
      </c>
      <c r="FT265" s="36">
        <f t="shared" si="560"/>
        <v>-9635.2279472125047</v>
      </c>
      <c r="FU265" s="101">
        <f t="shared" si="631"/>
        <v>0</v>
      </c>
      <c r="FV265" s="101"/>
      <c r="FW265" s="6">
        <f>SUMIF('Eredeti fejléccel'!$B:$B,'Felosztás eredménykim'!$B265,'Eredeti fejléccel'!$CR:$CR)</f>
        <v>-13191</v>
      </c>
      <c r="FX265" s="6">
        <f>SUMIF('Eredeti fejléccel'!$B:$B,'Felosztás eredménykim'!$B265,'Eredeti fejléccel'!$CS:$CS)</f>
        <v>0</v>
      </c>
      <c r="FY265" s="6">
        <f>SUMIF('Eredeti fejléccel'!$B:$B,'Felosztás eredménykim'!$B265,'Eredeti fejléccel'!$CT:$CT)</f>
        <v>0</v>
      </c>
      <c r="FZ265" s="6">
        <f>SUMIF('Eredeti fejléccel'!$B:$B,'Felosztás eredménykim'!$B265,'Eredeti fejléccel'!$CU:$CU)</f>
        <v>0</v>
      </c>
      <c r="GA265" s="103">
        <f t="shared" si="530"/>
        <v>-13191</v>
      </c>
      <c r="GB265" s="36">
        <f t="shared" si="561"/>
        <v>-1284.2978994420271</v>
      </c>
      <c r="GC265" s="101">
        <f t="shared" si="632"/>
        <v>0</v>
      </c>
      <c r="GD265" s="6">
        <f>SUMIF('Eredeti fejléccel'!$B:$B,'Felosztás eredménykim'!$B265,'Eredeti fejléccel'!$CV:$CV)</f>
        <v>0</v>
      </c>
      <c r="GE265" s="6">
        <f>SUMIF('Eredeti fejléccel'!$B:$B,'Felosztás eredménykim'!$B265,'Eredeti fejléccel'!$CW:$CW)</f>
        <v>0</v>
      </c>
      <c r="GF265" s="103">
        <f t="shared" si="531"/>
        <v>0</v>
      </c>
      <c r="GG265" s="36">
        <f t="shared" si="633"/>
        <v>0</v>
      </c>
      <c r="GM265" s="6">
        <f>SUMIF('Eredeti fejléccel'!$B:$B,'Felosztás eredménykim'!$B265,'Eredeti fejléccel'!$CX:$CX)</f>
        <v>0</v>
      </c>
      <c r="GN265" s="6">
        <f>SUMIF('Eredeti fejléccel'!$B:$B,'Felosztás eredménykim'!$B265,'Eredeti fejléccel'!$CY:$CY)</f>
        <v>0</v>
      </c>
      <c r="GO265" s="6">
        <f>SUMIF('Eredeti fejléccel'!$B:$B,'Felosztás eredménykim'!$B265,'Eredeti fejléccel'!$CZ:$CZ)</f>
        <v>0</v>
      </c>
      <c r="GP265" s="6">
        <f>SUMIF('Eredeti fejléccel'!$B:$B,'Felosztás eredménykim'!$B265,'Eredeti fejléccel'!$DA:$DA)</f>
        <v>0</v>
      </c>
      <c r="GQ265" s="6">
        <f>SUMIF('Eredeti fejléccel'!$B:$B,'Felosztás eredménykim'!$B265,'Eredeti fejléccel'!$DB:$DB)</f>
        <v>0</v>
      </c>
      <c r="GR265" s="103">
        <f t="shared" si="532"/>
        <v>0</v>
      </c>
      <c r="GW265" s="36">
        <f t="shared" si="634"/>
        <v>-2204.6361880231807</v>
      </c>
      <c r="GX265" s="6">
        <f>SUMIF('Eredeti fejléccel'!$B:$B,'Felosztás eredménykim'!$B265,'Eredeti fejléccel'!$M:$M)</f>
        <v>0</v>
      </c>
      <c r="GY265" s="6">
        <f>SUMIF('Eredeti fejléccel'!$B:$B,'Felosztás eredménykim'!$B265,'Eredeti fejléccel'!$DC:$DC)</f>
        <v>0</v>
      </c>
      <c r="GZ265" s="6">
        <f>SUMIF('Eredeti fejléccel'!$B:$B,'Felosztás eredménykim'!$B265,'Eredeti fejléccel'!$DD:$DD)</f>
        <v>0</v>
      </c>
      <c r="HA265" s="6">
        <f>SUMIF('Eredeti fejléccel'!$B:$B,'Felosztás eredménykim'!$B265,'Eredeti fejléccel'!$DE:$DE)</f>
        <v>0</v>
      </c>
      <c r="HB265" s="103">
        <f t="shared" si="533"/>
        <v>0</v>
      </c>
      <c r="HD265" s="9">
        <f t="shared" si="547"/>
        <v>-184514.0000000002</v>
      </c>
      <c r="HE265" s="9">
        <v>-184514</v>
      </c>
      <c r="HF265" s="476"/>
      <c r="HH265" s="34">
        <f t="shared" si="534"/>
        <v>0</v>
      </c>
    </row>
    <row r="266" spans="1:218" x14ac:dyDescent="0.25">
      <c r="A266" s="4" t="s">
        <v>353</v>
      </c>
      <c r="B266" s="4" t="s">
        <v>353</v>
      </c>
      <c r="C266" s="1" t="s">
        <v>354</v>
      </c>
      <c r="D266" s="6">
        <f>SUMIF('Eredeti fejléccel'!$B:$B,'Felosztás eredménykim'!$B266,'Eredeti fejléccel'!$D:$D)</f>
        <v>0</v>
      </c>
      <c r="E266" s="6">
        <f>SUMIF('Eredeti fejléccel'!$B:$B,'Felosztás eredménykim'!$B266,'Eredeti fejléccel'!$E:$E)</f>
        <v>0</v>
      </c>
      <c r="F266" s="6">
        <f>SUMIF('Eredeti fejléccel'!$B:$B,'Felosztás eredménykim'!$B266,'Eredeti fejléccel'!$F:$F)</f>
        <v>0</v>
      </c>
      <c r="G266" s="6">
        <f>SUMIF('Eredeti fejléccel'!$B:$B,'Felosztás eredménykim'!$B266,'Eredeti fejléccel'!$G:$G)</f>
        <v>0</v>
      </c>
      <c r="H266" s="6"/>
      <c r="I266" s="6">
        <f>SUMIF('Eredeti fejléccel'!$B:$B,'Felosztás eredménykim'!$B266,'Eredeti fejléccel'!$O:$O)</f>
        <v>0</v>
      </c>
      <c r="J266" s="6">
        <f>SUMIF('Eredeti fejléccel'!$B:$B,'Felosztás eredménykim'!$B266,'Eredeti fejléccel'!$P:$P)</f>
        <v>0</v>
      </c>
      <c r="K266" s="6">
        <f>SUMIF('Eredeti fejléccel'!$B:$B,'Felosztás eredménykim'!$B266,'Eredeti fejléccel'!$Q:$Q)</f>
        <v>0</v>
      </c>
      <c r="L266" s="6">
        <f>SUMIF('Eredeti fejléccel'!$B:$B,'Felosztás eredménykim'!$B266,'Eredeti fejléccel'!$R:$R)</f>
        <v>0</v>
      </c>
      <c r="M266" s="6">
        <f>SUMIF('Eredeti fejléccel'!$B:$B,'Felosztás eredménykim'!$B266,'Eredeti fejléccel'!$T:$T)</f>
        <v>0</v>
      </c>
      <c r="N266" s="6">
        <f>SUMIF('Eredeti fejléccel'!$B:$B,'Felosztás eredménykim'!$B266,'Eredeti fejléccel'!$U:$U)</f>
        <v>0</v>
      </c>
      <c r="O266" s="6">
        <f>SUMIF('Eredeti fejléccel'!$B:$B,'Felosztás eredménykim'!$B266,'Eredeti fejléccel'!$V:$V)</f>
        <v>0</v>
      </c>
      <c r="P266" s="6">
        <f>SUMIF('Eredeti fejléccel'!$B:$B,'Felosztás eredménykim'!$B266,'Eredeti fejléccel'!$W:$W)</f>
        <v>0</v>
      </c>
      <c r="Q266" s="6">
        <f>SUMIF('Eredeti fejléccel'!$B:$B,'Felosztás eredménykim'!$B266,'Eredeti fejléccel'!$X:$X)</f>
        <v>0</v>
      </c>
      <c r="R266" s="6">
        <f>SUMIF('Eredeti fejléccel'!$B:$B,'Felosztás eredménykim'!$B266,'Eredeti fejléccel'!$Y:$Y)</f>
        <v>0</v>
      </c>
      <c r="S266" s="6">
        <f>SUMIF('Eredeti fejléccel'!$B:$B,'Felosztás eredménykim'!$B266,'Eredeti fejléccel'!$Z:$Z)</f>
        <v>0</v>
      </c>
      <c r="T266" s="6">
        <f>SUMIF('Eredeti fejléccel'!$B:$B,'Felosztás eredménykim'!$B266,'Eredeti fejléccel'!$AA:$AA)</f>
        <v>0</v>
      </c>
      <c r="U266" s="6">
        <f>SUMIF('Eredeti fejléccel'!$B:$B,'Felosztás eredménykim'!$B266,'Eredeti fejléccel'!$D:$D)</f>
        <v>0</v>
      </c>
      <c r="V266" s="6">
        <f>SUMIF('Eredeti fejléccel'!$B:$B,'Felosztás eredménykim'!$B266,'Eredeti fejléccel'!$AT:$AT)</f>
        <v>0</v>
      </c>
      <c r="X266" s="36">
        <f t="shared" si="635"/>
        <v>0</v>
      </c>
      <c r="Z266" s="6">
        <f>SUMIF('Eredeti fejléccel'!$B:$B,'Felosztás eredménykim'!$B266,'Eredeti fejléccel'!$K:$K)</f>
        <v>0</v>
      </c>
      <c r="AB266" s="6">
        <f>SUMIF('Eredeti fejléccel'!$B:$B,'Felosztás eredménykim'!$B266,'Eredeti fejléccel'!$AB:$AB)</f>
        <v>0</v>
      </c>
      <c r="AC266" s="6">
        <f>SUMIF('Eredeti fejléccel'!$B:$B,'Felosztás eredménykim'!$B266,'Eredeti fejléccel'!$AQ:$AQ)</f>
        <v>0</v>
      </c>
      <c r="AE266" s="73">
        <f t="shared" si="548"/>
        <v>0</v>
      </c>
      <c r="AF266" s="36">
        <f t="shared" si="549"/>
        <v>0</v>
      </c>
      <c r="AG266" s="8">
        <f t="shared" si="620"/>
        <v>0</v>
      </c>
      <c r="AI266" s="6">
        <f>SUMIF('Eredeti fejléccel'!$B:$B,'Felosztás eredménykim'!$B266,'Eredeti fejléccel'!$BB:$BB)</f>
        <v>0</v>
      </c>
      <c r="AJ266" s="6">
        <f>SUMIF('Eredeti fejléccel'!$B:$B,'Felosztás eredménykim'!$B266,'Eredeti fejléccel'!$AF:$AF)</f>
        <v>0</v>
      </c>
      <c r="AK266" s="8">
        <f t="shared" si="522"/>
        <v>0</v>
      </c>
      <c r="AL266" s="36">
        <f t="shared" si="550"/>
        <v>0</v>
      </c>
      <c r="AM266" s="8">
        <f t="shared" si="621"/>
        <v>0</v>
      </c>
      <c r="AN266" s="6">
        <f t="shared" si="538"/>
        <v>0</v>
      </c>
      <c r="AO266" s="6">
        <f>SUMIF('Eredeti fejléccel'!$B:$B,'Felosztás eredménykim'!$B266,'Eredeti fejléccel'!$AC:$AC)</f>
        <v>0</v>
      </c>
      <c r="AP266" s="6">
        <f>SUMIF('Eredeti fejléccel'!$B:$B,'Felosztás eredménykim'!$B266,'Eredeti fejléccel'!$AD:$AD)</f>
        <v>0</v>
      </c>
      <c r="AQ266" s="6">
        <f>SUMIF('Eredeti fejléccel'!$B:$B,'Felosztás eredménykim'!$B266,'Eredeti fejléccel'!$AE:$AE)</f>
        <v>0</v>
      </c>
      <c r="AR266" s="6">
        <f>SUMIF('Eredeti fejléccel'!$B:$B,'Felosztás eredménykim'!$B266,'Eredeti fejléccel'!$AG:$AG)</f>
        <v>0</v>
      </c>
      <c r="AS266" s="6">
        <f t="shared" si="539"/>
        <v>0</v>
      </c>
      <c r="AT266" s="36">
        <f t="shared" si="551"/>
        <v>0</v>
      </c>
      <c r="AU266" s="8">
        <f t="shared" si="622"/>
        <v>0</v>
      </c>
      <c r="AV266" s="6">
        <f>SUMIF('Eredeti fejléccel'!$B:$B,'Felosztás eredménykim'!$B266,'Eredeti fejléccel'!$AI:$AI)</f>
        <v>0</v>
      </c>
      <c r="AW266" s="6">
        <f>SUMIF('Eredeti fejléccel'!$B:$B,'Felosztás eredménykim'!$B266,'Eredeti fejléccel'!$AJ:$AJ)</f>
        <v>0</v>
      </c>
      <c r="AX266" s="6">
        <f>SUMIF('Eredeti fejléccel'!$B:$B,'Felosztás eredménykim'!$B266,'Eredeti fejléccel'!$AK:$AK)</f>
        <v>0</v>
      </c>
      <c r="AY266" s="6">
        <f>SUMIF('Eredeti fejléccel'!$B:$B,'Felosztás eredménykim'!$B266,'Eredeti fejléccel'!$AL:$AL)</f>
        <v>0</v>
      </c>
      <c r="AZ266" s="6">
        <f>SUMIF('Eredeti fejléccel'!$B:$B,'Felosztás eredménykim'!$B266,'Eredeti fejléccel'!$AM:$AM)</f>
        <v>0</v>
      </c>
      <c r="BA266" s="6">
        <f>SUMIF('Eredeti fejléccel'!$B:$B,'Felosztás eredménykim'!$B266,'Eredeti fejléccel'!$AN:$AN)</f>
        <v>0</v>
      </c>
      <c r="BB266" s="6">
        <f>SUMIF('Eredeti fejléccel'!$B:$B,'Felosztás eredménykim'!$B266,'Eredeti fejléccel'!$AP:$AP)</f>
        <v>0</v>
      </c>
      <c r="BD266" s="6">
        <f>SUMIF('Eredeti fejléccel'!$B:$B,'Felosztás eredménykim'!$B266,'Eredeti fejléccel'!$AS:$AS)</f>
        <v>0</v>
      </c>
      <c r="BE266" s="8">
        <f t="shared" si="523"/>
        <v>0</v>
      </c>
      <c r="BF266" s="36">
        <f t="shared" si="552"/>
        <v>0</v>
      </c>
      <c r="BG266" s="8">
        <f t="shared" si="623"/>
        <v>0</v>
      </c>
      <c r="BH266" s="6">
        <f t="shared" si="540"/>
        <v>0</v>
      </c>
      <c r="BI266" s="6">
        <f>SUMIF('Eredeti fejléccel'!$B:$B,'Felosztás eredménykim'!$B266,'Eredeti fejléccel'!$AH:$AH)</f>
        <v>0</v>
      </c>
      <c r="BJ266" s="6">
        <f>SUMIF('Eredeti fejléccel'!$B:$B,'Felosztás eredménykim'!$B266,'Eredeti fejléccel'!$AO:$AO)</f>
        <v>0</v>
      </c>
      <c r="BK266" s="6">
        <f>SUMIF('Eredeti fejléccel'!$B:$B,'Felosztás eredménykim'!$B266,'Eredeti fejléccel'!$BF:$BF)</f>
        <v>0</v>
      </c>
      <c r="BL266" s="8">
        <f t="shared" si="541"/>
        <v>0</v>
      </c>
      <c r="BM266" s="36">
        <f t="shared" si="553"/>
        <v>0</v>
      </c>
      <c r="BN266" s="8">
        <f t="shared" si="624"/>
        <v>0</v>
      </c>
      <c r="BP266" s="8">
        <f t="shared" si="542"/>
        <v>0</v>
      </c>
      <c r="BQ266" s="6">
        <f>SUMIF('Eredeti fejléccel'!$B:$B,'Felosztás eredménykim'!$B266,'Eredeti fejléccel'!$N:$N)</f>
        <v>0</v>
      </c>
      <c r="BR266" s="6">
        <f>SUMIF('Eredeti fejléccel'!$B:$B,'Felosztás eredménykim'!$B266,'Eredeti fejléccel'!$S:$S)</f>
        <v>0</v>
      </c>
      <c r="BT266" s="6">
        <f>SUMIF('Eredeti fejléccel'!$B:$B,'Felosztás eredménykim'!$B266,'Eredeti fejléccel'!$AR:$AR)</f>
        <v>0</v>
      </c>
      <c r="BU266" s="6">
        <f>SUMIF('Eredeti fejléccel'!$B:$B,'Felosztás eredménykim'!$B266,'Eredeti fejléccel'!$AU:$AU)</f>
        <v>0</v>
      </c>
      <c r="BV266" s="6">
        <f>SUMIF('Eredeti fejléccel'!$B:$B,'Felosztás eredménykim'!$B266,'Eredeti fejléccel'!$AV:$AV)</f>
        <v>0</v>
      </c>
      <c r="BW266" s="6">
        <f>SUMIF('Eredeti fejléccel'!$B:$B,'Felosztás eredménykim'!$B266,'Eredeti fejléccel'!$AW:$AW)</f>
        <v>0</v>
      </c>
      <c r="BX266" s="6">
        <f>SUMIF('Eredeti fejléccel'!$B:$B,'Felosztás eredménykim'!$B266,'Eredeti fejléccel'!$AX:$AX)</f>
        <v>0</v>
      </c>
      <c r="BY266" s="6">
        <f>SUMIF('Eredeti fejléccel'!$B:$B,'Felosztás eredménykim'!$B266,'Eredeti fejléccel'!$AY:$AY)</f>
        <v>0</v>
      </c>
      <c r="BZ266" s="6">
        <f>SUMIF('Eredeti fejléccel'!$B:$B,'Felosztás eredménykim'!$B266,'Eredeti fejléccel'!$AZ:$AZ)</f>
        <v>0</v>
      </c>
      <c r="CA266" s="6">
        <f>SUMIF('Eredeti fejléccel'!$B:$B,'Felosztás eredménykim'!$B266,'Eredeti fejléccel'!$BA:$BA)</f>
        <v>0</v>
      </c>
      <c r="CB266" s="6">
        <f t="shared" si="481"/>
        <v>0</v>
      </c>
      <c r="CC266" s="36">
        <f t="shared" si="554"/>
        <v>0</v>
      </c>
      <c r="CD266" s="8">
        <f t="shared" si="625"/>
        <v>0</v>
      </c>
      <c r="CE266" s="6">
        <f>SUMIF('Eredeti fejléccel'!$B:$B,'Felosztás eredménykim'!$B266,'Eredeti fejléccel'!$BC:$BC)</f>
        <v>0</v>
      </c>
      <c r="CF266" s="8">
        <f t="shared" si="555"/>
        <v>0</v>
      </c>
      <c r="CG266" s="6">
        <f>SUMIF('Eredeti fejléccel'!$B:$B,'Felosztás eredménykim'!$B266,'Eredeti fejléccel'!$H:$H)</f>
        <v>0</v>
      </c>
      <c r="CH266" s="6">
        <f>SUMIF('Eredeti fejléccel'!$B:$B,'Felosztás eredménykim'!$B266,'Eredeti fejléccel'!$BE:$BE)</f>
        <v>0</v>
      </c>
      <c r="CI266" s="6">
        <f t="shared" si="524"/>
        <v>0</v>
      </c>
      <c r="CJ266" s="36">
        <f t="shared" si="556"/>
        <v>0</v>
      </c>
      <c r="CK266" s="8">
        <f t="shared" si="626"/>
        <v>0</v>
      </c>
      <c r="CL266" s="8">
        <f t="shared" si="557"/>
        <v>0</v>
      </c>
      <c r="CM266" s="6">
        <f>SUMIF('Eredeti fejléccel'!$B:$B,'Felosztás eredménykim'!$B266,'Eredeti fejléccel'!$BD:$BD)</f>
        <v>0</v>
      </c>
      <c r="CN266" s="8">
        <f t="shared" si="525"/>
        <v>0</v>
      </c>
      <c r="CO266" s="8">
        <f t="shared" si="482"/>
        <v>0</v>
      </c>
      <c r="CR266" s="36">
        <f t="shared" si="627"/>
        <v>0</v>
      </c>
      <c r="CS266" s="6">
        <f>SUMIF('Eredeti fejléccel'!$B:$B,'Felosztás eredménykim'!$B266,'Eredeti fejléccel'!$I:$I)</f>
        <v>0</v>
      </c>
      <c r="CT266" s="6">
        <f>SUMIF('Eredeti fejléccel'!$B:$B,'Felosztás eredménykim'!$B266,'Eredeti fejléccel'!$BG:$BG)</f>
        <v>0</v>
      </c>
      <c r="CU266" s="6">
        <f>SUMIF('Eredeti fejléccel'!$B:$B,'Felosztás eredménykim'!$B266,'Eredeti fejléccel'!$BH:$BH)</f>
        <v>0</v>
      </c>
      <c r="CV266" s="6">
        <f>SUMIF('Eredeti fejléccel'!$B:$B,'Felosztás eredménykim'!$B266,'Eredeti fejléccel'!$BI:$BI)</f>
        <v>0</v>
      </c>
      <c r="CW266" s="6">
        <f>SUMIF('Eredeti fejléccel'!$B:$B,'Felosztás eredménykim'!$B266,'Eredeti fejléccel'!$BL:$BL)</f>
        <v>0</v>
      </c>
      <c r="CX266" s="6">
        <f t="shared" si="526"/>
        <v>0</v>
      </c>
      <c r="CY266" s="6">
        <f>SUMIF('Eredeti fejléccel'!$B:$B,'Felosztás eredménykim'!$B266,'Eredeti fejléccel'!$BJ:$BJ)</f>
        <v>0</v>
      </c>
      <c r="CZ266" s="6">
        <f>SUMIF('Eredeti fejléccel'!$B:$B,'Felosztás eredménykim'!$B266,'Eredeti fejléccel'!$BK:$BK)</f>
        <v>0</v>
      </c>
      <c r="DA266" s="99">
        <f t="shared" si="637"/>
        <v>0</v>
      </c>
      <c r="DC266" s="36">
        <f t="shared" si="628"/>
        <v>0</v>
      </c>
      <c r="DD266" s="6">
        <f>SUMIF('Eredeti fejléccel'!$B:$B,'Felosztás eredménykim'!$B266,'Eredeti fejléccel'!$J:$J)</f>
        <v>0</v>
      </c>
      <c r="DE266" s="6">
        <f>SUMIF('Eredeti fejléccel'!$B:$B,'Felosztás eredménykim'!$B266,'Eredeti fejléccel'!$BM:$BM)</f>
        <v>0</v>
      </c>
      <c r="DF266" s="6">
        <f t="shared" si="543"/>
        <v>0</v>
      </c>
      <c r="DG266" s="8">
        <f t="shared" si="636"/>
        <v>0</v>
      </c>
      <c r="DH266" s="8">
        <f t="shared" si="544"/>
        <v>0</v>
      </c>
      <c r="DJ266" s="6">
        <f>SUMIF('Eredeti fejléccel'!$B:$B,'Felosztás eredménykim'!$B266,'Eredeti fejléccel'!$BN:$BN)</f>
        <v>0</v>
      </c>
      <c r="DK266" s="6">
        <f>SUMIF('Eredeti fejléccel'!$B:$B,'Felosztás eredménykim'!$B266,'Eredeti fejléccel'!$BZ:$BZ)</f>
        <v>0</v>
      </c>
      <c r="DL266" s="8">
        <f t="shared" si="545"/>
        <v>0</v>
      </c>
      <c r="DM266" s="6">
        <f>SUMIF('Eredeti fejléccel'!$B:$B,'Felosztás eredménykim'!$B266,'Eredeti fejléccel'!$BR:$BR)</f>
        <v>0</v>
      </c>
      <c r="DN266" s="6">
        <f>SUMIF('Eredeti fejléccel'!$B:$B,'Felosztás eredménykim'!$B266,'Eredeti fejléccel'!$BS:$BS)</f>
        <v>0</v>
      </c>
      <c r="DO266" s="6">
        <f>SUMIF('Eredeti fejléccel'!$B:$B,'Felosztás eredménykim'!$B266,'Eredeti fejléccel'!$BO:$BO)</f>
        <v>0</v>
      </c>
      <c r="DP266" s="6">
        <f>SUMIF('Eredeti fejléccel'!$B:$B,'Felosztás eredménykim'!$B266,'Eredeti fejléccel'!$BP:$BP)</f>
        <v>0</v>
      </c>
      <c r="DQ266" s="6">
        <f>SUMIF('Eredeti fejléccel'!$B:$B,'Felosztás eredménykim'!$B266,'Eredeti fejléccel'!$BQ:$BQ)</f>
        <v>0</v>
      </c>
      <c r="DS266" s="8"/>
      <c r="DU266" s="6">
        <f>SUMIF('Eredeti fejléccel'!$B:$B,'Felosztás eredménykim'!$B266,'Eredeti fejléccel'!$BT:$BT)</f>
        <v>0</v>
      </c>
      <c r="DV266" s="6">
        <f>SUMIF('Eredeti fejléccel'!$B:$B,'Felosztás eredménykim'!$B266,'Eredeti fejléccel'!$BU:$BU)</f>
        <v>0</v>
      </c>
      <c r="DW266" s="6">
        <f>SUMIF('Eredeti fejléccel'!$B:$B,'Felosztás eredménykim'!$B266,'Eredeti fejléccel'!$BV:$BV)</f>
        <v>0</v>
      </c>
      <c r="DX266" s="6">
        <f>SUMIF('Eredeti fejléccel'!$B:$B,'Felosztás eredménykim'!$B266,'Eredeti fejléccel'!$BW:$BW)</f>
        <v>0</v>
      </c>
      <c r="DY266" s="6">
        <f>SUMIF('Eredeti fejléccel'!$B:$B,'Felosztás eredménykim'!$B266,'Eredeti fejléccel'!$BX:$BX)</f>
        <v>0</v>
      </c>
      <c r="EA266" s="6"/>
      <c r="EC266" s="6"/>
      <c r="EE266" s="6">
        <f>SUMIF('Eredeti fejléccel'!$B:$B,'Felosztás eredménykim'!$B266,'Eredeti fejléccel'!$CA:$CA)</f>
        <v>0</v>
      </c>
      <c r="EF266" s="6">
        <f>SUMIF('Eredeti fejléccel'!$B:$B,'Felosztás eredménykim'!$B266,'Eredeti fejléccel'!$CB:$CB)</f>
        <v>0</v>
      </c>
      <c r="EG266" s="6">
        <f>SUMIF('Eredeti fejléccel'!$B:$B,'Felosztás eredménykim'!$B266,'Eredeti fejléccel'!$CC:$CC)</f>
        <v>0</v>
      </c>
      <c r="EH266" s="6">
        <f>SUMIF('Eredeti fejléccel'!$B:$B,'Felosztás eredménykim'!$B266,'Eredeti fejléccel'!$CD:$CD)</f>
        <v>0</v>
      </c>
      <c r="EK266" s="6">
        <f>SUMIF('Eredeti fejléccel'!$B:$B,'Felosztás eredménykim'!$B266,'Eredeti fejléccel'!$CE:$CE)</f>
        <v>0</v>
      </c>
      <c r="EN266" s="6">
        <f>SUMIF('Eredeti fejléccel'!$B:$B,'Felosztás eredménykim'!$B266,'Eredeti fejléccel'!$CF:$CF)</f>
        <v>0</v>
      </c>
      <c r="EP266" s="6">
        <f>SUMIF('Eredeti fejléccel'!$B:$B,'Felosztás eredménykim'!$B266,'Eredeti fejléccel'!$CG:$CG)</f>
        <v>0</v>
      </c>
      <c r="ES266" s="6">
        <f>SUMIF('Eredeti fejléccel'!$B:$B,'Felosztás eredménykim'!$B266,'Eredeti fejléccel'!$CH:$CH)</f>
        <v>0</v>
      </c>
      <c r="ET266" s="6">
        <f>SUMIF('Eredeti fejléccel'!$B:$B,'Felosztás eredménykim'!$B266,'Eredeti fejléccel'!$CI:$CI)</f>
        <v>0</v>
      </c>
      <c r="EW266" s="8">
        <f t="shared" si="535"/>
        <v>0</v>
      </c>
      <c r="EX266" s="8">
        <f t="shared" si="527"/>
        <v>0</v>
      </c>
      <c r="EY266" s="8">
        <f t="shared" si="638"/>
        <v>0</v>
      </c>
      <c r="EZ266" s="8">
        <f t="shared" si="536"/>
        <v>0</v>
      </c>
      <c r="FA266" s="8">
        <f t="shared" si="537"/>
        <v>0</v>
      </c>
      <c r="FC266" s="6">
        <f>SUMIF('Eredeti fejléccel'!$B:$B,'Felosztás eredménykim'!$B266,'Eredeti fejléccel'!$L:$L)</f>
        <v>0</v>
      </c>
      <c r="FD266" s="6">
        <f>SUMIF('Eredeti fejléccel'!$B:$B,'Felosztás eredménykim'!$B266,'Eredeti fejléccel'!$CJ:$CJ)</f>
        <v>0</v>
      </c>
      <c r="FE266" s="6">
        <f>SUMIF('Eredeti fejléccel'!$B:$B,'Felosztás eredménykim'!$B266,'Eredeti fejléccel'!$CL:$CL)</f>
        <v>0</v>
      </c>
      <c r="FG266" s="99">
        <f t="shared" si="528"/>
        <v>0</v>
      </c>
      <c r="FH266" s="6">
        <f>SUMIF('Eredeti fejléccel'!$B:$B,'Felosztás eredménykim'!$B266,'Eredeti fejléccel'!$CK:$CK)</f>
        <v>0</v>
      </c>
      <c r="FI266" s="36">
        <f t="shared" si="558"/>
        <v>0</v>
      </c>
      <c r="FJ266" s="101">
        <f t="shared" si="629"/>
        <v>0</v>
      </c>
      <c r="FK266" s="6">
        <f>SUMIF('Eredeti fejléccel'!$B:$B,'Felosztás eredménykim'!$B266,'Eredeti fejléccel'!$CM:$CM)</f>
        <v>0</v>
      </c>
      <c r="FL266" s="6">
        <f>SUMIF('Eredeti fejléccel'!$B:$B,'Felosztás eredménykim'!$B266,'Eredeti fejléccel'!$CN:$CN)</f>
        <v>0</v>
      </c>
      <c r="FM266" s="8">
        <f t="shared" si="529"/>
        <v>0</v>
      </c>
      <c r="FN266" s="36">
        <f t="shared" si="559"/>
        <v>0</v>
      </c>
      <c r="FO266" s="101">
        <f t="shared" si="630"/>
        <v>0</v>
      </c>
      <c r="FP266" s="6">
        <f>SUMIF('Eredeti fejléccel'!$B:$B,'Felosztás eredménykim'!$B266,'Eredeti fejléccel'!$CO:$CO)</f>
        <v>0</v>
      </c>
      <c r="FQ266" s="6">
        <f>'Eredeti fejléccel'!CP266</f>
        <v>0</v>
      </c>
      <c r="FR266" s="6">
        <f>'Eredeti fejléccel'!CQ266</f>
        <v>0</v>
      </c>
      <c r="FS266" s="103">
        <f t="shared" si="417"/>
        <v>0</v>
      </c>
      <c r="FT266" s="36">
        <f t="shared" si="560"/>
        <v>0</v>
      </c>
      <c r="FU266" s="101">
        <f t="shared" si="631"/>
        <v>0</v>
      </c>
      <c r="FV266" s="101"/>
      <c r="FW266" s="6">
        <f>SUMIF('Eredeti fejléccel'!$B:$B,'Felosztás eredménykim'!$B266,'Eredeti fejléccel'!$CR:$CR)</f>
        <v>0</v>
      </c>
      <c r="FX266" s="6">
        <f>SUMIF('Eredeti fejléccel'!$B:$B,'Felosztás eredménykim'!$B266,'Eredeti fejléccel'!$CS:$CS)</f>
        <v>0</v>
      </c>
      <c r="FY266" s="6">
        <f>SUMIF('Eredeti fejléccel'!$B:$B,'Felosztás eredménykim'!$B266,'Eredeti fejléccel'!$CT:$CT)</f>
        <v>0</v>
      </c>
      <c r="FZ266" s="6">
        <f>SUMIF('Eredeti fejléccel'!$B:$B,'Felosztás eredménykim'!$B266,'Eredeti fejléccel'!$CU:$CU)</f>
        <v>0</v>
      </c>
      <c r="GA266" s="103">
        <f t="shared" si="530"/>
        <v>0</v>
      </c>
      <c r="GB266" s="36">
        <f t="shared" si="561"/>
        <v>0</v>
      </c>
      <c r="GC266" s="101">
        <f t="shared" si="632"/>
        <v>0</v>
      </c>
      <c r="GD266" s="6">
        <f>SUMIF('Eredeti fejléccel'!$B:$B,'Felosztás eredménykim'!$B266,'Eredeti fejléccel'!$CV:$CV)</f>
        <v>0</v>
      </c>
      <c r="GE266" s="6">
        <f>SUMIF('Eredeti fejléccel'!$B:$B,'Felosztás eredménykim'!$B266,'Eredeti fejléccel'!$CW:$CW)</f>
        <v>0</v>
      </c>
      <c r="GF266" s="103">
        <f t="shared" si="531"/>
        <v>0</v>
      </c>
      <c r="GG266" s="36">
        <f t="shared" si="633"/>
        <v>0</v>
      </c>
      <c r="GM266" s="6">
        <f>SUMIF('Eredeti fejléccel'!$B:$B,'Felosztás eredménykim'!$B266,'Eredeti fejléccel'!$CX:$CX)</f>
        <v>0</v>
      </c>
      <c r="GN266" s="6">
        <f>SUMIF('Eredeti fejléccel'!$B:$B,'Felosztás eredménykim'!$B266,'Eredeti fejléccel'!$CY:$CY)</f>
        <v>0</v>
      </c>
      <c r="GO266" s="6">
        <f>SUMIF('Eredeti fejléccel'!$B:$B,'Felosztás eredménykim'!$B266,'Eredeti fejléccel'!$CZ:$CZ)</f>
        <v>0</v>
      </c>
      <c r="GP266" s="6">
        <f>SUMIF('Eredeti fejléccel'!$B:$B,'Felosztás eredménykim'!$B266,'Eredeti fejléccel'!$DA:$DA)</f>
        <v>0</v>
      </c>
      <c r="GQ266" s="6">
        <f>SUMIF('Eredeti fejléccel'!$B:$B,'Felosztás eredménykim'!$B266,'Eredeti fejléccel'!$DB:$DB)</f>
        <v>0</v>
      </c>
      <c r="GR266" s="103">
        <f t="shared" si="532"/>
        <v>0</v>
      </c>
      <c r="GW266" s="36">
        <f t="shared" si="634"/>
        <v>0</v>
      </c>
      <c r="GX266" s="6">
        <f>SUMIF('Eredeti fejléccel'!$B:$B,'Felosztás eredménykim'!$B266,'Eredeti fejléccel'!$M:$M)</f>
        <v>0</v>
      </c>
      <c r="GY266" s="6">
        <f>SUMIF('Eredeti fejléccel'!$B:$B,'Felosztás eredménykim'!$B266,'Eredeti fejléccel'!$DC:$DC)</f>
        <v>0</v>
      </c>
      <c r="GZ266" s="6">
        <f>SUMIF('Eredeti fejléccel'!$B:$B,'Felosztás eredménykim'!$B266,'Eredeti fejléccel'!$DD:$DD)</f>
        <v>0</v>
      </c>
      <c r="HA266" s="6">
        <f>SUMIF('Eredeti fejléccel'!$B:$B,'Felosztás eredménykim'!$B266,'Eredeti fejléccel'!$DE:$DE)</f>
        <v>0</v>
      </c>
      <c r="HB266" s="103">
        <f t="shared" si="533"/>
        <v>0</v>
      </c>
      <c r="HD266" s="9">
        <f t="shared" si="547"/>
        <v>0</v>
      </c>
      <c r="HE266" s="9"/>
      <c r="HF266" s="476"/>
      <c r="HH266" s="34">
        <f t="shared" si="534"/>
        <v>0</v>
      </c>
    </row>
    <row r="267" spans="1:218" x14ac:dyDescent="0.25">
      <c r="A267" s="4" t="s">
        <v>904</v>
      </c>
      <c r="B267" s="4" t="s">
        <v>904</v>
      </c>
      <c r="C267" s="1" t="s">
        <v>905</v>
      </c>
      <c r="D267" s="6">
        <f>SUMIF('Eredeti fejléccel'!$B:$B,'Felosztás eredménykim'!$B267,'Eredeti fejléccel'!$D:$D)</f>
        <v>0</v>
      </c>
      <c r="E267" s="6">
        <f>SUMIF('Eredeti fejléccel'!$B:$B,'Felosztás eredménykim'!$B267,'Eredeti fejléccel'!$E:$E)</f>
        <v>0</v>
      </c>
      <c r="F267" s="6">
        <f>SUMIF('Eredeti fejléccel'!$B:$B,'Felosztás eredménykim'!$B267,'Eredeti fejléccel'!$F:$F)</f>
        <v>0</v>
      </c>
      <c r="G267" s="6">
        <f>SUMIF('Eredeti fejléccel'!$B:$B,'Felosztás eredménykim'!$B267,'Eredeti fejléccel'!$G:$G)</f>
        <v>0</v>
      </c>
      <c r="H267" s="6"/>
      <c r="I267" s="6">
        <f>SUMIF('Eredeti fejléccel'!$B:$B,'Felosztás eredménykim'!$B267,'Eredeti fejléccel'!$O:$O)</f>
        <v>0</v>
      </c>
      <c r="J267" s="6">
        <f>SUMIF('Eredeti fejléccel'!$B:$B,'Felosztás eredménykim'!$B267,'Eredeti fejléccel'!$P:$P)</f>
        <v>0</v>
      </c>
      <c r="K267" s="6">
        <f>SUMIF('Eredeti fejléccel'!$B:$B,'Felosztás eredménykim'!$B267,'Eredeti fejléccel'!$Q:$Q)</f>
        <v>0</v>
      </c>
      <c r="L267" s="6">
        <f>SUMIF('Eredeti fejléccel'!$B:$B,'Felosztás eredménykim'!$B267,'Eredeti fejléccel'!$R:$R)</f>
        <v>0</v>
      </c>
      <c r="M267" s="6">
        <f>SUMIF('Eredeti fejléccel'!$B:$B,'Felosztás eredménykim'!$B267,'Eredeti fejléccel'!$T:$T)</f>
        <v>0</v>
      </c>
      <c r="N267" s="6">
        <f>SUMIF('Eredeti fejléccel'!$B:$B,'Felosztás eredménykim'!$B267,'Eredeti fejléccel'!$U:$U)</f>
        <v>0</v>
      </c>
      <c r="O267" s="6">
        <f>SUMIF('Eredeti fejléccel'!$B:$B,'Felosztás eredménykim'!$B267,'Eredeti fejléccel'!$V:$V)</f>
        <v>0</v>
      </c>
      <c r="P267" s="6">
        <f>SUMIF('Eredeti fejléccel'!$B:$B,'Felosztás eredménykim'!$B267,'Eredeti fejléccel'!$W:$W)</f>
        <v>0</v>
      </c>
      <c r="Q267" s="6">
        <f>SUMIF('Eredeti fejléccel'!$B:$B,'Felosztás eredménykim'!$B267,'Eredeti fejléccel'!$X:$X)</f>
        <v>0</v>
      </c>
      <c r="R267" s="6">
        <f>SUMIF('Eredeti fejléccel'!$B:$B,'Felosztás eredménykim'!$B267,'Eredeti fejléccel'!$Y:$Y)</f>
        <v>0</v>
      </c>
      <c r="S267" s="6">
        <f>SUMIF('Eredeti fejléccel'!$B:$B,'Felosztás eredménykim'!$B267,'Eredeti fejléccel'!$Z:$Z)</f>
        <v>0</v>
      </c>
      <c r="T267" s="6">
        <f>SUMIF('Eredeti fejléccel'!$B:$B,'Felosztás eredménykim'!$B267,'Eredeti fejléccel'!$AA:$AA)</f>
        <v>0</v>
      </c>
      <c r="U267" s="6">
        <f>SUMIF('Eredeti fejléccel'!$B:$B,'Felosztás eredménykim'!$B267,'Eredeti fejléccel'!$D:$D)</f>
        <v>0</v>
      </c>
      <c r="V267" s="6">
        <f>SUMIF('Eredeti fejléccel'!$B:$B,'Felosztás eredménykim'!$B267,'Eredeti fejléccel'!$AT:$AT)</f>
        <v>0</v>
      </c>
      <c r="X267" s="36">
        <f t="shared" si="635"/>
        <v>0</v>
      </c>
      <c r="Z267" s="6">
        <f>SUMIF('Eredeti fejléccel'!$B:$B,'Felosztás eredménykim'!$B267,'Eredeti fejléccel'!$K:$K)</f>
        <v>0</v>
      </c>
      <c r="AB267" s="6">
        <f>SUMIF('Eredeti fejléccel'!$B:$B,'Felosztás eredménykim'!$B267,'Eredeti fejléccel'!$AB:$AB)</f>
        <v>0</v>
      </c>
      <c r="AC267" s="6">
        <f>SUMIF('Eredeti fejléccel'!$B:$B,'Felosztás eredménykim'!$B267,'Eredeti fejléccel'!$AQ:$AQ)</f>
        <v>0</v>
      </c>
      <c r="AE267" s="73">
        <f t="shared" si="548"/>
        <v>0</v>
      </c>
      <c r="AF267" s="36">
        <f t="shared" si="549"/>
        <v>0</v>
      </c>
      <c r="AG267" s="8">
        <f t="shared" si="620"/>
        <v>0</v>
      </c>
      <c r="AI267" s="6">
        <f>SUMIF('Eredeti fejléccel'!$B:$B,'Felosztás eredménykim'!$B267,'Eredeti fejléccel'!$BB:$BB)</f>
        <v>0</v>
      </c>
      <c r="AJ267" s="6">
        <f>SUMIF('Eredeti fejléccel'!$B:$B,'Felosztás eredménykim'!$B267,'Eredeti fejléccel'!$AF:$AF)</f>
        <v>0</v>
      </c>
      <c r="AK267" s="8">
        <f t="shared" si="522"/>
        <v>0</v>
      </c>
      <c r="AL267" s="36">
        <f t="shared" si="550"/>
        <v>0</v>
      </c>
      <c r="AM267" s="8">
        <f t="shared" si="621"/>
        <v>0</v>
      </c>
      <c r="AN267" s="6">
        <f t="shared" si="538"/>
        <v>0</v>
      </c>
      <c r="AO267" s="6">
        <f>SUMIF('Eredeti fejléccel'!$B:$B,'Felosztás eredménykim'!$B267,'Eredeti fejléccel'!$AC:$AC)</f>
        <v>0</v>
      </c>
      <c r="AP267" s="6">
        <f>SUMIF('Eredeti fejléccel'!$B:$B,'Felosztás eredménykim'!$B267,'Eredeti fejléccel'!$AD:$AD)</f>
        <v>0</v>
      </c>
      <c r="AQ267" s="6">
        <f>SUMIF('Eredeti fejléccel'!$B:$B,'Felosztás eredménykim'!$B267,'Eredeti fejléccel'!$AE:$AE)</f>
        <v>0</v>
      </c>
      <c r="AR267" s="6">
        <f>SUMIF('Eredeti fejléccel'!$B:$B,'Felosztás eredménykim'!$B267,'Eredeti fejléccel'!$AG:$AG)</f>
        <v>0</v>
      </c>
      <c r="AS267" s="6">
        <f t="shared" si="539"/>
        <v>0</v>
      </c>
      <c r="AT267" s="36">
        <f t="shared" si="551"/>
        <v>0</v>
      </c>
      <c r="AU267" s="8">
        <f t="shared" si="622"/>
        <v>0</v>
      </c>
      <c r="AV267" s="6">
        <f>SUMIF('Eredeti fejléccel'!$B:$B,'Felosztás eredménykim'!$B267,'Eredeti fejléccel'!$AI:$AI)</f>
        <v>0</v>
      </c>
      <c r="AW267" s="6">
        <f>SUMIF('Eredeti fejléccel'!$B:$B,'Felosztás eredménykim'!$B267,'Eredeti fejléccel'!$AJ:$AJ)</f>
        <v>0</v>
      </c>
      <c r="AX267" s="6">
        <f>SUMIF('Eredeti fejléccel'!$B:$B,'Felosztás eredménykim'!$B267,'Eredeti fejléccel'!$AK:$AK)</f>
        <v>0</v>
      </c>
      <c r="AY267" s="6">
        <f>SUMIF('Eredeti fejléccel'!$B:$B,'Felosztás eredménykim'!$B267,'Eredeti fejléccel'!$AL:$AL)</f>
        <v>0</v>
      </c>
      <c r="AZ267" s="6">
        <f>SUMIF('Eredeti fejléccel'!$B:$B,'Felosztás eredménykim'!$B267,'Eredeti fejléccel'!$AM:$AM)</f>
        <v>0</v>
      </c>
      <c r="BA267" s="6">
        <f>SUMIF('Eredeti fejléccel'!$B:$B,'Felosztás eredménykim'!$B267,'Eredeti fejléccel'!$AN:$AN)</f>
        <v>0</v>
      </c>
      <c r="BB267" s="6">
        <f>SUMIF('Eredeti fejléccel'!$B:$B,'Felosztás eredménykim'!$B267,'Eredeti fejléccel'!$AP:$AP)</f>
        <v>0</v>
      </c>
      <c r="BD267" s="6">
        <f>SUMIF('Eredeti fejléccel'!$B:$B,'Felosztás eredménykim'!$B267,'Eredeti fejléccel'!$AS:$AS)</f>
        <v>0</v>
      </c>
      <c r="BE267" s="8">
        <f t="shared" si="523"/>
        <v>0</v>
      </c>
      <c r="BF267" s="36">
        <f t="shared" si="552"/>
        <v>0</v>
      </c>
      <c r="BG267" s="8">
        <f t="shared" si="623"/>
        <v>0</v>
      </c>
      <c r="BH267" s="6">
        <f t="shared" si="540"/>
        <v>0</v>
      </c>
      <c r="BI267" s="6">
        <f>SUMIF('Eredeti fejléccel'!$B:$B,'Felosztás eredménykim'!$B267,'Eredeti fejléccel'!$AH:$AH)</f>
        <v>0</v>
      </c>
      <c r="BJ267" s="6">
        <f>SUMIF('Eredeti fejléccel'!$B:$B,'Felosztás eredménykim'!$B267,'Eredeti fejléccel'!$AO:$AO)</f>
        <v>0</v>
      </c>
      <c r="BK267" s="6">
        <f>SUMIF('Eredeti fejléccel'!$B:$B,'Felosztás eredménykim'!$B267,'Eredeti fejléccel'!$BF:$BF)</f>
        <v>0</v>
      </c>
      <c r="BL267" s="8">
        <f t="shared" si="541"/>
        <v>0</v>
      </c>
      <c r="BM267" s="36">
        <f t="shared" si="553"/>
        <v>0</v>
      </c>
      <c r="BN267" s="8">
        <f t="shared" si="624"/>
        <v>0</v>
      </c>
      <c r="BP267" s="8">
        <f t="shared" si="542"/>
        <v>0</v>
      </c>
      <c r="BQ267" s="6">
        <f>SUMIF('Eredeti fejléccel'!$B:$B,'Felosztás eredménykim'!$B267,'Eredeti fejléccel'!$N:$N)</f>
        <v>0</v>
      </c>
      <c r="BR267" s="6">
        <f>SUMIF('Eredeti fejléccel'!$B:$B,'Felosztás eredménykim'!$B267,'Eredeti fejléccel'!$S:$S)</f>
        <v>0</v>
      </c>
      <c r="BT267" s="6">
        <f>SUMIF('Eredeti fejléccel'!$B:$B,'Felosztás eredménykim'!$B267,'Eredeti fejléccel'!$AR:$AR)</f>
        <v>0</v>
      </c>
      <c r="BU267" s="6">
        <f>SUMIF('Eredeti fejléccel'!$B:$B,'Felosztás eredménykim'!$B267,'Eredeti fejléccel'!$AU:$AU)</f>
        <v>0</v>
      </c>
      <c r="BV267" s="6">
        <f>SUMIF('Eredeti fejléccel'!$B:$B,'Felosztás eredménykim'!$B267,'Eredeti fejléccel'!$AV:$AV)</f>
        <v>0</v>
      </c>
      <c r="BW267" s="6">
        <f>SUMIF('Eredeti fejléccel'!$B:$B,'Felosztás eredménykim'!$B267,'Eredeti fejléccel'!$AW:$AW)</f>
        <v>0</v>
      </c>
      <c r="BX267" s="6">
        <f>SUMIF('Eredeti fejléccel'!$B:$B,'Felosztás eredménykim'!$B267,'Eredeti fejléccel'!$AX:$AX)</f>
        <v>0</v>
      </c>
      <c r="BY267" s="6">
        <f>SUMIF('Eredeti fejléccel'!$B:$B,'Felosztás eredménykim'!$B267,'Eredeti fejléccel'!$AY:$AY)</f>
        <v>0</v>
      </c>
      <c r="BZ267" s="6">
        <f>SUMIF('Eredeti fejléccel'!$B:$B,'Felosztás eredménykim'!$B267,'Eredeti fejléccel'!$AZ:$AZ)</f>
        <v>0</v>
      </c>
      <c r="CA267" s="6">
        <f>SUMIF('Eredeti fejléccel'!$B:$B,'Felosztás eredménykim'!$B267,'Eredeti fejléccel'!$BA:$BA)</f>
        <v>0</v>
      </c>
      <c r="CB267" s="6">
        <f t="shared" si="481"/>
        <v>0</v>
      </c>
      <c r="CC267" s="36">
        <f t="shared" si="554"/>
        <v>0</v>
      </c>
      <c r="CD267" s="8">
        <f t="shared" si="625"/>
        <v>0</v>
      </c>
      <c r="CE267" s="6">
        <f>SUMIF('Eredeti fejléccel'!$B:$B,'Felosztás eredménykim'!$B267,'Eredeti fejléccel'!$BC:$BC)</f>
        <v>0</v>
      </c>
      <c r="CF267" s="8">
        <f t="shared" si="555"/>
        <v>0</v>
      </c>
      <c r="CG267" s="6">
        <f>SUMIF('Eredeti fejléccel'!$B:$B,'Felosztás eredménykim'!$B267,'Eredeti fejléccel'!$H:$H)</f>
        <v>0</v>
      </c>
      <c r="CH267" s="6">
        <f>SUMIF('Eredeti fejléccel'!$B:$B,'Felosztás eredménykim'!$B267,'Eredeti fejléccel'!$BE:$BE)</f>
        <v>0</v>
      </c>
      <c r="CI267" s="6">
        <f t="shared" si="524"/>
        <v>0</v>
      </c>
      <c r="CJ267" s="36">
        <f t="shared" si="556"/>
        <v>0</v>
      </c>
      <c r="CK267" s="8">
        <f t="shared" si="626"/>
        <v>0</v>
      </c>
      <c r="CL267" s="8">
        <f t="shared" si="557"/>
        <v>0</v>
      </c>
      <c r="CM267" s="6">
        <f>SUMIF('Eredeti fejléccel'!$B:$B,'Felosztás eredménykim'!$B267,'Eredeti fejléccel'!$BD:$BD)</f>
        <v>0</v>
      </c>
      <c r="CN267" s="8">
        <f t="shared" si="525"/>
        <v>0</v>
      </c>
      <c r="CO267" s="8">
        <f t="shared" si="482"/>
        <v>0</v>
      </c>
      <c r="CR267" s="36">
        <f t="shared" si="627"/>
        <v>0</v>
      </c>
      <c r="CS267" s="6">
        <f>SUMIF('Eredeti fejléccel'!$B:$B,'Felosztás eredménykim'!$B267,'Eredeti fejléccel'!$I:$I)</f>
        <v>0</v>
      </c>
      <c r="CT267" s="6">
        <f>SUMIF('Eredeti fejléccel'!$B:$B,'Felosztás eredménykim'!$B267,'Eredeti fejléccel'!$BG:$BG)</f>
        <v>0</v>
      </c>
      <c r="CU267" s="6">
        <f>SUMIF('Eredeti fejléccel'!$B:$B,'Felosztás eredménykim'!$B267,'Eredeti fejléccel'!$BH:$BH)</f>
        <v>0</v>
      </c>
      <c r="CV267" s="6">
        <f>SUMIF('Eredeti fejléccel'!$B:$B,'Felosztás eredménykim'!$B267,'Eredeti fejléccel'!$BI:$BI)</f>
        <v>0</v>
      </c>
      <c r="CW267" s="6">
        <f>SUMIF('Eredeti fejléccel'!$B:$B,'Felosztás eredménykim'!$B267,'Eredeti fejléccel'!$BL:$BL)</f>
        <v>0</v>
      </c>
      <c r="CX267" s="6">
        <f t="shared" si="526"/>
        <v>0</v>
      </c>
      <c r="CY267" s="6">
        <f>SUMIF('Eredeti fejléccel'!$B:$B,'Felosztás eredménykim'!$B267,'Eredeti fejléccel'!$BJ:$BJ)</f>
        <v>0</v>
      </c>
      <c r="CZ267" s="6">
        <f>SUMIF('Eredeti fejléccel'!$B:$B,'Felosztás eredménykim'!$B267,'Eredeti fejléccel'!$BK:$BK)</f>
        <v>0</v>
      </c>
      <c r="DA267" s="99">
        <f t="shared" si="637"/>
        <v>0</v>
      </c>
      <c r="DC267" s="36">
        <f t="shared" si="628"/>
        <v>0</v>
      </c>
      <c r="DD267" s="6">
        <f>SUMIF('Eredeti fejléccel'!$B:$B,'Felosztás eredménykim'!$B267,'Eredeti fejléccel'!$J:$J)</f>
        <v>0</v>
      </c>
      <c r="DE267" s="6">
        <f>SUMIF('Eredeti fejléccel'!$B:$B,'Felosztás eredménykim'!$B267,'Eredeti fejléccel'!$BM:$BM)</f>
        <v>0</v>
      </c>
      <c r="DF267" s="6">
        <f t="shared" si="543"/>
        <v>0</v>
      </c>
      <c r="DG267" s="8">
        <f t="shared" si="636"/>
        <v>0</v>
      </c>
      <c r="DH267" s="8">
        <f t="shared" si="544"/>
        <v>0</v>
      </c>
      <c r="DJ267" s="6">
        <f>SUMIF('Eredeti fejléccel'!$B:$B,'Felosztás eredménykim'!$B267,'Eredeti fejléccel'!$BN:$BN)</f>
        <v>0</v>
      </c>
      <c r="DK267" s="6">
        <f>SUMIF('Eredeti fejléccel'!$B:$B,'Felosztás eredménykim'!$B267,'Eredeti fejléccel'!$BZ:$BZ)</f>
        <v>0</v>
      </c>
      <c r="DL267" s="8">
        <f t="shared" si="545"/>
        <v>0</v>
      </c>
      <c r="DM267" s="6">
        <f>SUMIF('Eredeti fejléccel'!$B:$B,'Felosztás eredménykim'!$B267,'Eredeti fejléccel'!$BR:$BR)</f>
        <v>0</v>
      </c>
      <c r="DN267" s="6">
        <f>SUMIF('Eredeti fejléccel'!$B:$B,'Felosztás eredménykim'!$B267,'Eredeti fejléccel'!$BS:$BS)</f>
        <v>0</v>
      </c>
      <c r="DO267" s="6">
        <f>SUMIF('Eredeti fejléccel'!$B:$B,'Felosztás eredménykim'!$B267,'Eredeti fejléccel'!$BO:$BO)</f>
        <v>0</v>
      </c>
      <c r="DP267" s="6">
        <f>SUMIF('Eredeti fejléccel'!$B:$B,'Felosztás eredménykim'!$B267,'Eredeti fejléccel'!$BP:$BP)</f>
        <v>0</v>
      </c>
      <c r="DQ267" s="6">
        <f>SUMIF('Eredeti fejléccel'!$B:$B,'Felosztás eredménykim'!$B267,'Eredeti fejléccel'!$BQ:$BQ)</f>
        <v>0</v>
      </c>
      <c r="DS267" s="8"/>
      <c r="DU267" s="6">
        <f>SUMIF('Eredeti fejléccel'!$B:$B,'Felosztás eredménykim'!$B267,'Eredeti fejléccel'!$BT:$BT)</f>
        <v>0</v>
      </c>
      <c r="DV267" s="6">
        <f>SUMIF('Eredeti fejléccel'!$B:$B,'Felosztás eredménykim'!$B267,'Eredeti fejléccel'!$BU:$BU)</f>
        <v>0</v>
      </c>
      <c r="DW267" s="6">
        <f>SUMIF('Eredeti fejléccel'!$B:$B,'Felosztás eredménykim'!$B267,'Eredeti fejléccel'!$BV:$BV)</f>
        <v>0</v>
      </c>
      <c r="DX267" s="6">
        <f>SUMIF('Eredeti fejléccel'!$B:$B,'Felosztás eredménykim'!$B267,'Eredeti fejléccel'!$BW:$BW)</f>
        <v>0</v>
      </c>
      <c r="DY267" s="6">
        <f>SUMIF('Eredeti fejléccel'!$B:$B,'Felosztás eredménykim'!$B267,'Eredeti fejléccel'!$BX:$BX)</f>
        <v>0</v>
      </c>
      <c r="EA267" s="6"/>
      <c r="EC267" s="6"/>
      <c r="EE267" s="6">
        <f>SUMIF('Eredeti fejléccel'!$B:$B,'Felosztás eredménykim'!$B267,'Eredeti fejléccel'!$CA:$CA)</f>
        <v>0</v>
      </c>
      <c r="EF267" s="6">
        <f>SUMIF('Eredeti fejléccel'!$B:$B,'Felosztás eredménykim'!$B267,'Eredeti fejléccel'!$CB:$CB)</f>
        <v>0</v>
      </c>
      <c r="EG267" s="6">
        <f>SUMIF('Eredeti fejléccel'!$B:$B,'Felosztás eredménykim'!$B267,'Eredeti fejléccel'!$CC:$CC)</f>
        <v>0</v>
      </c>
      <c r="EH267" s="6">
        <f>SUMIF('Eredeti fejléccel'!$B:$B,'Felosztás eredménykim'!$B267,'Eredeti fejléccel'!$CD:$CD)</f>
        <v>0</v>
      </c>
      <c r="EK267" s="6">
        <f>SUMIF('Eredeti fejléccel'!$B:$B,'Felosztás eredménykim'!$B267,'Eredeti fejléccel'!$CE:$CE)</f>
        <v>0</v>
      </c>
      <c r="EN267" s="6">
        <f>SUMIF('Eredeti fejléccel'!$B:$B,'Felosztás eredménykim'!$B267,'Eredeti fejléccel'!$CF:$CF)</f>
        <v>0</v>
      </c>
      <c r="EP267" s="6">
        <f>SUMIF('Eredeti fejléccel'!$B:$B,'Felosztás eredménykim'!$B267,'Eredeti fejléccel'!$CG:$CG)</f>
        <v>0</v>
      </c>
      <c r="ES267" s="6">
        <f>SUMIF('Eredeti fejléccel'!$B:$B,'Felosztás eredménykim'!$B267,'Eredeti fejléccel'!$CH:$CH)</f>
        <v>0</v>
      </c>
      <c r="ET267" s="6">
        <f>SUMIF('Eredeti fejléccel'!$B:$B,'Felosztás eredménykim'!$B267,'Eredeti fejléccel'!$CI:$CI)</f>
        <v>0</v>
      </c>
      <c r="EW267" s="8">
        <f t="shared" si="535"/>
        <v>0</v>
      </c>
      <c r="EX267" s="8">
        <f t="shared" si="527"/>
        <v>0</v>
      </c>
      <c r="EY267" s="8">
        <f t="shared" si="638"/>
        <v>0</v>
      </c>
      <c r="EZ267" s="8">
        <f t="shared" si="536"/>
        <v>0</v>
      </c>
      <c r="FA267" s="8">
        <f t="shared" si="537"/>
        <v>0</v>
      </c>
      <c r="FC267" s="6">
        <f>SUMIF('Eredeti fejléccel'!$B:$B,'Felosztás eredménykim'!$B267,'Eredeti fejléccel'!$L:$L)</f>
        <v>0</v>
      </c>
      <c r="FD267" s="6">
        <f>SUMIF('Eredeti fejléccel'!$B:$B,'Felosztás eredménykim'!$B267,'Eredeti fejléccel'!$CJ:$CJ)</f>
        <v>0</v>
      </c>
      <c r="FE267" s="6">
        <f>SUMIF('Eredeti fejléccel'!$B:$B,'Felosztás eredménykim'!$B267,'Eredeti fejléccel'!$CL:$CL)</f>
        <v>0</v>
      </c>
      <c r="FG267" s="99">
        <f t="shared" si="528"/>
        <v>0</v>
      </c>
      <c r="FH267" s="6">
        <f>SUMIF('Eredeti fejléccel'!$B:$B,'Felosztás eredménykim'!$B267,'Eredeti fejléccel'!$CK:$CK)</f>
        <v>0</v>
      </c>
      <c r="FI267" s="36">
        <f t="shared" si="558"/>
        <v>0</v>
      </c>
      <c r="FJ267" s="101">
        <f t="shared" si="629"/>
        <v>0</v>
      </c>
      <c r="FK267" s="6">
        <f>SUMIF('Eredeti fejléccel'!$B:$B,'Felosztás eredménykim'!$B267,'Eredeti fejléccel'!$CM:$CM)</f>
        <v>0</v>
      </c>
      <c r="FL267" s="6">
        <f>SUMIF('Eredeti fejléccel'!$B:$B,'Felosztás eredménykim'!$B267,'Eredeti fejléccel'!$CN:$CN)</f>
        <v>0</v>
      </c>
      <c r="FM267" s="8">
        <f t="shared" si="529"/>
        <v>0</v>
      </c>
      <c r="FN267" s="36">
        <f t="shared" si="559"/>
        <v>0</v>
      </c>
      <c r="FO267" s="101">
        <f t="shared" si="630"/>
        <v>0</v>
      </c>
      <c r="FP267" s="6">
        <f>SUMIF('Eredeti fejléccel'!$B:$B,'Felosztás eredménykim'!$B267,'Eredeti fejléccel'!$CO:$CO)</f>
        <v>0</v>
      </c>
      <c r="FQ267" s="6">
        <f>'Eredeti fejléccel'!CP267</f>
        <v>0</v>
      </c>
      <c r="FR267" s="6">
        <f>'Eredeti fejléccel'!CQ267</f>
        <v>0</v>
      </c>
      <c r="FS267" s="103">
        <f t="shared" ref="FS267:FS280" si="639">SUM(FO267:FR267)</f>
        <v>0</v>
      </c>
      <c r="FT267" s="36">
        <f t="shared" si="560"/>
        <v>0</v>
      </c>
      <c r="FU267" s="101">
        <f t="shared" si="631"/>
        <v>0</v>
      </c>
      <c r="FV267" s="101"/>
      <c r="FW267" s="6">
        <f>SUMIF('Eredeti fejléccel'!$B:$B,'Felosztás eredménykim'!$B267,'Eredeti fejléccel'!$CR:$CR)</f>
        <v>0</v>
      </c>
      <c r="FX267" s="6">
        <f>SUMIF('Eredeti fejléccel'!$B:$B,'Felosztás eredménykim'!$B267,'Eredeti fejléccel'!$CS:$CS)</f>
        <v>0</v>
      </c>
      <c r="FY267" s="6">
        <f>SUMIF('Eredeti fejléccel'!$B:$B,'Felosztás eredménykim'!$B267,'Eredeti fejléccel'!$CT:$CT)</f>
        <v>0</v>
      </c>
      <c r="FZ267" s="6">
        <f>SUMIF('Eredeti fejléccel'!$B:$B,'Felosztás eredménykim'!$B267,'Eredeti fejléccel'!$CU:$CU)</f>
        <v>0</v>
      </c>
      <c r="GA267" s="103">
        <f t="shared" si="530"/>
        <v>0</v>
      </c>
      <c r="GB267" s="36">
        <f t="shared" si="561"/>
        <v>0</v>
      </c>
      <c r="GC267" s="101">
        <f t="shared" si="632"/>
        <v>0</v>
      </c>
      <c r="GD267" s="6">
        <f>SUMIF('Eredeti fejléccel'!$B:$B,'Felosztás eredménykim'!$B267,'Eredeti fejléccel'!$CV:$CV)</f>
        <v>0</v>
      </c>
      <c r="GE267" s="6">
        <f>SUMIF('Eredeti fejléccel'!$B:$B,'Felosztás eredménykim'!$B267,'Eredeti fejléccel'!$CW:$CW)</f>
        <v>0</v>
      </c>
      <c r="GF267" s="103">
        <f t="shared" si="531"/>
        <v>0</v>
      </c>
      <c r="GG267" s="36">
        <f t="shared" si="633"/>
        <v>0</v>
      </c>
      <c r="GM267" s="6">
        <f>SUMIF('Eredeti fejléccel'!$B:$B,'Felosztás eredménykim'!$B267,'Eredeti fejléccel'!$CX:$CX)</f>
        <v>0</v>
      </c>
      <c r="GN267" s="6">
        <f>SUMIF('Eredeti fejléccel'!$B:$B,'Felosztás eredménykim'!$B267,'Eredeti fejléccel'!$CY:$CY)</f>
        <v>0</v>
      </c>
      <c r="GO267" s="6">
        <f>SUMIF('Eredeti fejléccel'!$B:$B,'Felosztás eredménykim'!$B267,'Eredeti fejléccel'!$CZ:$CZ)</f>
        <v>0</v>
      </c>
      <c r="GP267" s="6">
        <f>SUMIF('Eredeti fejléccel'!$B:$B,'Felosztás eredménykim'!$B267,'Eredeti fejléccel'!$DA:$DA)</f>
        <v>0</v>
      </c>
      <c r="GQ267" s="6">
        <f>SUMIF('Eredeti fejléccel'!$B:$B,'Felosztás eredménykim'!$B267,'Eredeti fejléccel'!$DB:$DB)</f>
        <v>0</v>
      </c>
      <c r="GR267" s="103">
        <f t="shared" si="532"/>
        <v>0</v>
      </c>
      <c r="GW267" s="36">
        <f t="shared" si="634"/>
        <v>0</v>
      </c>
      <c r="GX267" s="6">
        <f>SUMIF('Eredeti fejléccel'!$B:$B,'Felosztás eredménykim'!$B267,'Eredeti fejléccel'!$M:$M)</f>
        <v>0</v>
      </c>
      <c r="GY267" s="6">
        <f>SUMIF('Eredeti fejléccel'!$B:$B,'Felosztás eredménykim'!$B267,'Eredeti fejléccel'!$DC:$DC)</f>
        <v>0</v>
      </c>
      <c r="GZ267" s="6">
        <f>SUMIF('Eredeti fejléccel'!$B:$B,'Felosztás eredménykim'!$B267,'Eredeti fejléccel'!$DD:$DD)</f>
        <v>0</v>
      </c>
      <c r="HA267" s="6">
        <f>SUMIF('Eredeti fejléccel'!$B:$B,'Felosztás eredménykim'!$B267,'Eredeti fejléccel'!$DE:$DE)</f>
        <v>0</v>
      </c>
      <c r="HB267" s="103">
        <f t="shared" si="533"/>
        <v>0</v>
      </c>
      <c r="HD267" s="9">
        <f t="shared" si="547"/>
        <v>0</v>
      </c>
      <c r="HE267" s="9"/>
      <c r="HF267" s="476"/>
      <c r="HH267" s="34">
        <f t="shared" si="534"/>
        <v>0</v>
      </c>
    </row>
    <row r="268" spans="1:218" x14ac:dyDescent="0.25">
      <c r="A268" s="552" t="s">
        <v>984</v>
      </c>
      <c r="B268" s="553" t="s">
        <v>984</v>
      </c>
      <c r="D268" s="6">
        <f>SUMIF('Eredeti fejléccel'!$B:$B,'Felosztás eredménykim'!$B268,'Eredeti fejléccel'!$D:$D)</f>
        <v>0</v>
      </c>
      <c r="E268" s="6">
        <f>SUMIF('Eredeti fejléccel'!$B:$B,'Felosztás eredménykim'!$B268,'Eredeti fejléccel'!$E:$E)</f>
        <v>-381057</v>
      </c>
      <c r="F268" s="6">
        <f>SUMIF('Eredeti fejléccel'!$B:$B,'Felosztás eredménykim'!$B268,'Eredeti fejléccel'!$F:$F)</f>
        <v>0</v>
      </c>
      <c r="G268" s="6">
        <f>SUMIF('Eredeti fejléccel'!$B:$B,'Felosztás eredménykim'!$B268,'Eredeti fejléccel'!$G:$G)</f>
        <v>0</v>
      </c>
      <c r="H268" s="6"/>
      <c r="I268" s="6">
        <f>SUMIF('Eredeti fejléccel'!$B:$B,'Felosztás eredménykim'!$B268,'Eredeti fejléccel'!$O:$O)</f>
        <v>0</v>
      </c>
      <c r="J268" s="6">
        <f>SUMIF('Eredeti fejléccel'!$B:$B,'Felosztás eredménykim'!$B268,'Eredeti fejléccel'!$P:$P)</f>
        <v>0</v>
      </c>
      <c r="K268" s="6">
        <f>SUMIF('Eredeti fejléccel'!$B:$B,'Felosztás eredménykim'!$B268,'Eredeti fejléccel'!$Q:$Q)</f>
        <v>0</v>
      </c>
      <c r="L268" s="6">
        <f>SUMIF('Eredeti fejléccel'!$B:$B,'Felosztás eredménykim'!$B268,'Eredeti fejléccel'!$R:$R)</f>
        <v>0</v>
      </c>
      <c r="M268" s="6">
        <f>SUMIF('Eredeti fejléccel'!$B:$B,'Felosztás eredménykim'!$B268,'Eredeti fejléccel'!$T:$T)</f>
        <v>0</v>
      </c>
      <c r="N268" s="6">
        <f>SUMIF('Eredeti fejléccel'!$B:$B,'Felosztás eredménykim'!$B268,'Eredeti fejléccel'!$U:$U)</f>
        <v>0</v>
      </c>
      <c r="O268" s="6">
        <f>SUMIF('Eredeti fejléccel'!$B:$B,'Felosztás eredménykim'!$B268,'Eredeti fejléccel'!$V:$V)</f>
        <v>0</v>
      </c>
      <c r="P268" s="6">
        <f>SUMIF('Eredeti fejléccel'!$B:$B,'Felosztás eredménykim'!$B268,'Eredeti fejléccel'!$W:$W)</f>
        <v>0</v>
      </c>
      <c r="Q268" s="6">
        <f>SUMIF('Eredeti fejléccel'!$B:$B,'Felosztás eredménykim'!$B268,'Eredeti fejléccel'!$X:$X)</f>
        <v>0</v>
      </c>
      <c r="R268" s="6">
        <f>SUMIF('Eredeti fejléccel'!$B:$B,'Felosztás eredménykim'!$B268,'Eredeti fejléccel'!$Y:$Y)</f>
        <v>0</v>
      </c>
      <c r="S268" s="6">
        <f>SUMIF('Eredeti fejléccel'!$B:$B,'Felosztás eredménykim'!$B268,'Eredeti fejléccel'!$Z:$Z)</f>
        <v>0</v>
      </c>
      <c r="T268" s="6">
        <f>SUMIF('Eredeti fejléccel'!$B:$B,'Felosztás eredménykim'!$B268,'Eredeti fejléccel'!$AA:$AA)</f>
        <v>0</v>
      </c>
      <c r="U268" s="6">
        <f>SUMIF('Eredeti fejléccel'!$B:$B,'Felosztás eredménykim'!$B268,'Eredeti fejléccel'!$D:$D)</f>
        <v>0</v>
      </c>
      <c r="V268" s="6">
        <f>SUMIF('Eredeti fejléccel'!$B:$B,'Felosztás eredménykim'!$B268,'Eredeti fejléccel'!$AT:$AT)</f>
        <v>0</v>
      </c>
      <c r="W268" s="217">
        <v>0</v>
      </c>
      <c r="X268" s="36">
        <f t="shared" si="635"/>
        <v>-381057</v>
      </c>
      <c r="Z268" s="6">
        <f>SUMIF('Eredeti fejléccel'!$B:$B,'Felosztás eredménykim'!$B268,'Eredeti fejléccel'!$K:$K)</f>
        <v>0</v>
      </c>
      <c r="AB268" s="6">
        <f>SUMIF('Eredeti fejléccel'!$B:$B,'Felosztás eredménykim'!$B268,'Eredeti fejléccel'!$AB:$AB)</f>
        <v>0</v>
      </c>
      <c r="AC268" s="6">
        <f>SUMIF('Eredeti fejléccel'!$B:$B,'Felosztás eredménykim'!$B268,'Eredeti fejléccel'!$AQ:$AQ)</f>
        <v>0</v>
      </c>
      <c r="AE268" s="73">
        <f t="shared" si="548"/>
        <v>0</v>
      </c>
      <c r="AF268" s="36">
        <f t="shared" si="549"/>
        <v>-45458.058219064485</v>
      </c>
      <c r="AG268" s="8">
        <f t="shared" si="620"/>
        <v>0</v>
      </c>
      <c r="AI268" s="6">
        <f>SUMIF('Eredeti fejléccel'!$B:$B,'Felosztás eredménykim'!$B268,'Eredeti fejléccel'!$BB:$BB)</f>
        <v>0</v>
      </c>
      <c r="AJ268" s="6">
        <f>SUMIF('Eredeti fejléccel'!$B:$B,'Felosztás eredménykim'!$B268,'Eredeti fejléccel'!$AF:$AF)</f>
        <v>0</v>
      </c>
      <c r="AK268" s="8">
        <f t="shared" si="522"/>
        <v>0</v>
      </c>
      <c r="AL268" s="36">
        <f t="shared" si="550"/>
        <v>-18055.711202859835</v>
      </c>
      <c r="AM268" s="8">
        <f t="shared" si="621"/>
        <v>0</v>
      </c>
      <c r="AN268" s="6">
        <f t="shared" si="538"/>
        <v>0</v>
      </c>
      <c r="AO268" s="6">
        <f>SUMIF('Eredeti fejléccel'!$B:$B,'Felosztás eredménykim'!$B268,'Eredeti fejléccel'!$AC:$AC)</f>
        <v>0</v>
      </c>
      <c r="AP268" s="6">
        <f>SUMIF('Eredeti fejléccel'!$B:$B,'Felosztás eredménykim'!$B268,'Eredeti fejléccel'!$AD:$AD)</f>
        <v>0</v>
      </c>
      <c r="AQ268" s="6">
        <f>SUMIF('Eredeti fejléccel'!$B:$B,'Felosztás eredménykim'!$B268,'Eredeti fejléccel'!$AE:$AE)</f>
        <v>0</v>
      </c>
      <c r="AR268" s="6">
        <f>SUMIF('Eredeti fejléccel'!$B:$B,'Felosztás eredménykim'!$B268,'Eredeti fejléccel'!$AG:$AG)</f>
        <v>0</v>
      </c>
      <c r="AS268" s="6">
        <f t="shared" si="539"/>
        <v>0</v>
      </c>
      <c r="AT268" s="36">
        <f t="shared" si="551"/>
        <v>-29327.779496170639</v>
      </c>
      <c r="AU268" s="8">
        <f t="shared" si="622"/>
        <v>0</v>
      </c>
      <c r="AV268" s="6">
        <f>SUMIF('Eredeti fejléccel'!$B:$B,'Felosztás eredménykim'!$B268,'Eredeti fejléccel'!$AI:$AI)</f>
        <v>0</v>
      </c>
      <c r="AW268" s="6">
        <f>SUMIF('Eredeti fejléccel'!$B:$B,'Felosztás eredménykim'!$B268,'Eredeti fejléccel'!$AJ:$AJ)</f>
        <v>0</v>
      </c>
      <c r="AX268" s="6">
        <f>SUMIF('Eredeti fejléccel'!$B:$B,'Felosztás eredménykim'!$B268,'Eredeti fejléccel'!$AK:$AK)</f>
        <v>0</v>
      </c>
      <c r="AY268" s="6">
        <f>SUMIF('Eredeti fejléccel'!$B:$B,'Felosztás eredménykim'!$B268,'Eredeti fejléccel'!$AL:$AL)</f>
        <v>0</v>
      </c>
      <c r="AZ268" s="6">
        <f>SUMIF('Eredeti fejléccel'!$B:$B,'Felosztás eredménykim'!$B268,'Eredeti fejléccel'!$AM:$AM)</f>
        <v>0</v>
      </c>
      <c r="BA268" s="6">
        <f>SUMIF('Eredeti fejléccel'!$B:$B,'Felosztás eredménykim'!$B268,'Eredeti fejléccel'!$AN:$AN)</f>
        <v>0</v>
      </c>
      <c r="BB268" s="6">
        <f>SUMIF('Eredeti fejléccel'!$B:$B,'Felosztás eredménykim'!$B268,'Eredeti fejléccel'!$AP:$AP)</f>
        <v>0</v>
      </c>
      <c r="BD268" s="6">
        <f>SUMIF('Eredeti fejléccel'!$B:$B,'Felosztás eredménykim'!$B268,'Eredeti fejléccel'!$AS:$AS)</f>
        <v>0</v>
      </c>
      <c r="BE268" s="8">
        <f t="shared" si="523"/>
        <v>0</v>
      </c>
      <c r="BF268" s="36">
        <f t="shared" si="552"/>
        <v>-7650.725085957557</v>
      </c>
      <c r="BG268" s="8">
        <f t="shared" si="623"/>
        <v>0</v>
      </c>
      <c r="BH268" s="6">
        <f t="shared" si="540"/>
        <v>0</v>
      </c>
      <c r="BI268" s="6">
        <f>SUMIF('Eredeti fejléccel'!$B:$B,'Felosztás eredménykim'!$B268,'Eredeti fejléccel'!$AH:$AH)</f>
        <v>0</v>
      </c>
      <c r="BJ268" s="6">
        <f>SUMIF('Eredeti fejléccel'!$B:$B,'Felosztás eredménykim'!$B268,'Eredeti fejléccel'!$AO:$AO)</f>
        <v>0</v>
      </c>
      <c r="BK268" s="6">
        <f>SUMIF('Eredeti fejléccel'!$B:$B,'Felosztás eredménykim'!$B268,'Eredeti fejléccel'!$BF:$BF)</f>
        <v>0</v>
      </c>
      <c r="BL268" s="8">
        <f t="shared" si="541"/>
        <v>0</v>
      </c>
      <c r="BM268" s="36">
        <f t="shared" si="553"/>
        <v>-28664.716655387649</v>
      </c>
      <c r="BN268" s="8">
        <f t="shared" si="624"/>
        <v>0</v>
      </c>
      <c r="BP268" s="8">
        <f t="shared" si="542"/>
        <v>0</v>
      </c>
      <c r="BQ268" s="6">
        <f>SUMIF('Eredeti fejléccel'!$B:$B,'Felosztás eredménykim'!$B268,'Eredeti fejléccel'!$N:$N)</f>
        <v>0</v>
      </c>
      <c r="BR268" s="6">
        <f>SUMIF('Eredeti fejléccel'!$B:$B,'Felosztás eredménykim'!$B268,'Eredeti fejléccel'!$S:$S)</f>
        <v>0</v>
      </c>
      <c r="BT268" s="6">
        <f>SUMIF('Eredeti fejléccel'!$B:$B,'Felosztás eredménykim'!$B268,'Eredeti fejléccel'!$AR:$AR)</f>
        <v>0</v>
      </c>
      <c r="BU268" s="6">
        <f>SUMIF('Eredeti fejléccel'!$B:$B,'Felosztás eredménykim'!$B268,'Eredeti fejléccel'!$AU:$AU)</f>
        <v>0</v>
      </c>
      <c r="BV268" s="6">
        <f>SUMIF('Eredeti fejléccel'!$B:$B,'Felosztás eredménykim'!$B268,'Eredeti fejléccel'!$AV:$AV)</f>
        <v>0</v>
      </c>
      <c r="BW268" s="6">
        <f>SUMIF('Eredeti fejléccel'!$B:$B,'Felosztás eredménykim'!$B268,'Eredeti fejléccel'!$AW:$AW)</f>
        <v>0</v>
      </c>
      <c r="BX268" s="6">
        <f>SUMIF('Eredeti fejléccel'!$B:$B,'Felosztás eredménykim'!$B268,'Eredeti fejléccel'!$AX:$AX)</f>
        <v>0</v>
      </c>
      <c r="BY268" s="6">
        <f>SUMIF('Eredeti fejléccel'!$B:$B,'Felosztás eredménykim'!$B268,'Eredeti fejléccel'!$AY:$AY)</f>
        <v>0</v>
      </c>
      <c r="BZ268" s="6">
        <f>SUMIF('Eredeti fejléccel'!$B:$B,'Felosztás eredménykim'!$B268,'Eredeti fejléccel'!$AZ:$AZ)</f>
        <v>0</v>
      </c>
      <c r="CA268" s="6">
        <f>SUMIF('Eredeti fejléccel'!$B:$B,'Felosztás eredménykim'!$B268,'Eredeti fejléccel'!$BA:$BA)</f>
        <v>0</v>
      </c>
      <c r="CB268" s="6">
        <f t="shared" si="481"/>
        <v>0</v>
      </c>
      <c r="CC268" s="36">
        <f t="shared" si="554"/>
        <v>-7803.7395876767087</v>
      </c>
      <c r="CD268" s="8">
        <f t="shared" si="625"/>
        <v>0</v>
      </c>
      <c r="CE268" s="6">
        <f>SUMIF('Eredeti fejléccel'!$B:$B,'Felosztás eredménykim'!$B268,'Eredeti fejléccel'!$BC:$BC)</f>
        <v>0</v>
      </c>
      <c r="CF268" s="8">
        <f t="shared" si="555"/>
        <v>0</v>
      </c>
      <c r="CG268" s="6">
        <f>SUMIF('Eredeti fejléccel'!$B:$B,'Felosztás eredménykim'!$B268,'Eredeti fejléccel'!$H:$H)</f>
        <v>0</v>
      </c>
      <c r="CH268" s="6">
        <f>SUMIF('Eredeti fejléccel'!$B:$B,'Felosztás eredménykim'!$B268,'Eredeti fejléccel'!$BE:$BE)</f>
        <v>0</v>
      </c>
      <c r="CI268" s="6">
        <f t="shared" si="524"/>
        <v>0</v>
      </c>
      <c r="CJ268" s="36">
        <f t="shared" si="556"/>
        <v>-5610.5317297022093</v>
      </c>
      <c r="CK268" s="8">
        <f t="shared" si="626"/>
        <v>0</v>
      </c>
      <c r="CL268" s="8">
        <f t="shared" si="557"/>
        <v>0</v>
      </c>
      <c r="CM268" s="6">
        <f>SUMIF('Eredeti fejléccel'!$B:$B,'Felosztás eredménykim'!$B268,'Eredeti fejléccel'!$BD:$BD)</f>
        <v>0</v>
      </c>
      <c r="CN268" s="8">
        <f t="shared" si="525"/>
        <v>0</v>
      </c>
      <c r="CO268" s="8">
        <f t="shared" si="482"/>
        <v>-142571.26197681905</v>
      </c>
      <c r="CR268" s="36">
        <f t="shared" si="627"/>
        <v>-33701.338667095944</v>
      </c>
      <c r="CS268" s="6">
        <f>SUMIF('Eredeti fejléccel'!$B:$B,'Felosztás eredménykim'!$B268,'Eredeti fejléccel'!$I:$I)</f>
        <v>0</v>
      </c>
      <c r="CT268" s="6">
        <f>SUMIF('Eredeti fejléccel'!$B:$B,'Felosztás eredménykim'!$B268,'Eredeti fejléccel'!$BG:$BG)</f>
        <v>0</v>
      </c>
      <c r="CU268" s="6">
        <f>SUMIF('Eredeti fejléccel'!$B:$B,'Felosztás eredménykim'!$B268,'Eredeti fejléccel'!$BH:$BH)</f>
        <v>0</v>
      </c>
      <c r="CV268" s="6">
        <f>SUMIF('Eredeti fejléccel'!$B:$B,'Felosztás eredménykim'!$B268,'Eredeti fejléccel'!$BI:$BI)</f>
        <v>0</v>
      </c>
      <c r="CW268" s="6">
        <f>SUMIF('Eredeti fejléccel'!$B:$B,'Felosztás eredménykim'!$B268,'Eredeti fejléccel'!$BL:$BL)</f>
        <v>0</v>
      </c>
      <c r="CX268" s="6">
        <f t="shared" si="526"/>
        <v>0</v>
      </c>
      <c r="CY268" s="6">
        <f>SUMIF('Eredeti fejléccel'!$B:$B,'Felosztás eredménykim'!$B268,'Eredeti fejléccel'!$BJ:$BJ)</f>
        <v>0</v>
      </c>
      <c r="CZ268" s="6">
        <f>SUMIF('Eredeti fejléccel'!$B:$B,'Felosztás eredménykim'!$B268,'Eredeti fejléccel'!$BK:$BK)</f>
        <v>0</v>
      </c>
      <c r="DA268" s="99">
        <f t="shared" si="637"/>
        <v>0</v>
      </c>
      <c r="DC268" s="36">
        <f t="shared" si="628"/>
        <v>-29517.808821635554</v>
      </c>
      <c r="DD268" s="6">
        <f>SUMIF('Eredeti fejléccel'!$B:$B,'Felosztás eredménykim'!$B268,'Eredeti fejléccel'!$J:$J)</f>
        <v>0</v>
      </c>
      <c r="DE268" s="6">
        <f>SUMIF('Eredeti fejléccel'!$B:$B,'Felosztás eredménykim'!$B268,'Eredeti fejléccel'!$BM:$BM)</f>
        <v>0</v>
      </c>
      <c r="DF268" s="6">
        <f t="shared" si="543"/>
        <v>0</v>
      </c>
      <c r="DG268" s="8">
        <f t="shared" si="636"/>
        <v>0</v>
      </c>
      <c r="DH268" s="8">
        <f t="shared" si="544"/>
        <v>0</v>
      </c>
      <c r="DJ268" s="6">
        <f>SUMIF('Eredeti fejléccel'!$B:$B,'Felosztás eredménykim'!$B268,'Eredeti fejléccel'!$BN:$BN)</f>
        <v>0</v>
      </c>
      <c r="DK268" s="6">
        <f>SUMIF('Eredeti fejléccel'!$B:$B,'Felosztás eredménykim'!$B268,'Eredeti fejléccel'!$BZ:$BZ)</f>
        <v>0</v>
      </c>
      <c r="DL268" s="8">
        <f t="shared" si="545"/>
        <v>0</v>
      </c>
      <c r="DM268" s="6">
        <f>SUMIF('Eredeti fejléccel'!$B:$B,'Felosztás eredménykim'!$B268,'Eredeti fejléccel'!$BR:$BR)</f>
        <v>0</v>
      </c>
      <c r="DN268" s="6">
        <f>SUMIF('Eredeti fejléccel'!$B:$B,'Felosztás eredménykim'!$B268,'Eredeti fejléccel'!$BS:$BS)</f>
        <v>0</v>
      </c>
      <c r="DO268" s="6">
        <f>SUMIF('Eredeti fejléccel'!$B:$B,'Felosztás eredménykim'!$B268,'Eredeti fejléccel'!$BO:$BO)</f>
        <v>0</v>
      </c>
      <c r="DP268" s="6">
        <f>SUMIF('Eredeti fejléccel'!$B:$B,'Felosztás eredménykim'!$B268,'Eredeti fejléccel'!$BP:$BP)</f>
        <v>0</v>
      </c>
      <c r="DQ268" s="6">
        <f>SUMIF('Eredeti fejléccel'!$B:$B,'Felosztás eredménykim'!$B268,'Eredeti fejléccel'!$BQ:$BQ)</f>
        <v>0</v>
      </c>
      <c r="DS268" s="8"/>
      <c r="DU268" s="6">
        <f>SUMIF('Eredeti fejléccel'!$B:$B,'Felosztás eredménykim'!$B268,'Eredeti fejléccel'!$BT:$BT)</f>
        <v>0</v>
      </c>
      <c r="DV268" s="6">
        <f>SUMIF('Eredeti fejléccel'!$B:$B,'Felosztás eredménykim'!$B268,'Eredeti fejléccel'!$BU:$BU)</f>
        <v>0</v>
      </c>
      <c r="DW268" s="6">
        <f>SUMIF('Eredeti fejléccel'!$B:$B,'Felosztás eredménykim'!$B268,'Eredeti fejléccel'!$BV:$BV)</f>
        <v>0</v>
      </c>
      <c r="DX268" s="6">
        <f>SUMIF('Eredeti fejléccel'!$B:$B,'Felosztás eredménykim'!$B268,'Eredeti fejléccel'!$BW:$BW)</f>
        <v>0</v>
      </c>
      <c r="DY268" s="6">
        <f>SUMIF('Eredeti fejléccel'!$B:$B,'Felosztás eredménykim'!$B268,'Eredeti fejléccel'!$BX:$BX)</f>
        <v>0</v>
      </c>
      <c r="EA268" s="6"/>
      <c r="EC268" s="6"/>
      <c r="EE268" s="6">
        <f>SUMIF('Eredeti fejléccel'!$B:$B,'Felosztás eredménykim'!$B268,'Eredeti fejléccel'!$CA:$CA)</f>
        <v>0</v>
      </c>
      <c r="EF268" s="6">
        <f>SUMIF('Eredeti fejléccel'!$B:$B,'Felosztás eredménykim'!$B268,'Eredeti fejléccel'!$CB:$CB)</f>
        <v>0</v>
      </c>
      <c r="EG268" s="6">
        <f>SUMIF('Eredeti fejléccel'!$B:$B,'Felosztás eredménykim'!$B268,'Eredeti fejléccel'!$CC:$CC)</f>
        <v>0</v>
      </c>
      <c r="EH268" s="6">
        <f>SUMIF('Eredeti fejléccel'!$B:$B,'Felosztás eredménykim'!$B268,'Eredeti fejléccel'!$CD:$CD)</f>
        <v>0</v>
      </c>
      <c r="EK268" s="6">
        <f>SUMIF('Eredeti fejléccel'!$B:$B,'Felosztás eredménykim'!$B268,'Eredeti fejléccel'!$CE:$CE)</f>
        <v>0</v>
      </c>
      <c r="EN268" s="6">
        <f>SUMIF('Eredeti fejléccel'!$B:$B,'Felosztás eredménykim'!$B268,'Eredeti fejléccel'!$CF:$CF)</f>
        <v>0</v>
      </c>
      <c r="EP268" s="6">
        <f>SUMIF('Eredeti fejléccel'!$B:$B,'Felosztás eredménykim'!$B268,'Eredeti fejléccel'!$CG:$CG)</f>
        <v>0</v>
      </c>
      <c r="ES268" s="6">
        <f>SUMIF('Eredeti fejléccel'!$B:$B,'Felosztás eredménykim'!$B268,'Eredeti fejléccel'!$CH:$CH)</f>
        <v>0</v>
      </c>
      <c r="ET268" s="6">
        <f>SUMIF('Eredeti fejléccel'!$B:$B,'Felosztás eredménykim'!$B268,'Eredeti fejléccel'!$CI:$CI)</f>
        <v>0</v>
      </c>
      <c r="EW268" s="8">
        <f t="shared" si="535"/>
        <v>0</v>
      </c>
      <c r="EX268" s="8">
        <f t="shared" si="527"/>
        <v>0</v>
      </c>
      <c r="EY268" s="8">
        <f t="shared" si="638"/>
        <v>0</v>
      </c>
      <c r="EZ268" s="8">
        <f t="shared" si="536"/>
        <v>0</v>
      </c>
      <c r="FA268" s="8">
        <f t="shared" si="537"/>
        <v>0</v>
      </c>
      <c r="FC268" s="6">
        <f>SUMIF('Eredeti fejléccel'!$B:$B,'Felosztás eredménykim'!$B268,'Eredeti fejléccel'!$L:$L)</f>
        <v>0</v>
      </c>
      <c r="FD268" s="6">
        <f>SUMIF('Eredeti fejléccel'!$B:$B,'Felosztás eredménykim'!$B268,'Eredeti fejléccel'!$CJ:$CJ)</f>
        <v>0</v>
      </c>
      <c r="FE268" s="6">
        <f>SUMIF('Eredeti fejléccel'!$B:$B,'Felosztás eredménykim'!$B268,'Eredeti fejléccel'!$CL:$CL)</f>
        <v>0</v>
      </c>
      <c r="FG268" s="99">
        <f t="shared" si="528"/>
        <v>0</v>
      </c>
      <c r="FH268" s="6">
        <f>SUMIF('Eredeti fejléccel'!$B:$B,'Felosztás eredménykim'!$B268,'Eredeti fejléccel'!$CK:$CK)</f>
        <v>0</v>
      </c>
      <c r="FI268" s="36">
        <f t="shared" si="558"/>
        <v>-34729.572759183604</v>
      </c>
      <c r="FJ268" s="101">
        <f t="shared" si="629"/>
        <v>0</v>
      </c>
      <c r="FK268" s="6">
        <f>SUMIF('Eredeti fejléccel'!$B:$B,'Felosztás eredménykim'!$B268,'Eredeti fejléccel'!$CM:$CM)</f>
        <v>0</v>
      </c>
      <c r="FL268" s="6">
        <f>SUMIF('Eredeti fejléccel'!$B:$B,'Felosztás eredménykim'!$B268,'Eredeti fejléccel'!$CN:$CN)</f>
        <v>0</v>
      </c>
      <c r="FM268" s="8">
        <f t="shared" si="529"/>
        <v>0</v>
      </c>
      <c r="FN268" s="36">
        <f t="shared" si="559"/>
        <v>-29525.834369090837</v>
      </c>
      <c r="FO268" s="101">
        <f t="shared" si="630"/>
        <v>0</v>
      </c>
      <c r="FP268" s="6">
        <f>SUMIF('Eredeti fejléccel'!$B:$B,'Felosztás eredménykim'!$B268,'Eredeti fejléccel'!$CO:$CO)</f>
        <v>0</v>
      </c>
      <c r="FQ268" s="6">
        <f>'Eredeti fejléccel'!CP268</f>
        <v>0</v>
      </c>
      <c r="FR268" s="6">
        <f>'Eredeti fejléccel'!CQ268</f>
        <v>0</v>
      </c>
      <c r="FS268" s="103">
        <f t="shared" si="639"/>
        <v>0</v>
      </c>
      <c r="FT268" s="36">
        <f t="shared" si="560"/>
        <v>-81499.912450187709</v>
      </c>
      <c r="FU268" s="101">
        <f t="shared" si="631"/>
        <v>0</v>
      </c>
      <c r="FV268" s="101"/>
      <c r="FW268" s="6">
        <f>SUMIF('Eredeti fejléccel'!$B:$B,'Felosztás eredménykim'!$B268,'Eredeti fejléccel'!$CR:$CR)</f>
        <v>0</v>
      </c>
      <c r="FX268" s="6">
        <f>SUMIF('Eredeti fejléccel'!$B:$B,'Felosztás eredménykim'!$B268,'Eredeti fejléccel'!$CS:$CS)</f>
        <v>0</v>
      </c>
      <c r="FY268" s="6">
        <f>SUMIF('Eredeti fejléccel'!$B:$B,'Felosztás eredménykim'!$B268,'Eredeti fejléccel'!$CT:$CT)</f>
        <v>0</v>
      </c>
      <c r="FZ268" s="6">
        <f>SUMIF('Eredeti fejléccel'!$B:$B,'Felosztás eredménykim'!$B268,'Eredeti fejléccel'!$CU:$CU)</f>
        <v>0</v>
      </c>
      <c r="GA268" s="103">
        <f t="shared" si="530"/>
        <v>0</v>
      </c>
      <c r="GB268" s="36">
        <f t="shared" si="561"/>
        <v>-10863.278682967382</v>
      </c>
      <c r="GC268" s="101">
        <f t="shared" si="632"/>
        <v>0</v>
      </c>
      <c r="GD268" s="6">
        <f>SUMIF('Eredeti fejléccel'!$B:$B,'Felosztás eredménykim'!$B268,'Eredeti fejléccel'!$CV:$CV)</f>
        <v>0</v>
      </c>
      <c r="GE268" s="6">
        <f>SUMIF('Eredeti fejléccel'!$B:$B,'Felosztás eredménykim'!$B268,'Eredeti fejléccel'!$CW:$CW)</f>
        <v>0</v>
      </c>
      <c r="GF268" s="103">
        <f t="shared" si="531"/>
        <v>0</v>
      </c>
      <c r="GG268" s="36">
        <f t="shared" si="633"/>
        <v>0</v>
      </c>
      <c r="GM268" s="6">
        <f>SUMIF('Eredeti fejléccel'!$B:$B,'Felosztás eredménykim'!$B268,'Eredeti fejléccel'!$CX:$CX)</f>
        <v>0</v>
      </c>
      <c r="GN268" s="6">
        <f>SUMIF('Eredeti fejléccel'!$B:$B,'Felosztás eredménykim'!$B268,'Eredeti fejléccel'!$CY:$CY)</f>
        <v>0</v>
      </c>
      <c r="GO268" s="6">
        <f>SUMIF('Eredeti fejléccel'!$B:$B,'Felosztás eredménykim'!$B268,'Eredeti fejléccel'!$CZ:$CZ)</f>
        <v>0</v>
      </c>
      <c r="GP268" s="6">
        <f>SUMIF('Eredeti fejléccel'!$B:$B,'Felosztás eredménykim'!$B268,'Eredeti fejléccel'!$DA:$DA)</f>
        <v>0</v>
      </c>
      <c r="GQ268" s="6">
        <f>SUMIF('Eredeti fejléccel'!$B:$B,'Felosztás eredménykim'!$B268,'Eredeti fejléccel'!$DB:$DB)</f>
        <v>0</v>
      </c>
      <c r="GR268" s="103">
        <f t="shared" si="532"/>
        <v>0</v>
      </c>
      <c r="GW268" s="36">
        <f t="shared" si="634"/>
        <v>-18647.992273019965</v>
      </c>
      <c r="GX268" s="6">
        <f>SUMIF('Eredeti fejléccel'!$B:$B,'Felosztás eredménykim'!$B268,'Eredeti fejléccel'!$M:$M)</f>
        <v>0</v>
      </c>
      <c r="GY268" s="6">
        <f>SUMIF('Eredeti fejléccel'!$B:$B,'Felosztás eredménykim'!$B268,'Eredeti fejléccel'!$DC:$DC)</f>
        <v>0</v>
      </c>
      <c r="GZ268" s="6">
        <f>SUMIF('Eredeti fejléccel'!$B:$B,'Felosztás eredménykim'!$B268,'Eredeti fejléccel'!$DD:$DD)</f>
        <v>0</v>
      </c>
      <c r="HA268" s="6">
        <f>SUMIF('Eredeti fejléccel'!$B:$B,'Felosztás eredménykim'!$B268,'Eredeti fejléccel'!$DE:$DE)</f>
        <v>0</v>
      </c>
      <c r="HB268" s="103">
        <f t="shared" si="533"/>
        <v>0</v>
      </c>
      <c r="HD268" s="9">
        <f t="shared" si="547"/>
        <v>-381056.99999999983</v>
      </c>
      <c r="HE268" s="9">
        <v>-381057</v>
      </c>
      <c r="HF268" s="476"/>
      <c r="HH268" s="554">
        <f t="shared" si="534"/>
        <v>0</v>
      </c>
    </row>
    <row r="269" spans="1:218" x14ac:dyDescent="0.25">
      <c r="A269" s="4" t="s">
        <v>1684</v>
      </c>
      <c r="B269" s="4" t="s">
        <v>1684</v>
      </c>
      <c r="C269" s="1" t="s">
        <v>738</v>
      </c>
      <c r="D269" s="6">
        <f>SUMIF('Eredeti fejléccel'!$B:$B,'Felosztás eredménykim'!$B269,'Eredeti fejléccel'!$D:$D)</f>
        <v>0</v>
      </c>
      <c r="E269" s="6">
        <f>SUMIF('Eredeti fejléccel'!$B:$B,'Felosztás eredménykim'!$B269,'Eredeti fejléccel'!$E:$E)</f>
        <v>0</v>
      </c>
      <c r="F269" s="6">
        <f>SUMIF('Eredeti fejléccel'!$B:$B,'Felosztás eredménykim'!$B269,'Eredeti fejléccel'!$F:$F)</f>
        <v>0</v>
      </c>
      <c r="G269" s="6">
        <f>SUMIF('Eredeti fejléccel'!$B:$B,'Felosztás eredménykim'!$B269,'Eredeti fejléccel'!$G:$G)</f>
        <v>0</v>
      </c>
      <c r="H269" s="6"/>
      <c r="I269" s="6">
        <f>SUMIF('Eredeti fejléccel'!$B:$B,'Felosztás eredménykim'!$B269,'Eredeti fejléccel'!$O:$O)</f>
        <v>0</v>
      </c>
      <c r="J269" s="6">
        <f>SUMIF('Eredeti fejléccel'!$B:$B,'Felosztás eredménykim'!$B269,'Eredeti fejléccel'!$P:$P)</f>
        <v>0</v>
      </c>
      <c r="K269" s="6">
        <f>SUMIF('Eredeti fejléccel'!$B:$B,'Felosztás eredménykim'!$B269,'Eredeti fejléccel'!$Q:$Q)</f>
        <v>0</v>
      </c>
      <c r="L269" s="6">
        <f>SUMIF('Eredeti fejléccel'!$B:$B,'Felosztás eredménykim'!$B269,'Eredeti fejléccel'!$R:$R)</f>
        <v>0</v>
      </c>
      <c r="M269" s="6">
        <f>SUMIF('Eredeti fejléccel'!$B:$B,'Felosztás eredménykim'!$B269,'Eredeti fejléccel'!$T:$T)</f>
        <v>0</v>
      </c>
      <c r="N269" s="6">
        <f>SUMIF('Eredeti fejléccel'!$B:$B,'Felosztás eredménykim'!$B269,'Eredeti fejléccel'!$U:$U)</f>
        <v>0</v>
      </c>
      <c r="O269" s="6">
        <f>SUMIF('Eredeti fejléccel'!$B:$B,'Felosztás eredménykim'!$B269,'Eredeti fejléccel'!$V:$V)</f>
        <v>0</v>
      </c>
      <c r="P269" s="6">
        <f>SUMIF('Eredeti fejléccel'!$B:$B,'Felosztás eredménykim'!$B269,'Eredeti fejléccel'!$W:$W)</f>
        <v>0</v>
      </c>
      <c r="Q269" s="6">
        <f>SUMIF('Eredeti fejléccel'!$B:$B,'Felosztás eredménykim'!$B269,'Eredeti fejléccel'!$X:$X)</f>
        <v>0</v>
      </c>
      <c r="R269" s="6">
        <f>SUMIF('Eredeti fejléccel'!$B:$B,'Felosztás eredménykim'!$B269,'Eredeti fejléccel'!$Y:$Y)</f>
        <v>0</v>
      </c>
      <c r="S269" s="6">
        <f>SUMIF('Eredeti fejléccel'!$B:$B,'Felosztás eredménykim'!$B269,'Eredeti fejléccel'!$Z:$Z)</f>
        <v>0</v>
      </c>
      <c r="T269" s="6">
        <f>SUMIF('Eredeti fejléccel'!$B:$B,'Felosztás eredménykim'!$B269,'Eredeti fejléccel'!$AA:$AA)</f>
        <v>0</v>
      </c>
      <c r="U269" s="6">
        <f>SUMIF('Eredeti fejléccel'!$B:$B,'Felosztás eredménykim'!$B269,'Eredeti fejléccel'!$D:$D)</f>
        <v>0</v>
      </c>
      <c r="V269" s="6">
        <f>SUMIF('Eredeti fejléccel'!$B:$B,'Felosztás eredménykim'!$B269,'Eredeti fejléccel'!$AT:$AT)</f>
        <v>0</v>
      </c>
      <c r="W269" s="217"/>
      <c r="X269" s="36">
        <f t="shared" si="635"/>
        <v>0</v>
      </c>
      <c r="Z269" s="6">
        <f>SUMIF('Eredeti fejléccel'!$B:$B,'Felosztás eredménykim'!$B269,'Eredeti fejléccel'!$K:$K)</f>
        <v>0</v>
      </c>
      <c r="AB269" s="6">
        <f>SUMIF('Eredeti fejléccel'!$B:$B,'Felosztás eredménykim'!$B269,'Eredeti fejléccel'!$AB:$AB)</f>
        <v>0</v>
      </c>
      <c r="AC269" s="6">
        <f>SUMIF('Eredeti fejléccel'!$B:$B,'Felosztás eredménykim'!$B269,'Eredeti fejléccel'!$AQ:$AQ)</f>
        <v>0</v>
      </c>
      <c r="AE269" s="73">
        <f t="shared" ref="AE269:AE270" si="640">SUM(Z269:AD269)</f>
        <v>0</v>
      </c>
      <c r="AF269" s="36">
        <f t="shared" ref="AF269:AF270" si="641">$X269/$HD$290*(AG$290+AG$291)</f>
        <v>0</v>
      </c>
      <c r="AG269" s="8">
        <f t="shared" ref="AG269:AG270" si="642">$AE269/$HD$291*AG$290</f>
        <v>0</v>
      </c>
      <c r="AI269" s="6">
        <f>SUMIF('Eredeti fejléccel'!$B:$B,'Felosztás eredménykim'!$B269,'Eredeti fejléccel'!$BB:$BB)</f>
        <v>0</v>
      </c>
      <c r="AJ269" s="6">
        <f>SUMIF('Eredeti fejléccel'!$B:$B,'Felosztás eredménykim'!$B269,'Eredeti fejléccel'!$AF:$AF)</f>
        <v>0</v>
      </c>
      <c r="AK269" s="8">
        <f t="shared" ref="AK269:AK270" si="643">SUM(AG269:AJ269)</f>
        <v>0</v>
      </c>
      <c r="AL269" s="36">
        <f t="shared" ref="AL269:AL270" si="644">$X269/$HD$290*(AM$290+AM$291)</f>
        <v>0</v>
      </c>
      <c r="AM269" s="8">
        <f t="shared" ref="AM269:AM270" si="645">$AE269/$HD$291*AM$290</f>
        <v>0</v>
      </c>
      <c r="AN269" s="6">
        <f t="shared" ref="AN269:AN270" si="646">-AO269/2</f>
        <v>0</v>
      </c>
      <c r="AO269" s="6">
        <f>SUMIF('Eredeti fejléccel'!$B:$B,'Felosztás eredménykim'!$B269,'Eredeti fejléccel'!$AC:$AC)</f>
        <v>0</v>
      </c>
      <c r="AP269" s="6">
        <f>SUMIF('Eredeti fejléccel'!$B:$B,'Felosztás eredménykim'!$B269,'Eredeti fejléccel'!$AD:$AD)</f>
        <v>0</v>
      </c>
      <c r="AQ269" s="6">
        <f>SUMIF('Eredeti fejléccel'!$B:$B,'Felosztás eredménykim'!$B269,'Eredeti fejléccel'!$AE:$AE)</f>
        <v>0</v>
      </c>
      <c r="AR269" s="6">
        <f>SUMIF('Eredeti fejléccel'!$B:$B,'Felosztás eredménykim'!$B269,'Eredeti fejléccel'!$AG:$AG)</f>
        <v>0</v>
      </c>
      <c r="AS269" s="6">
        <f t="shared" ref="AS269:AS270" si="647">SUM(AM269:AR269)</f>
        <v>0</v>
      </c>
      <c r="AT269" s="36">
        <f t="shared" ref="AT269:AT270" si="648">$X269/$HD$290*(AU$290+AU$291)</f>
        <v>0</v>
      </c>
      <c r="AU269" s="8">
        <f t="shared" ref="AU269:AU270" si="649">$AE269/$HD$291*AU$290</f>
        <v>0</v>
      </c>
      <c r="AV269" s="6">
        <f>SUMIF('Eredeti fejléccel'!$B:$B,'Felosztás eredménykim'!$B269,'Eredeti fejléccel'!$AI:$AI)</f>
        <v>0</v>
      </c>
      <c r="AW269" s="6">
        <f>SUMIF('Eredeti fejléccel'!$B:$B,'Felosztás eredménykim'!$B269,'Eredeti fejléccel'!$AJ:$AJ)</f>
        <v>0</v>
      </c>
      <c r="AX269" s="6">
        <f>SUMIF('Eredeti fejléccel'!$B:$B,'Felosztás eredménykim'!$B269,'Eredeti fejléccel'!$AK:$AK)</f>
        <v>0</v>
      </c>
      <c r="AY269" s="6">
        <f>SUMIF('Eredeti fejléccel'!$B:$B,'Felosztás eredménykim'!$B269,'Eredeti fejléccel'!$AL:$AL)</f>
        <v>0</v>
      </c>
      <c r="AZ269" s="6">
        <f>SUMIF('Eredeti fejléccel'!$B:$B,'Felosztás eredménykim'!$B269,'Eredeti fejléccel'!$AM:$AM)</f>
        <v>0</v>
      </c>
      <c r="BA269" s="6">
        <f>SUMIF('Eredeti fejléccel'!$B:$B,'Felosztás eredménykim'!$B269,'Eredeti fejléccel'!$AN:$AN)</f>
        <v>0</v>
      </c>
      <c r="BB269" s="6">
        <f>SUMIF('Eredeti fejléccel'!$B:$B,'Felosztás eredménykim'!$B269,'Eredeti fejléccel'!$AP:$AP)</f>
        <v>0</v>
      </c>
      <c r="BD269" s="6">
        <f>SUMIF('Eredeti fejléccel'!$B:$B,'Felosztás eredménykim'!$B269,'Eredeti fejléccel'!$AS:$AS)</f>
        <v>0</v>
      </c>
      <c r="BE269" s="8">
        <f t="shared" ref="BE269:BE270" si="650">SUM(AU269:BD269)</f>
        <v>0</v>
      </c>
      <c r="BF269" s="36">
        <f t="shared" ref="BF269:BF270" si="651">$X269/$HD$290*(BG$290+BG$291)</f>
        <v>0</v>
      </c>
      <c r="BG269" s="8">
        <f t="shared" ref="BG269:BG270" si="652">$AE269/$HD$291*BG$290</f>
        <v>0</v>
      </c>
      <c r="BH269" s="6">
        <f t="shared" ref="BH269:BH270" si="653">AO269/2</f>
        <v>0</v>
      </c>
      <c r="BI269" s="6">
        <f>SUMIF('Eredeti fejléccel'!$B:$B,'Felosztás eredménykim'!$B269,'Eredeti fejléccel'!$AH:$AH)</f>
        <v>0</v>
      </c>
      <c r="BJ269" s="6">
        <f>SUMIF('Eredeti fejléccel'!$B:$B,'Felosztás eredménykim'!$B269,'Eredeti fejléccel'!$AO:$AO)</f>
        <v>0</v>
      </c>
      <c r="BK269" s="6">
        <f>SUMIF('Eredeti fejléccel'!$B:$B,'Felosztás eredménykim'!$B269,'Eredeti fejléccel'!$BF:$BF)</f>
        <v>0</v>
      </c>
      <c r="BL269" s="8">
        <f t="shared" ref="BL269:BL270" si="654">SUM(BG269:BK269)</f>
        <v>0</v>
      </c>
      <c r="BM269" s="36">
        <f t="shared" ref="BM269:BM270" si="655">$X269/$HD$290*(BN$290+BN$291)</f>
        <v>0</v>
      </c>
      <c r="BN269" s="8">
        <f t="shared" ref="BN269:BN270" si="656">$AE269/$HD$291*BN$290</f>
        <v>0</v>
      </c>
      <c r="BP269" s="8">
        <f t="shared" ref="BP269:BP270" si="657">-FV269</f>
        <v>0</v>
      </c>
      <c r="BQ269" s="6">
        <f>SUMIF('Eredeti fejléccel'!$B:$B,'Felosztás eredménykim'!$B269,'Eredeti fejléccel'!$N:$N)</f>
        <v>0</v>
      </c>
      <c r="BR269" s="6">
        <f>SUMIF('Eredeti fejléccel'!$B:$B,'Felosztás eredménykim'!$B269,'Eredeti fejléccel'!$S:$S)</f>
        <v>0</v>
      </c>
      <c r="BT269" s="6">
        <f>SUMIF('Eredeti fejléccel'!$B:$B,'Felosztás eredménykim'!$B269,'Eredeti fejléccel'!$AR:$AR)</f>
        <v>0</v>
      </c>
      <c r="BU269" s="6">
        <f>SUMIF('Eredeti fejléccel'!$B:$B,'Felosztás eredménykim'!$B269,'Eredeti fejléccel'!$AU:$AU)</f>
        <v>0</v>
      </c>
      <c r="BV269" s="6">
        <f>SUMIF('Eredeti fejléccel'!$B:$B,'Felosztás eredménykim'!$B269,'Eredeti fejléccel'!$AV:$AV)</f>
        <v>0</v>
      </c>
      <c r="BW269" s="6">
        <f>SUMIF('Eredeti fejléccel'!$B:$B,'Felosztás eredménykim'!$B269,'Eredeti fejléccel'!$AW:$AW)</f>
        <v>0</v>
      </c>
      <c r="BX269" s="6">
        <f>SUMIF('Eredeti fejléccel'!$B:$B,'Felosztás eredménykim'!$B269,'Eredeti fejléccel'!$AX:$AX)</f>
        <v>0</v>
      </c>
      <c r="BY269" s="6">
        <f>SUMIF('Eredeti fejléccel'!$B:$B,'Felosztás eredménykim'!$B269,'Eredeti fejléccel'!$AY:$AY)</f>
        <v>0</v>
      </c>
      <c r="BZ269" s="6">
        <f>SUMIF('Eredeti fejléccel'!$B:$B,'Felosztás eredménykim'!$B269,'Eredeti fejléccel'!$AZ:$AZ)</f>
        <v>0</v>
      </c>
      <c r="CA269" s="6">
        <f>SUMIF('Eredeti fejléccel'!$B:$B,'Felosztás eredménykim'!$B269,'Eredeti fejléccel'!$BA:$BA)</f>
        <v>0</v>
      </c>
      <c r="CB269" s="6">
        <f t="shared" ref="CB269:CB270" si="658">SUM(BN269:CA269)</f>
        <v>0</v>
      </c>
      <c r="CC269" s="36">
        <f t="shared" ref="CC269:CC270" si="659">$X269/$HD$290*(CD$290+CD$291)</f>
        <v>0</v>
      </c>
      <c r="CD269" s="8">
        <f t="shared" ref="CD269:CD270" si="660">$AE269/$HD$291*CD$290</f>
        <v>0</v>
      </c>
      <c r="CE269" s="6">
        <f>SUMIF('Eredeti fejléccel'!$B:$B,'Felosztás eredménykim'!$B269,'Eredeti fejléccel'!$BC:$BC)</f>
        <v>0</v>
      </c>
      <c r="CF269" s="8">
        <f t="shared" ref="CF269:CF270" si="661">-CE269/2</f>
        <v>0</v>
      </c>
      <c r="CG269" s="6">
        <f>SUMIF('Eredeti fejléccel'!$B:$B,'Felosztás eredménykim'!$B269,'Eredeti fejléccel'!$H:$H)</f>
        <v>0</v>
      </c>
      <c r="CH269" s="6">
        <f>SUMIF('Eredeti fejléccel'!$B:$B,'Felosztás eredménykim'!$B269,'Eredeti fejléccel'!$BE:$BE)</f>
        <v>0</v>
      </c>
      <c r="CI269" s="6">
        <f t="shared" ref="CI269:CI270" si="662">SUM(CD269:CH269)</f>
        <v>0</v>
      </c>
      <c r="CJ269" s="36">
        <f t="shared" ref="CJ269:CJ270" si="663">$X269/$HD$290*(CK$290+CK$291)</f>
        <v>0</v>
      </c>
      <c r="CK269" s="8">
        <f t="shared" ref="CK269:CK270" si="664">$AE269/$HD$291*CK$290</f>
        <v>0</v>
      </c>
      <c r="CL269" s="8">
        <f t="shared" ref="CL269:CL270" si="665">CE269/2</f>
        <v>0</v>
      </c>
      <c r="CM269" s="6">
        <f>SUMIF('Eredeti fejléccel'!$B:$B,'Felosztás eredménykim'!$B269,'Eredeti fejléccel'!$BD:$BD)</f>
        <v>0</v>
      </c>
      <c r="CN269" s="8">
        <f t="shared" ref="CN269:CN270" si="666">SUM(CK269:CM269)</f>
        <v>0</v>
      </c>
      <c r="CO269" s="8">
        <f t="shared" ref="CO269:CO270" si="667">+AF269+AK269+AL269+AS269+AT269+BE269+BF269+BL269+BM269+CB269+CC269+CI269+CJ269+CN269</f>
        <v>0</v>
      </c>
      <c r="CR269" s="36">
        <f t="shared" ref="CR269:CR270" si="668">$X269/$HD$290*CR$290</f>
        <v>0</v>
      </c>
      <c r="CS269" s="6">
        <f>SUMIF('Eredeti fejléccel'!$B:$B,'Felosztás eredménykim'!$B269,'Eredeti fejléccel'!$I:$I)</f>
        <v>0</v>
      </c>
      <c r="CT269" s="6">
        <f>SUMIF('Eredeti fejléccel'!$B:$B,'Felosztás eredménykim'!$B269,'Eredeti fejléccel'!$BG:$BG)</f>
        <v>0</v>
      </c>
      <c r="CU269" s="6">
        <f>SUMIF('Eredeti fejléccel'!$B:$B,'Felosztás eredménykim'!$B269,'Eredeti fejléccel'!$BH:$BH)</f>
        <v>0</v>
      </c>
      <c r="CV269" s="6">
        <f>SUMIF('Eredeti fejléccel'!$B:$B,'Felosztás eredménykim'!$B269,'Eredeti fejléccel'!$BI:$BI)</f>
        <v>0</v>
      </c>
      <c r="CW269" s="6">
        <f>SUMIF('Eredeti fejléccel'!$B:$B,'Felosztás eredménykim'!$B269,'Eredeti fejléccel'!$BL:$BL)</f>
        <v>0</v>
      </c>
      <c r="CX269" s="6">
        <f t="shared" ref="CX269:CX270" si="669">SUM(CS269:CW269)</f>
        <v>0</v>
      </c>
      <c r="CY269" s="6">
        <f>SUMIF('Eredeti fejléccel'!$B:$B,'Felosztás eredménykim'!$B269,'Eredeti fejléccel'!$BJ:$BJ)</f>
        <v>0</v>
      </c>
      <c r="CZ269" s="6">
        <f>SUMIF('Eredeti fejléccel'!$B:$B,'Felosztás eredménykim'!$B269,'Eredeti fejléccel'!$BK:$BK)</f>
        <v>0</v>
      </c>
      <c r="DA269" s="99">
        <f t="shared" si="637"/>
        <v>0</v>
      </c>
      <c r="DC269" s="36">
        <f t="shared" ref="DC269:DC270" si="670">$X269/$HD$290*DC$290</f>
        <v>0</v>
      </c>
      <c r="DD269" s="6">
        <f>SUMIF('Eredeti fejléccel'!$B:$B,'Felosztás eredménykim'!$B269,'Eredeti fejléccel'!$J:$J)</f>
        <v>0</v>
      </c>
      <c r="DE269" s="210">
        <f>SUMIF('Eredeti fejléccel'!$B:$B,'Felosztás eredménykim'!$B269,'Eredeti fejléccel'!$BM:$BM)+13636819+2468977-3163503</f>
        <v>-123015735</v>
      </c>
      <c r="DF269" s="6">
        <f t="shared" ref="DF269:DF270" si="671">-DI269</f>
        <v>0</v>
      </c>
      <c r="DG269" s="8">
        <f>-DE269-DD269</f>
        <v>123015735</v>
      </c>
      <c r="DH269" s="8">
        <f t="shared" ref="DH269:DH270" si="672">SUM(DD269:DG269)</f>
        <v>0</v>
      </c>
      <c r="DJ269" s="6">
        <f>SUMIF('Eredeti fejléccel'!$B:$B,'Felosztás eredménykim'!$B269,'Eredeti fejléccel'!$BN:$BN)</f>
        <v>0</v>
      </c>
      <c r="DK269" s="6">
        <f>SUMIF('Eredeti fejléccel'!$B:$B,'Felosztás eredménykim'!$B269,'Eredeti fejléccel'!$BZ:$BZ)</f>
        <v>0</v>
      </c>
      <c r="DL269" s="8">
        <f t="shared" ref="DL269:DL270" si="673">SUM(DI269:DK269)</f>
        <v>0</v>
      </c>
      <c r="DM269" s="6">
        <f>SUMIF('Eredeti fejléccel'!$B:$B,'Felosztás eredménykim'!$B269,'Eredeti fejléccel'!$BR:$BR)</f>
        <v>0</v>
      </c>
      <c r="DN269" s="6">
        <f>SUMIF('Eredeti fejléccel'!$B:$B,'Felosztás eredménykim'!$B269,'Eredeti fejléccel'!$BS:$BS)</f>
        <v>0</v>
      </c>
      <c r="DO269" s="6">
        <f>SUMIF('Eredeti fejléccel'!$B:$B,'Felosztás eredménykim'!$B269,'Eredeti fejléccel'!$BO:$BO)</f>
        <v>0</v>
      </c>
      <c r="DP269" s="6">
        <f>SUMIF('Eredeti fejléccel'!$B:$B,'Felosztás eredménykim'!$B269,'Eredeti fejléccel'!$BP:$BP)</f>
        <v>0</v>
      </c>
      <c r="DQ269" s="6">
        <f>SUMIF('Eredeti fejléccel'!$B:$B,'Felosztás eredménykim'!$B269,'Eredeti fejléccel'!$BQ:$BQ)</f>
        <v>0</v>
      </c>
      <c r="DS269" s="8"/>
      <c r="DU269" s="6">
        <f>SUMIF('Eredeti fejléccel'!$B:$B,'Felosztás eredménykim'!$B269,'Eredeti fejléccel'!$BT:$BT)</f>
        <v>0</v>
      </c>
      <c r="DV269" s="6">
        <f>SUMIF('Eredeti fejléccel'!$B:$B,'Felosztás eredménykim'!$B269,'Eredeti fejléccel'!$BU:$BU)</f>
        <v>0</v>
      </c>
      <c r="DW269" s="6">
        <f>SUMIF('Eredeti fejléccel'!$B:$B,'Felosztás eredménykim'!$B269,'Eredeti fejléccel'!$BV:$BV)</f>
        <v>0</v>
      </c>
      <c r="DX269" s="6">
        <f>SUMIF('Eredeti fejléccel'!$B:$B,'Felosztás eredménykim'!$B269,'Eredeti fejléccel'!$BW:$BW)</f>
        <v>0</v>
      </c>
      <c r="DY269" s="6">
        <f>SUMIF('Eredeti fejléccel'!$B:$B,'Felosztás eredménykim'!$B269,'Eredeti fejléccel'!$BX:$BX)</f>
        <v>0</v>
      </c>
      <c r="EA269" s="6"/>
      <c r="EC269" s="6"/>
      <c r="EE269" s="6">
        <f>SUMIF('Eredeti fejléccel'!$B:$B,'Felosztás eredménykim'!$B269,'Eredeti fejléccel'!$CA:$CA)</f>
        <v>0</v>
      </c>
      <c r="EF269" s="6">
        <f>SUMIF('Eredeti fejléccel'!$B:$B,'Felosztás eredménykim'!$B269,'Eredeti fejléccel'!$CB:$CB)</f>
        <v>0</v>
      </c>
      <c r="EG269" s="6">
        <f>SUMIF('Eredeti fejléccel'!$B:$B,'Felosztás eredménykim'!$B269,'Eredeti fejléccel'!$CC:$CC)</f>
        <v>0</v>
      </c>
      <c r="EH269" s="6">
        <f>SUMIF('Eredeti fejléccel'!$B:$B,'Felosztás eredménykim'!$B269,'Eredeti fejléccel'!$CD:$CD)</f>
        <v>0</v>
      </c>
      <c r="EK269" s="6">
        <f>SUMIF('Eredeti fejléccel'!$B:$B,'Felosztás eredménykim'!$B269,'Eredeti fejléccel'!$CE:$CE)</f>
        <v>0</v>
      </c>
      <c r="EN269" s="6">
        <f>SUMIF('Eredeti fejléccel'!$B:$B,'Felosztás eredménykim'!$B269,'Eredeti fejléccel'!$CF:$CF)</f>
        <v>0</v>
      </c>
      <c r="EP269" s="6">
        <f>SUMIF('Eredeti fejléccel'!$B:$B,'Felosztás eredménykim'!$B269,'Eredeti fejléccel'!$CG:$CG)</f>
        <v>0</v>
      </c>
      <c r="ES269" s="6">
        <f>SUMIF('Eredeti fejléccel'!$B:$B,'Felosztás eredménykim'!$B269,'Eredeti fejléccel'!$CH:$CH)</f>
        <v>0</v>
      </c>
      <c r="ET269" s="6">
        <f>SUMIF('Eredeti fejléccel'!$B:$B,'Felosztás eredménykim'!$B269,'Eredeti fejléccel'!$CI:$CI)</f>
        <v>0</v>
      </c>
      <c r="EW269" s="8">
        <f t="shared" ref="EW269:EW270" si="674">SUM(DR269:ED269)</f>
        <v>0</v>
      </c>
      <c r="EX269" s="8">
        <f t="shared" ref="EX269:EX270" si="675">SUM(EE269:EV269)</f>
        <v>0</v>
      </c>
      <c r="EY269" s="8">
        <f t="shared" si="638"/>
        <v>0</v>
      </c>
      <c r="EZ269" s="8">
        <f t="shared" ref="EZ269:EZ270" si="676">EY269+DL269+DM269+DN269+DO269+DP269+DQ269</f>
        <v>0</v>
      </c>
      <c r="FA269" s="8">
        <f t="shared" ref="FA269:FA270" si="677">EZ269-DL269-DM269</f>
        <v>0</v>
      </c>
      <c r="FC269" s="6">
        <f>SUMIF('Eredeti fejléccel'!$B:$B,'Felosztás eredménykim'!$B269,'Eredeti fejléccel'!$L:$L)</f>
        <v>0</v>
      </c>
      <c r="FD269" s="6">
        <f>SUMIF('Eredeti fejléccel'!$B:$B,'Felosztás eredménykim'!$B269,'Eredeti fejléccel'!$CJ:$CJ)</f>
        <v>0</v>
      </c>
      <c r="FE269" s="6">
        <f>SUMIF('Eredeti fejléccel'!$B:$B,'Felosztás eredménykim'!$B269,'Eredeti fejléccel'!$CL:$CL)</f>
        <v>0</v>
      </c>
      <c r="FG269" s="99">
        <f t="shared" ref="FG269:FG270" si="678">SUM(FC269:FF269)</f>
        <v>0</v>
      </c>
      <c r="FH269" s="6">
        <f>SUMIF('Eredeti fejléccel'!$B:$B,'Felosztás eredménykim'!$B269,'Eredeti fejléccel'!$CK:$CK)</f>
        <v>0</v>
      </c>
      <c r="FI269" s="36">
        <f t="shared" ref="FI269:FI270" si="679">$X269/$HD$290*(FJ$290+FJ$293)</f>
        <v>0</v>
      </c>
      <c r="FJ269" s="101">
        <f t="shared" ref="FJ269:FJ270" si="680">$FG269/$HD$292*FJ$292</f>
        <v>0</v>
      </c>
      <c r="FK269" s="6">
        <f>SUMIF('Eredeti fejléccel'!$B:$B,'Felosztás eredménykim'!$B269,'Eredeti fejléccel'!$CM:$CM)</f>
        <v>0</v>
      </c>
      <c r="FL269" s="6">
        <f>SUMIF('Eredeti fejléccel'!$B:$B,'Felosztás eredménykim'!$B269,'Eredeti fejléccel'!$CN:$CN)</f>
        <v>0</v>
      </c>
      <c r="FM269" s="8">
        <f t="shared" ref="FM269:FM270" si="681">SUM(FJ269:FL269)</f>
        <v>0</v>
      </c>
      <c r="FN269" s="36">
        <f t="shared" ref="FN269:FN270" si="682">$X269/$HD$290*(FO$290+FO$293)</f>
        <v>0</v>
      </c>
      <c r="FO269" s="101">
        <f t="shared" ref="FO269:FO270" si="683">$FG269/$HD$292*FO$292</f>
        <v>0</v>
      </c>
      <c r="FP269" s="6">
        <f>SUMIF('Eredeti fejléccel'!$B:$B,'Felosztás eredménykim'!$B269,'Eredeti fejléccel'!$CO:$CO)</f>
        <v>0</v>
      </c>
      <c r="FQ269" s="6">
        <f>'Eredeti fejléccel'!CP269</f>
        <v>0</v>
      </c>
      <c r="FR269" s="6">
        <f>'Eredeti fejléccel'!CQ269</f>
        <v>0</v>
      </c>
      <c r="FS269" s="103">
        <f t="shared" si="639"/>
        <v>0</v>
      </c>
      <c r="FT269" s="36">
        <f t="shared" ref="FT269:FT270" si="684">$X269/$HD$290*(FU$290+FU$293)</f>
        <v>0</v>
      </c>
      <c r="FU269" s="101">
        <f t="shared" ref="FU269:FU270" si="685">$FG269/$HD$292*FU$292</f>
        <v>0</v>
      </c>
      <c r="FV269" s="101"/>
      <c r="FW269" s="6">
        <f>SUMIF('Eredeti fejléccel'!$B:$B,'Felosztás eredménykim'!$B269,'Eredeti fejléccel'!$CR:$CR)</f>
        <v>0</v>
      </c>
      <c r="FX269" s="6">
        <f>SUMIF('Eredeti fejléccel'!$B:$B,'Felosztás eredménykim'!$B269,'Eredeti fejléccel'!$CS:$CS)</f>
        <v>0</v>
      </c>
      <c r="FY269" s="6">
        <f>SUMIF('Eredeti fejléccel'!$B:$B,'Felosztás eredménykim'!$B269,'Eredeti fejléccel'!$CT:$CT)</f>
        <v>0</v>
      </c>
      <c r="FZ269" s="6">
        <f>SUMIF('Eredeti fejléccel'!$B:$B,'Felosztás eredménykim'!$B269,'Eredeti fejléccel'!$CU:$CU)</f>
        <v>0</v>
      </c>
      <c r="GA269" s="103">
        <f t="shared" ref="GA269:GA270" si="686">SUM(FU269:FZ269)</f>
        <v>0</v>
      </c>
      <c r="GB269" s="36">
        <f t="shared" ref="GB269:GB270" si="687">$X269/$HD$290*(GC$290+GC$293)</f>
        <v>0</v>
      </c>
      <c r="GC269" s="101">
        <f t="shared" ref="GC269:GC270" si="688">$FG269/$HD$292*GC$292</f>
        <v>0</v>
      </c>
      <c r="GD269" s="6">
        <f>SUMIF('Eredeti fejléccel'!$B:$B,'Felosztás eredménykim'!$B269,'Eredeti fejléccel'!$CV:$CV)</f>
        <v>0</v>
      </c>
      <c r="GE269" s="6">
        <f>SUMIF('Eredeti fejléccel'!$B:$B,'Felosztás eredménykim'!$B269,'Eredeti fejléccel'!$CW:$CW)</f>
        <v>0</v>
      </c>
      <c r="GF269" s="103">
        <f t="shared" ref="GF269:GF270" si="689">SUM(GC269:GE269)</f>
        <v>0</v>
      </c>
      <c r="GG269" s="36">
        <f t="shared" ref="GG269:GG270" si="690">$X269/$HD$290*GG$290</f>
        <v>0</v>
      </c>
      <c r="GM269" s="6">
        <f>SUMIF('Eredeti fejléccel'!$B:$B,'Felosztás eredménykim'!$B269,'Eredeti fejléccel'!$CX:$CX)</f>
        <v>0</v>
      </c>
      <c r="GN269" s="6">
        <f>SUMIF('Eredeti fejléccel'!$B:$B,'Felosztás eredménykim'!$B269,'Eredeti fejléccel'!$CY:$CY)</f>
        <v>0</v>
      </c>
      <c r="GO269" s="6">
        <f>SUMIF('Eredeti fejléccel'!$B:$B,'Felosztás eredménykim'!$B269,'Eredeti fejléccel'!$CZ:$CZ)</f>
        <v>0</v>
      </c>
      <c r="GP269" s="6">
        <f>SUMIF('Eredeti fejléccel'!$B:$B,'Felosztás eredménykim'!$B269,'Eredeti fejléccel'!$DA:$DA)</f>
        <v>0</v>
      </c>
      <c r="GQ269" s="6">
        <f>SUMIF('Eredeti fejléccel'!$B:$B,'Felosztás eredménykim'!$B269,'Eredeti fejléccel'!$DB:$DB)</f>
        <v>0</v>
      </c>
      <c r="GR269" s="103">
        <f t="shared" ref="GR269:GR270" si="691">SUM(GH269:GQ269)</f>
        <v>0</v>
      </c>
      <c r="GW269" s="36">
        <f t="shared" ref="GW269:GW270" si="692">$X269/$HD$290*GW$290</f>
        <v>0</v>
      </c>
      <c r="GX269" s="6">
        <f>SUMIF('Eredeti fejléccel'!$B:$B,'Felosztás eredménykim'!$B269,'Eredeti fejléccel'!$M:$M)</f>
        <v>0</v>
      </c>
      <c r="GY269" s="6">
        <f>SUMIF('Eredeti fejléccel'!$B:$B,'Felosztás eredménykim'!$B269,'Eredeti fejléccel'!$DC:$DC)</f>
        <v>0</v>
      </c>
      <c r="GZ269" s="6">
        <f>SUMIF('Eredeti fejléccel'!$B:$B,'Felosztás eredménykim'!$B269,'Eredeti fejléccel'!$DD:$DD)</f>
        <v>0</v>
      </c>
      <c r="HA269" s="6">
        <f>SUMIF('Eredeti fejléccel'!$B:$B,'Felosztás eredménykim'!$B269,'Eredeti fejléccel'!$DE:$DE)</f>
        <v>0</v>
      </c>
      <c r="HB269" s="103">
        <f t="shared" ref="HB269:HB270" si="693">SUM(GX269:HA269)</f>
        <v>0</v>
      </c>
      <c r="HD269" s="9">
        <f t="shared" ref="HD269:HD280" si="694">SUM(D269:HA269)-W269-X269-AD269-AE269-AF269-AG269-AK269-AL269-AM269-AS269-AT269-AU269-BE269-BF269-BG269-BL269-BM269-BN269-CB269-CC269-CD269-CI269-CJ269-CK269-CN269-CO269-CP269-CR269-CX269-DA269-DC269-DG269-DH269-DL269-EW269-EX269-EY269-EZ269-FA269-FF269-FG269-FI269-FJ269-FM269-FN269-FO269-FS269-FT269-FU269-GA269-GB269-GC269-GF269-GG269-GR269-GS269-GT269-GU269-GW269</f>
        <v>-123015735</v>
      </c>
      <c r="HE269" s="9">
        <v>-135958028</v>
      </c>
      <c r="HF269" s="476"/>
      <c r="HH269" s="554">
        <f t="shared" si="534"/>
        <v>12942293</v>
      </c>
    </row>
    <row r="270" spans="1:218" x14ac:dyDescent="0.25">
      <c r="A270" s="4" t="s">
        <v>1685</v>
      </c>
      <c r="B270" s="4" t="s">
        <v>1685</v>
      </c>
      <c r="C270" s="1" t="s">
        <v>742</v>
      </c>
      <c r="D270" s="6">
        <f>SUMIF('Eredeti fejléccel'!$B:$B,'Felosztás eredménykim'!$B270,'Eredeti fejléccel'!$D:$D)</f>
        <v>0</v>
      </c>
      <c r="E270" s="6">
        <f>SUMIF('Eredeti fejléccel'!$B:$B,'Felosztás eredménykim'!$B270,'Eredeti fejléccel'!$E:$E)</f>
        <v>0</v>
      </c>
      <c r="F270" s="6">
        <f>SUMIF('Eredeti fejléccel'!$B:$B,'Felosztás eredménykim'!$B270,'Eredeti fejléccel'!$F:$F)</f>
        <v>0</v>
      </c>
      <c r="G270" s="6">
        <f>SUMIF('Eredeti fejléccel'!$B:$B,'Felosztás eredménykim'!$B270,'Eredeti fejléccel'!$G:$G)</f>
        <v>0</v>
      </c>
      <c r="H270" s="6"/>
      <c r="I270" s="6">
        <f>SUMIF('Eredeti fejléccel'!$B:$B,'Felosztás eredménykim'!$B270,'Eredeti fejléccel'!$O:$O)</f>
        <v>0</v>
      </c>
      <c r="J270" s="6">
        <f>SUMIF('Eredeti fejléccel'!$B:$B,'Felosztás eredménykim'!$B270,'Eredeti fejléccel'!$P:$P)</f>
        <v>0</v>
      </c>
      <c r="K270" s="6">
        <f>SUMIF('Eredeti fejléccel'!$B:$B,'Felosztás eredménykim'!$B270,'Eredeti fejléccel'!$Q:$Q)</f>
        <v>0</v>
      </c>
      <c r="L270" s="6">
        <f>SUMIF('Eredeti fejléccel'!$B:$B,'Felosztás eredménykim'!$B270,'Eredeti fejléccel'!$R:$R)</f>
        <v>0</v>
      </c>
      <c r="M270" s="6">
        <f>SUMIF('Eredeti fejléccel'!$B:$B,'Felosztás eredménykim'!$B270,'Eredeti fejléccel'!$T:$T)</f>
        <v>0</v>
      </c>
      <c r="N270" s="6">
        <f>SUMIF('Eredeti fejléccel'!$B:$B,'Felosztás eredménykim'!$B270,'Eredeti fejléccel'!$U:$U)</f>
        <v>0</v>
      </c>
      <c r="O270" s="6">
        <f>SUMIF('Eredeti fejléccel'!$B:$B,'Felosztás eredménykim'!$B270,'Eredeti fejléccel'!$V:$V)</f>
        <v>0</v>
      </c>
      <c r="P270" s="6">
        <f>SUMIF('Eredeti fejléccel'!$B:$B,'Felosztás eredménykim'!$B270,'Eredeti fejléccel'!$W:$W)</f>
        <v>0</v>
      </c>
      <c r="Q270" s="6">
        <f>SUMIF('Eredeti fejléccel'!$B:$B,'Felosztás eredménykim'!$B270,'Eredeti fejléccel'!$X:$X)</f>
        <v>0</v>
      </c>
      <c r="R270" s="6">
        <f>SUMIF('Eredeti fejléccel'!$B:$B,'Felosztás eredménykim'!$B270,'Eredeti fejléccel'!$Y:$Y)</f>
        <v>0</v>
      </c>
      <c r="S270" s="6">
        <f>SUMIF('Eredeti fejléccel'!$B:$B,'Felosztás eredménykim'!$B270,'Eredeti fejléccel'!$Z:$Z)</f>
        <v>0</v>
      </c>
      <c r="T270" s="6">
        <f>SUMIF('Eredeti fejléccel'!$B:$B,'Felosztás eredménykim'!$B270,'Eredeti fejléccel'!$AA:$AA)</f>
        <v>0</v>
      </c>
      <c r="U270" s="6">
        <f>SUMIF('Eredeti fejléccel'!$B:$B,'Felosztás eredménykim'!$B270,'Eredeti fejléccel'!$D:$D)</f>
        <v>0</v>
      </c>
      <c r="V270" s="6">
        <f>SUMIF('Eredeti fejléccel'!$B:$B,'Felosztás eredménykim'!$B270,'Eredeti fejléccel'!$AT:$AT)</f>
        <v>0</v>
      </c>
      <c r="W270" s="217"/>
      <c r="X270" s="36">
        <f t="shared" si="635"/>
        <v>0</v>
      </c>
      <c r="Z270" s="6">
        <f>SUMIF('Eredeti fejléccel'!$B:$B,'Felosztás eredménykim'!$B270,'Eredeti fejléccel'!$K:$K)</f>
        <v>0</v>
      </c>
      <c r="AB270" s="6">
        <f>SUMIF('Eredeti fejléccel'!$B:$B,'Felosztás eredménykim'!$B270,'Eredeti fejléccel'!$AB:$AB)</f>
        <v>0</v>
      </c>
      <c r="AC270" s="6">
        <f>SUMIF('Eredeti fejléccel'!$B:$B,'Felosztás eredménykim'!$B270,'Eredeti fejléccel'!$AQ:$AQ)</f>
        <v>0</v>
      </c>
      <c r="AE270" s="73">
        <f t="shared" si="640"/>
        <v>0</v>
      </c>
      <c r="AF270" s="36">
        <f t="shared" si="641"/>
        <v>0</v>
      </c>
      <c r="AG270" s="8">
        <f t="shared" si="642"/>
        <v>0</v>
      </c>
      <c r="AI270" s="6">
        <f>SUMIF('Eredeti fejléccel'!$B:$B,'Felosztás eredménykim'!$B270,'Eredeti fejléccel'!$BB:$BB)</f>
        <v>0</v>
      </c>
      <c r="AJ270" s="6">
        <f>SUMIF('Eredeti fejléccel'!$B:$B,'Felosztás eredménykim'!$B270,'Eredeti fejléccel'!$AF:$AF)</f>
        <v>0</v>
      </c>
      <c r="AK270" s="8">
        <f t="shared" si="643"/>
        <v>0</v>
      </c>
      <c r="AL270" s="36">
        <f t="shared" si="644"/>
        <v>0</v>
      </c>
      <c r="AM270" s="8">
        <f t="shared" si="645"/>
        <v>0</v>
      </c>
      <c r="AN270" s="6">
        <f t="shared" si="646"/>
        <v>0</v>
      </c>
      <c r="AO270" s="6">
        <f>SUMIF('Eredeti fejléccel'!$B:$B,'Felosztás eredménykim'!$B270,'Eredeti fejléccel'!$AC:$AC)</f>
        <v>0</v>
      </c>
      <c r="AP270" s="6">
        <f>SUMIF('Eredeti fejléccel'!$B:$B,'Felosztás eredménykim'!$B270,'Eredeti fejléccel'!$AD:$AD)</f>
        <v>0</v>
      </c>
      <c r="AQ270" s="6">
        <f>SUMIF('Eredeti fejléccel'!$B:$B,'Felosztás eredménykim'!$B270,'Eredeti fejléccel'!$AE:$AE)</f>
        <v>0</v>
      </c>
      <c r="AR270" s="6">
        <f>SUMIF('Eredeti fejléccel'!$B:$B,'Felosztás eredménykim'!$B270,'Eredeti fejléccel'!$AG:$AG)</f>
        <v>0</v>
      </c>
      <c r="AS270" s="6">
        <f t="shared" si="647"/>
        <v>0</v>
      </c>
      <c r="AT270" s="36">
        <f t="shared" si="648"/>
        <v>0</v>
      </c>
      <c r="AU270" s="8">
        <f t="shared" si="649"/>
        <v>0</v>
      </c>
      <c r="AV270" s="6">
        <f>SUMIF('Eredeti fejléccel'!$B:$B,'Felosztás eredménykim'!$B270,'Eredeti fejléccel'!$AI:$AI)</f>
        <v>0</v>
      </c>
      <c r="AW270" s="6">
        <f>SUMIF('Eredeti fejléccel'!$B:$B,'Felosztás eredménykim'!$B270,'Eredeti fejléccel'!$AJ:$AJ)</f>
        <v>0</v>
      </c>
      <c r="AX270" s="6">
        <f>SUMIF('Eredeti fejléccel'!$B:$B,'Felosztás eredménykim'!$B270,'Eredeti fejléccel'!$AK:$AK)</f>
        <v>0</v>
      </c>
      <c r="AY270" s="6">
        <f>SUMIF('Eredeti fejléccel'!$B:$B,'Felosztás eredménykim'!$B270,'Eredeti fejléccel'!$AL:$AL)</f>
        <v>0</v>
      </c>
      <c r="AZ270" s="6">
        <f>SUMIF('Eredeti fejléccel'!$B:$B,'Felosztás eredménykim'!$B270,'Eredeti fejléccel'!$AM:$AM)</f>
        <v>0</v>
      </c>
      <c r="BA270" s="6">
        <f>SUMIF('Eredeti fejléccel'!$B:$B,'Felosztás eredménykim'!$B270,'Eredeti fejléccel'!$AN:$AN)</f>
        <v>0</v>
      </c>
      <c r="BB270" s="6">
        <f>SUMIF('Eredeti fejléccel'!$B:$B,'Felosztás eredménykim'!$B270,'Eredeti fejléccel'!$AP:$AP)</f>
        <v>0</v>
      </c>
      <c r="BD270" s="6">
        <f>SUMIF('Eredeti fejléccel'!$B:$B,'Felosztás eredménykim'!$B270,'Eredeti fejléccel'!$AS:$AS)</f>
        <v>0</v>
      </c>
      <c r="BE270" s="8">
        <f t="shared" si="650"/>
        <v>0</v>
      </c>
      <c r="BF270" s="36">
        <f t="shared" si="651"/>
        <v>0</v>
      </c>
      <c r="BG270" s="8">
        <f t="shared" si="652"/>
        <v>0</v>
      </c>
      <c r="BH270" s="6">
        <f t="shared" si="653"/>
        <v>0</v>
      </c>
      <c r="BI270" s="6">
        <f>SUMIF('Eredeti fejléccel'!$B:$B,'Felosztás eredménykim'!$B270,'Eredeti fejléccel'!$AH:$AH)</f>
        <v>0</v>
      </c>
      <c r="BJ270" s="6">
        <f>SUMIF('Eredeti fejléccel'!$B:$B,'Felosztás eredménykim'!$B270,'Eredeti fejléccel'!$AO:$AO)</f>
        <v>0</v>
      </c>
      <c r="BK270" s="6">
        <f>SUMIF('Eredeti fejléccel'!$B:$B,'Felosztás eredménykim'!$B270,'Eredeti fejléccel'!$BF:$BF)</f>
        <v>0</v>
      </c>
      <c r="BL270" s="8">
        <f t="shared" si="654"/>
        <v>0</v>
      </c>
      <c r="BM270" s="36">
        <f t="shared" si="655"/>
        <v>0</v>
      </c>
      <c r="BN270" s="8">
        <f t="shared" si="656"/>
        <v>0</v>
      </c>
      <c r="BP270" s="8">
        <f t="shared" si="657"/>
        <v>0</v>
      </c>
      <c r="BQ270" s="6">
        <f>SUMIF('Eredeti fejléccel'!$B:$B,'Felosztás eredménykim'!$B270,'Eredeti fejléccel'!$N:$N)</f>
        <v>0</v>
      </c>
      <c r="BR270" s="6">
        <f>SUMIF('Eredeti fejléccel'!$B:$B,'Felosztás eredménykim'!$B270,'Eredeti fejléccel'!$S:$S)</f>
        <v>0</v>
      </c>
      <c r="BT270" s="6">
        <f>SUMIF('Eredeti fejléccel'!$B:$B,'Felosztás eredménykim'!$B270,'Eredeti fejléccel'!$AR:$AR)</f>
        <v>0</v>
      </c>
      <c r="BU270" s="6">
        <f>SUMIF('Eredeti fejléccel'!$B:$B,'Felosztás eredménykim'!$B270,'Eredeti fejléccel'!$AU:$AU)</f>
        <v>0</v>
      </c>
      <c r="BV270" s="6">
        <f>SUMIF('Eredeti fejléccel'!$B:$B,'Felosztás eredménykim'!$B270,'Eredeti fejléccel'!$AV:$AV)</f>
        <v>0</v>
      </c>
      <c r="BW270" s="6">
        <f>SUMIF('Eredeti fejléccel'!$B:$B,'Felosztás eredménykim'!$B270,'Eredeti fejléccel'!$AW:$AW)</f>
        <v>0</v>
      </c>
      <c r="BX270" s="6">
        <f>SUMIF('Eredeti fejléccel'!$B:$B,'Felosztás eredménykim'!$B270,'Eredeti fejléccel'!$AX:$AX)</f>
        <v>0</v>
      </c>
      <c r="BY270" s="6">
        <f>SUMIF('Eredeti fejléccel'!$B:$B,'Felosztás eredménykim'!$B270,'Eredeti fejléccel'!$AY:$AY)</f>
        <v>0</v>
      </c>
      <c r="BZ270" s="6">
        <f>SUMIF('Eredeti fejléccel'!$B:$B,'Felosztás eredménykim'!$B270,'Eredeti fejléccel'!$AZ:$AZ)</f>
        <v>0</v>
      </c>
      <c r="CA270" s="6">
        <f>SUMIF('Eredeti fejléccel'!$B:$B,'Felosztás eredménykim'!$B270,'Eredeti fejléccel'!$BA:$BA)</f>
        <v>0</v>
      </c>
      <c r="CB270" s="6">
        <f t="shared" si="658"/>
        <v>0</v>
      </c>
      <c r="CC270" s="36">
        <f t="shared" si="659"/>
        <v>0</v>
      </c>
      <c r="CD270" s="8">
        <f t="shared" si="660"/>
        <v>0</v>
      </c>
      <c r="CE270" s="6">
        <f>SUMIF('Eredeti fejléccel'!$B:$B,'Felosztás eredménykim'!$B270,'Eredeti fejléccel'!$BC:$BC)</f>
        <v>0</v>
      </c>
      <c r="CF270" s="8">
        <f t="shared" si="661"/>
        <v>0</v>
      </c>
      <c r="CG270" s="6">
        <f>SUMIF('Eredeti fejléccel'!$B:$B,'Felosztás eredménykim'!$B270,'Eredeti fejléccel'!$H:$H)</f>
        <v>0</v>
      </c>
      <c r="CH270" s="6">
        <f>SUMIF('Eredeti fejléccel'!$B:$B,'Felosztás eredménykim'!$B270,'Eredeti fejléccel'!$BE:$BE)</f>
        <v>0</v>
      </c>
      <c r="CI270" s="6">
        <f t="shared" si="662"/>
        <v>0</v>
      </c>
      <c r="CJ270" s="36">
        <f t="shared" si="663"/>
        <v>0</v>
      </c>
      <c r="CK270" s="8">
        <f t="shared" si="664"/>
        <v>0</v>
      </c>
      <c r="CL270" s="8">
        <f t="shared" si="665"/>
        <v>0</v>
      </c>
      <c r="CM270" s="6">
        <f>SUMIF('Eredeti fejléccel'!$B:$B,'Felosztás eredménykim'!$B270,'Eredeti fejléccel'!$BD:$BD)</f>
        <v>0</v>
      </c>
      <c r="CN270" s="8">
        <f t="shared" si="666"/>
        <v>0</v>
      </c>
      <c r="CO270" s="8">
        <f t="shared" si="667"/>
        <v>0</v>
      </c>
      <c r="CR270" s="36">
        <f t="shared" si="668"/>
        <v>0</v>
      </c>
      <c r="CS270" s="6">
        <f>SUMIF('Eredeti fejléccel'!$B:$B,'Felosztás eredménykim'!$B270,'Eredeti fejléccel'!$I:$I)</f>
        <v>0</v>
      </c>
      <c r="CT270" s="6">
        <f>SUMIF('Eredeti fejléccel'!$B:$B,'Felosztás eredménykim'!$B270,'Eredeti fejléccel'!$BG:$BG)</f>
        <v>0</v>
      </c>
      <c r="CU270" s="6">
        <f>SUMIF('Eredeti fejléccel'!$B:$B,'Felosztás eredménykim'!$B270,'Eredeti fejléccel'!$BH:$BH)</f>
        <v>0</v>
      </c>
      <c r="CV270" s="6">
        <f>SUMIF('Eredeti fejléccel'!$B:$B,'Felosztás eredménykim'!$B270,'Eredeti fejléccel'!$BI:$BI)</f>
        <v>0</v>
      </c>
      <c r="CW270" s="6">
        <f>SUMIF('Eredeti fejléccel'!$B:$B,'Felosztás eredménykim'!$B270,'Eredeti fejléccel'!$BL:$BL)</f>
        <v>0</v>
      </c>
      <c r="CX270" s="6">
        <f t="shared" si="669"/>
        <v>0</v>
      </c>
      <c r="CY270" s="6">
        <f>SUMIF('Eredeti fejléccel'!$B:$B,'Felosztás eredménykim'!$B270,'Eredeti fejléccel'!$BJ:$BJ)</f>
        <v>0</v>
      </c>
      <c r="CZ270" s="6">
        <f>SUMIF('Eredeti fejléccel'!$B:$B,'Felosztás eredménykim'!$B270,'Eredeti fejléccel'!$BK:$BK)</f>
        <v>0</v>
      </c>
      <c r="DA270" s="99">
        <f t="shared" si="637"/>
        <v>0</v>
      </c>
      <c r="DC270" s="36">
        <f t="shared" si="670"/>
        <v>0</v>
      </c>
      <c r="DD270" s="6">
        <f>SUMIF('Eredeti fejléccel'!$B:$B,'Felosztás eredménykim'!$B270,'Eredeti fejléccel'!$J:$J)</f>
        <v>0</v>
      </c>
      <c r="DE270" s="6">
        <f>SUMIF('Eredeti fejléccel'!$B:$B,'Felosztás eredménykim'!$B270,'Eredeti fejléccel'!$BM:$BM)</f>
        <v>0</v>
      </c>
      <c r="DF270" s="6">
        <f t="shared" si="671"/>
        <v>0</v>
      </c>
      <c r="DG270" s="8">
        <f t="shared" ref="DG270" si="695">-BO270</f>
        <v>0</v>
      </c>
      <c r="DH270" s="8">
        <f t="shared" si="672"/>
        <v>0</v>
      </c>
      <c r="DJ270" s="6">
        <f>SUMIF('Eredeti fejléccel'!$B:$B,'Felosztás eredménykim'!$B270,'Eredeti fejléccel'!$BN:$BN)</f>
        <v>0</v>
      </c>
      <c r="DK270" s="6">
        <f>SUMIF('Eredeti fejléccel'!$B:$B,'Felosztás eredménykim'!$B270,'Eredeti fejléccel'!$BZ:$BZ)</f>
        <v>0</v>
      </c>
      <c r="DL270" s="8">
        <f t="shared" si="673"/>
        <v>0</v>
      </c>
      <c r="DM270" s="6">
        <f>SUMIF('Eredeti fejléccel'!$B:$B,'Felosztás eredménykim'!$B270,'Eredeti fejléccel'!$BR:$BR)</f>
        <v>0</v>
      </c>
      <c r="DN270" s="6">
        <f>SUMIF('Eredeti fejléccel'!$B:$B,'Felosztás eredménykim'!$B270,'Eredeti fejléccel'!$BS:$BS)</f>
        <v>0</v>
      </c>
      <c r="DO270" s="6">
        <f>SUMIF('Eredeti fejléccel'!$B:$B,'Felosztás eredménykim'!$B270,'Eredeti fejléccel'!$BO:$BO)</f>
        <v>0</v>
      </c>
      <c r="DP270" s="6">
        <f>SUMIF('Eredeti fejléccel'!$B:$B,'Felosztás eredménykim'!$B270,'Eredeti fejléccel'!$BP:$BP)</f>
        <v>0</v>
      </c>
      <c r="DQ270" s="6">
        <f>SUMIF('Eredeti fejléccel'!$B:$B,'Felosztás eredménykim'!$B270,'Eredeti fejléccel'!$BQ:$BQ)</f>
        <v>0</v>
      </c>
      <c r="DS270" s="8"/>
      <c r="DU270" s="6">
        <f>SUMIF('Eredeti fejléccel'!$B:$B,'Felosztás eredménykim'!$B270,'Eredeti fejléccel'!$BT:$BT)</f>
        <v>0</v>
      </c>
      <c r="DV270" s="6">
        <f>SUMIF('Eredeti fejléccel'!$B:$B,'Felosztás eredménykim'!$B270,'Eredeti fejléccel'!$BU:$BU)</f>
        <v>0</v>
      </c>
      <c r="DW270" s="6">
        <f>SUMIF('Eredeti fejléccel'!$B:$B,'Felosztás eredménykim'!$B270,'Eredeti fejléccel'!$BV:$BV)</f>
        <v>0</v>
      </c>
      <c r="DX270" s="6">
        <f>SUMIF('Eredeti fejléccel'!$B:$B,'Felosztás eredménykim'!$B270,'Eredeti fejléccel'!$BW:$BW)</f>
        <v>0</v>
      </c>
      <c r="DY270" s="6">
        <f>SUMIF('Eredeti fejléccel'!$B:$B,'Felosztás eredménykim'!$B270,'Eredeti fejléccel'!$BX:$BX)</f>
        <v>0</v>
      </c>
      <c r="EA270" s="6"/>
      <c r="EC270" s="6"/>
      <c r="EE270" s="6">
        <f>SUMIF('Eredeti fejléccel'!$B:$B,'Felosztás eredménykim'!$B270,'Eredeti fejléccel'!$CA:$CA)</f>
        <v>0</v>
      </c>
      <c r="EF270" s="6">
        <f>SUMIF('Eredeti fejléccel'!$B:$B,'Felosztás eredménykim'!$B270,'Eredeti fejléccel'!$CB:$CB)</f>
        <v>0</v>
      </c>
      <c r="EG270" s="6">
        <f>SUMIF('Eredeti fejléccel'!$B:$B,'Felosztás eredménykim'!$B270,'Eredeti fejléccel'!$CC:$CC)</f>
        <v>0</v>
      </c>
      <c r="EH270" s="6">
        <f>SUMIF('Eredeti fejléccel'!$B:$B,'Felosztás eredménykim'!$B270,'Eredeti fejléccel'!$CD:$CD)</f>
        <v>0</v>
      </c>
      <c r="EK270" s="6">
        <f>SUMIF('Eredeti fejléccel'!$B:$B,'Felosztás eredménykim'!$B270,'Eredeti fejléccel'!$CE:$CE)</f>
        <v>0</v>
      </c>
      <c r="EN270" s="6">
        <f>SUMIF('Eredeti fejléccel'!$B:$B,'Felosztás eredménykim'!$B270,'Eredeti fejléccel'!$CF:$CF)</f>
        <v>0</v>
      </c>
      <c r="EP270" s="6">
        <f>SUMIF('Eredeti fejléccel'!$B:$B,'Felosztás eredménykim'!$B270,'Eredeti fejléccel'!$CG:$CG)</f>
        <v>0</v>
      </c>
      <c r="ES270" s="6">
        <f>SUMIF('Eredeti fejléccel'!$B:$B,'Felosztás eredménykim'!$B270,'Eredeti fejléccel'!$CH:$CH)</f>
        <v>0</v>
      </c>
      <c r="ET270" s="6">
        <f>SUMIF('Eredeti fejléccel'!$B:$B,'Felosztás eredménykim'!$B270,'Eredeti fejléccel'!$CI:$CI)</f>
        <v>0</v>
      </c>
      <c r="EW270" s="8">
        <f t="shared" si="674"/>
        <v>0</v>
      </c>
      <c r="EX270" s="8">
        <f t="shared" si="675"/>
        <v>0</v>
      </c>
      <c r="EY270" s="8">
        <f t="shared" si="638"/>
        <v>0</v>
      </c>
      <c r="EZ270" s="8">
        <f t="shared" si="676"/>
        <v>0</v>
      </c>
      <c r="FA270" s="8">
        <f t="shared" si="677"/>
        <v>0</v>
      </c>
      <c r="FC270" s="6">
        <f>SUMIF('Eredeti fejléccel'!$B:$B,'Felosztás eredménykim'!$B270,'Eredeti fejléccel'!$L:$L)</f>
        <v>0</v>
      </c>
      <c r="FD270" s="6">
        <f>SUMIF('Eredeti fejléccel'!$B:$B,'Felosztás eredménykim'!$B270,'Eredeti fejléccel'!$CJ:$CJ)-17647686+13189784-2992786+1855168</f>
        <v>-1584767037</v>
      </c>
      <c r="FE270" s="6">
        <f>SUMIF('Eredeti fejléccel'!$B:$B,'Felosztás eredménykim'!$B270,'Eredeti fejléccel'!$CL:$CL)</f>
        <v>0</v>
      </c>
      <c r="FF270" s="73">
        <f>-FD270-FC270</f>
        <v>1584767037</v>
      </c>
      <c r="FG270" s="99">
        <f t="shared" si="678"/>
        <v>0</v>
      </c>
      <c r="FH270" s="6">
        <f>SUMIF('Eredeti fejléccel'!$B:$B,'Felosztás eredménykim'!$B270,'Eredeti fejléccel'!$CK:$CK)</f>
        <v>0</v>
      </c>
      <c r="FI270" s="36">
        <f t="shared" si="679"/>
        <v>0</v>
      </c>
      <c r="FJ270" s="101">
        <f t="shared" si="680"/>
        <v>0</v>
      </c>
      <c r="FK270" s="6">
        <f>SUMIF('Eredeti fejléccel'!$B:$B,'Felosztás eredménykim'!$B270,'Eredeti fejléccel'!$CM:$CM)</f>
        <v>0</v>
      </c>
      <c r="FL270" s="6">
        <f>SUMIF('Eredeti fejléccel'!$B:$B,'Felosztás eredménykim'!$B270,'Eredeti fejléccel'!$CN:$CN)</f>
        <v>0</v>
      </c>
      <c r="FM270" s="8">
        <f t="shared" si="681"/>
        <v>0</v>
      </c>
      <c r="FN270" s="36">
        <f t="shared" si="682"/>
        <v>0</v>
      </c>
      <c r="FO270" s="101">
        <f t="shared" si="683"/>
        <v>0</v>
      </c>
      <c r="FP270" s="6">
        <f>SUMIF('Eredeti fejléccel'!$B:$B,'Felosztás eredménykim'!$B270,'Eredeti fejléccel'!$CO:$CO)</f>
        <v>0</v>
      </c>
      <c r="FQ270" s="6">
        <f>'Eredeti fejléccel'!CP270</f>
        <v>0</v>
      </c>
      <c r="FR270" s="6">
        <f>'Eredeti fejléccel'!CQ270</f>
        <v>0</v>
      </c>
      <c r="FS270" s="103">
        <f t="shared" si="639"/>
        <v>0</v>
      </c>
      <c r="FT270" s="36">
        <f t="shared" si="684"/>
        <v>0</v>
      </c>
      <c r="FU270" s="101">
        <f t="shared" si="685"/>
        <v>0</v>
      </c>
      <c r="FV270" s="101"/>
      <c r="FW270" s="6">
        <f>SUMIF('Eredeti fejléccel'!$B:$B,'Felosztás eredménykim'!$B270,'Eredeti fejléccel'!$CR:$CR)</f>
        <v>0</v>
      </c>
      <c r="FX270" s="6">
        <f>SUMIF('Eredeti fejléccel'!$B:$B,'Felosztás eredménykim'!$B270,'Eredeti fejléccel'!$CS:$CS)</f>
        <v>0</v>
      </c>
      <c r="FY270" s="6">
        <f>SUMIF('Eredeti fejléccel'!$B:$B,'Felosztás eredménykim'!$B270,'Eredeti fejléccel'!$CT:$CT)</f>
        <v>0</v>
      </c>
      <c r="FZ270" s="6">
        <f>SUMIF('Eredeti fejléccel'!$B:$B,'Felosztás eredménykim'!$B270,'Eredeti fejléccel'!$CU:$CU)</f>
        <v>0</v>
      </c>
      <c r="GA270" s="103">
        <f t="shared" si="686"/>
        <v>0</v>
      </c>
      <c r="GB270" s="36">
        <f t="shared" si="687"/>
        <v>0</v>
      </c>
      <c r="GC270" s="101">
        <f t="shared" si="688"/>
        <v>0</v>
      </c>
      <c r="GD270" s="210">
        <f>SUMIF('Eredeti fejléccel'!$B:$B,'Felosztás eredménykim'!$B270,'Eredeti fejléccel'!$CV:$CV)</f>
        <v>-17322374.550000001</v>
      </c>
      <c r="GE270" s="6">
        <f>SUMIF('Eredeti fejléccel'!$B:$B,'Felosztás eredménykim'!$B270,'Eredeti fejléccel'!$CW:$CW)</f>
        <v>0</v>
      </c>
      <c r="GF270" s="217">
        <f t="shared" si="689"/>
        <v>-17322374.550000001</v>
      </c>
      <c r="GG270" s="36">
        <f t="shared" si="690"/>
        <v>0</v>
      </c>
      <c r="GM270" s="6">
        <f>SUMIF('Eredeti fejléccel'!$B:$B,'Felosztás eredménykim'!$B270,'Eredeti fejléccel'!$CX:$CX)</f>
        <v>0</v>
      </c>
      <c r="GN270" s="6">
        <f>SUMIF('Eredeti fejléccel'!$B:$B,'Felosztás eredménykim'!$B270,'Eredeti fejléccel'!$CY:$CY)</f>
        <v>0</v>
      </c>
      <c r="GO270" s="6">
        <f>SUMIF('Eredeti fejléccel'!$B:$B,'Felosztás eredménykim'!$B270,'Eredeti fejléccel'!$CZ:$CZ)</f>
        <v>0</v>
      </c>
      <c r="GP270" s="6">
        <f>SUMIF('Eredeti fejléccel'!$B:$B,'Felosztás eredménykim'!$B270,'Eredeti fejléccel'!$DA:$DA)</f>
        <v>0</v>
      </c>
      <c r="GQ270" s="6">
        <f>SUMIF('Eredeti fejléccel'!$B:$B,'Felosztás eredménykim'!$B270,'Eredeti fejléccel'!$DB:$DB)</f>
        <v>0</v>
      </c>
      <c r="GR270" s="103">
        <f t="shared" si="691"/>
        <v>0</v>
      </c>
      <c r="GW270" s="36">
        <f t="shared" si="692"/>
        <v>0</v>
      </c>
      <c r="GX270" s="6">
        <f>SUMIF('Eredeti fejléccel'!$B:$B,'Felosztás eredménykim'!$B270,'Eredeti fejléccel'!$M:$M)</f>
        <v>0</v>
      </c>
      <c r="GY270" s="6">
        <f>SUMIF('Eredeti fejléccel'!$B:$B,'Felosztás eredménykim'!$B270,'Eredeti fejléccel'!$DC:$DC)</f>
        <v>0</v>
      </c>
      <c r="GZ270" s="6">
        <f>SUMIF('Eredeti fejléccel'!$B:$B,'Felosztás eredménykim'!$B270,'Eredeti fejléccel'!$DD:$DD)</f>
        <v>0</v>
      </c>
      <c r="HA270" s="6">
        <f>SUMIF('Eredeti fejléccel'!$B:$B,'Felosztás eredménykim'!$B270,'Eredeti fejléccel'!$DE:$DE)</f>
        <v>0</v>
      </c>
      <c r="HB270" s="103">
        <f t="shared" si="693"/>
        <v>0</v>
      </c>
      <c r="HD270" s="9">
        <f t="shared" si="694"/>
        <v>-1602089411.55</v>
      </c>
      <c r="HE270" s="9">
        <v>-1596493891.55</v>
      </c>
      <c r="HF270" s="476"/>
      <c r="HH270" s="554">
        <f t="shared" si="534"/>
        <v>-5595520</v>
      </c>
    </row>
    <row r="271" spans="1:218" x14ac:dyDescent="0.25">
      <c r="A271" s="4" t="s">
        <v>355</v>
      </c>
      <c r="B271" s="4" t="s">
        <v>355</v>
      </c>
      <c r="C271" s="1" t="s">
        <v>356</v>
      </c>
      <c r="D271" s="6">
        <f>SUMIF('Eredeti fejléccel'!$B:$B,'Felosztás eredménykim'!$B271,'Eredeti fejléccel'!$D:$D)</f>
        <v>0</v>
      </c>
      <c r="E271" s="6">
        <f>SUMIF('Eredeti fejléccel'!$B:$B,'Felosztás eredménykim'!$B271,'Eredeti fejléccel'!$E:$E)</f>
        <v>0</v>
      </c>
      <c r="F271" s="6">
        <f>SUMIF('Eredeti fejléccel'!$B:$B,'Felosztás eredménykim'!$B271,'Eredeti fejléccel'!$F:$F)</f>
        <v>0</v>
      </c>
      <c r="G271" s="6">
        <f>SUMIF('Eredeti fejléccel'!$B:$B,'Felosztás eredménykim'!$B271,'Eredeti fejléccel'!$G:$G)</f>
        <v>0</v>
      </c>
      <c r="H271" s="6"/>
      <c r="I271" s="6">
        <f>SUMIF('Eredeti fejléccel'!$B:$B,'Felosztás eredménykim'!$B271,'Eredeti fejléccel'!$O:$O)</f>
        <v>0</v>
      </c>
      <c r="J271" s="6">
        <f>SUMIF('Eredeti fejléccel'!$B:$B,'Felosztás eredménykim'!$B271,'Eredeti fejléccel'!$P:$P)</f>
        <v>0</v>
      </c>
      <c r="K271" s="6">
        <f>SUMIF('Eredeti fejléccel'!$B:$B,'Felosztás eredménykim'!$B271,'Eredeti fejléccel'!$Q:$Q)</f>
        <v>0</v>
      </c>
      <c r="L271" s="6">
        <f>SUMIF('Eredeti fejléccel'!$B:$B,'Felosztás eredménykim'!$B271,'Eredeti fejléccel'!$R:$R)</f>
        <v>0</v>
      </c>
      <c r="M271" s="6">
        <f>SUMIF('Eredeti fejléccel'!$B:$B,'Felosztás eredménykim'!$B271,'Eredeti fejléccel'!$T:$T)</f>
        <v>0</v>
      </c>
      <c r="N271" s="6">
        <f>SUMIF('Eredeti fejléccel'!$B:$B,'Felosztás eredménykim'!$B271,'Eredeti fejléccel'!$U:$U)</f>
        <v>0</v>
      </c>
      <c r="O271" s="6">
        <f>SUMIF('Eredeti fejléccel'!$B:$B,'Felosztás eredménykim'!$B271,'Eredeti fejléccel'!$V:$V)</f>
        <v>0</v>
      </c>
      <c r="P271" s="6">
        <f>SUMIF('Eredeti fejléccel'!$B:$B,'Felosztás eredménykim'!$B271,'Eredeti fejléccel'!$W:$W)</f>
        <v>0</v>
      </c>
      <c r="Q271" s="6">
        <f>SUMIF('Eredeti fejléccel'!$B:$B,'Felosztás eredménykim'!$B271,'Eredeti fejléccel'!$X:$X)</f>
        <v>0</v>
      </c>
      <c r="R271" s="6">
        <f>SUMIF('Eredeti fejléccel'!$B:$B,'Felosztás eredménykim'!$B271,'Eredeti fejléccel'!$Y:$Y)</f>
        <v>0</v>
      </c>
      <c r="S271" s="6">
        <f>SUMIF('Eredeti fejléccel'!$B:$B,'Felosztás eredménykim'!$B271,'Eredeti fejléccel'!$Z:$Z)</f>
        <v>0</v>
      </c>
      <c r="T271" s="6">
        <f>SUMIF('Eredeti fejléccel'!$B:$B,'Felosztás eredménykim'!$B271,'Eredeti fejléccel'!$AA:$AA)</f>
        <v>0</v>
      </c>
      <c r="U271" s="6">
        <f>SUMIF('Eredeti fejléccel'!$B:$B,'Felosztás eredménykim'!$B271,'Eredeti fejléccel'!$D:$D)</f>
        <v>0</v>
      </c>
      <c r="V271" s="6">
        <f>SUMIF('Eredeti fejléccel'!$B:$B,'Felosztás eredménykim'!$B271,'Eredeti fejléccel'!$AT:$AT)</f>
        <v>0</v>
      </c>
      <c r="X271" s="36">
        <f t="shared" si="635"/>
        <v>0</v>
      </c>
      <c r="Z271" s="6">
        <f>SUMIF('Eredeti fejléccel'!$B:$B,'Felosztás eredménykim'!$B271,'Eredeti fejléccel'!$K:$K)</f>
        <v>0</v>
      </c>
      <c r="AB271" s="6">
        <f>SUMIF('Eredeti fejléccel'!$B:$B,'Felosztás eredménykim'!$B271,'Eredeti fejléccel'!$AB:$AB)</f>
        <v>-379530</v>
      </c>
      <c r="AC271" s="6">
        <f>SUMIF('Eredeti fejléccel'!$B:$B,'Felosztás eredménykim'!$B271,'Eredeti fejléccel'!$AQ:$AQ)</f>
        <v>0</v>
      </c>
      <c r="AD271" s="73">
        <f>-AB271</f>
        <v>379530</v>
      </c>
      <c r="AE271" s="73">
        <f t="shared" si="548"/>
        <v>0</v>
      </c>
      <c r="AF271" s="36">
        <f>$X271/$HD$290*(AG$290+AG$291)</f>
        <v>0</v>
      </c>
      <c r="AG271" s="8">
        <f>$AE271/$HD$291*AG$290</f>
        <v>0</v>
      </c>
      <c r="AI271" s="6">
        <f>SUMIF('Eredeti fejléccel'!$B:$B,'Felosztás eredménykim'!$B271,'Eredeti fejléccel'!$BB:$BB)</f>
        <v>0</v>
      </c>
      <c r="AJ271" s="6">
        <f>SUMIF('Eredeti fejléccel'!$B:$B,'Felosztás eredménykim'!$B271,'Eredeti fejléccel'!$AF:$AF)</f>
        <v>0</v>
      </c>
      <c r="AK271" s="8">
        <f t="shared" si="522"/>
        <v>0</v>
      </c>
      <c r="AL271" s="36">
        <f>$X271/$HD$290*(AM$290+AM$291)</f>
        <v>0</v>
      </c>
      <c r="AM271" s="8">
        <f>$AE271/$HD$291*AM$290</f>
        <v>0</v>
      </c>
      <c r="AN271" s="6">
        <f t="shared" si="538"/>
        <v>0</v>
      </c>
      <c r="AO271" s="6">
        <f>SUMIF('Eredeti fejléccel'!$B:$B,'Felosztás eredménykim'!$B271,'Eredeti fejléccel'!$AC:$AC)</f>
        <v>0</v>
      </c>
      <c r="AP271" s="6">
        <f>SUMIF('Eredeti fejléccel'!$B:$B,'Felosztás eredménykim'!$B271,'Eredeti fejléccel'!$AD:$AD)</f>
        <v>0</v>
      </c>
      <c r="AQ271" s="6">
        <f>SUMIF('Eredeti fejléccel'!$B:$B,'Felosztás eredménykim'!$B271,'Eredeti fejléccel'!$AE:$AE)</f>
        <v>0</v>
      </c>
      <c r="AR271" s="6">
        <f>SUMIF('Eredeti fejléccel'!$B:$B,'Felosztás eredménykim'!$B271,'Eredeti fejléccel'!$AG:$AG)</f>
        <v>0</v>
      </c>
      <c r="AS271" s="6">
        <f t="shared" si="539"/>
        <v>0</v>
      </c>
      <c r="AT271" s="36">
        <f>$X271/$HD$290*(AU$290+AU$291)</f>
        <v>0</v>
      </c>
      <c r="AU271" s="8">
        <f>$AE271/$HD$291*AU$290</f>
        <v>0</v>
      </c>
      <c r="AV271" s="6">
        <f>SUMIF('Eredeti fejléccel'!$B:$B,'Felosztás eredménykim'!$B271,'Eredeti fejléccel'!$AI:$AI)</f>
        <v>0</v>
      </c>
      <c r="AW271" s="6">
        <f>SUMIF('Eredeti fejléccel'!$B:$B,'Felosztás eredménykim'!$B271,'Eredeti fejléccel'!$AJ:$AJ)</f>
        <v>0</v>
      </c>
      <c r="AX271" s="6">
        <f>SUMIF('Eredeti fejléccel'!$B:$B,'Felosztás eredménykim'!$B271,'Eredeti fejléccel'!$AK:$AK)</f>
        <v>0</v>
      </c>
      <c r="AY271" s="6">
        <f>SUMIF('Eredeti fejléccel'!$B:$B,'Felosztás eredménykim'!$B271,'Eredeti fejléccel'!$AL:$AL)</f>
        <v>0</v>
      </c>
      <c r="AZ271" s="6">
        <f>SUMIF('Eredeti fejléccel'!$B:$B,'Felosztás eredménykim'!$B271,'Eredeti fejléccel'!$AM:$AM)</f>
        <v>0</v>
      </c>
      <c r="BA271" s="6">
        <f>SUMIF('Eredeti fejléccel'!$B:$B,'Felosztás eredménykim'!$B271,'Eredeti fejléccel'!$AN:$AN)</f>
        <v>0</v>
      </c>
      <c r="BB271" s="6">
        <f>SUMIF('Eredeti fejléccel'!$B:$B,'Felosztás eredménykim'!$B271,'Eredeti fejléccel'!$AP:$AP)</f>
        <v>0</v>
      </c>
      <c r="BD271" s="6">
        <f>SUMIF('Eredeti fejléccel'!$B:$B,'Felosztás eredménykim'!$B271,'Eredeti fejléccel'!$AS:$AS)</f>
        <v>0</v>
      </c>
      <c r="BE271" s="8">
        <f t="shared" si="523"/>
        <v>0</v>
      </c>
      <c r="BF271" s="36">
        <f>$X271/$HD$290*(BG$290+BG$291)</f>
        <v>0</v>
      </c>
      <c r="BG271" s="8">
        <f>$AE271/$HD$291*BG$290</f>
        <v>0</v>
      </c>
      <c r="BH271" s="6">
        <f t="shared" si="540"/>
        <v>0</v>
      </c>
      <c r="BI271" s="6">
        <f>SUMIF('Eredeti fejléccel'!$B:$B,'Felosztás eredménykim'!$B271,'Eredeti fejléccel'!$AH:$AH)</f>
        <v>0</v>
      </c>
      <c r="BJ271" s="6">
        <f>SUMIF('Eredeti fejléccel'!$B:$B,'Felosztás eredménykim'!$B271,'Eredeti fejléccel'!$AO:$AO)</f>
        <v>0</v>
      </c>
      <c r="BK271" s="6">
        <f>SUMIF('Eredeti fejléccel'!$B:$B,'Felosztás eredménykim'!$B271,'Eredeti fejléccel'!$BF:$BF)</f>
        <v>0</v>
      </c>
      <c r="BL271" s="8">
        <f t="shared" si="541"/>
        <v>0</v>
      </c>
      <c r="BM271" s="36">
        <f>$X271/$HD$290*(BN$290+BN$291)</f>
        <v>0</v>
      </c>
      <c r="BN271" s="8">
        <f>$AE271/$HD$291*BN$290</f>
        <v>0</v>
      </c>
      <c r="BP271" s="8">
        <f t="shared" si="542"/>
        <v>0</v>
      </c>
      <c r="BQ271" s="6">
        <f>SUMIF('Eredeti fejléccel'!$B:$B,'Felosztás eredménykim'!$B271,'Eredeti fejléccel'!$N:$N)</f>
        <v>0</v>
      </c>
      <c r="BR271" s="6">
        <f>SUMIF('Eredeti fejléccel'!$B:$B,'Felosztás eredménykim'!$B271,'Eredeti fejléccel'!$S:$S)</f>
        <v>0</v>
      </c>
      <c r="BT271" s="6">
        <f>SUMIF('Eredeti fejléccel'!$B:$B,'Felosztás eredménykim'!$B271,'Eredeti fejléccel'!$AR:$AR)</f>
        <v>0</v>
      </c>
      <c r="BU271" s="6">
        <f>SUMIF('Eredeti fejléccel'!$B:$B,'Felosztás eredménykim'!$B271,'Eredeti fejléccel'!$AU:$AU)</f>
        <v>0</v>
      </c>
      <c r="BV271" s="6">
        <f>SUMIF('Eredeti fejléccel'!$B:$B,'Felosztás eredménykim'!$B271,'Eredeti fejléccel'!$AV:$AV)</f>
        <v>0</v>
      </c>
      <c r="BW271" s="6">
        <f>SUMIF('Eredeti fejléccel'!$B:$B,'Felosztás eredménykim'!$B271,'Eredeti fejléccel'!$AW:$AW)</f>
        <v>0</v>
      </c>
      <c r="BX271" s="6">
        <f>SUMIF('Eredeti fejléccel'!$B:$B,'Felosztás eredménykim'!$B271,'Eredeti fejléccel'!$AX:$AX)</f>
        <v>0</v>
      </c>
      <c r="BY271" s="6">
        <f>SUMIF('Eredeti fejléccel'!$B:$B,'Felosztás eredménykim'!$B271,'Eredeti fejléccel'!$AY:$AY)</f>
        <v>0</v>
      </c>
      <c r="BZ271" s="6">
        <f>SUMIF('Eredeti fejléccel'!$B:$B,'Felosztás eredménykim'!$B271,'Eredeti fejléccel'!$AZ:$AZ)</f>
        <v>0</v>
      </c>
      <c r="CA271" s="6">
        <f>SUMIF('Eredeti fejléccel'!$B:$B,'Felosztás eredménykim'!$B271,'Eredeti fejléccel'!$BA:$BA)</f>
        <v>0</v>
      </c>
      <c r="CB271" s="6">
        <f t="shared" si="481"/>
        <v>0</v>
      </c>
      <c r="CC271" s="36">
        <f>$X271/$HD$290*(CD$290+CD$291)</f>
        <v>0</v>
      </c>
      <c r="CD271" s="8">
        <f>$AE271/$HD$291*CD$290</f>
        <v>0</v>
      </c>
      <c r="CE271" s="6">
        <f>SUMIF('Eredeti fejléccel'!$B:$B,'Felosztás eredménykim'!$B271,'Eredeti fejléccel'!$BC:$BC)</f>
        <v>0</v>
      </c>
      <c r="CF271" s="8">
        <f t="shared" si="555"/>
        <v>0</v>
      </c>
      <c r="CG271" s="6">
        <f>SUMIF('Eredeti fejléccel'!$B:$B,'Felosztás eredménykim'!$B271,'Eredeti fejléccel'!$H:$H)</f>
        <v>0</v>
      </c>
      <c r="CH271" s="6">
        <f>SUMIF('Eredeti fejléccel'!$B:$B,'Felosztás eredménykim'!$B271,'Eredeti fejléccel'!$BE:$BE)</f>
        <v>0</v>
      </c>
      <c r="CI271" s="6">
        <f t="shared" si="524"/>
        <v>0</v>
      </c>
      <c r="CJ271" s="36">
        <f>$X271/$HD$290*(CK$290+CK$291)</f>
        <v>0</v>
      </c>
      <c r="CK271" s="8">
        <f>$AE271/$HD$291*CK$290</f>
        <v>0</v>
      </c>
      <c r="CL271" s="8">
        <f t="shared" si="557"/>
        <v>0</v>
      </c>
      <c r="CM271" s="6">
        <f>SUMIF('Eredeti fejléccel'!$B:$B,'Felosztás eredménykim'!$B271,'Eredeti fejléccel'!$BD:$BD)</f>
        <v>0</v>
      </c>
      <c r="CN271" s="8">
        <f t="shared" si="525"/>
        <v>0</v>
      </c>
      <c r="CO271" s="8">
        <f t="shared" si="482"/>
        <v>0</v>
      </c>
      <c r="CR271" s="36">
        <f>$X271/$HD$290*CR$290</f>
        <v>0</v>
      </c>
      <c r="CS271" s="6">
        <f>SUMIF('Eredeti fejléccel'!$B:$B,'Felosztás eredménykim'!$B271,'Eredeti fejléccel'!$I:$I)</f>
        <v>0</v>
      </c>
      <c r="CT271" s="6">
        <f>SUMIF('Eredeti fejléccel'!$B:$B,'Felosztás eredménykim'!$B271,'Eredeti fejléccel'!$BG:$BG)</f>
        <v>0</v>
      </c>
      <c r="CU271" s="6">
        <f>SUMIF('Eredeti fejléccel'!$B:$B,'Felosztás eredménykim'!$B271,'Eredeti fejléccel'!$BH:$BH)</f>
        <v>0</v>
      </c>
      <c r="CV271" s="6">
        <f>SUMIF('Eredeti fejléccel'!$B:$B,'Felosztás eredménykim'!$B271,'Eredeti fejléccel'!$BI:$BI)</f>
        <v>0</v>
      </c>
      <c r="CW271" s="6">
        <f>SUMIF('Eredeti fejléccel'!$B:$B,'Felosztás eredménykim'!$B271,'Eredeti fejléccel'!$BL:$BL)</f>
        <v>0</v>
      </c>
      <c r="CX271" s="6">
        <f t="shared" si="526"/>
        <v>0</v>
      </c>
      <c r="CY271" s="6">
        <f>SUMIF('Eredeti fejléccel'!$B:$B,'Felosztás eredménykim'!$B271,'Eredeti fejléccel'!$BJ:$BJ)</f>
        <v>0</v>
      </c>
      <c r="CZ271" s="6">
        <f>SUMIF('Eredeti fejléccel'!$B:$B,'Felosztás eredménykim'!$B271,'Eredeti fejléccel'!$BK:$BK)</f>
        <v>0</v>
      </c>
      <c r="DA271" s="99">
        <f t="shared" si="637"/>
        <v>0</v>
      </c>
      <c r="DC271" s="36">
        <f>$X271/$HD$290*DC$290</f>
        <v>0</v>
      </c>
      <c r="DD271" s="6">
        <f>SUMIF('Eredeti fejléccel'!$B:$B,'Felosztás eredménykim'!$B271,'Eredeti fejléccel'!$J:$J)</f>
        <v>0</v>
      </c>
      <c r="DE271" s="6">
        <f>SUMIF('Eredeti fejléccel'!$B:$B,'Felosztás eredménykim'!$B271,'Eredeti fejléccel'!$BM:$BM)</f>
        <v>0</v>
      </c>
      <c r="DF271" s="6">
        <f t="shared" si="543"/>
        <v>0</v>
      </c>
      <c r="DG271" s="8">
        <f t="shared" si="636"/>
        <v>0</v>
      </c>
      <c r="DH271" s="8">
        <f t="shared" si="544"/>
        <v>0</v>
      </c>
      <c r="DJ271" s="6">
        <f>SUMIF('Eredeti fejléccel'!$B:$B,'Felosztás eredménykim'!$B271,'Eredeti fejléccel'!$BN:$BN)</f>
        <v>0</v>
      </c>
      <c r="DK271" s="6">
        <f>SUMIF('Eredeti fejléccel'!$B:$B,'Felosztás eredménykim'!$B271,'Eredeti fejléccel'!$BZ:$BZ)</f>
        <v>0</v>
      </c>
      <c r="DL271" s="8">
        <f t="shared" si="545"/>
        <v>0</v>
      </c>
      <c r="DM271" s="6">
        <f>SUMIF('Eredeti fejléccel'!$B:$B,'Felosztás eredménykim'!$B271,'Eredeti fejléccel'!$BR:$BR)</f>
        <v>0</v>
      </c>
      <c r="DN271" s="6">
        <f>SUMIF('Eredeti fejléccel'!$B:$B,'Felosztás eredménykim'!$B271,'Eredeti fejléccel'!$BS:$BS)</f>
        <v>0</v>
      </c>
      <c r="DO271" s="6">
        <f>SUMIF('Eredeti fejléccel'!$B:$B,'Felosztás eredménykim'!$B271,'Eredeti fejléccel'!$BO:$BO)</f>
        <v>0</v>
      </c>
      <c r="DP271" s="6">
        <f>SUMIF('Eredeti fejléccel'!$B:$B,'Felosztás eredménykim'!$B271,'Eredeti fejléccel'!$BP:$BP)</f>
        <v>0</v>
      </c>
      <c r="DQ271" s="6">
        <f>SUMIF('Eredeti fejléccel'!$B:$B,'Felosztás eredménykim'!$B271,'Eredeti fejléccel'!$BQ:$BQ)</f>
        <v>0</v>
      </c>
      <c r="DS271" s="8"/>
      <c r="DU271" s="6">
        <f>SUMIF('Eredeti fejléccel'!$B:$B,'Felosztás eredménykim'!$B271,'Eredeti fejléccel'!$BT:$BT)</f>
        <v>0</v>
      </c>
      <c r="DV271" s="6">
        <f>SUMIF('Eredeti fejléccel'!$B:$B,'Felosztás eredménykim'!$B271,'Eredeti fejléccel'!$BU:$BU)</f>
        <v>0</v>
      </c>
      <c r="DW271" s="6">
        <f>SUMIF('Eredeti fejléccel'!$B:$B,'Felosztás eredménykim'!$B271,'Eredeti fejléccel'!$BV:$BV)</f>
        <v>0</v>
      </c>
      <c r="DX271" s="6">
        <f>SUMIF('Eredeti fejléccel'!$B:$B,'Felosztás eredménykim'!$B271,'Eredeti fejléccel'!$BW:$BW)</f>
        <v>0</v>
      </c>
      <c r="DY271" s="6">
        <f>SUMIF('Eredeti fejléccel'!$B:$B,'Felosztás eredménykim'!$B271,'Eredeti fejléccel'!$BX:$BX)</f>
        <v>0</v>
      </c>
      <c r="EA271" s="6"/>
      <c r="EC271" s="6"/>
      <c r="EE271" s="6">
        <f>SUMIF('Eredeti fejléccel'!$B:$B,'Felosztás eredménykim'!$B271,'Eredeti fejléccel'!$CA:$CA)</f>
        <v>0</v>
      </c>
      <c r="EF271" s="6">
        <f>SUMIF('Eredeti fejléccel'!$B:$B,'Felosztás eredménykim'!$B271,'Eredeti fejléccel'!$CB:$CB)</f>
        <v>0</v>
      </c>
      <c r="EG271" s="6">
        <f>SUMIF('Eredeti fejléccel'!$B:$B,'Felosztás eredménykim'!$B271,'Eredeti fejléccel'!$CC:$CC)</f>
        <v>0</v>
      </c>
      <c r="EH271" s="6">
        <f>SUMIF('Eredeti fejléccel'!$B:$B,'Felosztás eredménykim'!$B271,'Eredeti fejléccel'!$CD:$CD)</f>
        <v>0</v>
      </c>
      <c r="EK271" s="6">
        <f>SUMIF('Eredeti fejléccel'!$B:$B,'Felosztás eredménykim'!$B271,'Eredeti fejléccel'!$CE:$CE)</f>
        <v>0</v>
      </c>
      <c r="EN271" s="6">
        <f>SUMIF('Eredeti fejléccel'!$B:$B,'Felosztás eredménykim'!$B271,'Eredeti fejléccel'!$CF:$CF)</f>
        <v>0</v>
      </c>
      <c r="EP271" s="6">
        <f>SUMIF('Eredeti fejléccel'!$B:$B,'Felosztás eredménykim'!$B271,'Eredeti fejléccel'!$CG:$CG)</f>
        <v>0</v>
      </c>
      <c r="ES271" s="6">
        <f>SUMIF('Eredeti fejléccel'!$B:$B,'Felosztás eredménykim'!$B271,'Eredeti fejléccel'!$CH:$CH)</f>
        <v>0</v>
      </c>
      <c r="ET271" s="6">
        <f>SUMIF('Eredeti fejléccel'!$B:$B,'Felosztás eredménykim'!$B271,'Eredeti fejléccel'!$CI:$CI)</f>
        <v>0</v>
      </c>
      <c r="EW271" s="8">
        <f t="shared" si="535"/>
        <v>0</v>
      </c>
      <c r="EX271" s="8">
        <f t="shared" si="527"/>
        <v>0</v>
      </c>
      <c r="EY271" s="8">
        <f t="shared" si="638"/>
        <v>0</v>
      </c>
      <c r="EZ271" s="8">
        <f t="shared" si="536"/>
        <v>0</v>
      </c>
      <c r="FA271" s="8">
        <f t="shared" si="537"/>
        <v>0</v>
      </c>
      <c r="FC271" s="6">
        <f>SUMIF('Eredeti fejléccel'!$B:$B,'Felosztás eredménykim'!$B271,'Eredeti fejléccel'!$L:$L)</f>
        <v>0</v>
      </c>
      <c r="FD271" s="6">
        <f>SUMIF('Eredeti fejléccel'!$B:$B,'Felosztás eredménykim'!$B271,'Eredeti fejléccel'!$CJ:$CJ)</f>
        <v>0</v>
      </c>
      <c r="FE271" s="6">
        <f>SUMIF('Eredeti fejléccel'!$B:$B,'Felosztás eredménykim'!$B271,'Eredeti fejléccel'!$CL:$CL)</f>
        <v>0</v>
      </c>
      <c r="FG271" s="99">
        <f t="shared" si="528"/>
        <v>0</v>
      </c>
      <c r="FH271" s="6">
        <f>SUMIF('Eredeti fejléccel'!$B:$B,'Felosztás eredménykim'!$B271,'Eredeti fejléccel'!$CK:$CK)</f>
        <v>0</v>
      </c>
      <c r="FI271" s="36">
        <f>$X271/$HD$290*(FJ$290+FJ$293)</f>
        <v>0</v>
      </c>
      <c r="FJ271" s="101">
        <f>$FG271/$HD$292*FJ$292</f>
        <v>0</v>
      </c>
      <c r="FK271" s="6">
        <f>SUMIF('Eredeti fejléccel'!$B:$B,'Felosztás eredménykim'!$B271,'Eredeti fejléccel'!$CM:$CM)</f>
        <v>0</v>
      </c>
      <c r="FL271" s="6">
        <f>SUMIF('Eredeti fejléccel'!$B:$B,'Felosztás eredménykim'!$B271,'Eredeti fejléccel'!$CN:$CN)</f>
        <v>0</v>
      </c>
      <c r="FM271" s="8">
        <f t="shared" si="529"/>
        <v>0</v>
      </c>
      <c r="FN271" s="36">
        <f>$X271/$HD$290*(FO$290+FO$293)</f>
        <v>0</v>
      </c>
      <c r="FO271" s="101">
        <f>$FG271/$HD$292*FO$292</f>
        <v>0</v>
      </c>
      <c r="FP271" s="6">
        <f>SUMIF('Eredeti fejléccel'!$B:$B,'Felosztás eredménykim'!$B271,'Eredeti fejléccel'!$CO:$CO)</f>
        <v>0</v>
      </c>
      <c r="FQ271" s="6">
        <f>'Eredeti fejléccel'!CP271</f>
        <v>0</v>
      </c>
      <c r="FR271" s="6">
        <f>'Eredeti fejléccel'!CQ271</f>
        <v>0</v>
      </c>
      <c r="FS271" s="103">
        <f t="shared" si="639"/>
        <v>0</v>
      </c>
      <c r="FT271" s="36">
        <f>$X271/$HD$290*(FU$290+FU$293)</f>
        <v>0</v>
      </c>
      <c r="FU271" s="101">
        <f>$FG271/$HD$292*FU$292</f>
        <v>0</v>
      </c>
      <c r="FV271" s="101"/>
      <c r="FW271" s="6">
        <f>SUMIF('Eredeti fejléccel'!$B:$B,'Felosztás eredménykim'!$B271,'Eredeti fejléccel'!$CR:$CR)</f>
        <v>0</v>
      </c>
      <c r="FX271" s="6">
        <f>SUMIF('Eredeti fejléccel'!$B:$B,'Felosztás eredménykim'!$B271,'Eredeti fejléccel'!$CS:$CS)</f>
        <v>0</v>
      </c>
      <c r="FY271" s="6">
        <f>SUMIF('Eredeti fejléccel'!$B:$B,'Felosztás eredménykim'!$B271,'Eredeti fejléccel'!$CT:$CT)</f>
        <v>0</v>
      </c>
      <c r="FZ271" s="6">
        <f>SUMIF('Eredeti fejléccel'!$B:$B,'Felosztás eredménykim'!$B271,'Eredeti fejléccel'!$CU:$CU)</f>
        <v>0</v>
      </c>
      <c r="GA271" s="103">
        <f t="shared" si="530"/>
        <v>0</v>
      </c>
      <c r="GB271" s="36">
        <f>$X271/$HD$290*(GC$290+GC$293)</f>
        <v>0</v>
      </c>
      <c r="GC271" s="101">
        <f>$FG271/$HD$292*GC$292</f>
        <v>0</v>
      </c>
      <c r="GD271" s="6">
        <f>SUMIF('Eredeti fejléccel'!$B:$B,'Felosztás eredménykim'!$B271,'Eredeti fejléccel'!$CV:$CV)</f>
        <v>0</v>
      </c>
      <c r="GE271" s="6">
        <f>SUMIF('Eredeti fejléccel'!$B:$B,'Felosztás eredménykim'!$B271,'Eredeti fejléccel'!$CW:$CW)</f>
        <v>0</v>
      </c>
      <c r="GF271" s="103">
        <f t="shared" si="531"/>
        <v>0</v>
      </c>
      <c r="GG271" s="36">
        <f>$X271/$HD$290*GG$290</f>
        <v>0</v>
      </c>
      <c r="GM271" s="6">
        <f>SUMIF('Eredeti fejléccel'!$B:$B,'Felosztás eredménykim'!$B271,'Eredeti fejléccel'!$CX:$CX)</f>
        <v>0</v>
      </c>
      <c r="GN271" s="6">
        <f>SUMIF('Eredeti fejléccel'!$B:$B,'Felosztás eredménykim'!$B271,'Eredeti fejléccel'!$CY:$CY)</f>
        <v>0</v>
      </c>
      <c r="GO271" s="6">
        <f>SUMIF('Eredeti fejléccel'!$B:$B,'Felosztás eredménykim'!$B271,'Eredeti fejléccel'!$CZ:$CZ)</f>
        <v>0</v>
      </c>
      <c r="GP271" s="6">
        <f>SUMIF('Eredeti fejléccel'!$B:$B,'Felosztás eredménykim'!$B271,'Eredeti fejléccel'!$DA:$DA)</f>
        <v>0</v>
      </c>
      <c r="GQ271" s="6">
        <f>SUMIF('Eredeti fejléccel'!$B:$B,'Felosztás eredménykim'!$B271,'Eredeti fejléccel'!$DB:$DB)</f>
        <v>0</v>
      </c>
      <c r="GR271" s="103">
        <f t="shared" si="532"/>
        <v>0</v>
      </c>
      <c r="GW271" s="36">
        <f>$X271/$HD$290*GW$290</f>
        <v>0</v>
      </c>
      <c r="GX271" s="6">
        <f>SUMIF('Eredeti fejléccel'!$B:$B,'Felosztás eredménykim'!$B271,'Eredeti fejléccel'!$M:$M)</f>
        <v>0</v>
      </c>
      <c r="GY271" s="6">
        <f>SUMIF('Eredeti fejléccel'!$B:$B,'Felosztás eredménykim'!$B271,'Eredeti fejléccel'!$DC:$DC)</f>
        <v>0</v>
      </c>
      <c r="GZ271" s="6">
        <f>SUMIF('Eredeti fejléccel'!$B:$B,'Felosztás eredménykim'!$B271,'Eredeti fejléccel'!$DD:$DD)</f>
        <v>0</v>
      </c>
      <c r="HA271" s="6">
        <f>SUMIF('Eredeti fejléccel'!$B:$B,'Felosztás eredménykim'!$B271,'Eredeti fejléccel'!$DE:$DE)</f>
        <v>0</v>
      </c>
      <c r="HB271" s="103">
        <f t="shared" si="533"/>
        <v>0</v>
      </c>
      <c r="HD271" s="9">
        <f t="shared" si="694"/>
        <v>-379530</v>
      </c>
      <c r="HE271" s="9">
        <v>-379530</v>
      </c>
      <c r="HF271" s="476"/>
      <c r="HH271" s="557">
        <f t="shared" si="534"/>
        <v>0</v>
      </c>
    </row>
    <row r="272" spans="1:218" x14ac:dyDescent="0.25">
      <c r="A272" s="4" t="s">
        <v>357</v>
      </c>
      <c r="B272" s="4" t="s">
        <v>357</v>
      </c>
      <c r="C272" s="1" t="s">
        <v>358</v>
      </c>
      <c r="D272" s="6">
        <f>SUMIF('Eredeti fejléccel'!$B:$B,'Felosztás eredménykim'!$B272,'Eredeti fejléccel'!$D:$D)</f>
        <v>0</v>
      </c>
      <c r="E272" s="6">
        <f>SUMIF('Eredeti fejléccel'!$B:$B,'Felosztás eredménykim'!$B272,'Eredeti fejléccel'!$E:$E)</f>
        <v>0</v>
      </c>
      <c r="F272" s="6">
        <f>SUMIF('Eredeti fejléccel'!$B:$B,'Felosztás eredménykim'!$B272,'Eredeti fejléccel'!$F:$F)</f>
        <v>0</v>
      </c>
      <c r="G272" s="6">
        <f>SUMIF('Eredeti fejléccel'!$B:$B,'Felosztás eredménykim'!$B272,'Eredeti fejléccel'!$G:$G)</f>
        <v>0</v>
      </c>
      <c r="H272" s="6"/>
      <c r="I272" s="6">
        <f>SUMIF('Eredeti fejléccel'!$B:$B,'Felosztás eredménykim'!$B272,'Eredeti fejléccel'!$O:$O)</f>
        <v>0</v>
      </c>
      <c r="J272" s="6">
        <f>SUMIF('Eredeti fejléccel'!$B:$B,'Felosztás eredménykim'!$B272,'Eredeti fejléccel'!$P:$P)</f>
        <v>0</v>
      </c>
      <c r="K272" s="6">
        <f>SUMIF('Eredeti fejléccel'!$B:$B,'Felosztás eredménykim'!$B272,'Eredeti fejléccel'!$Q:$Q)</f>
        <v>0</v>
      </c>
      <c r="L272" s="6">
        <f>SUMIF('Eredeti fejléccel'!$B:$B,'Felosztás eredménykim'!$B272,'Eredeti fejléccel'!$R:$R)</f>
        <v>0</v>
      </c>
      <c r="M272" s="6">
        <f>SUMIF('Eredeti fejléccel'!$B:$B,'Felosztás eredménykim'!$B272,'Eredeti fejléccel'!$T:$T)</f>
        <v>0</v>
      </c>
      <c r="N272" s="6">
        <f>SUMIF('Eredeti fejléccel'!$B:$B,'Felosztás eredménykim'!$B272,'Eredeti fejléccel'!$U:$U)</f>
        <v>0</v>
      </c>
      <c r="O272" s="6">
        <f>SUMIF('Eredeti fejléccel'!$B:$B,'Felosztás eredménykim'!$B272,'Eredeti fejléccel'!$V:$V)</f>
        <v>0</v>
      </c>
      <c r="P272" s="6">
        <f>SUMIF('Eredeti fejléccel'!$B:$B,'Felosztás eredménykim'!$B272,'Eredeti fejléccel'!$W:$W)</f>
        <v>0</v>
      </c>
      <c r="Q272" s="6">
        <f>SUMIF('Eredeti fejléccel'!$B:$B,'Felosztás eredménykim'!$B272,'Eredeti fejléccel'!$X:$X)</f>
        <v>0</v>
      </c>
      <c r="R272" s="6">
        <f>SUMIF('Eredeti fejléccel'!$B:$B,'Felosztás eredménykim'!$B272,'Eredeti fejléccel'!$Y:$Y)</f>
        <v>0</v>
      </c>
      <c r="S272" s="6">
        <f>SUMIF('Eredeti fejléccel'!$B:$B,'Felosztás eredménykim'!$B272,'Eredeti fejléccel'!$Z:$Z)</f>
        <v>0</v>
      </c>
      <c r="T272" s="6">
        <f>SUMIF('Eredeti fejléccel'!$B:$B,'Felosztás eredménykim'!$B272,'Eredeti fejléccel'!$AA:$AA)</f>
        <v>0</v>
      </c>
      <c r="U272" s="6">
        <f>SUMIF('Eredeti fejléccel'!$B:$B,'Felosztás eredménykim'!$B272,'Eredeti fejléccel'!$D:$D)</f>
        <v>0</v>
      </c>
      <c r="V272" s="6">
        <f>SUMIF('Eredeti fejléccel'!$B:$B,'Felosztás eredménykim'!$B272,'Eredeti fejléccel'!$AT:$AT)</f>
        <v>0</v>
      </c>
      <c r="W272" s="36">
        <v>0</v>
      </c>
      <c r="X272" s="36">
        <f t="shared" si="635"/>
        <v>0</v>
      </c>
      <c r="Z272" s="6">
        <f>SUMIF('Eredeti fejléccel'!$B:$B,'Felosztás eredménykim'!$B272,'Eredeti fejléccel'!$K:$K)</f>
        <v>0</v>
      </c>
      <c r="AB272" s="6">
        <f>SUMIF('Eredeti fejléccel'!$B:$B,'Felosztás eredménykim'!$B272,'Eredeti fejléccel'!$AB:$AB)</f>
        <v>0</v>
      </c>
      <c r="AC272" s="6">
        <f>SUMIF('Eredeti fejléccel'!$B:$B,'Felosztás eredménykim'!$B272,'Eredeti fejléccel'!$AQ:$AQ)</f>
        <v>0</v>
      </c>
      <c r="AE272" s="73">
        <f t="shared" si="548"/>
        <v>0</v>
      </c>
      <c r="AF272" s="36">
        <f>$X272/$HD$290*(AG$290+AG$291)</f>
        <v>0</v>
      </c>
      <c r="AG272" s="8">
        <f>$AE272/$HD$291*AG$290</f>
        <v>0</v>
      </c>
      <c r="AI272" s="6">
        <f>SUMIF('Eredeti fejléccel'!$B:$B,'Felosztás eredménykim'!$B272,'Eredeti fejléccel'!$BB:$BB)</f>
        <v>0</v>
      </c>
      <c r="AJ272" s="6">
        <f>SUMIF('Eredeti fejléccel'!$B:$B,'Felosztás eredménykim'!$B272,'Eredeti fejléccel'!$AF:$AF)</f>
        <v>0</v>
      </c>
      <c r="AK272" s="8">
        <f t="shared" si="522"/>
        <v>0</v>
      </c>
      <c r="AL272" s="36">
        <f>$X272/$HD$290*(AM$290+AM$291)</f>
        <v>0</v>
      </c>
      <c r="AM272" s="8">
        <f>$AE272/$HD$291*AM$290</f>
        <v>0</v>
      </c>
      <c r="AN272" s="6">
        <f t="shared" si="538"/>
        <v>0</v>
      </c>
      <c r="AO272" s="6">
        <f>SUMIF('Eredeti fejléccel'!$B:$B,'Felosztás eredménykim'!$B272,'Eredeti fejléccel'!$AC:$AC)</f>
        <v>0</v>
      </c>
      <c r="AP272" s="6">
        <f>SUMIF('Eredeti fejléccel'!$B:$B,'Felosztás eredménykim'!$B272,'Eredeti fejléccel'!$AD:$AD)</f>
        <v>0</v>
      </c>
      <c r="AQ272" s="6">
        <f>SUMIF('Eredeti fejléccel'!$B:$B,'Felosztás eredménykim'!$B272,'Eredeti fejléccel'!$AE:$AE)</f>
        <v>0</v>
      </c>
      <c r="AR272" s="6">
        <f>SUMIF('Eredeti fejléccel'!$B:$B,'Felosztás eredménykim'!$B272,'Eredeti fejléccel'!$AG:$AG)</f>
        <v>-88216</v>
      </c>
      <c r="AS272" s="6">
        <f t="shared" si="539"/>
        <v>-88216</v>
      </c>
      <c r="AT272" s="36">
        <f>$X272/$HD$290*(AU$290+AU$291)</f>
        <v>0</v>
      </c>
      <c r="AU272" s="8">
        <f>$AE272/$HD$291*AU$290</f>
        <v>0</v>
      </c>
      <c r="AV272" s="6">
        <f>SUMIF('Eredeti fejléccel'!$B:$B,'Felosztás eredménykim'!$B272,'Eredeti fejléccel'!$AI:$AI)</f>
        <v>0</v>
      </c>
      <c r="AW272" s="6">
        <f>SUMIF('Eredeti fejléccel'!$B:$B,'Felosztás eredménykim'!$B272,'Eredeti fejléccel'!$AJ:$AJ)</f>
        <v>0</v>
      </c>
      <c r="AX272" s="6">
        <f>SUMIF('Eredeti fejléccel'!$B:$B,'Felosztás eredménykim'!$B272,'Eredeti fejléccel'!$AK:$AK)</f>
        <v>0</v>
      </c>
      <c r="AY272" s="6">
        <f>SUMIF('Eredeti fejléccel'!$B:$B,'Felosztás eredménykim'!$B272,'Eredeti fejléccel'!$AL:$AL)</f>
        <v>0</v>
      </c>
      <c r="AZ272" s="6">
        <f>SUMIF('Eredeti fejléccel'!$B:$B,'Felosztás eredménykim'!$B272,'Eredeti fejléccel'!$AM:$AM)</f>
        <v>0</v>
      </c>
      <c r="BA272" s="6">
        <f>SUMIF('Eredeti fejléccel'!$B:$B,'Felosztás eredménykim'!$B272,'Eredeti fejléccel'!$AN:$AN)</f>
        <v>0</v>
      </c>
      <c r="BB272" s="6">
        <f>SUMIF('Eredeti fejléccel'!$B:$B,'Felosztás eredménykim'!$B272,'Eredeti fejléccel'!$AP:$AP)</f>
        <v>0</v>
      </c>
      <c r="BD272" s="6">
        <f>SUMIF('Eredeti fejléccel'!$B:$B,'Felosztás eredménykim'!$B272,'Eredeti fejléccel'!$AS:$AS)</f>
        <v>0</v>
      </c>
      <c r="BE272" s="8">
        <f t="shared" si="523"/>
        <v>0</v>
      </c>
      <c r="BF272" s="36">
        <f>$X272/$HD$290*(BG$290+BG$291)</f>
        <v>0</v>
      </c>
      <c r="BG272" s="8">
        <f>$AE272/$HD$291*BG$290</f>
        <v>0</v>
      </c>
      <c r="BH272" s="6">
        <f t="shared" si="540"/>
        <v>0</v>
      </c>
      <c r="BI272" s="6">
        <f>SUMIF('Eredeti fejléccel'!$B:$B,'Felosztás eredménykim'!$B272,'Eredeti fejléccel'!$AH:$AH)</f>
        <v>0</v>
      </c>
      <c r="BJ272" s="6">
        <f>SUMIF('Eredeti fejléccel'!$B:$B,'Felosztás eredménykim'!$B272,'Eredeti fejléccel'!$AO:$AO)</f>
        <v>0</v>
      </c>
      <c r="BK272" s="6">
        <f>SUMIF('Eredeti fejléccel'!$B:$B,'Felosztás eredménykim'!$B272,'Eredeti fejléccel'!$BF:$BF)</f>
        <v>0</v>
      </c>
      <c r="BL272" s="8">
        <f t="shared" si="541"/>
        <v>0</v>
      </c>
      <c r="BM272" s="36">
        <f>$X272/$HD$290*(BN$290+BN$291)</f>
        <v>0</v>
      </c>
      <c r="BN272" s="8">
        <f>$AE272/$HD$291*BN$290</f>
        <v>0</v>
      </c>
      <c r="BP272" s="8">
        <f t="shared" si="542"/>
        <v>0</v>
      </c>
      <c r="BQ272" s="6">
        <f>SUMIF('Eredeti fejléccel'!$B:$B,'Felosztás eredménykim'!$B272,'Eredeti fejléccel'!$N:$N)</f>
        <v>0</v>
      </c>
      <c r="BR272" s="6">
        <f>SUMIF('Eredeti fejléccel'!$B:$B,'Felosztás eredménykim'!$B272,'Eredeti fejléccel'!$S:$S)</f>
        <v>0</v>
      </c>
      <c r="BT272" s="6">
        <f>SUMIF('Eredeti fejléccel'!$B:$B,'Felosztás eredménykim'!$B272,'Eredeti fejléccel'!$AR:$AR)</f>
        <v>0</v>
      </c>
      <c r="BU272" s="6">
        <f>SUMIF('Eredeti fejléccel'!$B:$B,'Felosztás eredménykim'!$B272,'Eredeti fejléccel'!$AU:$AU)</f>
        <v>0</v>
      </c>
      <c r="BV272" s="6">
        <f>SUMIF('Eredeti fejléccel'!$B:$B,'Felosztás eredménykim'!$B272,'Eredeti fejléccel'!$AV:$AV)</f>
        <v>0</v>
      </c>
      <c r="BW272" s="6">
        <f>SUMIF('Eredeti fejléccel'!$B:$B,'Felosztás eredménykim'!$B272,'Eredeti fejléccel'!$AW:$AW)</f>
        <v>0</v>
      </c>
      <c r="BX272" s="6">
        <f>SUMIF('Eredeti fejléccel'!$B:$B,'Felosztás eredménykim'!$B272,'Eredeti fejléccel'!$AX:$AX)</f>
        <v>0</v>
      </c>
      <c r="BY272" s="6">
        <f>SUMIF('Eredeti fejléccel'!$B:$B,'Felosztás eredménykim'!$B272,'Eredeti fejléccel'!$AY:$AY)</f>
        <v>0</v>
      </c>
      <c r="BZ272" s="6">
        <f>SUMIF('Eredeti fejléccel'!$B:$B,'Felosztás eredménykim'!$B272,'Eredeti fejléccel'!$AZ:$AZ)</f>
        <v>0</v>
      </c>
      <c r="CA272" s="6">
        <f>SUMIF('Eredeti fejléccel'!$B:$B,'Felosztás eredménykim'!$B272,'Eredeti fejléccel'!$BA:$BA)</f>
        <v>0</v>
      </c>
      <c r="CB272" s="6">
        <f t="shared" si="481"/>
        <v>0</v>
      </c>
      <c r="CC272" s="36">
        <f>$X272/$HD$290*(CD$290+CD$291)</f>
        <v>0</v>
      </c>
      <c r="CD272" s="8">
        <f>$AE272/$HD$291*CD$290</f>
        <v>0</v>
      </c>
      <c r="CE272" s="6">
        <f>SUMIF('Eredeti fejléccel'!$B:$B,'Felosztás eredménykim'!$B272,'Eredeti fejléccel'!$BC:$BC)</f>
        <v>0</v>
      </c>
      <c r="CF272" s="8">
        <f t="shared" si="555"/>
        <v>0</v>
      </c>
      <c r="CG272" s="6">
        <f>SUMIF('Eredeti fejléccel'!$B:$B,'Felosztás eredménykim'!$B272,'Eredeti fejléccel'!$H:$H)</f>
        <v>0</v>
      </c>
      <c r="CH272" s="6">
        <f>SUMIF('Eredeti fejléccel'!$B:$B,'Felosztás eredménykim'!$B272,'Eredeti fejléccel'!$BE:$BE)</f>
        <v>0</v>
      </c>
      <c r="CI272" s="6">
        <f t="shared" si="524"/>
        <v>0</v>
      </c>
      <c r="CJ272" s="36">
        <f>$X272/$HD$290*(CK$290+CK$291)</f>
        <v>0</v>
      </c>
      <c r="CK272" s="8">
        <f>$AE272/$HD$291*CK$290</f>
        <v>0</v>
      </c>
      <c r="CL272" s="8">
        <f t="shared" si="557"/>
        <v>0</v>
      </c>
      <c r="CM272" s="6">
        <f>SUMIF('Eredeti fejléccel'!$B:$B,'Felosztás eredménykim'!$B272,'Eredeti fejléccel'!$BD:$BD)</f>
        <v>0</v>
      </c>
      <c r="CN272" s="8">
        <f t="shared" si="525"/>
        <v>0</v>
      </c>
      <c r="CO272" s="8">
        <f t="shared" si="482"/>
        <v>-88216</v>
      </c>
      <c r="CR272" s="36">
        <f>$X272/$HD$290*CR$290</f>
        <v>0</v>
      </c>
      <c r="CS272" s="6">
        <f>SUMIF('Eredeti fejléccel'!$B:$B,'Felosztás eredménykim'!$B272,'Eredeti fejléccel'!$I:$I)</f>
        <v>0</v>
      </c>
      <c r="CT272" s="6">
        <f>SUMIF('Eredeti fejléccel'!$B:$B,'Felosztás eredménykim'!$B272,'Eredeti fejléccel'!$BG:$BG)</f>
        <v>0</v>
      </c>
      <c r="CU272" s="6">
        <f>SUMIF('Eredeti fejléccel'!$B:$B,'Felosztás eredménykim'!$B272,'Eredeti fejléccel'!$BH:$BH)</f>
        <v>0</v>
      </c>
      <c r="CV272" s="6">
        <f>SUMIF('Eredeti fejléccel'!$B:$B,'Felosztás eredménykim'!$B272,'Eredeti fejléccel'!$BI:$BI)</f>
        <v>0</v>
      </c>
      <c r="CW272" s="6">
        <f>SUMIF('Eredeti fejléccel'!$B:$B,'Felosztás eredménykim'!$B272,'Eredeti fejléccel'!$BL:$BL)</f>
        <v>0</v>
      </c>
      <c r="CX272" s="6">
        <f t="shared" si="526"/>
        <v>0</v>
      </c>
      <c r="CY272" s="6">
        <f>SUMIF('Eredeti fejléccel'!$B:$B,'Felosztás eredménykim'!$B272,'Eredeti fejléccel'!$BJ:$BJ)</f>
        <v>0</v>
      </c>
      <c r="CZ272" s="6">
        <f>SUMIF('Eredeti fejléccel'!$B:$B,'Felosztás eredménykim'!$B272,'Eredeti fejléccel'!$BK:$BK)</f>
        <v>0</v>
      </c>
      <c r="DA272" s="99">
        <f t="shared" si="637"/>
        <v>0</v>
      </c>
      <c r="DC272" s="36">
        <f>$X272/$HD$290*DC$290</f>
        <v>0</v>
      </c>
      <c r="DD272" s="6">
        <f>SUMIF('Eredeti fejléccel'!$B:$B,'Felosztás eredménykim'!$B272,'Eredeti fejléccel'!$J:$J)</f>
        <v>0</v>
      </c>
      <c r="DE272" s="6">
        <f>SUMIF('Eredeti fejléccel'!$B:$B,'Felosztás eredménykim'!$B272,'Eredeti fejléccel'!$BM:$BM)</f>
        <v>0</v>
      </c>
      <c r="DF272" s="6">
        <f t="shared" si="543"/>
        <v>0</v>
      </c>
      <c r="DG272" s="8">
        <f t="shared" si="636"/>
        <v>0</v>
      </c>
      <c r="DH272" s="8">
        <f t="shared" si="544"/>
        <v>0</v>
      </c>
      <c r="DJ272" s="6">
        <f>SUMIF('Eredeti fejléccel'!$B:$B,'Felosztás eredménykim'!$B272,'Eredeti fejléccel'!$BN:$BN)</f>
        <v>0</v>
      </c>
      <c r="DK272" s="6">
        <f>SUMIF('Eredeti fejléccel'!$B:$B,'Felosztás eredménykim'!$B272,'Eredeti fejléccel'!$BZ:$BZ)</f>
        <v>0</v>
      </c>
      <c r="DL272" s="8">
        <f t="shared" si="545"/>
        <v>0</v>
      </c>
      <c r="DM272" s="6">
        <f>SUMIF('Eredeti fejléccel'!$B:$B,'Felosztás eredménykim'!$B272,'Eredeti fejléccel'!$BR:$BR)</f>
        <v>0</v>
      </c>
      <c r="DN272" s="6">
        <f>SUMIF('Eredeti fejléccel'!$B:$B,'Felosztás eredménykim'!$B272,'Eredeti fejléccel'!$BS:$BS)</f>
        <v>0</v>
      </c>
      <c r="DO272" s="6">
        <f>SUMIF('Eredeti fejléccel'!$B:$B,'Felosztás eredménykim'!$B272,'Eredeti fejléccel'!$BO:$BO)</f>
        <v>0</v>
      </c>
      <c r="DP272" s="6">
        <f>SUMIF('Eredeti fejléccel'!$B:$B,'Felosztás eredménykim'!$B272,'Eredeti fejléccel'!$BP:$BP)</f>
        <v>0</v>
      </c>
      <c r="DQ272" s="6">
        <f>SUMIF('Eredeti fejléccel'!$B:$B,'Felosztás eredménykim'!$B272,'Eredeti fejléccel'!$BQ:$BQ)</f>
        <v>0</v>
      </c>
      <c r="DS272" s="8"/>
      <c r="DU272" s="6">
        <f>SUMIF('Eredeti fejléccel'!$B:$B,'Felosztás eredménykim'!$B272,'Eredeti fejléccel'!$BT:$BT)</f>
        <v>0</v>
      </c>
      <c r="DV272" s="6">
        <f>SUMIF('Eredeti fejléccel'!$B:$B,'Felosztás eredménykim'!$B272,'Eredeti fejléccel'!$BU:$BU)</f>
        <v>0</v>
      </c>
      <c r="DW272" s="6">
        <f>SUMIF('Eredeti fejléccel'!$B:$B,'Felosztás eredménykim'!$B272,'Eredeti fejléccel'!$BV:$BV)</f>
        <v>0</v>
      </c>
      <c r="DX272" s="6">
        <f>SUMIF('Eredeti fejléccel'!$B:$B,'Felosztás eredménykim'!$B272,'Eredeti fejléccel'!$BW:$BW)</f>
        <v>0</v>
      </c>
      <c r="DY272" s="6">
        <f>SUMIF('Eredeti fejléccel'!$B:$B,'Felosztás eredménykim'!$B272,'Eredeti fejléccel'!$BX:$BX)</f>
        <v>0</v>
      </c>
      <c r="EA272" s="6"/>
      <c r="EC272" s="6"/>
      <c r="EE272" s="6">
        <f>SUMIF('Eredeti fejléccel'!$B:$B,'Felosztás eredménykim'!$B272,'Eredeti fejléccel'!$CA:$CA)</f>
        <v>0</v>
      </c>
      <c r="EF272" s="6">
        <f>SUMIF('Eredeti fejléccel'!$B:$B,'Felosztás eredménykim'!$B272,'Eredeti fejléccel'!$CB:$CB)</f>
        <v>0</v>
      </c>
      <c r="EG272" s="6">
        <f>SUMIF('Eredeti fejléccel'!$B:$B,'Felosztás eredménykim'!$B272,'Eredeti fejléccel'!$CC:$CC)</f>
        <v>0</v>
      </c>
      <c r="EH272" s="6">
        <f>SUMIF('Eredeti fejléccel'!$B:$B,'Felosztás eredménykim'!$B272,'Eredeti fejléccel'!$CD:$CD)</f>
        <v>0</v>
      </c>
      <c r="EK272" s="6">
        <f>SUMIF('Eredeti fejléccel'!$B:$B,'Felosztás eredménykim'!$B272,'Eredeti fejléccel'!$CE:$CE)</f>
        <v>0</v>
      </c>
      <c r="EN272" s="6">
        <f>SUMIF('Eredeti fejléccel'!$B:$B,'Felosztás eredménykim'!$B272,'Eredeti fejléccel'!$CF:$CF)</f>
        <v>0</v>
      </c>
      <c r="EP272" s="6">
        <f>SUMIF('Eredeti fejléccel'!$B:$B,'Felosztás eredménykim'!$B272,'Eredeti fejléccel'!$CG:$CG)</f>
        <v>0</v>
      </c>
      <c r="ES272" s="6">
        <f>SUMIF('Eredeti fejléccel'!$B:$B,'Felosztás eredménykim'!$B272,'Eredeti fejléccel'!$CH:$CH)</f>
        <v>0</v>
      </c>
      <c r="ET272" s="6">
        <f>SUMIF('Eredeti fejléccel'!$B:$B,'Felosztás eredménykim'!$B272,'Eredeti fejléccel'!$CI:$CI)</f>
        <v>0</v>
      </c>
      <c r="EW272" s="8">
        <f t="shared" si="535"/>
        <v>0</v>
      </c>
      <c r="EX272" s="8">
        <f t="shared" si="527"/>
        <v>0</v>
      </c>
      <c r="EY272" s="8">
        <f t="shared" si="638"/>
        <v>0</v>
      </c>
      <c r="EZ272" s="8">
        <f t="shared" si="536"/>
        <v>0</v>
      </c>
      <c r="FA272" s="8">
        <f t="shared" si="537"/>
        <v>0</v>
      </c>
      <c r="FC272" s="6">
        <f>SUMIF('Eredeti fejléccel'!$B:$B,'Felosztás eredménykim'!$B272,'Eredeti fejléccel'!$L:$L)</f>
        <v>0</v>
      </c>
      <c r="FD272" s="6">
        <f>SUMIF('Eredeti fejléccel'!$B:$B,'Felosztás eredménykim'!$B272,'Eredeti fejléccel'!$CJ:$CJ)</f>
        <v>0</v>
      </c>
      <c r="FE272" s="6">
        <f>SUMIF('Eredeti fejléccel'!$B:$B,'Felosztás eredménykim'!$B272,'Eredeti fejléccel'!$CL:$CL)</f>
        <v>0</v>
      </c>
      <c r="FG272" s="99">
        <f t="shared" si="528"/>
        <v>0</v>
      </c>
      <c r="FH272" s="6">
        <f>SUMIF('Eredeti fejléccel'!$B:$B,'Felosztás eredménykim'!$B272,'Eredeti fejléccel'!$CK:$CK)</f>
        <v>0</v>
      </c>
      <c r="FI272" s="36">
        <f>$X272/$HD$290*(FJ$290+FJ$293)</f>
        <v>0</v>
      </c>
      <c r="FJ272" s="101">
        <f>$FG272/$HD$292*FJ$292</f>
        <v>0</v>
      </c>
      <c r="FK272" s="6">
        <f>SUMIF('Eredeti fejléccel'!$B:$B,'Felosztás eredménykim'!$B272,'Eredeti fejléccel'!$CM:$CM)</f>
        <v>0</v>
      </c>
      <c r="FL272" s="6">
        <f>SUMIF('Eredeti fejléccel'!$B:$B,'Felosztás eredménykim'!$B272,'Eredeti fejléccel'!$CN:$CN)</f>
        <v>0</v>
      </c>
      <c r="FM272" s="8">
        <f t="shared" si="529"/>
        <v>0</v>
      </c>
      <c r="FN272" s="36">
        <f>$X272/$HD$290*(FO$290+FO$293)</f>
        <v>0</v>
      </c>
      <c r="FO272" s="101">
        <f>$FG272/$HD$292*FO$292</f>
        <v>0</v>
      </c>
      <c r="FP272" s="6">
        <f>SUMIF('Eredeti fejléccel'!$B:$B,'Felosztás eredménykim'!$B272,'Eredeti fejléccel'!$CO:$CO)</f>
        <v>0</v>
      </c>
      <c r="FQ272" s="6">
        <f>'Eredeti fejléccel'!CP272</f>
        <v>0</v>
      </c>
      <c r="FR272" s="6">
        <f>'Eredeti fejléccel'!CQ272</f>
        <v>0</v>
      </c>
      <c r="FS272" s="103">
        <f t="shared" si="639"/>
        <v>0</v>
      </c>
      <c r="FT272" s="36">
        <f>$X272/$HD$290*(FU$290+FU$293)</f>
        <v>0</v>
      </c>
      <c r="FU272" s="101">
        <f>$FG272/$HD$292*FU$292</f>
        <v>0</v>
      </c>
      <c r="FV272" s="101"/>
      <c r="FW272" s="6">
        <f>SUMIF('Eredeti fejléccel'!$B:$B,'Felosztás eredménykim'!$B272,'Eredeti fejléccel'!$CR:$CR)</f>
        <v>0</v>
      </c>
      <c r="FX272" s="6">
        <f>SUMIF('Eredeti fejléccel'!$B:$B,'Felosztás eredménykim'!$B272,'Eredeti fejléccel'!$CS:$CS)</f>
        <v>0</v>
      </c>
      <c r="FY272" s="6">
        <f>SUMIF('Eredeti fejléccel'!$B:$B,'Felosztás eredménykim'!$B272,'Eredeti fejléccel'!$CT:$CT)</f>
        <v>0</v>
      </c>
      <c r="FZ272" s="6">
        <f>SUMIF('Eredeti fejléccel'!$B:$B,'Felosztás eredménykim'!$B272,'Eredeti fejléccel'!$CU:$CU)</f>
        <v>0</v>
      </c>
      <c r="GA272" s="103">
        <f t="shared" si="530"/>
        <v>0</v>
      </c>
      <c r="GB272" s="36">
        <f>$X272/$HD$290*(GC$290+GC$293)</f>
        <v>0</v>
      </c>
      <c r="GC272" s="101">
        <f>$FG272/$HD$292*GC$292</f>
        <v>0</v>
      </c>
      <c r="GD272" s="6">
        <f>SUMIF('Eredeti fejléccel'!$B:$B,'Felosztás eredménykim'!$B272,'Eredeti fejléccel'!$CV:$CV)</f>
        <v>0</v>
      </c>
      <c r="GE272" s="6">
        <f>SUMIF('Eredeti fejléccel'!$B:$B,'Felosztás eredménykim'!$B272,'Eredeti fejléccel'!$CW:$CW)</f>
        <v>0</v>
      </c>
      <c r="GF272" s="103">
        <f t="shared" si="531"/>
        <v>0</v>
      </c>
      <c r="GG272" s="36">
        <f>$X272/$HD$290*GG$290</f>
        <v>0</v>
      </c>
      <c r="GM272" s="6">
        <f>SUMIF('Eredeti fejléccel'!$B:$B,'Felosztás eredménykim'!$B272,'Eredeti fejléccel'!$CX:$CX)</f>
        <v>0</v>
      </c>
      <c r="GN272" s="6">
        <f>SUMIF('Eredeti fejléccel'!$B:$B,'Felosztás eredménykim'!$B272,'Eredeti fejléccel'!$CY:$CY)</f>
        <v>0</v>
      </c>
      <c r="GO272" s="6">
        <f>SUMIF('Eredeti fejléccel'!$B:$B,'Felosztás eredménykim'!$B272,'Eredeti fejléccel'!$CZ:$CZ)</f>
        <v>0</v>
      </c>
      <c r="GP272" s="6">
        <f>SUMIF('Eredeti fejléccel'!$B:$B,'Felosztás eredménykim'!$B272,'Eredeti fejléccel'!$DA:$DA)</f>
        <v>0</v>
      </c>
      <c r="GQ272" s="6">
        <f>SUMIF('Eredeti fejléccel'!$B:$B,'Felosztás eredménykim'!$B272,'Eredeti fejléccel'!$DB:$DB)</f>
        <v>0</v>
      </c>
      <c r="GR272" s="103">
        <f t="shared" si="532"/>
        <v>0</v>
      </c>
      <c r="GW272" s="36">
        <f>$X272/$HD$290*GW$290</f>
        <v>0</v>
      </c>
      <c r="GX272" s="6">
        <f>SUMIF('Eredeti fejléccel'!$B:$B,'Felosztás eredménykim'!$B272,'Eredeti fejléccel'!$M:$M)</f>
        <v>0</v>
      </c>
      <c r="GY272" s="6">
        <f>SUMIF('Eredeti fejléccel'!$B:$B,'Felosztás eredménykim'!$B272,'Eredeti fejléccel'!$DC:$DC)</f>
        <v>0</v>
      </c>
      <c r="GZ272" s="6">
        <f>SUMIF('Eredeti fejléccel'!$B:$B,'Felosztás eredménykim'!$B272,'Eredeti fejléccel'!$DD:$DD)</f>
        <v>0</v>
      </c>
      <c r="HA272" s="6">
        <f>SUMIF('Eredeti fejléccel'!$B:$B,'Felosztás eredménykim'!$B272,'Eredeti fejléccel'!$DE:$DE)</f>
        <v>0</v>
      </c>
      <c r="HB272" s="103">
        <f t="shared" si="533"/>
        <v>0</v>
      </c>
      <c r="HD272" s="9">
        <f t="shared" si="694"/>
        <v>-88216</v>
      </c>
      <c r="HE272" s="9">
        <v>-88216</v>
      </c>
      <c r="HF272" s="476"/>
      <c r="HH272" s="557">
        <f t="shared" si="534"/>
        <v>0</v>
      </c>
    </row>
    <row r="273" spans="1:232" x14ac:dyDescent="0.25">
      <c r="A273" s="4" t="s">
        <v>359</v>
      </c>
      <c r="B273" s="4" t="s">
        <v>359</v>
      </c>
      <c r="C273" s="1" t="s">
        <v>360</v>
      </c>
      <c r="D273" s="6">
        <f>SUMIF('Eredeti fejléccel'!$B:$B,'Felosztás eredménykim'!$B273,'Eredeti fejléccel'!$D:$D)</f>
        <v>0</v>
      </c>
      <c r="E273" s="6">
        <f>SUMIF('Eredeti fejléccel'!$B:$B,'Felosztás eredménykim'!$B273,'Eredeti fejléccel'!$E:$E)</f>
        <v>-12821720</v>
      </c>
      <c r="F273" s="6">
        <f>SUMIF('Eredeti fejléccel'!$B:$B,'Felosztás eredménykim'!$B273,'Eredeti fejléccel'!$F:$F)</f>
        <v>0</v>
      </c>
      <c r="G273" s="6">
        <f>SUMIF('Eredeti fejléccel'!$B:$B,'Felosztás eredménykim'!$B273,'Eredeti fejléccel'!$G:$G)</f>
        <v>-94839</v>
      </c>
      <c r="H273" s="6"/>
      <c r="I273" s="6">
        <f>SUMIF('Eredeti fejléccel'!$B:$B,'Felosztás eredménykim'!$B273,'Eredeti fejléccel'!$O:$O)</f>
        <v>-3855031</v>
      </c>
      <c r="J273" s="6">
        <f>SUMIF('Eredeti fejléccel'!$B:$B,'Felosztás eredménykim'!$B273,'Eredeti fejléccel'!$P:$P)</f>
        <v>0</v>
      </c>
      <c r="K273" s="6">
        <f>SUMIF('Eredeti fejléccel'!$B:$B,'Felosztás eredménykim'!$B273,'Eredeti fejléccel'!$Q:$Q)</f>
        <v>0</v>
      </c>
      <c r="L273" s="6">
        <f>SUMIF('Eredeti fejléccel'!$B:$B,'Felosztás eredménykim'!$B273,'Eredeti fejléccel'!$R:$R)</f>
        <v>-124800</v>
      </c>
      <c r="M273" s="6">
        <f>SUMIF('Eredeti fejléccel'!$B:$B,'Felosztás eredménykim'!$B273,'Eredeti fejléccel'!$T:$T)</f>
        <v>-48838</v>
      </c>
      <c r="N273" s="6">
        <f>SUMIF('Eredeti fejléccel'!$B:$B,'Felosztás eredménykim'!$B273,'Eredeti fejléccel'!$U:$U)</f>
        <v>0</v>
      </c>
      <c r="O273" s="6">
        <f>SUMIF('Eredeti fejléccel'!$B:$B,'Felosztás eredménykim'!$B273,'Eredeti fejléccel'!$V:$V)</f>
        <v>-48020</v>
      </c>
      <c r="P273" s="6">
        <f>SUMIF('Eredeti fejléccel'!$B:$B,'Felosztás eredménykim'!$B273,'Eredeti fejléccel'!$W:$W)</f>
        <v>-815331</v>
      </c>
      <c r="Q273" s="6">
        <f>SUMIF('Eredeti fejléccel'!$B:$B,'Felosztás eredménykim'!$B273,'Eredeti fejléccel'!$X:$X)</f>
        <v>-192898</v>
      </c>
      <c r="R273" s="6">
        <f>SUMIF('Eredeti fejléccel'!$B:$B,'Felosztás eredménykim'!$B273,'Eredeti fejléccel'!$Y:$Y)</f>
        <v>0</v>
      </c>
      <c r="S273" s="6">
        <f>SUMIF('Eredeti fejléccel'!$B:$B,'Felosztás eredménykim'!$B273,'Eredeti fejléccel'!$Z:$Z)</f>
        <v>0</v>
      </c>
      <c r="T273" s="6">
        <f>SUMIF('Eredeti fejléccel'!$B:$B,'Felosztás eredménykim'!$B273,'Eredeti fejléccel'!$AA:$AA)</f>
        <v>0</v>
      </c>
      <c r="U273" s="6">
        <f>SUMIF('Eredeti fejléccel'!$B:$B,'Felosztás eredménykim'!$B273,'Eredeti fejléccel'!$D:$D)</f>
        <v>0</v>
      </c>
      <c r="V273" s="6">
        <f>SUMIF('Eredeti fejléccel'!$B:$B,'Felosztás eredménykim'!$B273,'Eredeti fejléccel'!$AT:$AT)</f>
        <v>-111380</v>
      </c>
      <c r="W273" s="36">
        <v>18112857</v>
      </c>
      <c r="X273" s="36">
        <f t="shared" si="635"/>
        <v>0</v>
      </c>
      <c r="Z273" s="6">
        <f>SUMIF('Eredeti fejléccel'!$B:$B,'Felosztás eredménykim'!$B273,'Eredeti fejléccel'!$K:$K)</f>
        <v>-6578922</v>
      </c>
      <c r="AB273" s="6">
        <f>SUMIF('Eredeti fejléccel'!$B:$B,'Felosztás eredménykim'!$B273,'Eredeti fejléccel'!$AB:$AB)</f>
        <v>0</v>
      </c>
      <c r="AC273" s="6">
        <f>SUMIF('Eredeti fejléccel'!$B:$B,'Felosztás eredménykim'!$B273,'Eredeti fejléccel'!$AQ:$AQ)</f>
        <v>0</v>
      </c>
      <c r="AD273" s="73">
        <f>-Z273</f>
        <v>6578922</v>
      </c>
      <c r="AE273" s="73">
        <f t="shared" si="548"/>
        <v>0</v>
      </c>
      <c r="AF273" s="36">
        <f>$X273/$HD$290*(AG$290+AG$291)</f>
        <v>0</v>
      </c>
      <c r="AG273" s="8">
        <f>$AE273/$HD$291*AG$290</f>
        <v>0</v>
      </c>
      <c r="AI273" s="6">
        <f>SUMIF('Eredeti fejléccel'!$B:$B,'Felosztás eredménykim'!$B273,'Eredeti fejléccel'!$BB:$BB)</f>
        <v>0</v>
      </c>
      <c r="AJ273" s="6">
        <f>SUMIF('Eredeti fejléccel'!$B:$B,'Felosztás eredménykim'!$B273,'Eredeti fejléccel'!$AF:$AF)</f>
        <v>0</v>
      </c>
      <c r="AK273" s="8">
        <f t="shared" si="522"/>
        <v>0</v>
      </c>
      <c r="AL273" s="36">
        <f>$X273/$HD$290*(AM$290+AM$291)</f>
        <v>0</v>
      </c>
      <c r="AM273" s="8">
        <f>$AE273/$HD$291*AM$290</f>
        <v>0</v>
      </c>
      <c r="AN273" s="6">
        <f t="shared" si="538"/>
        <v>0</v>
      </c>
      <c r="AO273" s="6">
        <f>SUMIF('Eredeti fejléccel'!$B:$B,'Felosztás eredménykim'!$B273,'Eredeti fejléccel'!$AC:$AC)</f>
        <v>0</v>
      </c>
      <c r="AP273" s="6">
        <f>SUMIF('Eredeti fejléccel'!$B:$B,'Felosztás eredménykim'!$B273,'Eredeti fejléccel'!$AD:$AD)</f>
        <v>0</v>
      </c>
      <c r="AQ273" s="6">
        <f>SUMIF('Eredeti fejléccel'!$B:$B,'Felosztás eredménykim'!$B273,'Eredeti fejléccel'!$AE:$AE)</f>
        <v>0</v>
      </c>
      <c r="AR273" s="6">
        <f>SUMIF('Eredeti fejléccel'!$B:$B,'Felosztás eredménykim'!$B273,'Eredeti fejléccel'!$AG:$AG)</f>
        <v>-124800</v>
      </c>
      <c r="AS273" s="6">
        <f t="shared" si="539"/>
        <v>-124800</v>
      </c>
      <c r="AT273" s="36">
        <f>$X273/$HD$290*(AU$290+AU$291)</f>
        <v>0</v>
      </c>
      <c r="AU273" s="8">
        <f>$AE273/$HD$291*AU$290</f>
        <v>0</v>
      </c>
      <c r="AV273" s="6">
        <f>SUMIF('Eredeti fejléccel'!$B:$B,'Felosztás eredménykim'!$B273,'Eredeti fejléccel'!$AI:$AI)</f>
        <v>0</v>
      </c>
      <c r="AW273" s="6">
        <f>SUMIF('Eredeti fejléccel'!$B:$B,'Felosztás eredménykim'!$B273,'Eredeti fejléccel'!$AJ:$AJ)</f>
        <v>0</v>
      </c>
      <c r="AX273" s="6">
        <f>SUMIF('Eredeti fejléccel'!$B:$B,'Felosztás eredménykim'!$B273,'Eredeti fejléccel'!$AK:$AK)</f>
        <v>-327563</v>
      </c>
      <c r="AY273" s="6">
        <f>SUMIF('Eredeti fejléccel'!$B:$B,'Felosztás eredménykim'!$B273,'Eredeti fejléccel'!$AL:$AL)</f>
        <v>-137280</v>
      </c>
      <c r="AZ273" s="6">
        <f>SUMIF('Eredeti fejléccel'!$B:$B,'Felosztás eredménykim'!$B273,'Eredeti fejléccel'!$AM:$AM)</f>
        <v>0</v>
      </c>
      <c r="BA273" s="6">
        <f>SUMIF('Eredeti fejléccel'!$B:$B,'Felosztás eredménykim'!$B273,'Eredeti fejléccel'!$AN:$AN)</f>
        <v>0</v>
      </c>
      <c r="BB273" s="6">
        <f>SUMIF('Eredeti fejléccel'!$B:$B,'Felosztás eredménykim'!$B273,'Eredeti fejléccel'!$AP:$AP)</f>
        <v>0</v>
      </c>
      <c r="BD273" s="6">
        <f>SUMIF('Eredeti fejléccel'!$B:$B,'Felosztás eredménykim'!$B273,'Eredeti fejléccel'!$AS:$AS)</f>
        <v>0</v>
      </c>
      <c r="BE273" s="8">
        <f t="shared" si="523"/>
        <v>-464843</v>
      </c>
      <c r="BF273" s="36">
        <f>$X273/$HD$290*(BG$290+BG$291)</f>
        <v>0</v>
      </c>
      <c r="BG273" s="8">
        <f>$AE273/$HD$291*BG$290</f>
        <v>0</v>
      </c>
      <c r="BH273" s="6">
        <f t="shared" si="540"/>
        <v>0</v>
      </c>
      <c r="BI273" s="6">
        <f>SUMIF('Eredeti fejléccel'!$B:$B,'Felosztás eredménykim'!$B273,'Eredeti fejléccel'!$AH:$AH)</f>
        <v>-62400</v>
      </c>
      <c r="BJ273" s="6">
        <f>SUMIF('Eredeti fejléccel'!$B:$B,'Felosztás eredménykim'!$B273,'Eredeti fejléccel'!$AO:$AO)</f>
        <v>0</v>
      </c>
      <c r="BK273" s="6">
        <f>SUMIF('Eredeti fejléccel'!$B:$B,'Felosztás eredménykim'!$B273,'Eredeti fejléccel'!$BF:$BF)</f>
        <v>0</v>
      </c>
      <c r="BL273" s="8">
        <f t="shared" si="541"/>
        <v>-62400</v>
      </c>
      <c r="BM273" s="36">
        <f>$X273/$HD$290*(BN$290+BN$291)</f>
        <v>0</v>
      </c>
      <c r="BN273" s="8">
        <f>$AE273/$HD$291*BN$290</f>
        <v>0</v>
      </c>
      <c r="BP273" s="8">
        <f t="shared" si="542"/>
        <v>0</v>
      </c>
      <c r="BQ273" s="6">
        <f>SUMIF('Eredeti fejléccel'!$B:$B,'Felosztás eredménykim'!$B273,'Eredeti fejléccel'!$N:$N)</f>
        <v>0</v>
      </c>
      <c r="BR273" s="6">
        <f>SUMIF('Eredeti fejléccel'!$B:$B,'Felosztás eredménykim'!$B273,'Eredeti fejléccel'!$S:$S)</f>
        <v>0</v>
      </c>
      <c r="BT273" s="6">
        <f>SUMIF('Eredeti fejléccel'!$B:$B,'Felosztás eredménykim'!$B273,'Eredeti fejléccel'!$AR:$AR)</f>
        <v>0</v>
      </c>
      <c r="BU273" s="6">
        <f>SUMIF('Eredeti fejléccel'!$B:$B,'Felosztás eredménykim'!$B273,'Eredeti fejléccel'!$AU:$AU)</f>
        <v>0</v>
      </c>
      <c r="BV273" s="6">
        <f>SUMIF('Eredeti fejléccel'!$B:$B,'Felosztás eredménykim'!$B273,'Eredeti fejléccel'!$AV:$AV)</f>
        <v>-45000</v>
      </c>
      <c r="BW273" s="6">
        <f>SUMIF('Eredeti fejléccel'!$B:$B,'Felosztás eredménykim'!$B273,'Eredeti fejléccel'!$AW:$AW)</f>
        <v>0</v>
      </c>
      <c r="BX273" s="6">
        <f>SUMIF('Eredeti fejléccel'!$B:$B,'Felosztás eredménykim'!$B273,'Eredeti fejléccel'!$AX:$AX)</f>
        <v>0</v>
      </c>
      <c r="BY273" s="6">
        <f>SUMIF('Eredeti fejléccel'!$B:$B,'Felosztás eredménykim'!$B273,'Eredeti fejléccel'!$AY:$AY)</f>
        <v>0</v>
      </c>
      <c r="BZ273" s="6">
        <f>SUMIF('Eredeti fejléccel'!$B:$B,'Felosztás eredménykim'!$B273,'Eredeti fejléccel'!$AZ:$AZ)</f>
        <v>0</v>
      </c>
      <c r="CA273" s="6">
        <f>SUMIF('Eredeti fejléccel'!$B:$B,'Felosztás eredménykim'!$B273,'Eredeti fejléccel'!$BA:$BA)</f>
        <v>-7677772</v>
      </c>
      <c r="CB273" s="6">
        <f t="shared" si="481"/>
        <v>-7722772</v>
      </c>
      <c r="CC273" s="36">
        <f>$X273/$HD$290*(CD$290+CD$291)</f>
        <v>0</v>
      </c>
      <c r="CD273" s="8">
        <f>$AE273/$HD$291*CD$290</f>
        <v>0</v>
      </c>
      <c r="CE273" s="6">
        <f>SUMIF('Eredeti fejléccel'!$B:$B,'Felosztás eredménykim'!$B273,'Eredeti fejléccel'!$BC:$BC)</f>
        <v>0</v>
      </c>
      <c r="CF273" s="8">
        <f t="shared" si="555"/>
        <v>0</v>
      </c>
      <c r="CG273" s="6">
        <f>SUMIF('Eredeti fejléccel'!$B:$B,'Felosztás eredménykim'!$B273,'Eredeti fejléccel'!$H:$H)</f>
        <v>0</v>
      </c>
      <c r="CH273" s="6">
        <f>SUMIF('Eredeti fejléccel'!$B:$B,'Felosztás eredménykim'!$B273,'Eredeti fejléccel'!$BE:$BE)</f>
        <v>-537238</v>
      </c>
      <c r="CI273" s="6">
        <f t="shared" si="524"/>
        <v>-537238</v>
      </c>
      <c r="CJ273" s="36">
        <f>$X273/$HD$290*(CK$290+CK$291)</f>
        <v>0</v>
      </c>
      <c r="CK273" s="8">
        <f>$AE273/$HD$291*CK$290</f>
        <v>0</v>
      </c>
      <c r="CL273" s="8">
        <f t="shared" si="557"/>
        <v>0</v>
      </c>
      <c r="CM273" s="6">
        <f>SUMIF('Eredeti fejléccel'!$B:$B,'Felosztás eredménykim'!$B273,'Eredeti fejléccel'!$BD:$BD)</f>
        <v>-144009</v>
      </c>
      <c r="CN273" s="8">
        <f t="shared" si="525"/>
        <v>-144009</v>
      </c>
      <c r="CO273" s="8">
        <f t="shared" si="482"/>
        <v>-9056062</v>
      </c>
      <c r="CR273" s="36">
        <f>$X273/$HD$290*CR$290</f>
        <v>0</v>
      </c>
      <c r="CS273" s="6">
        <f>SUMIF('Eredeti fejléccel'!$B:$B,'Felosztás eredménykim'!$B273,'Eredeti fejléccel'!$I:$I)</f>
        <v>0</v>
      </c>
      <c r="CT273" s="6">
        <f>SUMIF('Eredeti fejléccel'!$B:$B,'Felosztás eredménykim'!$B273,'Eredeti fejléccel'!$BG:$BG)</f>
        <v>0</v>
      </c>
      <c r="CU273" s="6">
        <f>SUMIF('Eredeti fejléccel'!$B:$B,'Felosztás eredménykim'!$B273,'Eredeti fejléccel'!$BH:$BH)</f>
        <v>-199563</v>
      </c>
      <c r="CV273" s="6">
        <f>SUMIF('Eredeti fejléccel'!$B:$B,'Felosztás eredménykim'!$B273,'Eredeti fejléccel'!$BI:$BI)</f>
        <v>0</v>
      </c>
      <c r="CW273" s="6">
        <f>SUMIF('Eredeti fejléccel'!$B:$B,'Felosztás eredménykim'!$B273,'Eredeti fejléccel'!$BL:$BL)</f>
        <v>-169880</v>
      </c>
      <c r="CX273" s="6">
        <f t="shared" si="526"/>
        <v>-369443</v>
      </c>
      <c r="CY273" s="6">
        <f>SUMIF('Eredeti fejléccel'!$B:$B,'Felosztás eredménykim'!$B273,'Eredeti fejléccel'!$BJ:$BJ)</f>
        <v>0</v>
      </c>
      <c r="CZ273" s="6">
        <f>SUMIF('Eredeti fejléccel'!$B:$B,'Felosztás eredménykim'!$B273,'Eredeti fejléccel'!$BK:$BK)</f>
        <v>0</v>
      </c>
      <c r="DA273" s="99">
        <f t="shared" si="637"/>
        <v>-369443</v>
      </c>
      <c r="DC273" s="36">
        <f>$X273/$HD$290*DC$290</f>
        <v>0</v>
      </c>
      <c r="DD273" s="6">
        <f>SUMIF('Eredeti fejléccel'!$B:$B,'Felosztás eredménykim'!$B273,'Eredeti fejléccel'!$J:$J)</f>
        <v>0</v>
      </c>
      <c r="DE273" s="6">
        <f>SUMIF('Eredeti fejléccel'!$B:$B,'Felosztás eredménykim'!$B273,'Eredeti fejléccel'!$BM:$BM)</f>
        <v>0</v>
      </c>
      <c r="DF273" s="6">
        <f t="shared" si="543"/>
        <v>0</v>
      </c>
      <c r="DG273" s="8">
        <f t="shared" si="636"/>
        <v>0</v>
      </c>
      <c r="DH273" s="8">
        <f t="shared" si="544"/>
        <v>0</v>
      </c>
      <c r="DJ273" s="6">
        <f>SUMIF('Eredeti fejléccel'!$B:$B,'Felosztás eredménykim'!$B273,'Eredeti fejléccel'!$BN:$BN)</f>
        <v>0</v>
      </c>
      <c r="DK273" s="6">
        <f>SUMIF('Eredeti fejléccel'!$B:$B,'Felosztás eredménykim'!$B273,'Eredeti fejléccel'!$BZ:$BZ)</f>
        <v>0</v>
      </c>
      <c r="DL273" s="8">
        <f t="shared" si="545"/>
        <v>0</v>
      </c>
      <c r="DM273" s="6">
        <f>SUMIF('Eredeti fejléccel'!$B:$B,'Felosztás eredménykim'!$B273,'Eredeti fejléccel'!$BR:$BR)</f>
        <v>0</v>
      </c>
      <c r="DN273" s="6">
        <f>SUMIF('Eredeti fejléccel'!$B:$B,'Felosztás eredménykim'!$B273,'Eredeti fejléccel'!$BS:$BS)</f>
        <v>0</v>
      </c>
      <c r="DO273" s="6">
        <f>SUMIF('Eredeti fejléccel'!$B:$B,'Felosztás eredménykim'!$B273,'Eredeti fejléccel'!$BO:$BO)</f>
        <v>0</v>
      </c>
      <c r="DP273" s="6">
        <f>SUMIF('Eredeti fejléccel'!$B:$B,'Felosztás eredménykim'!$B273,'Eredeti fejléccel'!$BP:$BP)</f>
        <v>0</v>
      </c>
      <c r="DQ273" s="6">
        <f>SUMIF('Eredeti fejléccel'!$B:$B,'Felosztás eredménykim'!$B273,'Eredeti fejléccel'!$BQ:$BQ)</f>
        <v>0</v>
      </c>
      <c r="DS273" s="8"/>
      <c r="DU273" s="6">
        <f>SUMIF('Eredeti fejléccel'!$B:$B,'Felosztás eredménykim'!$B273,'Eredeti fejléccel'!$BT:$BT)</f>
        <v>0</v>
      </c>
      <c r="DV273" s="6">
        <f>SUMIF('Eredeti fejléccel'!$B:$B,'Felosztás eredménykim'!$B273,'Eredeti fejléccel'!$BU:$BU)</f>
        <v>0</v>
      </c>
      <c r="DW273" s="6">
        <f>SUMIF('Eredeti fejléccel'!$B:$B,'Felosztás eredménykim'!$B273,'Eredeti fejléccel'!$BV:$BV)</f>
        <v>0</v>
      </c>
      <c r="DX273" s="6">
        <f>SUMIF('Eredeti fejléccel'!$B:$B,'Felosztás eredménykim'!$B273,'Eredeti fejléccel'!$BW:$BW)</f>
        <v>0</v>
      </c>
      <c r="DY273" s="6">
        <f>SUMIF('Eredeti fejléccel'!$B:$B,'Felosztás eredménykim'!$B273,'Eredeti fejléccel'!$BX:$BX)</f>
        <v>0</v>
      </c>
      <c r="EA273" s="6"/>
      <c r="EC273" s="6"/>
      <c r="EE273" s="6">
        <f>SUMIF('Eredeti fejléccel'!$B:$B,'Felosztás eredménykim'!$B273,'Eredeti fejléccel'!$CA:$CA)</f>
        <v>0</v>
      </c>
      <c r="EF273" s="6">
        <f>SUMIF('Eredeti fejléccel'!$B:$B,'Felosztás eredménykim'!$B273,'Eredeti fejléccel'!$CB:$CB)</f>
        <v>0</v>
      </c>
      <c r="EG273" s="6">
        <f>SUMIF('Eredeti fejléccel'!$B:$B,'Felosztás eredménykim'!$B273,'Eredeti fejléccel'!$CC:$CC)</f>
        <v>0</v>
      </c>
      <c r="EH273" s="6">
        <f>SUMIF('Eredeti fejléccel'!$B:$B,'Felosztás eredménykim'!$B273,'Eredeti fejléccel'!$CD:$CD)</f>
        <v>0</v>
      </c>
      <c r="EK273" s="6">
        <f>SUMIF('Eredeti fejléccel'!$B:$B,'Felosztás eredménykim'!$B273,'Eredeti fejléccel'!$CE:$CE)</f>
        <v>0</v>
      </c>
      <c r="EN273" s="6">
        <f>SUMIF('Eredeti fejléccel'!$B:$B,'Felosztás eredménykim'!$B273,'Eredeti fejléccel'!$CF:$CF)</f>
        <v>0</v>
      </c>
      <c r="EP273" s="6">
        <f>SUMIF('Eredeti fejléccel'!$B:$B,'Felosztás eredménykim'!$B273,'Eredeti fejléccel'!$CG:$CG)</f>
        <v>0</v>
      </c>
      <c r="ES273" s="6">
        <f>SUMIF('Eredeti fejléccel'!$B:$B,'Felosztás eredménykim'!$B273,'Eredeti fejléccel'!$CH:$CH)</f>
        <v>0</v>
      </c>
      <c r="ET273" s="6">
        <f>SUMIF('Eredeti fejléccel'!$B:$B,'Felosztás eredménykim'!$B273,'Eredeti fejléccel'!$CI:$CI)</f>
        <v>0</v>
      </c>
      <c r="EW273" s="8">
        <f t="shared" si="535"/>
        <v>0</v>
      </c>
      <c r="EX273" s="8">
        <f t="shared" si="527"/>
        <v>0</v>
      </c>
      <c r="EY273" s="8">
        <f t="shared" si="638"/>
        <v>0</v>
      </c>
      <c r="EZ273" s="8">
        <f t="shared" si="536"/>
        <v>0</v>
      </c>
      <c r="FA273" s="8">
        <f t="shared" si="537"/>
        <v>0</v>
      </c>
      <c r="FC273" s="6">
        <f>SUMIF('Eredeti fejléccel'!$B:$B,'Felosztás eredménykim'!$B273,'Eredeti fejléccel'!$L:$L)</f>
        <v>0</v>
      </c>
      <c r="FD273" s="6">
        <f>SUMIF('Eredeti fejléccel'!$B:$B,'Felosztás eredménykim'!$B273,'Eredeti fejléccel'!$CJ:$CJ)</f>
        <v>-1481422</v>
      </c>
      <c r="FE273" s="6">
        <f>SUMIF('Eredeti fejléccel'!$B:$B,'Felosztás eredménykim'!$B273,'Eredeti fejléccel'!$CL:$CL)</f>
        <v>0</v>
      </c>
      <c r="FF273" s="73">
        <f>-FD273</f>
        <v>1481422</v>
      </c>
      <c r="FG273" s="99">
        <f t="shared" si="528"/>
        <v>0</v>
      </c>
      <c r="FH273" s="6">
        <f>SUMIF('Eredeti fejléccel'!$B:$B,'Felosztás eredménykim'!$B273,'Eredeti fejléccel'!$CK:$CK)</f>
        <v>0</v>
      </c>
      <c r="FI273" s="36">
        <f>$X273/$HD$290*(FJ$290+FJ$293)</f>
        <v>0</v>
      </c>
      <c r="FJ273" s="101">
        <f>$FG273/$HD$292*FJ$292</f>
        <v>0</v>
      </c>
      <c r="FK273" s="6">
        <f>SUMIF('Eredeti fejléccel'!$B:$B,'Felosztás eredménykim'!$B273,'Eredeti fejléccel'!$CM:$CM)</f>
        <v>0</v>
      </c>
      <c r="FL273" s="6">
        <f>SUMIF('Eredeti fejléccel'!$B:$B,'Felosztás eredménykim'!$B273,'Eredeti fejléccel'!$CN:$CN)</f>
        <v>0</v>
      </c>
      <c r="FM273" s="8">
        <f t="shared" si="529"/>
        <v>0</v>
      </c>
      <c r="FN273" s="36">
        <f>$X273/$HD$290*(FO$290+FO$293)</f>
        <v>0</v>
      </c>
      <c r="FO273" s="101">
        <f>$FG273/$HD$292*FO$292</f>
        <v>0</v>
      </c>
      <c r="FP273" s="6">
        <f>SUMIF('Eredeti fejléccel'!$B:$B,'Felosztás eredménykim'!$B273,'Eredeti fejléccel'!$CO:$CO)</f>
        <v>-3324366</v>
      </c>
      <c r="FQ273" s="6">
        <f>'Eredeti fejléccel'!CP273</f>
        <v>0</v>
      </c>
      <c r="FR273" s="6">
        <f>'Eredeti fejléccel'!CQ273</f>
        <v>0</v>
      </c>
      <c r="FS273" s="103">
        <f t="shared" si="639"/>
        <v>-3324366</v>
      </c>
      <c r="FT273" s="36">
        <f>$X273/$HD$290*(FU$290+FU$293)</f>
        <v>0</v>
      </c>
      <c r="FU273" s="101">
        <f>$FG273/$HD$292*FU$292</f>
        <v>0</v>
      </c>
      <c r="FV273" s="101"/>
      <c r="FW273" s="6">
        <f>SUMIF('Eredeti fejléccel'!$B:$B,'Felosztás eredménykim'!$B273,'Eredeti fejléccel'!$CR:$CR)</f>
        <v>-17226605</v>
      </c>
      <c r="FX273" s="6">
        <f>SUMIF('Eredeti fejléccel'!$B:$B,'Felosztás eredménykim'!$B273,'Eredeti fejléccel'!$CS:$CS)</f>
        <v>0</v>
      </c>
      <c r="FY273" s="6">
        <f>SUMIF('Eredeti fejléccel'!$B:$B,'Felosztás eredménykim'!$B273,'Eredeti fejléccel'!$CT:$CT)</f>
        <v>-1045886</v>
      </c>
      <c r="FZ273" s="6">
        <f>SUMIF('Eredeti fejléccel'!$B:$B,'Felosztás eredménykim'!$B273,'Eredeti fejléccel'!$CU:$CU)</f>
        <v>0</v>
      </c>
      <c r="GA273" s="103">
        <f t="shared" si="530"/>
        <v>-18272491</v>
      </c>
      <c r="GB273" s="36">
        <f>$X273/$HD$290*(GC$290+GC$293)</f>
        <v>0</v>
      </c>
      <c r="GC273" s="101">
        <f>$FG273/$HD$292*GC$292</f>
        <v>0</v>
      </c>
      <c r="GD273" s="6">
        <f>SUMIF('Eredeti fejléccel'!$B:$B,'Felosztás eredménykim'!$B273,'Eredeti fejléccel'!$CV:$CV)</f>
        <v>-2744486</v>
      </c>
      <c r="GE273" s="6">
        <f>SUMIF('Eredeti fejléccel'!$B:$B,'Felosztás eredménykim'!$B273,'Eredeti fejléccel'!$CW:$CW)</f>
        <v>-183858</v>
      </c>
      <c r="GF273" s="103">
        <f t="shared" si="531"/>
        <v>-2928344</v>
      </c>
      <c r="GG273" s="36">
        <f>$X273/$HD$290*GG$290</f>
        <v>0</v>
      </c>
      <c r="GM273" s="6">
        <f>SUMIF('Eredeti fejléccel'!$B:$B,'Felosztás eredménykim'!$B273,'Eredeti fejléccel'!$CX:$CX)</f>
        <v>0</v>
      </c>
      <c r="GN273" s="6">
        <f>SUMIF('Eredeti fejléccel'!$B:$B,'Felosztás eredménykim'!$B273,'Eredeti fejléccel'!$CY:$CY)</f>
        <v>0</v>
      </c>
      <c r="GO273" s="6">
        <f>SUMIF('Eredeti fejléccel'!$B:$B,'Felosztás eredménykim'!$B273,'Eredeti fejléccel'!$CZ:$CZ)</f>
        <v>0</v>
      </c>
      <c r="GP273" s="6">
        <f>SUMIF('Eredeti fejléccel'!$B:$B,'Felosztás eredménykim'!$B273,'Eredeti fejléccel'!$DA:$DA)</f>
        <v>0</v>
      </c>
      <c r="GQ273" s="6">
        <f>SUMIF('Eredeti fejléccel'!$B:$B,'Felosztás eredménykim'!$B273,'Eredeti fejléccel'!$DB:$DB)</f>
        <v>0</v>
      </c>
      <c r="GR273" s="103">
        <f t="shared" si="532"/>
        <v>0</v>
      </c>
      <c r="GW273" s="36">
        <f>$X273/$HD$290*GW$290</f>
        <v>0</v>
      </c>
      <c r="GX273" s="6">
        <f>SUMIF('Eredeti fejléccel'!$B:$B,'Felosztás eredménykim'!$B273,'Eredeti fejléccel'!$M:$M)</f>
        <v>0</v>
      </c>
      <c r="GY273" s="6">
        <f>SUMIF('Eredeti fejléccel'!$B:$B,'Felosztás eredménykim'!$B273,'Eredeti fejléccel'!$DC:$DC)</f>
        <v>-536680</v>
      </c>
      <c r="GZ273" s="6">
        <f>SUMIF('Eredeti fejléccel'!$B:$B,'Felosztás eredménykim'!$B273,'Eredeti fejléccel'!$DD:$DD)</f>
        <v>0</v>
      </c>
      <c r="HA273" s="6">
        <f>SUMIF('Eredeti fejléccel'!$B:$B,'Felosztás eredménykim'!$B273,'Eredeti fejléccel'!$DE:$DE)</f>
        <v>0</v>
      </c>
      <c r="HB273" s="103">
        <f t="shared" si="533"/>
        <v>-536680</v>
      </c>
      <c r="HD273" s="9">
        <f t="shared" si="694"/>
        <v>-60660587</v>
      </c>
      <c r="HE273" s="9">
        <v>-60660587</v>
      </c>
      <c r="HF273" s="476"/>
      <c r="HH273" s="554">
        <f t="shared" si="534"/>
        <v>0</v>
      </c>
    </row>
    <row r="274" spans="1:232" x14ac:dyDescent="0.25">
      <c r="A274" s="4" t="s">
        <v>1633</v>
      </c>
      <c r="B274" s="4" t="s">
        <v>1633</v>
      </c>
      <c r="C274" s="1" t="s">
        <v>1634</v>
      </c>
      <c r="D274" s="6">
        <f>SUMIF('Eredeti fejléccel'!$B:$B,'Felosztás eredménykim'!$B274,'Eredeti fejléccel'!$D:$D)</f>
        <v>0</v>
      </c>
      <c r="E274" s="6">
        <f>SUMIF('Eredeti fejléccel'!$B:$B,'Felosztás eredménykim'!$B274,'Eredeti fejléccel'!$E:$E)</f>
        <v>0</v>
      </c>
      <c r="F274" s="6">
        <f>SUMIF('Eredeti fejléccel'!$B:$B,'Felosztás eredménykim'!$B274,'Eredeti fejléccel'!$F:$F)</f>
        <v>0</v>
      </c>
      <c r="G274" s="6">
        <f>SUMIF('Eredeti fejléccel'!$B:$B,'Felosztás eredménykim'!$B274,'Eredeti fejléccel'!$G:$G)</f>
        <v>0</v>
      </c>
      <c r="H274" s="6"/>
      <c r="I274" s="6">
        <f>SUMIF('Eredeti fejléccel'!$B:$B,'Felosztás eredménykim'!$B274,'Eredeti fejléccel'!$O:$O)</f>
        <v>0</v>
      </c>
      <c r="J274" s="6">
        <f>SUMIF('Eredeti fejléccel'!$B:$B,'Felosztás eredménykim'!$B274,'Eredeti fejléccel'!$P:$P)</f>
        <v>0</v>
      </c>
      <c r="K274" s="6">
        <f>SUMIF('Eredeti fejléccel'!$B:$B,'Felosztás eredménykim'!$B274,'Eredeti fejléccel'!$Q:$Q)</f>
        <v>0</v>
      </c>
      <c r="L274" s="6">
        <f>SUMIF('Eredeti fejléccel'!$B:$B,'Felosztás eredménykim'!$B274,'Eredeti fejléccel'!$R:$R)</f>
        <v>0</v>
      </c>
      <c r="M274" s="6">
        <f>SUMIF('Eredeti fejléccel'!$B:$B,'Felosztás eredménykim'!$B274,'Eredeti fejléccel'!$T:$T)</f>
        <v>0</v>
      </c>
      <c r="N274" s="6">
        <f>SUMIF('Eredeti fejléccel'!$B:$B,'Felosztás eredménykim'!$B274,'Eredeti fejléccel'!$U:$U)</f>
        <v>0</v>
      </c>
      <c r="O274" s="6">
        <f>SUMIF('Eredeti fejléccel'!$B:$B,'Felosztás eredménykim'!$B274,'Eredeti fejléccel'!$V:$V)</f>
        <v>0</v>
      </c>
      <c r="P274" s="6">
        <f>SUMIF('Eredeti fejléccel'!$B:$B,'Felosztás eredménykim'!$B274,'Eredeti fejléccel'!$W:$W)</f>
        <v>0</v>
      </c>
      <c r="Q274" s="6">
        <f>SUMIF('Eredeti fejléccel'!$B:$B,'Felosztás eredménykim'!$B274,'Eredeti fejléccel'!$X:$X)</f>
        <v>0</v>
      </c>
      <c r="R274" s="6">
        <f>SUMIF('Eredeti fejléccel'!$B:$B,'Felosztás eredménykim'!$B274,'Eredeti fejléccel'!$Y:$Y)</f>
        <v>0</v>
      </c>
      <c r="S274" s="6">
        <f>SUMIF('Eredeti fejléccel'!$B:$B,'Felosztás eredménykim'!$B274,'Eredeti fejléccel'!$Z:$Z)</f>
        <v>0</v>
      </c>
      <c r="T274" s="6">
        <f>SUMIF('Eredeti fejléccel'!$B:$B,'Felosztás eredménykim'!$B274,'Eredeti fejléccel'!$AA:$AA)</f>
        <v>0</v>
      </c>
      <c r="U274" s="6">
        <f>SUMIF('Eredeti fejléccel'!$B:$B,'Felosztás eredménykim'!$B274,'Eredeti fejléccel'!$D:$D)</f>
        <v>0</v>
      </c>
      <c r="V274" s="6">
        <f>SUMIF('Eredeti fejléccel'!$B:$B,'Felosztás eredménykim'!$B274,'Eredeti fejléccel'!$AT:$AT)</f>
        <v>0</v>
      </c>
      <c r="X274" s="36">
        <f t="shared" si="635"/>
        <v>0</v>
      </c>
      <c r="Z274" s="6">
        <f>SUMIF('Eredeti fejléccel'!$B:$B,'Felosztás eredménykim'!$B274,'Eredeti fejléccel'!$K:$K)</f>
        <v>0</v>
      </c>
      <c r="AB274" s="6">
        <f>SUMIF('Eredeti fejléccel'!$B:$B,'Felosztás eredménykim'!$B274,'Eredeti fejléccel'!$AB:$AB)</f>
        <v>0</v>
      </c>
      <c r="AC274" s="6">
        <f>SUMIF('Eredeti fejléccel'!$B:$B,'Felosztás eredménykim'!$B274,'Eredeti fejléccel'!$AQ:$AQ)</f>
        <v>0</v>
      </c>
      <c r="AE274" s="73">
        <f t="shared" ref="AE274" si="696">SUM(Z274:AD274)</f>
        <v>0</v>
      </c>
      <c r="AF274" s="36">
        <f>$X274/$HD$290*(AG$290+AG$291)</f>
        <v>0</v>
      </c>
      <c r="AG274" s="8">
        <f>$AE274/$HD$291*AG$290</f>
        <v>0</v>
      </c>
      <c r="AI274" s="6">
        <f>SUMIF('Eredeti fejléccel'!$B:$B,'Felosztás eredménykim'!$B274,'Eredeti fejléccel'!$BB:$BB)</f>
        <v>0</v>
      </c>
      <c r="AJ274" s="6">
        <f>SUMIF('Eredeti fejléccel'!$B:$B,'Felosztás eredménykim'!$B274,'Eredeti fejléccel'!$AF:$AF)</f>
        <v>0</v>
      </c>
      <c r="AK274" s="8">
        <f t="shared" ref="AK274" si="697">SUM(AG274:AJ274)</f>
        <v>0</v>
      </c>
      <c r="AL274" s="36">
        <f>$X274/$HD$290*(AM$290+AM$291)</f>
        <v>0</v>
      </c>
      <c r="AM274" s="8">
        <f>$AE274/$HD$291*AM$290</f>
        <v>0</v>
      </c>
      <c r="AN274" s="6">
        <f t="shared" ref="AN274" si="698">-AO274/2</f>
        <v>0</v>
      </c>
      <c r="AO274" s="6">
        <f>SUMIF('Eredeti fejléccel'!$B:$B,'Felosztás eredménykim'!$B274,'Eredeti fejléccel'!$AC:$AC)</f>
        <v>0</v>
      </c>
      <c r="AP274" s="6">
        <f>SUMIF('Eredeti fejléccel'!$B:$B,'Felosztás eredménykim'!$B274,'Eredeti fejléccel'!$AD:$AD)</f>
        <v>0</v>
      </c>
      <c r="AQ274" s="6">
        <f>SUMIF('Eredeti fejléccel'!$B:$B,'Felosztás eredménykim'!$B274,'Eredeti fejléccel'!$AE:$AE)</f>
        <v>0</v>
      </c>
      <c r="AR274" s="6">
        <f>SUMIF('Eredeti fejléccel'!$B:$B,'Felosztás eredménykim'!$B274,'Eredeti fejléccel'!$AG:$AG)</f>
        <v>0</v>
      </c>
      <c r="AS274" s="6">
        <f t="shared" ref="AS274" si="699">SUM(AM274:AR274)</f>
        <v>0</v>
      </c>
      <c r="AT274" s="36">
        <f>$X274/$HD$290*(AU$290+AU$291)</f>
        <v>0</v>
      </c>
      <c r="AU274" s="8">
        <f>$AE274/$HD$291*AU$290</f>
        <v>0</v>
      </c>
      <c r="AV274" s="6">
        <f>SUMIF('Eredeti fejléccel'!$B:$B,'Felosztás eredménykim'!$B274,'Eredeti fejléccel'!$AI:$AI)</f>
        <v>0</v>
      </c>
      <c r="AW274" s="6">
        <f>SUMIF('Eredeti fejléccel'!$B:$B,'Felosztás eredménykim'!$B274,'Eredeti fejléccel'!$AJ:$AJ)</f>
        <v>0</v>
      </c>
      <c r="AX274" s="6">
        <f>SUMIF('Eredeti fejléccel'!$B:$B,'Felosztás eredménykim'!$B274,'Eredeti fejléccel'!$AK:$AK)</f>
        <v>0</v>
      </c>
      <c r="AY274" s="6">
        <f>SUMIF('Eredeti fejléccel'!$B:$B,'Felosztás eredménykim'!$B274,'Eredeti fejléccel'!$AL:$AL)</f>
        <v>0</v>
      </c>
      <c r="AZ274" s="6">
        <f>SUMIF('Eredeti fejléccel'!$B:$B,'Felosztás eredménykim'!$B274,'Eredeti fejléccel'!$AM:$AM)</f>
        <v>0</v>
      </c>
      <c r="BA274" s="6">
        <f>SUMIF('Eredeti fejléccel'!$B:$B,'Felosztás eredménykim'!$B274,'Eredeti fejléccel'!$AN:$AN)</f>
        <v>0</v>
      </c>
      <c r="BB274" s="6">
        <f>SUMIF('Eredeti fejléccel'!$B:$B,'Felosztás eredménykim'!$B274,'Eredeti fejléccel'!$AP:$AP)</f>
        <v>0</v>
      </c>
      <c r="BD274" s="6">
        <f>SUMIF('Eredeti fejléccel'!$B:$B,'Felosztás eredménykim'!$B274,'Eredeti fejléccel'!$AS:$AS)</f>
        <v>0</v>
      </c>
      <c r="BE274" s="8">
        <f t="shared" ref="BE274" si="700">SUM(AU274:BD274)</f>
        <v>0</v>
      </c>
      <c r="BF274" s="36">
        <f>$X274/$HD$290*(BG$290+BG$291)</f>
        <v>0</v>
      </c>
      <c r="BG274" s="8">
        <f>$AE274/$HD$291*BG$290</f>
        <v>0</v>
      </c>
      <c r="BH274" s="6">
        <f t="shared" ref="BH274" si="701">AO274/2</f>
        <v>0</v>
      </c>
      <c r="BI274" s="6">
        <f>SUMIF('Eredeti fejléccel'!$B:$B,'Felosztás eredménykim'!$B274,'Eredeti fejléccel'!$AH:$AH)</f>
        <v>0</v>
      </c>
      <c r="BJ274" s="6">
        <f>SUMIF('Eredeti fejléccel'!$B:$B,'Felosztás eredménykim'!$B274,'Eredeti fejléccel'!$AO:$AO)</f>
        <v>0</v>
      </c>
      <c r="BK274" s="6">
        <f>SUMIF('Eredeti fejléccel'!$B:$B,'Felosztás eredménykim'!$B274,'Eredeti fejléccel'!$BF:$BF)</f>
        <v>0</v>
      </c>
      <c r="BL274" s="8">
        <f t="shared" ref="BL274" si="702">SUM(BG274:BK274)</f>
        <v>0</v>
      </c>
      <c r="BM274" s="36">
        <f>$X274/$HD$290*(BN$290+BN$291)</f>
        <v>0</v>
      </c>
      <c r="BN274" s="8">
        <f>$AE274/$HD$291*BN$290</f>
        <v>0</v>
      </c>
      <c r="BP274" s="8">
        <f t="shared" ref="BP274" si="703">-FV274</f>
        <v>0</v>
      </c>
      <c r="BQ274" s="6">
        <f>SUMIF('Eredeti fejléccel'!$B:$B,'Felosztás eredménykim'!$B274,'Eredeti fejléccel'!$N:$N)</f>
        <v>0</v>
      </c>
      <c r="BR274" s="6">
        <f>SUMIF('Eredeti fejléccel'!$B:$B,'Felosztás eredménykim'!$B274,'Eredeti fejléccel'!$S:$S)</f>
        <v>0</v>
      </c>
      <c r="BT274" s="6">
        <f>SUMIF('Eredeti fejléccel'!$B:$B,'Felosztás eredménykim'!$B274,'Eredeti fejléccel'!$AR:$AR)</f>
        <v>0</v>
      </c>
      <c r="BU274" s="6">
        <f>SUMIF('Eredeti fejléccel'!$B:$B,'Felosztás eredménykim'!$B274,'Eredeti fejléccel'!$AU:$AU)</f>
        <v>0</v>
      </c>
      <c r="BV274" s="6">
        <f>SUMIF('Eredeti fejléccel'!$B:$B,'Felosztás eredménykim'!$B274,'Eredeti fejléccel'!$AV:$AV)</f>
        <v>0</v>
      </c>
      <c r="BW274" s="6">
        <f>SUMIF('Eredeti fejléccel'!$B:$B,'Felosztás eredménykim'!$B274,'Eredeti fejléccel'!$AW:$AW)</f>
        <v>0</v>
      </c>
      <c r="BX274" s="6">
        <f>SUMIF('Eredeti fejléccel'!$B:$B,'Felosztás eredménykim'!$B274,'Eredeti fejléccel'!$AX:$AX)</f>
        <v>0</v>
      </c>
      <c r="BY274" s="6">
        <f>SUMIF('Eredeti fejléccel'!$B:$B,'Felosztás eredménykim'!$B274,'Eredeti fejléccel'!$AY:$AY)</f>
        <v>0</v>
      </c>
      <c r="BZ274" s="6">
        <f>SUMIF('Eredeti fejléccel'!$B:$B,'Felosztás eredménykim'!$B274,'Eredeti fejléccel'!$AZ:$AZ)</f>
        <v>0</v>
      </c>
      <c r="CA274" s="6">
        <f>SUMIF('Eredeti fejléccel'!$B:$B,'Felosztás eredménykim'!$B274,'Eredeti fejléccel'!$BA:$BA)</f>
        <v>0</v>
      </c>
      <c r="CB274" s="6">
        <f t="shared" ref="CB274" si="704">SUM(BN274:CA274)</f>
        <v>0</v>
      </c>
      <c r="CC274" s="36">
        <f>$X274/$HD$290*(CD$290+CD$291)</f>
        <v>0</v>
      </c>
      <c r="CD274" s="8">
        <f>$AE274/$HD$291*CD$290</f>
        <v>0</v>
      </c>
      <c r="CE274" s="6">
        <f>SUMIF('Eredeti fejléccel'!$B:$B,'Felosztás eredménykim'!$B274,'Eredeti fejléccel'!$BC:$BC)</f>
        <v>0</v>
      </c>
      <c r="CF274" s="8">
        <f t="shared" ref="CF274" si="705">-CE274/2</f>
        <v>0</v>
      </c>
      <c r="CG274" s="6">
        <f>SUMIF('Eredeti fejléccel'!$B:$B,'Felosztás eredménykim'!$B274,'Eredeti fejléccel'!$H:$H)</f>
        <v>0</v>
      </c>
      <c r="CH274" s="6">
        <f>SUMIF('Eredeti fejléccel'!$B:$B,'Felosztás eredménykim'!$B274,'Eredeti fejléccel'!$BE:$BE)</f>
        <v>0</v>
      </c>
      <c r="CI274" s="6">
        <f t="shared" ref="CI274" si="706">SUM(CD274:CH274)</f>
        <v>0</v>
      </c>
      <c r="CJ274" s="36">
        <f>$X274/$HD$290*(CK$290+CK$291)</f>
        <v>0</v>
      </c>
      <c r="CK274" s="8">
        <f>$AE274/$HD$291*CK$290</f>
        <v>0</v>
      </c>
      <c r="CL274" s="8">
        <f t="shared" ref="CL274" si="707">CE274/2</f>
        <v>0</v>
      </c>
      <c r="CM274" s="6">
        <f>SUMIF('Eredeti fejléccel'!$B:$B,'Felosztás eredménykim'!$B274,'Eredeti fejléccel'!$BD:$BD)</f>
        <v>0</v>
      </c>
      <c r="CN274" s="8">
        <f t="shared" ref="CN274" si="708">SUM(CK274:CM274)</f>
        <v>0</v>
      </c>
      <c r="CO274" s="8">
        <f t="shared" ref="CO274" si="709">+AF274+AK274+AL274+AS274+AT274+BE274+BF274+BL274+BM274+CB274+CC274+CI274+CJ274+CN274</f>
        <v>0</v>
      </c>
      <c r="CR274" s="36">
        <f>$X274/$HD$290*CR$290</f>
        <v>0</v>
      </c>
      <c r="CS274" s="6">
        <f>SUMIF('Eredeti fejléccel'!$B:$B,'Felosztás eredménykim'!$B274,'Eredeti fejléccel'!$I:$I)</f>
        <v>0</v>
      </c>
      <c r="CT274" s="6">
        <f>SUMIF('Eredeti fejléccel'!$B:$B,'Felosztás eredménykim'!$B274,'Eredeti fejléccel'!$BG:$BG)</f>
        <v>0</v>
      </c>
      <c r="CU274" s="6">
        <f>SUMIF('Eredeti fejléccel'!$B:$B,'Felosztás eredménykim'!$B274,'Eredeti fejléccel'!$BH:$BH)</f>
        <v>0</v>
      </c>
      <c r="CV274" s="6">
        <f>SUMIF('Eredeti fejléccel'!$B:$B,'Felosztás eredménykim'!$B274,'Eredeti fejléccel'!$BI:$BI)</f>
        <v>0</v>
      </c>
      <c r="CW274" s="6">
        <f>SUMIF('Eredeti fejléccel'!$B:$B,'Felosztás eredménykim'!$B274,'Eredeti fejléccel'!$BL:$BL)</f>
        <v>0</v>
      </c>
      <c r="CX274" s="6">
        <f t="shared" ref="CX274" si="710">SUM(CS274:CW274)</f>
        <v>0</v>
      </c>
      <c r="CY274" s="6">
        <f>SUMIF('Eredeti fejléccel'!$B:$B,'Felosztás eredménykim'!$B274,'Eredeti fejléccel'!$BJ:$BJ)</f>
        <v>0</v>
      </c>
      <c r="CZ274" s="6">
        <f>SUMIF('Eredeti fejléccel'!$B:$B,'Felosztás eredménykim'!$B274,'Eredeti fejléccel'!$BK:$BK)</f>
        <v>0</v>
      </c>
      <c r="DA274" s="99">
        <f t="shared" si="637"/>
        <v>0</v>
      </c>
      <c r="DC274" s="36">
        <f>$X274/$HD$290*DC$290</f>
        <v>0</v>
      </c>
      <c r="DD274" s="6">
        <f>SUMIF('Eredeti fejléccel'!$B:$B,'Felosztás eredménykim'!$B274,'Eredeti fejléccel'!$J:$J)</f>
        <v>0</v>
      </c>
      <c r="DE274" s="6">
        <f>SUMIF('Eredeti fejléccel'!$B:$B,'Felosztás eredménykim'!$B274,'Eredeti fejléccel'!$BM:$BM)</f>
        <v>0</v>
      </c>
      <c r="DF274" s="6">
        <f t="shared" ref="DF274" si="711">-DI274</f>
        <v>0</v>
      </c>
      <c r="DG274" s="8">
        <f t="shared" ref="DG274" si="712">-BO274</f>
        <v>0</v>
      </c>
      <c r="DH274" s="8">
        <f t="shared" ref="DH274" si="713">SUM(DD274:DG274)</f>
        <v>0</v>
      </c>
      <c r="DJ274" s="6">
        <f>SUMIF('Eredeti fejléccel'!$B:$B,'Felosztás eredménykim'!$B274,'Eredeti fejléccel'!$BN:$BN)</f>
        <v>0</v>
      </c>
      <c r="DK274" s="6">
        <f>SUMIF('Eredeti fejléccel'!$B:$B,'Felosztás eredménykim'!$B274,'Eredeti fejléccel'!$BZ:$BZ)</f>
        <v>0</v>
      </c>
      <c r="DL274" s="8">
        <f t="shared" ref="DL274" si="714">SUM(DI274:DK274)</f>
        <v>0</v>
      </c>
      <c r="DM274" s="6">
        <f>SUMIF('Eredeti fejléccel'!$B:$B,'Felosztás eredménykim'!$B274,'Eredeti fejléccel'!$BR:$BR)</f>
        <v>0</v>
      </c>
      <c r="DN274" s="6">
        <f>SUMIF('Eredeti fejléccel'!$B:$B,'Felosztás eredménykim'!$B274,'Eredeti fejléccel'!$BS:$BS)</f>
        <v>0</v>
      </c>
      <c r="DO274" s="6">
        <f>SUMIF('Eredeti fejléccel'!$B:$B,'Felosztás eredménykim'!$B274,'Eredeti fejléccel'!$BO:$BO)</f>
        <v>0</v>
      </c>
      <c r="DP274" s="6">
        <f>SUMIF('Eredeti fejléccel'!$B:$B,'Felosztás eredménykim'!$B274,'Eredeti fejléccel'!$BP:$BP)</f>
        <v>0</v>
      </c>
      <c r="DQ274" s="6">
        <f>SUMIF('Eredeti fejléccel'!$B:$B,'Felosztás eredménykim'!$B274,'Eredeti fejléccel'!$BQ:$BQ)</f>
        <v>0</v>
      </c>
      <c r="DS274" s="8"/>
      <c r="DU274" s="6">
        <f>SUMIF('Eredeti fejléccel'!$B:$B,'Felosztás eredménykim'!$B274,'Eredeti fejléccel'!$BT:$BT)</f>
        <v>0</v>
      </c>
      <c r="DV274" s="6">
        <f>SUMIF('Eredeti fejléccel'!$B:$B,'Felosztás eredménykim'!$B274,'Eredeti fejléccel'!$BU:$BU)</f>
        <v>0</v>
      </c>
      <c r="DW274" s="6">
        <f>SUMIF('Eredeti fejléccel'!$B:$B,'Felosztás eredménykim'!$B274,'Eredeti fejléccel'!$BV:$BV)</f>
        <v>0</v>
      </c>
      <c r="DX274" s="6">
        <f>SUMIF('Eredeti fejléccel'!$B:$B,'Felosztás eredménykim'!$B274,'Eredeti fejléccel'!$BW:$BW)</f>
        <v>0</v>
      </c>
      <c r="DY274" s="6">
        <f>SUMIF('Eredeti fejléccel'!$B:$B,'Felosztás eredménykim'!$B274,'Eredeti fejléccel'!$BX:$BX)</f>
        <v>0</v>
      </c>
      <c r="EA274" s="6"/>
      <c r="EC274" s="6"/>
      <c r="EE274" s="6">
        <f>SUMIF('Eredeti fejléccel'!$B:$B,'Felosztás eredménykim'!$B274,'Eredeti fejléccel'!$CA:$CA)</f>
        <v>0</v>
      </c>
      <c r="EF274" s="6">
        <f>SUMIF('Eredeti fejléccel'!$B:$B,'Felosztás eredménykim'!$B274,'Eredeti fejléccel'!$CB:$CB)</f>
        <v>0</v>
      </c>
      <c r="EG274" s="6">
        <f>SUMIF('Eredeti fejléccel'!$B:$B,'Felosztás eredménykim'!$B274,'Eredeti fejléccel'!$CC:$CC)</f>
        <v>0</v>
      </c>
      <c r="EH274" s="6">
        <f>SUMIF('Eredeti fejléccel'!$B:$B,'Felosztás eredménykim'!$B274,'Eredeti fejléccel'!$CD:$CD)</f>
        <v>0</v>
      </c>
      <c r="EK274" s="6">
        <f>SUMIF('Eredeti fejléccel'!$B:$B,'Felosztás eredménykim'!$B274,'Eredeti fejléccel'!$CE:$CE)</f>
        <v>0</v>
      </c>
      <c r="EN274" s="6">
        <f>SUMIF('Eredeti fejléccel'!$B:$B,'Felosztás eredménykim'!$B274,'Eredeti fejléccel'!$CF:$CF)</f>
        <v>0</v>
      </c>
      <c r="EP274" s="6">
        <f>SUMIF('Eredeti fejléccel'!$B:$B,'Felosztás eredménykim'!$B274,'Eredeti fejléccel'!$CG:$CG)</f>
        <v>0</v>
      </c>
      <c r="ES274" s="6">
        <f>SUMIF('Eredeti fejléccel'!$B:$B,'Felosztás eredménykim'!$B274,'Eredeti fejléccel'!$CH:$CH)</f>
        <v>0</v>
      </c>
      <c r="ET274" s="6">
        <f>SUMIF('Eredeti fejléccel'!$B:$B,'Felosztás eredménykim'!$B274,'Eredeti fejléccel'!$CI:$CI)</f>
        <v>0</v>
      </c>
      <c r="EW274" s="8">
        <f t="shared" ref="EW274" si="715">SUM(DR274:ED274)</f>
        <v>0</v>
      </c>
      <c r="EX274" s="8">
        <f t="shared" ref="EX274" si="716">SUM(EE274:EV274)</f>
        <v>0</v>
      </c>
      <c r="EY274" s="8">
        <f t="shared" si="638"/>
        <v>0</v>
      </c>
      <c r="EZ274" s="8">
        <f t="shared" ref="EZ274" si="717">EY274+DL274+DM274+DN274+DO274+DP274+DQ274</f>
        <v>0</v>
      </c>
      <c r="FA274" s="8">
        <f t="shared" ref="FA274" si="718">EZ274-DL274-DM274</f>
        <v>0</v>
      </c>
      <c r="FC274" s="6">
        <f>SUMIF('Eredeti fejléccel'!$B:$B,'Felosztás eredménykim'!$B274,'Eredeti fejléccel'!$L:$L)</f>
        <v>0</v>
      </c>
      <c r="FD274" s="6">
        <f>SUMIF('Eredeti fejléccel'!$B:$B,'Felosztás eredménykim'!$B274,'Eredeti fejléccel'!$CJ:$CJ)</f>
        <v>0</v>
      </c>
      <c r="FE274" s="6">
        <f>SUMIF('Eredeti fejléccel'!$B:$B,'Felosztás eredménykim'!$B274,'Eredeti fejléccel'!$CL:$CL)</f>
        <v>0</v>
      </c>
      <c r="FG274" s="99">
        <f t="shared" ref="FG274" si="719">SUM(FC274:FF274)</f>
        <v>0</v>
      </c>
      <c r="FH274" s="6">
        <f>SUMIF('Eredeti fejléccel'!$B:$B,'Felosztás eredménykim'!$B274,'Eredeti fejléccel'!$CK:$CK)</f>
        <v>0</v>
      </c>
      <c r="FI274" s="36">
        <f>$X274/$HD$290*(FJ$290+FJ$293)</f>
        <v>0</v>
      </c>
      <c r="FJ274" s="101">
        <f>$FG274/$HD$292*FJ$292</f>
        <v>0</v>
      </c>
      <c r="FK274" s="6">
        <f>SUMIF('Eredeti fejléccel'!$B:$B,'Felosztás eredménykim'!$B274,'Eredeti fejléccel'!$CM:$CM)</f>
        <v>0</v>
      </c>
      <c r="FL274" s="6">
        <f>SUMIF('Eredeti fejléccel'!$B:$B,'Felosztás eredménykim'!$B274,'Eredeti fejléccel'!$CN:$CN)</f>
        <v>0</v>
      </c>
      <c r="FM274" s="8">
        <f t="shared" ref="FM274" si="720">SUM(FJ274:FL274)</f>
        <v>0</v>
      </c>
      <c r="FN274" s="36">
        <f>$X274/$HD$290*(FO$290+FO$293)</f>
        <v>0</v>
      </c>
      <c r="FO274" s="101">
        <f>$FG274/$HD$292*FO$292</f>
        <v>0</v>
      </c>
      <c r="FP274" s="6">
        <f>SUMIF('Eredeti fejléccel'!$B:$B,'Felosztás eredménykim'!$B274,'Eredeti fejléccel'!$CO:$CO)</f>
        <v>0</v>
      </c>
      <c r="FQ274" s="6">
        <f>'Eredeti fejléccel'!CP274</f>
        <v>0</v>
      </c>
      <c r="FR274" s="6">
        <f>'Eredeti fejléccel'!CQ274</f>
        <v>0</v>
      </c>
      <c r="FS274" s="103">
        <f t="shared" si="639"/>
        <v>0</v>
      </c>
      <c r="FT274" s="36">
        <f>$X274/$HD$290*(FU$290+FU$293)</f>
        <v>0</v>
      </c>
      <c r="FU274" s="101">
        <f>$FG274/$HD$292*FU$292</f>
        <v>0</v>
      </c>
      <c r="FV274" s="101"/>
      <c r="FW274" s="6">
        <f>SUMIF('Eredeti fejléccel'!$B:$B,'Felosztás eredménykim'!$B274,'Eredeti fejléccel'!$CR:$CR)</f>
        <v>0</v>
      </c>
      <c r="FX274" s="6">
        <f>SUMIF('Eredeti fejléccel'!$B:$B,'Felosztás eredménykim'!$B274,'Eredeti fejléccel'!$CS:$CS)</f>
        <v>0</v>
      </c>
      <c r="FY274" s="6">
        <f>SUMIF('Eredeti fejléccel'!$B:$B,'Felosztás eredménykim'!$B274,'Eredeti fejléccel'!$CT:$CT)</f>
        <v>0</v>
      </c>
      <c r="FZ274" s="6">
        <f>SUMIF('Eredeti fejléccel'!$B:$B,'Felosztás eredménykim'!$B274,'Eredeti fejléccel'!$CU:$CU)</f>
        <v>0</v>
      </c>
      <c r="GA274" s="103">
        <f t="shared" ref="GA274" si="721">SUM(FU274:FZ274)</f>
        <v>0</v>
      </c>
      <c r="GB274" s="36">
        <f>$X274/$HD$290*(GC$290+GC$293)</f>
        <v>0</v>
      </c>
      <c r="GC274" s="101">
        <f>$FG274/$HD$292*GC$292</f>
        <v>0</v>
      </c>
      <c r="GD274" s="6">
        <f>SUMIF('Eredeti fejléccel'!$B:$B,'Felosztás eredménykim'!$B274,'Eredeti fejléccel'!$CV:$CV)</f>
        <v>0</v>
      </c>
      <c r="GE274" s="6">
        <f>SUMIF('Eredeti fejléccel'!$B:$B,'Felosztás eredménykim'!$B274,'Eredeti fejléccel'!$CW:$CW)</f>
        <v>0</v>
      </c>
      <c r="GF274" s="103">
        <f t="shared" ref="GF274" si="722">SUM(GC274:GE274)</f>
        <v>0</v>
      </c>
      <c r="GG274" s="36">
        <f>$X274/$HD$290*GG$290</f>
        <v>0</v>
      </c>
      <c r="GM274" s="6">
        <f>SUMIF('Eredeti fejléccel'!$B:$B,'Felosztás eredménykim'!$B274,'Eredeti fejléccel'!$CX:$CX)</f>
        <v>0</v>
      </c>
      <c r="GN274" s="6">
        <f>SUMIF('Eredeti fejléccel'!$B:$B,'Felosztás eredménykim'!$B274,'Eredeti fejléccel'!$CY:$CY)</f>
        <v>0</v>
      </c>
      <c r="GO274" s="6">
        <f>SUMIF('Eredeti fejléccel'!$B:$B,'Felosztás eredménykim'!$B274,'Eredeti fejléccel'!$CZ:$CZ)</f>
        <v>0</v>
      </c>
      <c r="GP274" s="6">
        <f>SUMIF('Eredeti fejléccel'!$B:$B,'Felosztás eredménykim'!$B274,'Eredeti fejléccel'!$DA:$DA)</f>
        <v>0</v>
      </c>
      <c r="GQ274" s="6">
        <f>SUMIF('Eredeti fejléccel'!$B:$B,'Felosztás eredménykim'!$B274,'Eredeti fejléccel'!$DB:$DB)</f>
        <v>0</v>
      </c>
      <c r="GR274" s="103">
        <f t="shared" ref="GR274" si="723">SUM(GH274:GQ274)</f>
        <v>0</v>
      </c>
      <c r="GW274" s="36">
        <f>$X274/$HD$290*GW$290</f>
        <v>0</v>
      </c>
      <c r="GX274" s="6">
        <f>SUMIF('Eredeti fejléccel'!$B:$B,'Felosztás eredménykim'!$B274,'Eredeti fejléccel'!$M:$M)</f>
        <v>0</v>
      </c>
      <c r="GY274" s="6">
        <f>SUMIF('Eredeti fejléccel'!$B:$B,'Felosztás eredménykim'!$B274,'Eredeti fejléccel'!$DC:$DC)</f>
        <v>0</v>
      </c>
      <c r="GZ274" s="6">
        <f>SUMIF('Eredeti fejléccel'!$B:$B,'Felosztás eredménykim'!$B274,'Eredeti fejléccel'!$DD:$DD)</f>
        <v>0</v>
      </c>
      <c r="HA274" s="6">
        <f>SUMIF('Eredeti fejléccel'!$B:$B,'Felosztás eredménykim'!$B274,'Eredeti fejléccel'!$DE:$DE)</f>
        <v>0</v>
      </c>
      <c r="HB274" s="103">
        <f t="shared" ref="HB274" si="724">SUM(GX274:HA274)</f>
        <v>0</v>
      </c>
      <c r="HD274" s="9">
        <f t="shared" si="694"/>
        <v>0</v>
      </c>
      <c r="HE274" s="9"/>
      <c r="HF274" s="476"/>
      <c r="HH274" s="557">
        <f t="shared" ref="HH274" si="725">+HD274-HE274</f>
        <v>0</v>
      </c>
    </row>
    <row r="275" spans="1:232" x14ac:dyDescent="0.25">
      <c r="A275" s="4" t="s">
        <v>361</v>
      </c>
      <c r="B275" s="4" t="s">
        <v>361</v>
      </c>
      <c r="C275" s="1" t="s">
        <v>362</v>
      </c>
      <c r="D275" s="6">
        <f>SUMIF('Eredeti fejléccel'!$B:$B,'Felosztás eredménykim'!$B275,'Eredeti fejléccel'!$D:$D)</f>
        <v>0</v>
      </c>
      <c r="E275" s="6">
        <f>SUMIF('Eredeti fejléccel'!$B:$B,'Felosztás eredménykim'!$B275,'Eredeti fejléccel'!$E:$E)</f>
        <v>-189953.34</v>
      </c>
      <c r="F275" s="6">
        <f>SUMIF('Eredeti fejléccel'!$B:$B,'Felosztás eredménykim'!$B275,'Eredeti fejléccel'!$F:$F)</f>
        <v>0</v>
      </c>
      <c r="G275" s="6">
        <f>SUMIF('Eredeti fejléccel'!$B:$B,'Felosztás eredménykim'!$B275,'Eredeti fejléccel'!$G:$G)</f>
        <v>0</v>
      </c>
      <c r="H275" s="6"/>
      <c r="I275" s="6">
        <f>SUMIF('Eredeti fejléccel'!$B:$B,'Felosztás eredménykim'!$B275,'Eredeti fejléccel'!$O:$O)</f>
        <v>0</v>
      </c>
      <c r="J275" s="6">
        <f>SUMIF('Eredeti fejléccel'!$B:$B,'Felosztás eredménykim'!$B275,'Eredeti fejléccel'!$P:$P)</f>
        <v>0</v>
      </c>
      <c r="K275" s="6">
        <f>SUMIF('Eredeti fejléccel'!$B:$B,'Felosztás eredménykim'!$B275,'Eredeti fejléccel'!$Q:$Q)</f>
        <v>0</v>
      </c>
      <c r="L275" s="6">
        <f>SUMIF('Eredeti fejléccel'!$B:$B,'Felosztás eredménykim'!$B275,'Eredeti fejléccel'!$R:$R)</f>
        <v>0</v>
      </c>
      <c r="M275" s="6">
        <f>SUMIF('Eredeti fejléccel'!$B:$B,'Felosztás eredménykim'!$B275,'Eredeti fejléccel'!$T:$T)</f>
        <v>0</v>
      </c>
      <c r="N275" s="6">
        <f>SUMIF('Eredeti fejléccel'!$B:$B,'Felosztás eredménykim'!$B275,'Eredeti fejléccel'!$U:$U)</f>
        <v>0</v>
      </c>
      <c r="O275" s="6">
        <f>SUMIF('Eredeti fejléccel'!$B:$B,'Felosztás eredménykim'!$B275,'Eredeti fejléccel'!$V:$V)</f>
        <v>0</v>
      </c>
      <c r="P275" s="6">
        <f>SUMIF('Eredeti fejléccel'!$B:$B,'Felosztás eredménykim'!$B275,'Eredeti fejléccel'!$W:$W)</f>
        <v>0</v>
      </c>
      <c r="Q275" s="6">
        <f>SUMIF('Eredeti fejléccel'!$B:$B,'Felosztás eredménykim'!$B275,'Eredeti fejléccel'!$X:$X)</f>
        <v>0</v>
      </c>
      <c r="R275" s="6">
        <f>SUMIF('Eredeti fejléccel'!$B:$B,'Felosztás eredménykim'!$B275,'Eredeti fejléccel'!$Y:$Y)</f>
        <v>0</v>
      </c>
      <c r="S275" s="6">
        <f>SUMIF('Eredeti fejléccel'!$B:$B,'Felosztás eredménykim'!$B275,'Eredeti fejléccel'!$Z:$Z)</f>
        <v>0</v>
      </c>
      <c r="T275" s="6">
        <f>SUMIF('Eredeti fejléccel'!$B:$B,'Felosztás eredménykim'!$B275,'Eredeti fejléccel'!$AA:$AA)</f>
        <v>0</v>
      </c>
      <c r="U275" s="6">
        <f>SUMIF('Eredeti fejléccel'!$B:$B,'Felosztás eredménykim'!$B275,'Eredeti fejléccel'!$D:$D)</f>
        <v>0</v>
      </c>
      <c r="V275" s="6">
        <f>SUMIF('Eredeti fejléccel'!$B:$B,'Felosztás eredménykim'!$B275,'Eredeti fejléccel'!$AT:$AT)</f>
        <v>0</v>
      </c>
      <c r="W275" s="36">
        <v>119063</v>
      </c>
      <c r="X275" s="36">
        <f t="shared" si="635"/>
        <v>-70890.34</v>
      </c>
      <c r="Z275" s="6">
        <f>SUMIF('Eredeti fejléccel'!$B:$B,'Felosztás eredménykim'!$B275,'Eredeti fejléccel'!$K:$K)</f>
        <v>-1</v>
      </c>
      <c r="AB275" s="6">
        <f>SUMIF('Eredeti fejléccel'!$B:$B,'Felosztás eredménykim'!$B275,'Eredeti fejléccel'!$AB:$AB)</f>
        <v>0</v>
      </c>
      <c r="AC275" s="6">
        <f>SUMIF('Eredeti fejléccel'!$B:$B,'Felosztás eredménykim'!$B275,'Eredeti fejléccel'!$AQ:$AQ)</f>
        <v>0</v>
      </c>
      <c r="AE275" s="73">
        <f t="shared" si="548"/>
        <v>-1</v>
      </c>
      <c r="AF275" s="36">
        <f t="shared" ref="AF275:AF280" si="726">$X275/$HD$290*(AG$290+AG$291)</f>
        <v>-8456.8376985313898</v>
      </c>
      <c r="AG275" s="8">
        <f t="shared" ref="AG275:AG280" si="727">$AE275/$HD$291*AG$290</f>
        <v>-0.31884446829442797</v>
      </c>
      <c r="AI275" s="6">
        <f>SUMIF('Eredeti fejléccel'!$B:$B,'Felosztás eredménykim'!$B275,'Eredeti fejléccel'!$BB:$BB)</f>
        <v>0</v>
      </c>
      <c r="AJ275" s="6">
        <f>SUMIF('Eredeti fejléccel'!$B:$B,'Felosztás eredménykim'!$B275,'Eredeti fejléccel'!$AF:$AF)</f>
        <v>0</v>
      </c>
      <c r="AK275" s="8">
        <f t="shared" si="522"/>
        <v>-0.31884446829442797</v>
      </c>
      <c r="AL275" s="36">
        <f t="shared" ref="AL275:AL280" si="728">$X275/$HD$290*(AM$290+AM$291)</f>
        <v>-3359.0132345358902</v>
      </c>
      <c r="AM275" s="8">
        <f t="shared" ref="AM275:AM280" si="729">$AE275/$HD$291*AM$290</f>
        <v>-0.12664341293265358</v>
      </c>
      <c r="AN275" s="6">
        <f t="shared" si="538"/>
        <v>0</v>
      </c>
      <c r="AO275" s="6">
        <f>SUMIF('Eredeti fejléccel'!$B:$B,'Felosztás eredménykim'!$B275,'Eredeti fejléccel'!$AC:$AC)</f>
        <v>0</v>
      </c>
      <c r="AP275" s="6">
        <f>SUMIF('Eredeti fejléccel'!$B:$B,'Felosztás eredménykim'!$B275,'Eredeti fejléccel'!$AD:$AD)</f>
        <v>0</v>
      </c>
      <c r="AQ275" s="6">
        <f>SUMIF('Eredeti fejléccel'!$B:$B,'Felosztás eredménykim'!$B275,'Eredeti fejléccel'!$AE:$AE)</f>
        <v>0</v>
      </c>
      <c r="AR275" s="6">
        <f>SUMIF('Eredeti fejléccel'!$B:$B,'Felosztás eredménykim'!$B275,'Eredeti fejléccel'!$AG:$AG)</f>
        <v>0</v>
      </c>
      <c r="AS275" s="6">
        <f t="shared" si="539"/>
        <v>-0.12664341293265358</v>
      </c>
      <c r="AT275" s="36">
        <f t="shared" ref="AT275:AT280" si="730">$X275/$HD$290*(AU$290+AU$291)</f>
        <v>-5456.0243216331546</v>
      </c>
      <c r="AU275" s="8">
        <f t="shared" ref="AU275:AU280" si="731">$AE275/$HD$291*AU$290</f>
        <v>-0.20570610857705032</v>
      </c>
      <c r="AV275" s="6">
        <f>SUMIF('Eredeti fejléccel'!$B:$B,'Felosztás eredménykim'!$B275,'Eredeti fejléccel'!$AI:$AI)</f>
        <v>0</v>
      </c>
      <c r="AW275" s="6">
        <f>SUMIF('Eredeti fejléccel'!$B:$B,'Felosztás eredménykim'!$B275,'Eredeti fejléccel'!$AJ:$AJ)</f>
        <v>0</v>
      </c>
      <c r="AX275" s="6">
        <f>SUMIF('Eredeti fejléccel'!$B:$B,'Felosztás eredménykim'!$B275,'Eredeti fejléccel'!$AK:$AK)</f>
        <v>0</v>
      </c>
      <c r="AY275" s="6">
        <f>SUMIF('Eredeti fejléccel'!$B:$B,'Felosztás eredménykim'!$B275,'Eredeti fejléccel'!$AL:$AL)</f>
        <v>0</v>
      </c>
      <c r="AZ275" s="6">
        <f>SUMIF('Eredeti fejléccel'!$B:$B,'Felosztás eredménykim'!$B275,'Eredeti fejléccel'!$AM:$AM)</f>
        <v>0</v>
      </c>
      <c r="BA275" s="6">
        <f>SUMIF('Eredeti fejléccel'!$B:$B,'Felosztás eredménykim'!$B275,'Eredeti fejléccel'!$AN:$AN)</f>
        <v>0</v>
      </c>
      <c r="BB275" s="6">
        <f>SUMIF('Eredeti fejléccel'!$B:$B,'Felosztás eredménykim'!$B275,'Eredeti fejléccel'!$AP:$AP)</f>
        <v>0</v>
      </c>
      <c r="BD275" s="6">
        <f>SUMIF('Eredeti fejléccel'!$B:$B,'Felosztás eredménykim'!$B275,'Eredeti fejléccel'!$AS:$AS)</f>
        <v>0</v>
      </c>
      <c r="BE275" s="8">
        <f t="shared" si="523"/>
        <v>-0.20570610857705032</v>
      </c>
      <c r="BF275" s="36">
        <f t="shared" ref="BF275:BF280" si="732">$X275/$HD$290*(BG$290+BG$291)</f>
        <v>-1423.3106925999534</v>
      </c>
      <c r="BG275" s="8">
        <f t="shared" ref="BG275:BG280" si="733">$AE275/$HD$291*BG$290</f>
        <v>-5.3662463107056607E-2</v>
      </c>
      <c r="BH275" s="6">
        <f t="shared" si="540"/>
        <v>0</v>
      </c>
      <c r="BI275" s="6">
        <f>SUMIF('Eredeti fejléccel'!$B:$B,'Felosztás eredménykim'!$B275,'Eredeti fejléccel'!$AH:$AH)</f>
        <v>0</v>
      </c>
      <c r="BJ275" s="6">
        <f>SUMIF('Eredeti fejléccel'!$B:$B,'Felosztás eredménykim'!$B275,'Eredeti fejléccel'!$AO:$AO)</f>
        <v>0</v>
      </c>
      <c r="BK275" s="6">
        <f>SUMIF('Eredeti fejléccel'!$B:$B,'Felosztás eredménykim'!$B275,'Eredeti fejléccel'!$BF:$BF)</f>
        <v>0</v>
      </c>
      <c r="BL275" s="8">
        <f t="shared" si="541"/>
        <v>-5.3662463107056607E-2</v>
      </c>
      <c r="BM275" s="36">
        <f t="shared" ref="BM275:BM280" si="734">$X275/$HD$290*(BN$290+BN$291)</f>
        <v>-5332.6707282744928</v>
      </c>
      <c r="BN275" s="8">
        <f t="shared" ref="BN275:BN280" si="735">$AE275/$HD$291*BN$290</f>
        <v>-0.20105536177443875</v>
      </c>
      <c r="BP275" s="8">
        <f t="shared" si="542"/>
        <v>0</v>
      </c>
      <c r="BQ275" s="6">
        <f>SUMIF('Eredeti fejléccel'!$B:$B,'Felosztás eredménykim'!$B275,'Eredeti fejléccel'!$N:$N)</f>
        <v>0</v>
      </c>
      <c r="BR275" s="6">
        <f>SUMIF('Eredeti fejléccel'!$B:$B,'Felosztás eredménykim'!$B275,'Eredeti fejléccel'!$S:$S)</f>
        <v>0</v>
      </c>
      <c r="BT275" s="6">
        <f>SUMIF('Eredeti fejléccel'!$B:$B,'Felosztás eredménykim'!$B275,'Eredeti fejléccel'!$AR:$AR)</f>
        <v>0</v>
      </c>
      <c r="BU275" s="6">
        <f>SUMIF('Eredeti fejléccel'!$B:$B,'Felosztás eredménykim'!$B275,'Eredeti fejléccel'!$AU:$AU)</f>
        <v>0</v>
      </c>
      <c r="BV275" s="6">
        <f>SUMIF('Eredeti fejléccel'!$B:$B,'Felosztás eredménykim'!$B275,'Eredeti fejléccel'!$AV:$AV)</f>
        <v>0</v>
      </c>
      <c r="BW275" s="6">
        <f>SUMIF('Eredeti fejléccel'!$B:$B,'Felosztás eredménykim'!$B275,'Eredeti fejléccel'!$AW:$AW)</f>
        <v>0</v>
      </c>
      <c r="BX275" s="6">
        <f>SUMIF('Eredeti fejléccel'!$B:$B,'Felosztás eredménykim'!$B275,'Eredeti fejléccel'!$AX:$AX)</f>
        <v>0</v>
      </c>
      <c r="BY275" s="6">
        <f>SUMIF('Eredeti fejléccel'!$B:$B,'Felosztás eredménykim'!$B275,'Eredeti fejléccel'!$AY:$AY)</f>
        <v>0</v>
      </c>
      <c r="BZ275" s="6">
        <f>SUMIF('Eredeti fejléccel'!$B:$B,'Felosztás eredménykim'!$B275,'Eredeti fejléccel'!$AZ:$AZ)</f>
        <v>0</v>
      </c>
      <c r="CA275" s="6">
        <f>SUMIF('Eredeti fejléccel'!$B:$B,'Felosztás eredménykim'!$B275,'Eredeti fejléccel'!$BA:$BA)</f>
        <v>0</v>
      </c>
      <c r="CB275" s="6">
        <f t="shared" si="481"/>
        <v>-0.20105536177443875</v>
      </c>
      <c r="CC275" s="36">
        <f t="shared" ref="CC275:CC280" si="736">$X275/$HD$290*(CD$290+CD$291)</f>
        <v>-1451.7769064519525</v>
      </c>
      <c r="CD275" s="8">
        <f t="shared" ref="CD275:CD280" si="737">$AE275/$HD$291*CD$290</f>
        <v>-5.4735712369197734E-2</v>
      </c>
      <c r="CE275" s="6">
        <f>SUMIF('Eredeti fejléccel'!$B:$B,'Felosztás eredménykim'!$B275,'Eredeti fejléccel'!$BC:$BC)</f>
        <v>0</v>
      </c>
      <c r="CF275" s="8">
        <f t="shared" si="555"/>
        <v>0</v>
      </c>
      <c r="CG275" s="6">
        <f>SUMIF('Eredeti fejléccel'!$B:$B,'Felosztás eredménykim'!$B275,'Eredeti fejléccel'!$H:$H)</f>
        <v>0</v>
      </c>
      <c r="CH275" s="6">
        <f>SUMIF('Eredeti fejléccel'!$B:$B,'Felosztás eredménykim'!$B275,'Eredeti fejléccel'!$BE:$BE)</f>
        <v>-32</v>
      </c>
      <c r="CI275" s="6">
        <f t="shared" si="524"/>
        <v>-32.054735712369201</v>
      </c>
      <c r="CJ275" s="36">
        <f t="shared" ref="CJ275:CJ280" si="738">$X275/$HD$290*(CK$290+CK$291)</f>
        <v>-1043.7611745732993</v>
      </c>
      <c r="CK275" s="8">
        <f t="shared" ref="CK275:CK280" si="739">$AE275/$HD$291*CK$290</f>
        <v>-3.9352472945174848E-2</v>
      </c>
      <c r="CL275" s="8">
        <f t="shared" si="557"/>
        <v>0</v>
      </c>
      <c r="CM275" s="6">
        <f>SUMIF('Eredeti fejléccel'!$B:$B,'Felosztás eredménykim'!$B275,'Eredeti fejléccel'!$BD:$BD)</f>
        <v>0</v>
      </c>
      <c r="CN275" s="8">
        <f t="shared" si="525"/>
        <v>-3.9352472945174848E-2</v>
      </c>
      <c r="CO275" s="8">
        <f t="shared" si="482"/>
        <v>-26556.39475660013</v>
      </c>
      <c r="CR275" s="36">
        <f t="shared" ref="CR275:CR280" si="740">$X275/$HD$290*CR$290</f>
        <v>-6269.6640045074055</v>
      </c>
      <c r="CS275" s="6">
        <f>SUMIF('Eredeti fejléccel'!$B:$B,'Felosztás eredménykim'!$B275,'Eredeti fejléccel'!$I:$I)</f>
        <v>-5</v>
      </c>
      <c r="CT275" s="6">
        <f>SUMIF('Eredeti fejléccel'!$B:$B,'Felosztás eredménykim'!$B275,'Eredeti fejléccel'!$BG:$BG)</f>
        <v>0</v>
      </c>
      <c r="CU275" s="6">
        <f>SUMIF('Eredeti fejléccel'!$B:$B,'Felosztás eredménykim'!$B275,'Eredeti fejléccel'!$BH:$BH)</f>
        <v>0</v>
      </c>
      <c r="CV275" s="6">
        <f>SUMIF('Eredeti fejléccel'!$B:$B,'Felosztás eredménykim'!$B275,'Eredeti fejléccel'!$BI:$BI)</f>
        <v>0</v>
      </c>
      <c r="CW275" s="6">
        <f>SUMIF('Eredeti fejléccel'!$B:$B,'Felosztás eredménykim'!$B275,'Eredeti fejléccel'!$BL:$BL)</f>
        <v>0</v>
      </c>
      <c r="CX275" s="6">
        <f t="shared" si="526"/>
        <v>-5</v>
      </c>
      <c r="CY275" s="6">
        <f>SUMIF('Eredeti fejléccel'!$B:$B,'Felosztás eredménykim'!$B275,'Eredeti fejléccel'!$BJ:$BJ)</f>
        <v>0</v>
      </c>
      <c r="CZ275" s="6">
        <f>SUMIF('Eredeti fejléccel'!$B:$B,'Felosztás eredménykim'!$B275,'Eredeti fejléccel'!$BK:$BK)</f>
        <v>0</v>
      </c>
      <c r="DA275" s="99">
        <f t="shared" si="637"/>
        <v>-5</v>
      </c>
      <c r="DC275" s="36">
        <f t="shared" ref="DC275:DC280" si="741">$X275/$HD$290*DC$290</f>
        <v>-5491.3766271732147</v>
      </c>
      <c r="DD275" s="6">
        <f>SUMIF('Eredeti fejléccel'!$B:$B,'Felosztás eredménykim'!$B275,'Eredeti fejléccel'!$J:$J)</f>
        <v>0</v>
      </c>
      <c r="DE275" s="6">
        <f>SUMIF('Eredeti fejléccel'!$B:$B,'Felosztás eredménykim'!$B275,'Eredeti fejléccel'!$BM:$BM)</f>
        <v>0</v>
      </c>
      <c r="DF275" s="6">
        <f t="shared" si="543"/>
        <v>0</v>
      </c>
      <c r="DG275" s="8">
        <f t="shared" si="636"/>
        <v>0</v>
      </c>
      <c r="DH275" s="8">
        <f t="shared" si="544"/>
        <v>0</v>
      </c>
      <c r="DJ275" s="6">
        <f>SUMIF('Eredeti fejléccel'!$B:$B,'Felosztás eredménykim'!$B275,'Eredeti fejléccel'!$BN:$BN)</f>
        <v>0</v>
      </c>
      <c r="DK275" s="6">
        <f>SUMIF('Eredeti fejléccel'!$B:$B,'Felosztás eredménykim'!$B275,'Eredeti fejléccel'!$BZ:$BZ)</f>
        <v>0</v>
      </c>
      <c r="DL275" s="8">
        <f t="shared" si="545"/>
        <v>0</v>
      </c>
      <c r="DM275" s="6">
        <f>SUMIF('Eredeti fejléccel'!$B:$B,'Felosztás eredménykim'!$B275,'Eredeti fejléccel'!$BR:$BR)</f>
        <v>0</v>
      </c>
      <c r="DN275" s="6">
        <f>SUMIF('Eredeti fejléccel'!$B:$B,'Felosztás eredménykim'!$B275,'Eredeti fejléccel'!$BS:$BS)</f>
        <v>0</v>
      </c>
      <c r="DO275" s="6">
        <f>SUMIF('Eredeti fejléccel'!$B:$B,'Felosztás eredménykim'!$B275,'Eredeti fejléccel'!$BO:$BO)</f>
        <v>0</v>
      </c>
      <c r="DP275" s="6">
        <f>SUMIF('Eredeti fejléccel'!$B:$B,'Felosztás eredménykim'!$B275,'Eredeti fejléccel'!$BP:$BP)</f>
        <v>0</v>
      </c>
      <c r="DQ275" s="6">
        <f>SUMIF('Eredeti fejléccel'!$B:$B,'Felosztás eredménykim'!$B275,'Eredeti fejléccel'!$BQ:$BQ)</f>
        <v>0</v>
      </c>
      <c r="DS275" s="8"/>
      <c r="DU275" s="6">
        <f>SUMIF('Eredeti fejléccel'!$B:$B,'Felosztás eredménykim'!$B275,'Eredeti fejléccel'!$BT:$BT)</f>
        <v>0</v>
      </c>
      <c r="DV275" s="6">
        <f>SUMIF('Eredeti fejléccel'!$B:$B,'Felosztás eredménykim'!$B275,'Eredeti fejléccel'!$BU:$BU)</f>
        <v>0</v>
      </c>
      <c r="DW275" s="6">
        <f>SUMIF('Eredeti fejléccel'!$B:$B,'Felosztás eredménykim'!$B275,'Eredeti fejléccel'!$BV:$BV)</f>
        <v>0</v>
      </c>
      <c r="DX275" s="6">
        <f>SUMIF('Eredeti fejléccel'!$B:$B,'Felosztás eredménykim'!$B275,'Eredeti fejléccel'!$BW:$BW)</f>
        <v>0</v>
      </c>
      <c r="DY275" s="6">
        <f>SUMIF('Eredeti fejléccel'!$B:$B,'Felosztás eredménykim'!$B275,'Eredeti fejléccel'!$BX:$BX)</f>
        <v>0</v>
      </c>
      <c r="EA275" s="6"/>
      <c r="EC275" s="6"/>
      <c r="EE275" s="6">
        <f>SUMIF('Eredeti fejléccel'!$B:$B,'Felosztás eredménykim'!$B275,'Eredeti fejléccel'!$CA:$CA)</f>
        <v>0</v>
      </c>
      <c r="EF275" s="6">
        <f>SUMIF('Eredeti fejléccel'!$B:$B,'Felosztás eredménykim'!$B275,'Eredeti fejléccel'!$CB:$CB)</f>
        <v>0</v>
      </c>
      <c r="EG275" s="6">
        <f>SUMIF('Eredeti fejléccel'!$B:$B,'Felosztás eredménykim'!$B275,'Eredeti fejléccel'!$CC:$CC)</f>
        <v>0</v>
      </c>
      <c r="EH275" s="6">
        <f>SUMIF('Eredeti fejléccel'!$B:$B,'Felosztás eredménykim'!$B275,'Eredeti fejléccel'!$CD:$CD)</f>
        <v>0</v>
      </c>
      <c r="EK275" s="6">
        <f>SUMIF('Eredeti fejléccel'!$B:$B,'Felosztás eredménykim'!$B275,'Eredeti fejléccel'!$CE:$CE)</f>
        <v>0</v>
      </c>
      <c r="EN275" s="6">
        <f>SUMIF('Eredeti fejléccel'!$B:$B,'Felosztás eredménykim'!$B275,'Eredeti fejléccel'!$CF:$CF)</f>
        <v>0</v>
      </c>
      <c r="EP275" s="6">
        <f>SUMIF('Eredeti fejléccel'!$B:$B,'Felosztás eredménykim'!$B275,'Eredeti fejléccel'!$CG:$CG)</f>
        <v>0</v>
      </c>
      <c r="ES275" s="6">
        <f>SUMIF('Eredeti fejléccel'!$B:$B,'Felosztás eredménykim'!$B275,'Eredeti fejléccel'!$CH:$CH)</f>
        <v>0</v>
      </c>
      <c r="ET275" s="6">
        <f>SUMIF('Eredeti fejléccel'!$B:$B,'Felosztás eredménykim'!$B275,'Eredeti fejléccel'!$CI:$CI)</f>
        <v>0</v>
      </c>
      <c r="EW275" s="8">
        <f t="shared" si="535"/>
        <v>0</v>
      </c>
      <c r="EX275" s="8">
        <f t="shared" si="527"/>
        <v>0</v>
      </c>
      <c r="EY275" s="8">
        <f t="shared" si="638"/>
        <v>0</v>
      </c>
      <c r="EZ275" s="8">
        <f t="shared" si="536"/>
        <v>0</v>
      </c>
      <c r="FA275" s="8">
        <f t="shared" si="537"/>
        <v>0</v>
      </c>
      <c r="FC275" s="6">
        <f>SUMIF('Eredeti fejléccel'!$B:$B,'Felosztás eredménykim'!$B275,'Eredeti fejléccel'!$L:$L)</f>
        <v>0</v>
      </c>
      <c r="FD275" s="6">
        <f>SUMIF('Eredeti fejléccel'!$B:$B,'Felosztás eredménykim'!$B275,'Eredeti fejléccel'!$CJ:$CJ)</f>
        <v>0</v>
      </c>
      <c r="FE275" s="6">
        <f>SUMIF('Eredeti fejléccel'!$B:$B,'Felosztás eredménykim'!$B275,'Eredeti fejléccel'!$CL:$CL)</f>
        <v>0</v>
      </c>
      <c r="FG275" s="99">
        <f t="shared" si="528"/>
        <v>0</v>
      </c>
      <c r="FH275" s="6">
        <f>SUMIF('Eredeti fejléccel'!$B:$B,'Felosztás eredménykim'!$B275,'Eredeti fejléccel'!$CK:$CK)</f>
        <v>0</v>
      </c>
      <c r="FI275" s="36">
        <f t="shared" ref="FI275:FI280" si="742">$X275/$HD$290*(FJ$290+FJ$293)</f>
        <v>-6460.9526158901781</v>
      </c>
      <c r="FJ275" s="101">
        <f t="shared" ref="FJ275:FJ280" si="743">$FG275/$HD$292*FJ$292</f>
        <v>0</v>
      </c>
      <c r="FK275" s="6">
        <f>SUMIF('Eredeti fejléccel'!$B:$B,'Felosztás eredménykim'!$B275,'Eredeti fejléccel'!$CM:$CM)</f>
        <v>-3232</v>
      </c>
      <c r="FL275" s="6">
        <f>SUMIF('Eredeti fejléccel'!$B:$B,'Felosztás eredménykim'!$B275,'Eredeti fejléccel'!$CN:$CN)</f>
        <v>0</v>
      </c>
      <c r="FM275" s="8">
        <f t="shared" si="529"/>
        <v>-3232</v>
      </c>
      <c r="FN275" s="36">
        <f t="shared" ref="FN275:FN280" si="744">$X275/$HD$290*(FO$290+FO$293)</f>
        <v>-5492.8696683397366</v>
      </c>
      <c r="FO275" s="101">
        <f t="shared" ref="FO275:FO280" si="745">$FG275/$HD$292*FO$292</f>
        <v>0</v>
      </c>
      <c r="FP275" s="6">
        <f>SUMIF('Eredeti fejléccel'!$B:$B,'Felosztás eredménykim'!$B275,'Eredeti fejléccel'!$CO:$CO)</f>
        <v>0</v>
      </c>
      <c r="FQ275" s="6">
        <f>'Eredeti fejléccel'!CP275</f>
        <v>0</v>
      </c>
      <c r="FR275" s="6">
        <f>'Eredeti fejléccel'!CQ275</f>
        <v>0</v>
      </c>
      <c r="FS275" s="103">
        <f t="shared" si="639"/>
        <v>0</v>
      </c>
      <c r="FT275" s="36">
        <f t="shared" ref="FT275:FT280" si="746">$X275/$HD$290*(FU$290+FU$293)</f>
        <v>-15161.921979032111</v>
      </c>
      <c r="FU275" s="101">
        <f t="shared" ref="FU275:FU280" si="747">$FG275/$HD$292*FU$292</f>
        <v>0</v>
      </c>
      <c r="FV275" s="101"/>
      <c r="FW275" s="6">
        <f>SUMIF('Eredeti fejléccel'!$B:$B,'Felosztás eredménykim'!$B275,'Eredeti fejléccel'!$CR:$CR)</f>
        <v>0</v>
      </c>
      <c r="FX275" s="6">
        <f>SUMIF('Eredeti fejléccel'!$B:$B,'Felosztás eredménykim'!$B275,'Eredeti fejléccel'!$CS:$CS)</f>
        <v>0</v>
      </c>
      <c r="FY275" s="6">
        <f>SUMIF('Eredeti fejléccel'!$B:$B,'Felosztás eredménykim'!$B275,'Eredeti fejléccel'!$CT:$CT)</f>
        <v>0</v>
      </c>
      <c r="FZ275" s="6">
        <f>SUMIF('Eredeti fejléccel'!$B:$B,'Felosztás eredménykim'!$B275,'Eredeti fejléccel'!$CU:$CU)</f>
        <v>0</v>
      </c>
      <c r="GA275" s="103">
        <f t="shared" si="530"/>
        <v>0</v>
      </c>
      <c r="GB275" s="36">
        <f t="shared" ref="GB275:GB280" si="748">$X275/$HD$290*(GC$290+GC$293)</f>
        <v>-2020.9614817476386</v>
      </c>
      <c r="GC275" s="101">
        <f t="shared" ref="GC275:GC280" si="749">$FG275/$HD$292*GC$292</f>
        <v>0</v>
      </c>
      <c r="GD275" s="6">
        <f>SUMIF('Eredeti fejléccel'!$B:$B,'Felosztás eredménykim'!$B275,'Eredeti fejléccel'!$CV:$CV)</f>
        <v>0</v>
      </c>
      <c r="GE275" s="6">
        <f>SUMIF('Eredeti fejléccel'!$B:$B,'Felosztás eredménykim'!$B275,'Eredeti fejléccel'!$CW:$CW)</f>
        <v>0</v>
      </c>
      <c r="GF275" s="103">
        <f t="shared" si="531"/>
        <v>0</v>
      </c>
      <c r="GG275" s="36">
        <f t="shared" ref="GG275:GG280" si="750">$X275/$HD$290*GG$290</f>
        <v>0</v>
      </c>
      <c r="GM275" s="6">
        <f>SUMIF('Eredeti fejléccel'!$B:$B,'Felosztás eredménykim'!$B275,'Eredeti fejléccel'!$CX:$CX)</f>
        <v>0</v>
      </c>
      <c r="GN275" s="6">
        <f>SUMIF('Eredeti fejléccel'!$B:$B,'Felosztás eredménykim'!$B275,'Eredeti fejléccel'!$CY:$CY)</f>
        <v>0</v>
      </c>
      <c r="GO275" s="6">
        <f>SUMIF('Eredeti fejléccel'!$B:$B,'Felosztás eredménykim'!$B275,'Eredeti fejléccel'!$CZ:$CZ)</f>
        <v>0</v>
      </c>
      <c r="GP275" s="6">
        <f>SUMIF('Eredeti fejléccel'!$B:$B,'Felosztás eredménykim'!$B275,'Eredeti fejléccel'!$DA:$DA)</f>
        <v>0</v>
      </c>
      <c r="GQ275" s="6">
        <f>SUMIF('Eredeti fejléccel'!$B:$B,'Felosztás eredménykim'!$B275,'Eredeti fejléccel'!$DB:$DB)</f>
        <v>0</v>
      </c>
      <c r="GR275" s="103">
        <f t="shared" si="532"/>
        <v>0</v>
      </c>
      <c r="GW275" s="36">
        <f t="shared" ref="GW275:GW280" si="751">$X275/$HD$290*GW$290</f>
        <v>-3469.1988667095948</v>
      </c>
      <c r="GX275" s="6">
        <f>SUMIF('Eredeti fejléccel'!$B:$B,'Felosztás eredménykim'!$B275,'Eredeti fejléccel'!$M:$M)</f>
        <v>0</v>
      </c>
      <c r="GY275" s="6">
        <f>SUMIF('Eredeti fejléccel'!$B:$B,'Felosztás eredménykim'!$B275,'Eredeti fejléccel'!$DC:$DC)</f>
        <v>0</v>
      </c>
      <c r="GZ275" s="6">
        <f>SUMIF('Eredeti fejléccel'!$B:$B,'Felosztás eredménykim'!$B275,'Eredeti fejléccel'!$DD:$DD)</f>
        <v>0</v>
      </c>
      <c r="HA275" s="6">
        <f>SUMIF('Eredeti fejléccel'!$B:$B,'Felosztás eredménykim'!$B275,'Eredeti fejléccel'!$DE:$DE)</f>
        <v>0</v>
      </c>
      <c r="HB275" s="103">
        <f t="shared" si="533"/>
        <v>0</v>
      </c>
      <c r="HD275" s="9">
        <f t="shared" si="694"/>
        <v>-193223.34000000014</v>
      </c>
      <c r="HE275" s="9">
        <v>-193223.34</v>
      </c>
      <c r="HF275" s="476"/>
      <c r="HH275" s="554">
        <f t="shared" si="534"/>
        <v>0</v>
      </c>
      <c r="HI275" s="31">
        <f>SUM(HD259:HD275)</f>
        <v>-1788686279.8899999</v>
      </c>
      <c r="HJ275" s="31">
        <f>SUM(HE259:HE275)</f>
        <v>-1796033052.8899999</v>
      </c>
    </row>
    <row r="276" spans="1:232" x14ac:dyDescent="0.25">
      <c r="A276" s="4" t="s">
        <v>363</v>
      </c>
      <c r="B276" s="4" t="s">
        <v>363</v>
      </c>
      <c r="C276" s="1" t="s">
        <v>364</v>
      </c>
      <c r="D276" s="6">
        <f>SUMIF('Eredeti fejléccel'!$B:$B,'Felosztás eredménykim'!$B276,'Eredeti fejléccel'!$D:$D)</f>
        <v>0</v>
      </c>
      <c r="E276" s="6">
        <f>SUMIF('Eredeti fejléccel'!$B:$B,'Felosztás eredménykim'!$B276,'Eredeti fejléccel'!$E:$E)</f>
        <v>-567</v>
      </c>
      <c r="F276" s="6">
        <f>SUMIF('Eredeti fejléccel'!$B:$B,'Felosztás eredménykim'!$B276,'Eredeti fejléccel'!$F:$F)</f>
        <v>0</v>
      </c>
      <c r="G276" s="6">
        <f>SUMIF('Eredeti fejléccel'!$B:$B,'Felosztás eredménykim'!$B276,'Eredeti fejléccel'!$G:$G)</f>
        <v>0</v>
      </c>
      <c r="H276" s="6"/>
      <c r="I276" s="6">
        <f>SUMIF('Eredeti fejléccel'!$B:$B,'Felosztás eredménykim'!$B276,'Eredeti fejléccel'!$O:$O)</f>
        <v>0</v>
      </c>
      <c r="J276" s="6">
        <f>SUMIF('Eredeti fejléccel'!$B:$B,'Felosztás eredménykim'!$B276,'Eredeti fejléccel'!$P:$P)</f>
        <v>0</v>
      </c>
      <c r="K276" s="6">
        <f>SUMIF('Eredeti fejléccel'!$B:$B,'Felosztás eredménykim'!$B276,'Eredeti fejléccel'!$Q:$Q)</f>
        <v>0</v>
      </c>
      <c r="L276" s="6">
        <f>SUMIF('Eredeti fejléccel'!$B:$B,'Felosztás eredménykim'!$B276,'Eredeti fejléccel'!$R:$R)</f>
        <v>0</v>
      </c>
      <c r="M276" s="6">
        <f>SUMIF('Eredeti fejléccel'!$B:$B,'Felosztás eredménykim'!$B276,'Eredeti fejléccel'!$T:$T)</f>
        <v>0</v>
      </c>
      <c r="N276" s="6">
        <f>SUMIF('Eredeti fejléccel'!$B:$B,'Felosztás eredménykim'!$B276,'Eredeti fejléccel'!$U:$U)</f>
        <v>0</v>
      </c>
      <c r="O276" s="6">
        <f>SUMIF('Eredeti fejléccel'!$B:$B,'Felosztás eredménykim'!$B276,'Eredeti fejléccel'!$V:$V)</f>
        <v>0</v>
      </c>
      <c r="P276" s="6">
        <f>SUMIF('Eredeti fejléccel'!$B:$B,'Felosztás eredménykim'!$B276,'Eredeti fejléccel'!$W:$W)</f>
        <v>0</v>
      </c>
      <c r="Q276" s="6">
        <f>SUMIF('Eredeti fejléccel'!$B:$B,'Felosztás eredménykim'!$B276,'Eredeti fejléccel'!$X:$X)</f>
        <v>0</v>
      </c>
      <c r="R276" s="6">
        <f>SUMIF('Eredeti fejléccel'!$B:$B,'Felosztás eredménykim'!$B276,'Eredeti fejléccel'!$Y:$Y)</f>
        <v>0</v>
      </c>
      <c r="S276" s="6">
        <f>SUMIF('Eredeti fejléccel'!$B:$B,'Felosztás eredménykim'!$B276,'Eredeti fejléccel'!$Z:$Z)</f>
        <v>0</v>
      </c>
      <c r="T276" s="6">
        <f>SUMIF('Eredeti fejléccel'!$B:$B,'Felosztás eredménykim'!$B276,'Eredeti fejléccel'!$AA:$AA)</f>
        <v>0</v>
      </c>
      <c r="U276" s="6">
        <f>SUMIF('Eredeti fejléccel'!$B:$B,'Felosztás eredménykim'!$B276,'Eredeti fejléccel'!$D:$D)</f>
        <v>0</v>
      </c>
      <c r="V276" s="6">
        <f>SUMIF('Eredeti fejléccel'!$B:$B,'Felosztás eredménykim'!$B276,'Eredeti fejléccel'!$AT:$AT)</f>
        <v>0</v>
      </c>
      <c r="X276" s="36">
        <f t="shared" si="635"/>
        <v>-567</v>
      </c>
      <c r="Z276" s="6">
        <f>SUMIF('Eredeti fejléccel'!$B:$B,'Felosztás eredménykim'!$B276,'Eredeti fejléccel'!$K:$K)</f>
        <v>0</v>
      </c>
      <c r="AB276" s="6">
        <f>SUMIF('Eredeti fejléccel'!$B:$B,'Felosztás eredménykim'!$B276,'Eredeti fejléccel'!$AB:$AB)</f>
        <v>0</v>
      </c>
      <c r="AC276" s="6">
        <f>SUMIF('Eredeti fejléccel'!$B:$B,'Felosztás eredménykim'!$B276,'Eredeti fejléccel'!$AQ:$AQ)</f>
        <v>0</v>
      </c>
      <c r="AE276" s="73">
        <f>SUM(Z276:AD276)</f>
        <v>0</v>
      </c>
      <c r="AF276" s="36">
        <f t="shared" si="726"/>
        <v>-67.640061749842047</v>
      </c>
      <c r="AG276" s="8">
        <f t="shared" si="727"/>
        <v>0</v>
      </c>
      <c r="AI276" s="6">
        <f>SUMIF('Eredeti fejléccel'!$B:$B,'Felosztás eredménykim'!$B276,'Eredeti fejléccel'!$BB:$BB)</f>
        <v>0</v>
      </c>
      <c r="AJ276" s="6">
        <f>SUMIF('Eredeti fejléccel'!$B:$B,'Felosztás eredménykim'!$B276,'Eredeti fejléccel'!$AF:$AF)</f>
        <v>0</v>
      </c>
      <c r="AK276" s="8">
        <f>SUM(AG276:AJ276)</f>
        <v>0</v>
      </c>
      <c r="AL276" s="36">
        <f t="shared" si="728"/>
        <v>-26.866291006388881</v>
      </c>
      <c r="AM276" s="8">
        <f t="shared" si="729"/>
        <v>0</v>
      </c>
      <c r="AN276" s="6">
        <f>-AO276/2</f>
        <v>0</v>
      </c>
      <c r="AO276" s="6">
        <f>SUMIF('Eredeti fejléccel'!$B:$B,'Felosztás eredménykim'!$B276,'Eredeti fejléccel'!$AC:$AC)</f>
        <v>0</v>
      </c>
      <c r="AP276" s="6">
        <f>SUMIF('Eredeti fejléccel'!$B:$B,'Felosztás eredménykim'!$B276,'Eredeti fejléccel'!$AD:$AD)</f>
        <v>0</v>
      </c>
      <c r="AQ276" s="6">
        <f>SUMIF('Eredeti fejléccel'!$B:$B,'Felosztás eredménykim'!$B276,'Eredeti fejléccel'!$AE:$AE)</f>
        <v>0</v>
      </c>
      <c r="AR276" s="6">
        <f>SUMIF('Eredeti fejléccel'!$B:$B,'Felosztás eredménykim'!$B276,'Eredeti fejléccel'!$AG:$AG)</f>
        <v>0</v>
      </c>
      <c r="AS276" s="6">
        <f>SUM(AM276:AR276)</f>
        <v>0</v>
      </c>
      <c r="AT276" s="36">
        <f t="shared" si="730"/>
        <v>-43.638749516027133</v>
      </c>
      <c r="AU276" s="8">
        <f t="shared" si="731"/>
        <v>0</v>
      </c>
      <c r="AV276" s="6">
        <f>SUMIF('Eredeti fejléccel'!$B:$B,'Felosztás eredménykim'!$B276,'Eredeti fejléccel'!$AI:$AI)</f>
        <v>0</v>
      </c>
      <c r="AW276" s="6">
        <f>SUMIF('Eredeti fejléccel'!$B:$B,'Felosztás eredménykim'!$B276,'Eredeti fejléccel'!$AJ:$AJ)</f>
        <v>0</v>
      </c>
      <c r="AX276" s="6">
        <f>SUMIF('Eredeti fejléccel'!$B:$B,'Felosztás eredménykim'!$B276,'Eredeti fejléccel'!$AK:$AK)</f>
        <v>0</v>
      </c>
      <c r="AY276" s="6">
        <f>SUMIF('Eredeti fejléccel'!$B:$B,'Felosztás eredménykim'!$B276,'Eredeti fejléccel'!$AL:$AL)</f>
        <v>0</v>
      </c>
      <c r="AZ276" s="6">
        <f>SUMIF('Eredeti fejléccel'!$B:$B,'Felosztás eredménykim'!$B276,'Eredeti fejléccel'!$AM:$AM)</f>
        <v>0</v>
      </c>
      <c r="BA276" s="6">
        <f>SUMIF('Eredeti fejléccel'!$B:$B,'Felosztás eredménykim'!$B276,'Eredeti fejléccel'!$AN:$AN)</f>
        <v>0</v>
      </c>
      <c r="BB276" s="6">
        <f>SUMIF('Eredeti fejléccel'!$B:$B,'Felosztás eredménykim'!$B276,'Eredeti fejléccel'!$AP:$AP)</f>
        <v>0</v>
      </c>
      <c r="BD276" s="6">
        <f>SUMIF('Eredeti fejléccel'!$B:$B,'Felosztás eredménykim'!$B276,'Eredeti fejléccel'!$AS:$AS)</f>
        <v>0</v>
      </c>
      <c r="BE276" s="8">
        <f>SUM(AU276:BD276)</f>
        <v>0</v>
      </c>
      <c r="BF276" s="36">
        <f t="shared" si="732"/>
        <v>-11.384021612876642</v>
      </c>
      <c r="BG276" s="8">
        <f t="shared" si="733"/>
        <v>0</v>
      </c>
      <c r="BH276" s="6">
        <f>AO276/2</f>
        <v>0</v>
      </c>
      <c r="BI276" s="6">
        <f>SUMIF('Eredeti fejléccel'!$B:$B,'Felosztás eredménykim'!$B276,'Eredeti fejléccel'!$AH:$AH)</f>
        <v>0</v>
      </c>
      <c r="BJ276" s="6">
        <f>SUMIF('Eredeti fejléccel'!$B:$B,'Felosztás eredménykim'!$B276,'Eredeti fejléccel'!$AO:$AO)</f>
        <v>0</v>
      </c>
      <c r="BK276" s="6">
        <f>SUMIF('Eredeti fejléccel'!$B:$B,'Felosztás eredménykim'!$B276,'Eredeti fejléccel'!$BF:$BF)</f>
        <v>0</v>
      </c>
      <c r="BL276" s="8">
        <f>SUM(BG276:BK276)</f>
        <v>0</v>
      </c>
      <c r="BM276" s="36">
        <f t="shared" si="734"/>
        <v>-42.652134309577825</v>
      </c>
      <c r="BN276" s="8">
        <f t="shared" si="735"/>
        <v>0</v>
      </c>
      <c r="BP276" s="8">
        <f>-FV276</f>
        <v>0</v>
      </c>
      <c r="BQ276" s="6">
        <f>SUMIF('Eredeti fejléccel'!$B:$B,'Felosztás eredménykim'!$B276,'Eredeti fejléccel'!$N:$N)</f>
        <v>0</v>
      </c>
      <c r="BR276" s="6">
        <f>SUMIF('Eredeti fejléccel'!$B:$B,'Felosztás eredménykim'!$B276,'Eredeti fejléccel'!$S:$S)</f>
        <v>0</v>
      </c>
      <c r="BT276" s="6">
        <f>SUMIF('Eredeti fejléccel'!$B:$B,'Felosztás eredménykim'!$B276,'Eredeti fejléccel'!$AR:$AR)</f>
        <v>0</v>
      </c>
      <c r="BU276" s="6">
        <f>SUMIF('Eredeti fejléccel'!$B:$B,'Felosztás eredménykim'!$B276,'Eredeti fejléccel'!$AU:$AU)</f>
        <v>0</v>
      </c>
      <c r="BV276" s="6">
        <f>SUMIF('Eredeti fejléccel'!$B:$B,'Felosztás eredménykim'!$B276,'Eredeti fejléccel'!$AV:$AV)</f>
        <v>0</v>
      </c>
      <c r="BW276" s="6">
        <f>SUMIF('Eredeti fejléccel'!$B:$B,'Felosztás eredménykim'!$B276,'Eredeti fejléccel'!$AW:$AW)</f>
        <v>0</v>
      </c>
      <c r="BX276" s="6">
        <f>SUMIF('Eredeti fejléccel'!$B:$B,'Felosztás eredménykim'!$B276,'Eredeti fejléccel'!$AX:$AX)</f>
        <v>0</v>
      </c>
      <c r="BY276" s="6">
        <f>SUMIF('Eredeti fejléccel'!$B:$B,'Felosztás eredménykim'!$B276,'Eredeti fejléccel'!$AY:$AY)</f>
        <v>0</v>
      </c>
      <c r="BZ276" s="6">
        <f>SUMIF('Eredeti fejléccel'!$B:$B,'Felosztás eredménykim'!$B276,'Eredeti fejléccel'!$AZ:$AZ)</f>
        <v>0</v>
      </c>
      <c r="CA276" s="6">
        <f>SUMIF('Eredeti fejléccel'!$B:$B,'Felosztás eredménykim'!$B276,'Eredeti fejléccel'!$BA:$BA)</f>
        <v>0</v>
      </c>
      <c r="CB276" s="6">
        <f t="shared" si="481"/>
        <v>0</v>
      </c>
      <c r="CC276" s="36">
        <f t="shared" si="736"/>
        <v>-11.611702045134177</v>
      </c>
      <c r="CD276" s="8">
        <f t="shared" si="737"/>
        <v>0</v>
      </c>
      <c r="CE276" s="6">
        <f>SUMIF('Eredeti fejléccel'!$B:$B,'Felosztás eredménykim'!$B276,'Eredeti fejléccel'!$BC:$BC)</f>
        <v>0</v>
      </c>
      <c r="CF276" s="8">
        <f>-CE276/2</f>
        <v>0</v>
      </c>
      <c r="CG276" s="6">
        <f>SUMIF('Eredeti fejléccel'!$B:$B,'Felosztás eredménykim'!$B276,'Eredeti fejléccel'!$H:$H)</f>
        <v>0</v>
      </c>
      <c r="CH276" s="6">
        <f>SUMIF('Eredeti fejléccel'!$B:$B,'Felosztás eredménykim'!$B276,'Eredeti fejléccel'!$BE:$BE)</f>
        <v>0</v>
      </c>
      <c r="CI276" s="6">
        <f>SUM(CD276:CH276)</f>
        <v>0</v>
      </c>
      <c r="CJ276" s="36">
        <f t="shared" si="738"/>
        <v>-8.3482825161095402</v>
      </c>
      <c r="CK276" s="8">
        <f t="shared" si="739"/>
        <v>0</v>
      </c>
      <c r="CL276" s="8">
        <f>CE276/2</f>
        <v>0</v>
      </c>
      <c r="CM276" s="6">
        <f>SUMIF('Eredeti fejléccel'!$B:$B,'Felosztás eredménykim'!$B276,'Eredeti fejléccel'!$BD:$BD)</f>
        <v>0</v>
      </c>
      <c r="CN276" s="8">
        <f>SUM(CK276:CM276)</f>
        <v>0</v>
      </c>
      <c r="CO276" s="8">
        <f t="shared" si="482"/>
        <v>-212.14124275595623</v>
      </c>
      <c r="CR276" s="36">
        <f t="shared" si="740"/>
        <v>-50.146458467482297</v>
      </c>
      <c r="CS276" s="6">
        <f>SUMIF('Eredeti fejléccel'!$B:$B,'Felosztás eredménykim'!$B276,'Eredeti fejléccel'!$I:$I)</f>
        <v>0</v>
      </c>
      <c r="CT276" s="6">
        <f>SUMIF('Eredeti fejléccel'!$B:$B,'Felosztás eredménykim'!$B276,'Eredeti fejléccel'!$BG:$BG)</f>
        <v>0</v>
      </c>
      <c r="CU276" s="6">
        <f>SUMIF('Eredeti fejléccel'!$B:$B,'Felosztás eredménykim'!$B276,'Eredeti fejléccel'!$BH:$BH)</f>
        <v>0</v>
      </c>
      <c r="CV276" s="6">
        <f>SUMIF('Eredeti fejléccel'!$B:$B,'Felosztás eredménykim'!$B276,'Eredeti fejléccel'!$BI:$BI)</f>
        <v>0</v>
      </c>
      <c r="CW276" s="6">
        <f>SUMIF('Eredeti fejléccel'!$B:$B,'Felosztás eredménykim'!$B276,'Eredeti fejléccel'!$BL:$BL)</f>
        <v>0</v>
      </c>
      <c r="CX276" s="6">
        <f>SUM(CS276:CW276)</f>
        <v>0</v>
      </c>
      <c r="CY276" s="6">
        <f>SUMIF('Eredeti fejléccel'!$B:$B,'Felosztás eredménykim'!$B276,'Eredeti fejléccel'!$BJ:$BJ)</f>
        <v>0</v>
      </c>
      <c r="CZ276" s="6">
        <f>SUMIF('Eredeti fejléccel'!$B:$B,'Felosztás eredménykim'!$B276,'Eredeti fejléccel'!$BK:$BK)</f>
        <v>0</v>
      </c>
      <c r="DA276" s="99">
        <f t="shared" si="637"/>
        <v>0</v>
      </c>
      <c r="DC276" s="36">
        <f t="shared" si="741"/>
        <v>-43.921506761107544</v>
      </c>
      <c r="DD276" s="6">
        <f>SUMIF('Eredeti fejléccel'!$B:$B,'Felosztás eredménykim'!$B276,'Eredeti fejléccel'!$J:$J)</f>
        <v>0</v>
      </c>
      <c r="DE276" s="6">
        <f>SUMIF('Eredeti fejléccel'!$B:$B,'Felosztás eredménykim'!$B276,'Eredeti fejléccel'!$BM:$BM)</f>
        <v>0</v>
      </c>
      <c r="DF276" s="6">
        <f>-DI276</f>
        <v>0</v>
      </c>
      <c r="DG276" s="8">
        <f t="shared" si="636"/>
        <v>0</v>
      </c>
      <c r="DH276" s="8">
        <f>SUM(DD276:DG276)</f>
        <v>0</v>
      </c>
      <c r="DJ276" s="6">
        <f>SUMIF('Eredeti fejléccel'!$B:$B,'Felosztás eredménykim'!$B276,'Eredeti fejléccel'!$BN:$BN)</f>
        <v>0</v>
      </c>
      <c r="DK276" s="6">
        <f>SUMIF('Eredeti fejléccel'!$B:$B,'Felosztás eredménykim'!$B276,'Eredeti fejléccel'!$BZ:$BZ)</f>
        <v>0</v>
      </c>
      <c r="DL276" s="8">
        <f>SUM(DI276:DK276)</f>
        <v>0</v>
      </c>
      <c r="DM276" s="6">
        <f>SUMIF('Eredeti fejléccel'!$B:$B,'Felosztás eredménykim'!$B276,'Eredeti fejléccel'!$BR:$BR)</f>
        <v>0</v>
      </c>
      <c r="DN276" s="6">
        <f>SUMIF('Eredeti fejléccel'!$B:$B,'Felosztás eredménykim'!$B276,'Eredeti fejléccel'!$BS:$BS)</f>
        <v>0</v>
      </c>
      <c r="DO276" s="6">
        <f>SUMIF('Eredeti fejléccel'!$B:$B,'Felosztás eredménykim'!$B276,'Eredeti fejléccel'!$BO:$BO)</f>
        <v>0</v>
      </c>
      <c r="DP276" s="6">
        <f>SUMIF('Eredeti fejléccel'!$B:$B,'Felosztás eredménykim'!$B276,'Eredeti fejléccel'!$BP:$BP)</f>
        <v>0</v>
      </c>
      <c r="DQ276" s="6">
        <f>SUMIF('Eredeti fejléccel'!$B:$B,'Felosztás eredménykim'!$B276,'Eredeti fejléccel'!$BQ:$BQ)</f>
        <v>0</v>
      </c>
      <c r="DS276" s="8"/>
      <c r="DU276" s="6">
        <f>SUMIF('Eredeti fejléccel'!$B:$B,'Felosztás eredménykim'!$B276,'Eredeti fejléccel'!$BT:$BT)</f>
        <v>0</v>
      </c>
      <c r="DV276" s="6">
        <f>SUMIF('Eredeti fejléccel'!$B:$B,'Felosztás eredménykim'!$B276,'Eredeti fejléccel'!$BU:$BU)</f>
        <v>0</v>
      </c>
      <c r="DW276" s="6">
        <f>SUMIF('Eredeti fejléccel'!$B:$B,'Felosztás eredménykim'!$B276,'Eredeti fejléccel'!$BV:$BV)</f>
        <v>0</v>
      </c>
      <c r="DX276" s="6">
        <f>SUMIF('Eredeti fejléccel'!$B:$B,'Felosztás eredménykim'!$B276,'Eredeti fejléccel'!$BW:$BW)</f>
        <v>0</v>
      </c>
      <c r="DY276" s="6">
        <f>SUMIF('Eredeti fejléccel'!$B:$B,'Felosztás eredménykim'!$B276,'Eredeti fejléccel'!$BX:$BX)</f>
        <v>0</v>
      </c>
      <c r="EA276" s="6"/>
      <c r="EC276" s="6"/>
      <c r="EE276" s="6">
        <f>SUMIF('Eredeti fejléccel'!$B:$B,'Felosztás eredménykim'!$B276,'Eredeti fejléccel'!$CA:$CA)</f>
        <v>0</v>
      </c>
      <c r="EF276" s="6">
        <f>SUMIF('Eredeti fejléccel'!$B:$B,'Felosztás eredménykim'!$B276,'Eredeti fejléccel'!$CB:$CB)</f>
        <v>0</v>
      </c>
      <c r="EG276" s="6">
        <f>SUMIF('Eredeti fejléccel'!$B:$B,'Felosztás eredménykim'!$B276,'Eredeti fejléccel'!$CC:$CC)</f>
        <v>0</v>
      </c>
      <c r="EH276" s="6">
        <f>SUMIF('Eredeti fejléccel'!$B:$B,'Felosztás eredménykim'!$B276,'Eredeti fejléccel'!$CD:$CD)</f>
        <v>0</v>
      </c>
      <c r="EK276" s="6">
        <f>SUMIF('Eredeti fejléccel'!$B:$B,'Felosztás eredménykim'!$B276,'Eredeti fejléccel'!$CE:$CE)</f>
        <v>0</v>
      </c>
      <c r="EN276" s="6">
        <f>SUMIF('Eredeti fejléccel'!$B:$B,'Felosztás eredménykim'!$B276,'Eredeti fejléccel'!$CF:$CF)</f>
        <v>0</v>
      </c>
      <c r="EP276" s="6">
        <f>SUMIF('Eredeti fejléccel'!$B:$B,'Felosztás eredménykim'!$B276,'Eredeti fejléccel'!$CG:$CG)</f>
        <v>0</v>
      </c>
      <c r="ES276" s="6">
        <f>SUMIF('Eredeti fejléccel'!$B:$B,'Felosztás eredménykim'!$B276,'Eredeti fejléccel'!$CH:$CH)</f>
        <v>0</v>
      </c>
      <c r="ET276" s="6">
        <f>SUMIF('Eredeti fejléccel'!$B:$B,'Felosztás eredménykim'!$B276,'Eredeti fejléccel'!$CI:$CI)</f>
        <v>0</v>
      </c>
      <c r="EW276" s="8">
        <f>SUM(DR276:ED276)</f>
        <v>0</v>
      </c>
      <c r="EX276" s="8">
        <f>SUM(EE276:EV276)</f>
        <v>0</v>
      </c>
      <c r="EY276" s="8">
        <f t="shared" si="638"/>
        <v>0</v>
      </c>
      <c r="EZ276" s="8">
        <f>EY276+DL276+DM276+DN276+DO276+DP276+DQ276</f>
        <v>0</v>
      </c>
      <c r="FA276" s="8">
        <f>EZ276-DL276-DM276</f>
        <v>0</v>
      </c>
      <c r="FC276" s="6">
        <f>SUMIF('Eredeti fejléccel'!$B:$B,'Felosztás eredménykim'!$B276,'Eredeti fejléccel'!$L:$L)</f>
        <v>0</v>
      </c>
      <c r="FD276" s="6">
        <f>SUMIF('Eredeti fejléccel'!$B:$B,'Felosztás eredménykim'!$B276,'Eredeti fejléccel'!$CJ:$CJ)</f>
        <v>0</v>
      </c>
      <c r="FE276" s="6">
        <f>SUMIF('Eredeti fejléccel'!$B:$B,'Felosztás eredménykim'!$B276,'Eredeti fejléccel'!$CL:$CL)</f>
        <v>0</v>
      </c>
      <c r="FG276" s="99">
        <f>SUM(FC276:FF276)</f>
        <v>0</v>
      </c>
      <c r="FH276" s="6">
        <f>SUMIF('Eredeti fejléccel'!$B:$B,'Felosztás eredménykim'!$B276,'Eredeti fejléccel'!$CK:$CK)</f>
        <v>0</v>
      </c>
      <c r="FI276" s="36">
        <f t="shared" si="742"/>
        <v>-51.676436214154577</v>
      </c>
      <c r="FJ276" s="101">
        <f t="shared" si="743"/>
        <v>0</v>
      </c>
      <c r="FK276" s="6">
        <f>SUMIF('Eredeti fejléccel'!$B:$B,'Felosztás eredménykim'!$B276,'Eredeti fejléccel'!$CM:$CM)</f>
        <v>0</v>
      </c>
      <c r="FL276" s="6">
        <f>SUMIF('Eredeti fejléccel'!$B:$B,'Felosztás eredménykim'!$B276,'Eredeti fejléccel'!$CN:$CN)</f>
        <v>0</v>
      </c>
      <c r="FM276" s="8">
        <f>SUM(FJ276:FL276)</f>
        <v>0</v>
      </c>
      <c r="FN276" s="36">
        <f t="shared" si="744"/>
        <v>-43.933448505799667</v>
      </c>
      <c r="FO276" s="101">
        <f t="shared" si="745"/>
        <v>0</v>
      </c>
      <c r="FP276" s="6">
        <f>SUMIF('Eredeti fejléccel'!$B:$B,'Felosztás eredménykim'!$B276,'Eredeti fejléccel'!$CO:$CO)</f>
        <v>0</v>
      </c>
      <c r="FQ276" s="6">
        <f>'Eredeti fejléccel'!CP276</f>
        <v>0</v>
      </c>
      <c r="FR276" s="6">
        <f>'Eredeti fejléccel'!CQ276</f>
        <v>0</v>
      </c>
      <c r="FS276" s="103">
        <f t="shared" si="639"/>
        <v>0</v>
      </c>
      <c r="FT276" s="36">
        <f t="shared" si="746"/>
        <v>-121.26912865859026</v>
      </c>
      <c r="FU276" s="101">
        <f t="shared" si="747"/>
        <v>0</v>
      </c>
      <c r="FV276" s="101"/>
      <c r="FW276" s="6">
        <f>SUMIF('Eredeti fejléccel'!$B:$B,'Felosztás eredménykim'!$B276,'Eredeti fejléccel'!$CR:$CR)</f>
        <v>0</v>
      </c>
      <c r="FX276" s="6">
        <f>SUMIF('Eredeti fejléccel'!$B:$B,'Felosztás eredménykim'!$B276,'Eredeti fejléccel'!$CS:$CS)</f>
        <v>0</v>
      </c>
      <c r="FY276" s="6">
        <f>SUMIF('Eredeti fejléccel'!$B:$B,'Felosztás eredménykim'!$B276,'Eredeti fejléccel'!$CT:$CT)</f>
        <v>0</v>
      </c>
      <c r="FZ276" s="6">
        <f>SUMIF('Eredeti fejléccel'!$B:$B,'Felosztás eredménykim'!$B276,'Eredeti fejléccel'!$CU:$CU)</f>
        <v>0</v>
      </c>
      <c r="GA276" s="103">
        <f>SUM(FU276:FZ276)</f>
        <v>0</v>
      </c>
      <c r="GB276" s="36">
        <f t="shared" si="748"/>
        <v>-16.164193318171577</v>
      </c>
      <c r="GC276" s="101">
        <f t="shared" si="749"/>
        <v>0</v>
      </c>
      <c r="GD276" s="6">
        <f>SUMIF('Eredeti fejléccel'!$B:$B,'Felosztás eredménykim'!$B276,'Eredeti fejléccel'!$CV:$CV)</f>
        <v>0</v>
      </c>
      <c r="GE276" s="6">
        <f>SUMIF('Eredeti fejléccel'!$B:$B,'Felosztás eredménykim'!$B276,'Eredeti fejléccel'!$CW:$CW)</f>
        <v>0</v>
      </c>
      <c r="GF276" s="103">
        <f>SUM(GC276:GE276)</f>
        <v>0</v>
      </c>
      <c r="GG276" s="36">
        <f t="shared" si="750"/>
        <v>0</v>
      </c>
      <c r="GM276" s="6">
        <f>SUMIF('Eredeti fejléccel'!$B:$B,'Felosztás eredménykim'!$B276,'Eredeti fejléccel'!$CX:$CX)</f>
        <v>0</v>
      </c>
      <c r="GN276" s="6">
        <f>SUMIF('Eredeti fejléccel'!$B:$B,'Felosztás eredménykim'!$B276,'Eredeti fejléccel'!$CY:$CY)</f>
        <v>0</v>
      </c>
      <c r="GO276" s="6">
        <f>SUMIF('Eredeti fejléccel'!$B:$B,'Felosztás eredménykim'!$B276,'Eredeti fejléccel'!$CZ:$CZ)</f>
        <v>0</v>
      </c>
      <c r="GP276" s="6">
        <f>SUMIF('Eredeti fejléccel'!$B:$B,'Felosztás eredménykim'!$B276,'Eredeti fejléccel'!$DA:$DA)</f>
        <v>0</v>
      </c>
      <c r="GQ276" s="6">
        <f>SUMIF('Eredeti fejléccel'!$B:$B,'Felosztás eredménykim'!$B276,'Eredeti fejléccel'!$DB:$DB)</f>
        <v>0</v>
      </c>
      <c r="GR276" s="103">
        <f>SUM(GH276:GQ276)</f>
        <v>0</v>
      </c>
      <c r="GW276" s="36">
        <f t="shared" si="751"/>
        <v>-27.747585318737929</v>
      </c>
      <c r="GX276" s="6">
        <f>SUMIF('Eredeti fejléccel'!$B:$B,'Felosztás eredménykim'!$B276,'Eredeti fejléccel'!$M:$M)</f>
        <v>0</v>
      </c>
      <c r="GY276" s="6">
        <f>SUMIF('Eredeti fejléccel'!$B:$B,'Felosztás eredménykim'!$B276,'Eredeti fejléccel'!$DC:$DC)</f>
        <v>0</v>
      </c>
      <c r="GZ276" s="6">
        <f>SUMIF('Eredeti fejléccel'!$B:$B,'Felosztás eredménykim'!$B276,'Eredeti fejléccel'!$DD:$DD)</f>
        <v>0</v>
      </c>
      <c r="HA276" s="6">
        <f>SUMIF('Eredeti fejléccel'!$B:$B,'Felosztás eredménykim'!$B276,'Eredeti fejléccel'!$DE:$DE)</f>
        <v>0</v>
      </c>
      <c r="HB276" s="103">
        <f>SUM(GX276:HA276)</f>
        <v>0</v>
      </c>
      <c r="HD276" s="9">
        <f t="shared" si="694"/>
        <v>-567.00000000000011</v>
      </c>
      <c r="HE276" s="9">
        <v>-567</v>
      </c>
      <c r="HF276" s="476"/>
      <c r="HH276" s="34">
        <f>+HD276-HE276</f>
        <v>0</v>
      </c>
      <c r="HI276" s="31">
        <f t="shared" ref="HI276:HJ280" si="752">HD276</f>
        <v>-567.00000000000011</v>
      </c>
      <c r="HJ276" s="31">
        <f t="shared" si="752"/>
        <v>-567</v>
      </c>
    </row>
    <row r="277" spans="1:232" x14ac:dyDescent="0.25">
      <c r="A277" s="492" t="s">
        <v>1492</v>
      </c>
      <c r="B277" s="492" t="s">
        <v>1492</v>
      </c>
      <c r="C277" s="491" t="s">
        <v>1491</v>
      </c>
      <c r="D277" s="490">
        <f>SUMIF('Eredeti fejléccel'!$B:$B,'Felosztás eredménykim'!$B277,'Eredeti fejléccel'!$D:$D)</f>
        <v>0</v>
      </c>
      <c r="E277" s="490">
        <f>SUMIF('Eredeti fejléccel'!$B:$B,'Felosztás eredménykim'!$B277,'Eredeti fejléccel'!$E:$E)</f>
        <v>0</v>
      </c>
      <c r="F277" s="490">
        <f>SUMIF('Eredeti fejléccel'!$B:$B,'Felosztás eredménykim'!$B277,'Eredeti fejléccel'!$F:$F)</f>
        <v>0</v>
      </c>
      <c r="G277" s="490">
        <f>SUMIF('Eredeti fejléccel'!$B:$B,'Felosztás eredménykim'!$B277,'Eredeti fejléccel'!$G:$G)</f>
        <v>0</v>
      </c>
      <c r="H277" s="490"/>
      <c r="I277" s="490">
        <f>SUMIF('Eredeti fejléccel'!$B:$B,'Felosztás eredménykim'!$B277,'Eredeti fejléccel'!$O:$O)</f>
        <v>0</v>
      </c>
      <c r="J277" s="490">
        <f>SUMIF('Eredeti fejléccel'!$B:$B,'Felosztás eredménykim'!$B277,'Eredeti fejléccel'!$P:$P)</f>
        <v>0</v>
      </c>
      <c r="K277" s="490">
        <f>SUMIF('Eredeti fejléccel'!$B:$B,'Felosztás eredménykim'!$B277,'Eredeti fejléccel'!$Q:$Q)</f>
        <v>0</v>
      </c>
      <c r="L277" s="490">
        <f>SUMIF('Eredeti fejléccel'!$B:$B,'Felosztás eredménykim'!$B277,'Eredeti fejléccel'!$R:$R)</f>
        <v>0</v>
      </c>
      <c r="M277" s="490">
        <f>SUMIF('Eredeti fejléccel'!$B:$B,'Felosztás eredménykim'!$B277,'Eredeti fejléccel'!$T:$T)</f>
        <v>0</v>
      </c>
      <c r="N277" s="490">
        <f>SUMIF('Eredeti fejléccel'!$B:$B,'Felosztás eredménykim'!$B277,'Eredeti fejléccel'!$U:$U)</f>
        <v>0</v>
      </c>
      <c r="O277" s="490">
        <f>SUMIF('Eredeti fejléccel'!$B:$B,'Felosztás eredménykim'!$B277,'Eredeti fejléccel'!$V:$V)</f>
        <v>0</v>
      </c>
      <c r="P277" s="490">
        <f>SUMIF('Eredeti fejléccel'!$B:$B,'Felosztás eredménykim'!$B277,'Eredeti fejléccel'!$W:$W)</f>
        <v>0</v>
      </c>
      <c r="Q277" s="490">
        <f>SUMIF('Eredeti fejléccel'!$B:$B,'Felosztás eredménykim'!$B277,'Eredeti fejléccel'!$X:$X)</f>
        <v>0</v>
      </c>
      <c r="R277" s="490">
        <f>SUMIF('Eredeti fejléccel'!$B:$B,'Felosztás eredménykim'!$B277,'Eredeti fejléccel'!$Y:$Y)</f>
        <v>0</v>
      </c>
      <c r="S277" s="490">
        <f>SUMIF('Eredeti fejléccel'!$B:$B,'Felosztás eredménykim'!$B277,'Eredeti fejléccel'!$Z:$Z)</f>
        <v>0</v>
      </c>
      <c r="T277" s="490">
        <f>SUMIF('Eredeti fejléccel'!$B:$B,'Felosztás eredménykim'!$B277,'Eredeti fejléccel'!$AA:$AA)</f>
        <v>0</v>
      </c>
      <c r="U277" s="490">
        <f>SUMIF('Eredeti fejléccel'!$B:$B,'Felosztás eredménykim'!$B277,'Eredeti fejléccel'!$D:$D)</f>
        <v>0</v>
      </c>
      <c r="V277" s="490">
        <f>SUMIF('Eredeti fejléccel'!$B:$B,'Felosztás eredménykim'!$B277,'Eredeti fejléccel'!$AT:$AT)</f>
        <v>0</v>
      </c>
      <c r="W277" s="489"/>
      <c r="X277" s="480">
        <f t="shared" si="635"/>
        <v>0</v>
      </c>
      <c r="Y277" s="489"/>
      <c r="Z277" s="490">
        <f>SUMIF('Eredeti fejléccel'!$B:$B,'Felosztás eredménykim'!$B277,'Eredeti fejléccel'!$K:$K)</f>
        <v>0</v>
      </c>
      <c r="AA277" s="490"/>
      <c r="AB277" s="490">
        <f>SUMIF('Eredeti fejléccel'!$B:$B,'Felosztás eredménykim'!$B277,'Eredeti fejléccel'!$AB:$AB)</f>
        <v>0</v>
      </c>
      <c r="AC277" s="490">
        <f>SUMIF('Eredeti fejléccel'!$B:$B,'Felosztás eredménykim'!$B277,'Eredeti fejléccel'!$AQ:$AQ)</f>
        <v>0</v>
      </c>
      <c r="AD277" s="488"/>
      <c r="AE277" s="488">
        <f>SUM(Z277:AD277)</f>
        <v>0</v>
      </c>
      <c r="AF277" s="36">
        <f t="shared" si="726"/>
        <v>0</v>
      </c>
      <c r="AG277" s="477">
        <f t="shared" si="727"/>
        <v>0</v>
      </c>
      <c r="AH277" s="490"/>
      <c r="AI277" s="490">
        <f>SUMIF('Eredeti fejléccel'!$B:$B,'Felosztás eredménykim'!$B277,'Eredeti fejléccel'!$BB:$BB)</f>
        <v>0</v>
      </c>
      <c r="AJ277" s="490">
        <f>SUMIF('Eredeti fejléccel'!$B:$B,'Felosztás eredménykim'!$B277,'Eredeti fejléccel'!$AF:$AF)</f>
        <v>0</v>
      </c>
      <c r="AK277" s="477">
        <f>SUM(AG277:AJ277)</f>
        <v>0</v>
      </c>
      <c r="AL277" s="36">
        <f t="shared" si="728"/>
        <v>0</v>
      </c>
      <c r="AM277" s="477">
        <f t="shared" si="729"/>
        <v>0</v>
      </c>
      <c r="AN277" s="490">
        <f>-AO277/2</f>
        <v>0</v>
      </c>
      <c r="AO277" s="490">
        <f>SUMIF('Eredeti fejléccel'!$B:$B,'Felosztás eredménykim'!$B277,'Eredeti fejléccel'!$AC:$AC)</f>
        <v>0</v>
      </c>
      <c r="AP277" s="490">
        <f>SUMIF('Eredeti fejléccel'!$B:$B,'Felosztás eredménykim'!$B277,'Eredeti fejléccel'!$AD:$AD)</f>
        <v>0</v>
      </c>
      <c r="AQ277" s="490">
        <f>SUMIF('Eredeti fejléccel'!$B:$B,'Felosztás eredménykim'!$B277,'Eredeti fejléccel'!$AE:$AE)</f>
        <v>0</v>
      </c>
      <c r="AR277" s="490">
        <f>SUMIF('Eredeti fejléccel'!$B:$B,'Felosztás eredménykim'!$B277,'Eredeti fejléccel'!$AG:$AG)</f>
        <v>0</v>
      </c>
      <c r="AS277" s="490">
        <f>SUM(AM277:AR277)</f>
        <v>0</v>
      </c>
      <c r="AT277" s="36">
        <f t="shared" si="730"/>
        <v>0</v>
      </c>
      <c r="AU277" s="477">
        <f t="shared" si="731"/>
        <v>0</v>
      </c>
      <c r="AV277" s="490">
        <f>SUMIF('Eredeti fejléccel'!$B:$B,'Felosztás eredménykim'!$B277,'Eredeti fejléccel'!$AI:$AI)</f>
        <v>0</v>
      </c>
      <c r="AW277" s="490">
        <f>SUMIF('Eredeti fejléccel'!$B:$B,'Felosztás eredménykim'!$B277,'Eredeti fejléccel'!$AJ:$AJ)</f>
        <v>0</v>
      </c>
      <c r="AX277" s="490">
        <f>SUMIF('Eredeti fejléccel'!$B:$B,'Felosztás eredménykim'!$B277,'Eredeti fejléccel'!$AK:$AK)</f>
        <v>0</v>
      </c>
      <c r="AY277" s="490">
        <f>SUMIF('Eredeti fejléccel'!$B:$B,'Felosztás eredménykim'!$B277,'Eredeti fejléccel'!$AL:$AL)</f>
        <v>0</v>
      </c>
      <c r="AZ277" s="490">
        <f>SUMIF('Eredeti fejléccel'!$B:$B,'Felosztás eredménykim'!$B277,'Eredeti fejléccel'!$AM:$AM)</f>
        <v>0</v>
      </c>
      <c r="BA277" s="490">
        <f>SUMIF('Eredeti fejléccel'!$B:$B,'Felosztás eredménykim'!$B277,'Eredeti fejléccel'!$AN:$AN)</f>
        <v>0</v>
      </c>
      <c r="BB277" s="490">
        <f>SUMIF('Eredeti fejléccel'!$B:$B,'Felosztás eredménykim'!$B277,'Eredeti fejléccel'!$AP:$AP)</f>
        <v>0</v>
      </c>
      <c r="BC277" s="490"/>
      <c r="BD277" s="490">
        <f>SUMIF('Eredeti fejléccel'!$B:$B,'Felosztás eredménykim'!$B277,'Eredeti fejléccel'!$AS:$AS)</f>
        <v>0</v>
      </c>
      <c r="BE277" s="477">
        <f>SUM(AU277:BD277)</f>
        <v>0</v>
      </c>
      <c r="BF277" s="36">
        <f t="shared" si="732"/>
        <v>0</v>
      </c>
      <c r="BG277" s="477">
        <f t="shared" si="733"/>
        <v>0</v>
      </c>
      <c r="BH277" s="490">
        <f>AO277/2</f>
        <v>0</v>
      </c>
      <c r="BI277" s="490">
        <f>SUMIF('Eredeti fejléccel'!$B:$B,'Felosztás eredménykim'!$B277,'Eredeti fejléccel'!$AH:$AH)</f>
        <v>0</v>
      </c>
      <c r="BJ277" s="490">
        <f>SUMIF('Eredeti fejléccel'!$B:$B,'Felosztás eredménykim'!$B277,'Eredeti fejléccel'!$AO:$AO)</f>
        <v>0</v>
      </c>
      <c r="BK277" s="490">
        <f>SUMIF('Eredeti fejléccel'!$B:$B,'Felosztás eredménykim'!$B277,'Eredeti fejléccel'!$BF:$BF)</f>
        <v>0</v>
      </c>
      <c r="BL277" s="477">
        <f>SUM(BG277:BK277)</f>
        <v>0</v>
      </c>
      <c r="BM277" s="36">
        <f t="shared" si="734"/>
        <v>0</v>
      </c>
      <c r="BN277" s="477">
        <f t="shared" si="735"/>
        <v>0</v>
      </c>
      <c r="BO277" s="477"/>
      <c r="BP277" s="477">
        <f>-FV277</f>
        <v>0</v>
      </c>
      <c r="BQ277" s="490">
        <f>SUMIF('Eredeti fejléccel'!$B:$B,'Felosztás eredménykim'!$B277,'Eredeti fejléccel'!$N:$N)</f>
        <v>0</v>
      </c>
      <c r="BR277" s="490">
        <f>SUMIF('Eredeti fejléccel'!$B:$B,'Felosztás eredménykim'!$B277,'Eredeti fejléccel'!$S:$S)</f>
        <v>0</v>
      </c>
      <c r="BS277" s="490"/>
      <c r="BT277" s="490">
        <f>SUMIF('Eredeti fejléccel'!$B:$B,'Felosztás eredménykim'!$B277,'Eredeti fejléccel'!$AR:$AR)</f>
        <v>0</v>
      </c>
      <c r="BU277" s="490">
        <f>SUMIF('Eredeti fejléccel'!$B:$B,'Felosztás eredménykim'!$B277,'Eredeti fejléccel'!$AU:$AU)</f>
        <v>0</v>
      </c>
      <c r="BV277" s="490">
        <f>SUMIF('Eredeti fejléccel'!$B:$B,'Felosztás eredménykim'!$B277,'Eredeti fejléccel'!$AV:$AV)</f>
        <v>0</v>
      </c>
      <c r="BW277" s="490">
        <f>SUMIF('Eredeti fejléccel'!$B:$B,'Felosztás eredménykim'!$B277,'Eredeti fejléccel'!$AW:$AW)</f>
        <v>0</v>
      </c>
      <c r="BX277" s="490">
        <f>SUMIF('Eredeti fejléccel'!$B:$B,'Felosztás eredménykim'!$B277,'Eredeti fejléccel'!$AX:$AX)</f>
        <v>0</v>
      </c>
      <c r="BY277" s="6">
        <f>SUMIF('Eredeti fejléccel'!$B:$B,'Felosztás eredménykim'!$B277,'Eredeti fejléccel'!$AY:$AY)</f>
        <v>0</v>
      </c>
      <c r="BZ277" s="490">
        <f>SUMIF('Eredeti fejléccel'!$B:$B,'Felosztás eredménykim'!$B277,'Eredeti fejléccel'!$AZ:$AZ)</f>
        <v>0</v>
      </c>
      <c r="CA277" s="490">
        <f>SUMIF('Eredeti fejléccel'!$B:$B,'Felosztás eredménykim'!$B277,'Eredeti fejléccel'!$BA:$BA)</f>
        <v>0</v>
      </c>
      <c r="CB277" s="490">
        <f t="shared" si="481"/>
        <v>0</v>
      </c>
      <c r="CC277" s="36">
        <f t="shared" si="736"/>
        <v>0</v>
      </c>
      <c r="CD277" s="477">
        <f t="shared" si="737"/>
        <v>0</v>
      </c>
      <c r="CE277" s="490">
        <f>SUMIF('Eredeti fejléccel'!$B:$B,'Felosztás eredménykim'!$B277,'Eredeti fejléccel'!$BC:$BC)</f>
        <v>0</v>
      </c>
      <c r="CF277" s="477">
        <f>-CE277/2</f>
        <v>0</v>
      </c>
      <c r="CG277" s="490">
        <f>SUMIF('Eredeti fejléccel'!$B:$B,'Felosztás eredménykim'!$B277,'Eredeti fejléccel'!$H:$H)</f>
        <v>0</v>
      </c>
      <c r="CH277" s="490">
        <f>SUMIF('Eredeti fejléccel'!$B:$B,'Felosztás eredménykim'!$B277,'Eredeti fejléccel'!$BE:$BE)</f>
        <v>0</v>
      </c>
      <c r="CI277" s="490">
        <f>SUM(CD277:CH277)</f>
        <v>0</v>
      </c>
      <c r="CJ277" s="36">
        <f t="shared" si="738"/>
        <v>0</v>
      </c>
      <c r="CK277" s="477">
        <f t="shared" si="739"/>
        <v>0</v>
      </c>
      <c r="CL277" s="477">
        <f>CE277/2</f>
        <v>0</v>
      </c>
      <c r="CM277" s="490">
        <f>SUMIF('Eredeti fejléccel'!$B:$B,'Felosztás eredménykim'!$B277,'Eredeti fejléccel'!$BD:$BD)</f>
        <v>0</v>
      </c>
      <c r="CN277" s="477">
        <f>SUM(CK277:CM277)</f>
        <v>0</v>
      </c>
      <c r="CO277" s="477">
        <f t="shared" si="482"/>
        <v>0</v>
      </c>
      <c r="CP277" s="477"/>
      <c r="CQ277" s="477"/>
      <c r="CR277" s="36">
        <f t="shared" si="740"/>
        <v>0</v>
      </c>
      <c r="CS277" s="490">
        <f>SUMIF('Eredeti fejléccel'!$B:$B,'Felosztás eredménykim'!$B277,'Eredeti fejléccel'!$I:$I)</f>
        <v>0</v>
      </c>
      <c r="CT277" s="490">
        <f>SUMIF('Eredeti fejléccel'!$B:$B,'Felosztás eredménykim'!$B277,'Eredeti fejléccel'!$BG:$BG)</f>
        <v>0</v>
      </c>
      <c r="CU277" s="490">
        <f>SUMIF('Eredeti fejléccel'!$B:$B,'Felosztás eredménykim'!$B277,'Eredeti fejléccel'!$BH:$BH)</f>
        <v>0</v>
      </c>
      <c r="CV277" s="490">
        <f>SUMIF('Eredeti fejléccel'!$B:$B,'Felosztás eredménykim'!$B277,'Eredeti fejléccel'!$BI:$BI)</f>
        <v>0</v>
      </c>
      <c r="CW277" s="490">
        <f>SUMIF('Eredeti fejléccel'!$B:$B,'Felosztás eredménykim'!$B277,'Eredeti fejléccel'!$BL:$BL)</f>
        <v>0</v>
      </c>
      <c r="CX277" s="490">
        <f>SUM(CS277:CW277)</f>
        <v>0</v>
      </c>
      <c r="CY277" s="490">
        <f>SUMIF('Eredeti fejléccel'!$B:$B,'Felosztás eredménykim'!$B277,'Eredeti fejléccel'!$BJ:$BJ)</f>
        <v>0</v>
      </c>
      <c r="CZ277" s="490">
        <f>SUMIF('Eredeti fejléccel'!$B:$B,'Felosztás eredménykim'!$B277,'Eredeti fejléccel'!$BK:$BK)</f>
        <v>0</v>
      </c>
      <c r="DA277" s="490">
        <f>SUMIF('Eredeti fejléccel'!$B:$B,'Felosztás eredménykim'!$B277,'Eredeti fejléccel'!$BJ:$BJ)</f>
        <v>0</v>
      </c>
      <c r="DB277" s="487"/>
      <c r="DC277" s="36">
        <f t="shared" si="741"/>
        <v>0</v>
      </c>
      <c r="DD277" s="490">
        <f>SUMIF('Eredeti fejléccel'!$B:$B,'Felosztás eredménykim'!$B277,'Eredeti fejléccel'!$J:$J)</f>
        <v>0</v>
      </c>
      <c r="DE277" s="490">
        <f>SUMIF('Eredeti fejléccel'!$B:$B,'Felosztás eredménykim'!$B277,'Eredeti fejléccel'!$BM:$BM)</f>
        <v>0</v>
      </c>
      <c r="DF277" s="490">
        <f>-DI277</f>
        <v>0</v>
      </c>
      <c r="DG277" s="477">
        <f t="shared" si="636"/>
        <v>0</v>
      </c>
      <c r="DH277" s="477">
        <f>SUM(DD277:DG277)</f>
        <v>0</v>
      </c>
      <c r="DI277" s="477"/>
      <c r="DJ277" s="490">
        <f>SUMIF('Eredeti fejléccel'!$B:$B,'Felosztás eredménykim'!$B277,'Eredeti fejléccel'!$BN:$BN)</f>
        <v>0</v>
      </c>
      <c r="DK277" s="490">
        <f>SUMIF('Eredeti fejléccel'!$B:$B,'Felosztás eredménykim'!$B277,'Eredeti fejléccel'!$BZ:$BZ)</f>
        <v>0</v>
      </c>
      <c r="DL277" s="477">
        <f>SUM(DI277:DK277)</f>
        <v>0</v>
      </c>
      <c r="DM277" s="490">
        <f>SUMIF('Eredeti fejléccel'!$B:$B,'Felosztás eredménykim'!$B277,'Eredeti fejléccel'!$BR:$BR)</f>
        <v>0</v>
      </c>
      <c r="DN277" s="490">
        <f>SUMIF('Eredeti fejléccel'!$B:$B,'Felosztás eredménykim'!$B277,'Eredeti fejléccel'!$BS:$BS)</f>
        <v>0</v>
      </c>
      <c r="DO277" s="490">
        <f>SUMIF('Eredeti fejléccel'!$B:$B,'Felosztás eredménykim'!$B277,'Eredeti fejléccel'!$BO:$BO)</f>
        <v>0</v>
      </c>
      <c r="DP277" s="490">
        <f>SUMIF('Eredeti fejléccel'!$B:$B,'Felosztás eredménykim'!$B277,'Eredeti fejléccel'!$BP:$BP)</f>
        <v>0</v>
      </c>
      <c r="DQ277" s="490">
        <f>SUMIF('Eredeti fejléccel'!$B:$B,'Felosztás eredménykim'!$B277,'Eredeti fejléccel'!$BQ:$BQ)</f>
        <v>0</v>
      </c>
      <c r="DR277" s="490"/>
      <c r="DS277" s="477"/>
      <c r="DT277" s="490"/>
      <c r="DU277" s="490">
        <f>SUMIF('Eredeti fejléccel'!$B:$B,'Felosztás eredménykim'!$B277,'Eredeti fejléccel'!$BT:$BT)</f>
        <v>0</v>
      </c>
      <c r="DV277" s="490">
        <f>SUMIF('Eredeti fejléccel'!$B:$B,'Felosztás eredménykim'!$B277,'Eredeti fejléccel'!$BU:$BU)</f>
        <v>0</v>
      </c>
      <c r="DW277" s="490">
        <f>SUMIF('Eredeti fejléccel'!$B:$B,'Felosztás eredménykim'!$B277,'Eredeti fejléccel'!$BV:$BV)</f>
        <v>0</v>
      </c>
      <c r="DX277" s="490">
        <f>SUMIF('Eredeti fejléccel'!$B:$B,'Felosztás eredménykim'!$B277,'Eredeti fejléccel'!$BW:$BW)</f>
        <v>0</v>
      </c>
      <c r="DY277" s="490">
        <f>SUMIF('Eredeti fejléccel'!$B:$B,'Felosztás eredménykim'!$B277,'Eredeti fejléccel'!$BX:$BX)</f>
        <v>0</v>
      </c>
      <c r="DZ277" s="490"/>
      <c r="EA277" s="490"/>
      <c r="EB277" s="490"/>
      <c r="EC277" s="490"/>
      <c r="ED277" s="490"/>
      <c r="EE277" s="490">
        <f>SUMIF('Eredeti fejléccel'!$B:$B,'Felosztás eredménykim'!$B277,'Eredeti fejléccel'!$CA:$CA)</f>
        <v>0</v>
      </c>
      <c r="EF277" s="490">
        <f>SUMIF('Eredeti fejléccel'!$B:$B,'Felosztás eredménykim'!$B277,'Eredeti fejléccel'!$CB:$CB)</f>
        <v>0</v>
      </c>
      <c r="EG277" s="490">
        <f>SUMIF('Eredeti fejléccel'!$B:$B,'Felosztás eredménykim'!$B277,'Eredeti fejléccel'!$CC:$CC)</f>
        <v>0</v>
      </c>
      <c r="EH277" s="490">
        <f>SUMIF('Eredeti fejléccel'!$B:$B,'Felosztás eredménykim'!$B277,'Eredeti fejléccel'!$CD:$CD)</f>
        <v>0</v>
      </c>
      <c r="EI277" s="490"/>
      <c r="EJ277" s="477"/>
      <c r="EK277" s="490">
        <f>SUMIF('Eredeti fejléccel'!$B:$B,'Felosztás eredménykim'!$B277,'Eredeti fejléccel'!$CE:$CE)</f>
        <v>0</v>
      </c>
      <c r="EL277" s="477"/>
      <c r="EM277" s="490"/>
      <c r="EN277" s="490">
        <f>SUMIF('Eredeti fejléccel'!$B:$B,'Felosztás eredménykim'!$B277,'Eredeti fejléccel'!$CF:$CF)</f>
        <v>0</v>
      </c>
      <c r="EO277" s="490"/>
      <c r="EP277" s="490">
        <f>SUMIF('Eredeti fejléccel'!$B:$B,'Felosztás eredménykim'!$B277,'Eredeti fejléccel'!$CG:$CG)</f>
        <v>0</v>
      </c>
      <c r="EQ277" s="490"/>
      <c r="ER277" s="477"/>
      <c r="ES277" s="490">
        <f>SUMIF('Eredeti fejléccel'!$B:$B,'Felosztás eredménykim'!$B277,'Eredeti fejléccel'!$CH:$CH)</f>
        <v>0</v>
      </c>
      <c r="ET277" s="490">
        <f>SUMIF('Eredeti fejléccel'!$B:$B,'Felosztás eredménykim'!$B277,'Eredeti fejléccel'!$CI:$CI)</f>
        <v>0</v>
      </c>
      <c r="EU277" s="490"/>
      <c r="EV277" s="477"/>
      <c r="EW277" s="477">
        <f>SUM(DR277:ED277)</f>
        <v>0</v>
      </c>
      <c r="EX277" s="477">
        <f>SUM(EE277:EV277)</f>
        <v>0</v>
      </c>
      <c r="EY277" s="477">
        <f t="shared" si="638"/>
        <v>0</v>
      </c>
      <c r="EZ277" s="477">
        <f>EY277+DL277+DM277+DN277+DO277+DP277+DQ277</f>
        <v>0</v>
      </c>
      <c r="FA277" s="477">
        <f>EZ277-DL277-DM277</f>
        <v>0</v>
      </c>
      <c r="FB277" s="477"/>
      <c r="FC277" s="490">
        <f>SUMIF('Eredeti fejléccel'!$B:$B,'Felosztás eredménykim'!$B277,'Eredeti fejléccel'!$L:$L)</f>
        <v>0</v>
      </c>
      <c r="FD277" s="490">
        <f>SUMIF('Eredeti fejléccel'!$B:$B,'Felosztás eredménykim'!$B277,'Eredeti fejléccel'!$CJ:$CJ)</f>
        <v>0</v>
      </c>
      <c r="FE277" s="490">
        <f>SUMIF('Eredeti fejléccel'!$B:$B,'Felosztás eredménykim'!$B277,'Eredeti fejléccel'!$CL:$CL)</f>
        <v>0</v>
      </c>
      <c r="FF277" s="488"/>
      <c r="FG277" s="493">
        <f>SUM(FC277:FF277)</f>
        <v>0</v>
      </c>
      <c r="FH277" s="490">
        <f>SUMIF('Eredeti fejléccel'!$B:$B,'Felosztás eredménykim'!$B277,'Eredeti fejléccel'!$CK:$CK)</f>
        <v>0</v>
      </c>
      <c r="FI277" s="36">
        <f t="shared" si="742"/>
        <v>0</v>
      </c>
      <c r="FJ277" s="486">
        <f t="shared" si="743"/>
        <v>0</v>
      </c>
      <c r="FK277" s="490">
        <f>SUMIF('Eredeti fejléccel'!$B:$B,'Felosztás eredménykim'!$B277,'Eredeti fejléccel'!$CM:$CM)</f>
        <v>0</v>
      </c>
      <c r="FL277" s="490">
        <f>SUMIF('Eredeti fejléccel'!$B:$B,'Felosztás eredménykim'!$B277,'Eredeti fejléccel'!$CN:$CN)</f>
        <v>0</v>
      </c>
      <c r="FM277" s="477">
        <f>SUM(FJ277:FL277)</f>
        <v>0</v>
      </c>
      <c r="FN277" s="36">
        <f t="shared" si="744"/>
        <v>0</v>
      </c>
      <c r="FO277" s="486">
        <f t="shared" si="745"/>
        <v>0</v>
      </c>
      <c r="FP277" s="490">
        <f>SUMIF('Eredeti fejléccel'!$B:$B,'Felosztás eredménykim'!$B277,'Eredeti fejléccel'!$CO:$CO)</f>
        <v>0</v>
      </c>
      <c r="FQ277" s="6">
        <f>'Eredeti fejléccel'!CP277</f>
        <v>0</v>
      </c>
      <c r="FR277" s="6">
        <f>'Eredeti fejléccel'!CQ277</f>
        <v>0</v>
      </c>
      <c r="FS277" s="103">
        <f t="shared" si="639"/>
        <v>0</v>
      </c>
      <c r="FT277" s="36">
        <f t="shared" si="746"/>
        <v>0</v>
      </c>
      <c r="FU277" s="486">
        <f t="shared" si="747"/>
        <v>0</v>
      </c>
      <c r="FV277" s="486"/>
      <c r="FW277" s="490">
        <f>SUMIF('Eredeti fejléccel'!$B:$B,'Felosztás eredménykim'!$B277,'Eredeti fejléccel'!$CR:$CR)</f>
        <v>0</v>
      </c>
      <c r="FX277" s="490">
        <f>SUMIF('Eredeti fejléccel'!$B:$B,'Felosztás eredménykim'!$B277,'Eredeti fejléccel'!$CS:$CS)</f>
        <v>0</v>
      </c>
      <c r="FY277" s="490">
        <f>SUMIF('Eredeti fejléccel'!$B:$B,'Felosztás eredménykim'!$B277,'Eredeti fejléccel'!$CT:$CT)</f>
        <v>0</v>
      </c>
      <c r="FZ277" s="490">
        <f>SUMIF('Eredeti fejléccel'!$B:$B,'Felosztás eredménykim'!$B277,'Eredeti fejléccel'!$CU:$CU)</f>
        <v>0</v>
      </c>
      <c r="GA277" s="485">
        <f>SUM(FU277:FZ277)</f>
        <v>0</v>
      </c>
      <c r="GB277" s="36">
        <f t="shared" si="748"/>
        <v>0</v>
      </c>
      <c r="GC277" s="486">
        <f t="shared" si="749"/>
        <v>0</v>
      </c>
      <c r="GD277" s="490">
        <f>SUMIF('Eredeti fejléccel'!$B:$B,'Felosztás eredménykim'!$B277,'Eredeti fejléccel'!$CV:$CV)</f>
        <v>0</v>
      </c>
      <c r="GE277" s="490">
        <f>SUMIF('Eredeti fejléccel'!$B:$B,'Felosztás eredménykim'!$B277,'Eredeti fejléccel'!$CW:$CW)</f>
        <v>0</v>
      </c>
      <c r="GF277" s="485">
        <f>SUM(GC277:GE277)</f>
        <v>0</v>
      </c>
      <c r="GG277" s="36">
        <f t="shared" si="750"/>
        <v>0</v>
      </c>
      <c r="GH277" s="490"/>
      <c r="GI277" s="477"/>
      <c r="GJ277" s="490"/>
      <c r="GK277" s="477"/>
      <c r="GL277" s="490"/>
      <c r="GM277" s="490">
        <f>SUMIF('Eredeti fejléccel'!$B:$B,'Felosztás eredménykim'!$B277,'Eredeti fejléccel'!$CX:$CX)</f>
        <v>0</v>
      </c>
      <c r="GN277" s="490">
        <f>SUMIF('Eredeti fejléccel'!$B:$B,'Felosztás eredménykim'!$B277,'Eredeti fejléccel'!$CY:$CY)</f>
        <v>0</v>
      </c>
      <c r="GO277" s="490">
        <f>SUMIF('Eredeti fejléccel'!$B:$B,'Felosztás eredménykim'!$B277,'Eredeti fejléccel'!$CZ:$CZ)</f>
        <v>0</v>
      </c>
      <c r="GP277" s="490">
        <f>SUMIF('Eredeti fejléccel'!$B:$B,'Felosztás eredménykim'!$B277,'Eredeti fejléccel'!$DA:$DA)</f>
        <v>0</v>
      </c>
      <c r="GQ277" s="490">
        <f>SUMIF('Eredeti fejléccel'!$B:$B,'Felosztás eredménykim'!$B277,'Eredeti fejléccel'!$DB:$DB)</f>
        <v>0</v>
      </c>
      <c r="GR277" s="485">
        <f>SUM(GH277:GQ277)</f>
        <v>0</v>
      </c>
      <c r="GS277" s="477"/>
      <c r="GT277" s="477"/>
      <c r="GU277" s="477"/>
      <c r="GV277" s="477"/>
      <c r="GW277" s="36">
        <f t="shared" si="751"/>
        <v>0</v>
      </c>
      <c r="GX277" s="490">
        <f>SUMIF('Eredeti fejléccel'!$B:$B,'Felosztás eredménykim'!$B277,'Eredeti fejléccel'!$M:$M)</f>
        <v>0</v>
      </c>
      <c r="GY277" s="490">
        <f>SUMIF('Eredeti fejléccel'!$B:$B,'Felosztás eredménykim'!$B277,'Eredeti fejléccel'!$DC:$DC)</f>
        <v>0</v>
      </c>
      <c r="GZ277" s="490">
        <f>SUMIF('Eredeti fejléccel'!$B:$B,'Felosztás eredménykim'!$B277,'Eredeti fejléccel'!$DD:$DD)</f>
        <v>0</v>
      </c>
      <c r="HA277" s="490">
        <f>SUMIF('Eredeti fejléccel'!$B:$B,'Felosztás eredménykim'!$B277,'Eredeti fejléccel'!$DE:$DE)</f>
        <v>0</v>
      </c>
      <c r="HB277" s="485">
        <f>SUM(GX277:HA277)</f>
        <v>0</v>
      </c>
      <c r="HC277" s="477"/>
      <c r="HD277" s="484">
        <f t="shared" si="694"/>
        <v>0</v>
      </c>
      <c r="HE277" s="484"/>
      <c r="HF277" s="483"/>
      <c r="HG277" s="482"/>
      <c r="HH277" s="481">
        <f>+HD277-HE277</f>
        <v>0</v>
      </c>
      <c r="HI277" s="482">
        <f t="shared" si="752"/>
        <v>0</v>
      </c>
      <c r="HJ277" s="482">
        <f t="shared" si="752"/>
        <v>0</v>
      </c>
    </row>
    <row r="278" spans="1:232" x14ac:dyDescent="0.25">
      <c r="A278" s="495" t="s">
        <v>1493</v>
      </c>
      <c r="B278" s="495" t="s">
        <v>1493</v>
      </c>
      <c r="C278" s="491" t="s">
        <v>1491</v>
      </c>
      <c r="D278" s="490">
        <f>SUMIF('Eredeti fejléccel'!$B:$B,'Felosztás eredménykim'!$B278,'Eredeti fejléccel'!$D:$D)</f>
        <v>0</v>
      </c>
      <c r="E278" s="490">
        <f>SUMIF('Eredeti fejléccel'!$B:$B,'Felosztás eredménykim'!$B278,'Eredeti fejléccel'!$E:$E)</f>
        <v>0</v>
      </c>
      <c r="F278" s="490">
        <f>SUMIF('Eredeti fejléccel'!$B:$B,'Felosztás eredménykim'!$B278,'Eredeti fejléccel'!$F:$F)</f>
        <v>0</v>
      </c>
      <c r="G278" s="490">
        <f>SUMIF('Eredeti fejléccel'!$B:$B,'Felosztás eredménykim'!$B278,'Eredeti fejléccel'!$G:$G)</f>
        <v>0</v>
      </c>
      <c r="H278" s="490"/>
      <c r="I278" s="490">
        <f>SUMIF('Eredeti fejléccel'!$B:$B,'Felosztás eredménykim'!$B278,'Eredeti fejléccel'!$O:$O)</f>
        <v>0</v>
      </c>
      <c r="J278" s="490">
        <f>SUMIF('Eredeti fejléccel'!$B:$B,'Felosztás eredménykim'!$B278,'Eredeti fejléccel'!$P:$P)</f>
        <v>0</v>
      </c>
      <c r="K278" s="490">
        <f>SUMIF('Eredeti fejléccel'!$B:$B,'Felosztás eredménykim'!$B278,'Eredeti fejléccel'!$Q:$Q)</f>
        <v>0</v>
      </c>
      <c r="L278" s="490">
        <f>SUMIF('Eredeti fejléccel'!$B:$B,'Felosztás eredménykim'!$B278,'Eredeti fejléccel'!$R:$R)</f>
        <v>0</v>
      </c>
      <c r="M278" s="490">
        <f>SUMIF('Eredeti fejléccel'!$B:$B,'Felosztás eredménykim'!$B278,'Eredeti fejléccel'!$T:$T)</f>
        <v>0</v>
      </c>
      <c r="N278" s="490">
        <f>SUMIF('Eredeti fejléccel'!$B:$B,'Felosztás eredménykim'!$B278,'Eredeti fejléccel'!$U:$U)</f>
        <v>0</v>
      </c>
      <c r="O278" s="490">
        <f>SUMIF('Eredeti fejléccel'!$B:$B,'Felosztás eredménykim'!$B278,'Eredeti fejléccel'!$V:$V)</f>
        <v>0</v>
      </c>
      <c r="P278" s="490">
        <f>SUMIF('Eredeti fejléccel'!$B:$B,'Felosztás eredménykim'!$B278,'Eredeti fejléccel'!$W:$W)</f>
        <v>0</v>
      </c>
      <c r="Q278" s="490">
        <f>SUMIF('Eredeti fejléccel'!$B:$B,'Felosztás eredménykim'!$B278,'Eredeti fejléccel'!$X:$X)</f>
        <v>0</v>
      </c>
      <c r="R278" s="490">
        <f>SUMIF('Eredeti fejléccel'!$B:$B,'Felosztás eredménykim'!$B278,'Eredeti fejléccel'!$Y:$Y)</f>
        <v>0</v>
      </c>
      <c r="S278" s="490">
        <f>SUMIF('Eredeti fejléccel'!$B:$B,'Felosztás eredménykim'!$B278,'Eredeti fejléccel'!$Z:$Z)</f>
        <v>0</v>
      </c>
      <c r="T278" s="490">
        <f>SUMIF('Eredeti fejléccel'!$B:$B,'Felosztás eredménykim'!$B278,'Eredeti fejléccel'!$AA:$AA)</f>
        <v>0</v>
      </c>
      <c r="U278" s="490">
        <f>SUMIF('Eredeti fejléccel'!$B:$B,'Felosztás eredménykim'!$B278,'Eredeti fejléccel'!$D:$D)</f>
        <v>0</v>
      </c>
      <c r="V278" s="490">
        <f>SUMIF('Eredeti fejléccel'!$B:$B,'Felosztás eredménykim'!$B278,'Eredeti fejléccel'!$AT:$AT)</f>
        <v>0</v>
      </c>
      <c r="W278" s="489"/>
      <c r="X278" s="480">
        <f t="shared" si="635"/>
        <v>0</v>
      </c>
      <c r="Y278" s="489"/>
      <c r="Z278" s="490">
        <f>SUMIF('Eredeti fejléccel'!$B:$B,'Felosztás eredménykim'!$B278,'Eredeti fejléccel'!$K:$K)</f>
        <v>0</v>
      </c>
      <c r="AA278" s="490"/>
      <c r="AB278" s="490">
        <f>SUMIF('Eredeti fejléccel'!$B:$B,'Felosztás eredménykim'!$B278,'Eredeti fejléccel'!$AB:$AB)</f>
        <v>0</v>
      </c>
      <c r="AC278" s="490">
        <f>SUMIF('Eredeti fejléccel'!$B:$B,'Felosztás eredménykim'!$B278,'Eredeti fejléccel'!$AQ:$AQ)</f>
        <v>0</v>
      </c>
      <c r="AD278" s="488"/>
      <c r="AE278" s="488">
        <f>SUM(Z278:AD278)</f>
        <v>0</v>
      </c>
      <c r="AF278" s="36">
        <f t="shared" si="726"/>
        <v>0</v>
      </c>
      <c r="AG278" s="477">
        <f t="shared" si="727"/>
        <v>0</v>
      </c>
      <c r="AH278" s="490"/>
      <c r="AI278" s="490">
        <f>SUMIF('Eredeti fejléccel'!$B:$B,'Felosztás eredménykim'!$B278,'Eredeti fejléccel'!$BB:$BB)</f>
        <v>0</v>
      </c>
      <c r="AJ278" s="490">
        <f>SUMIF('Eredeti fejléccel'!$B:$B,'Felosztás eredménykim'!$B278,'Eredeti fejléccel'!$AF:$AF)</f>
        <v>0</v>
      </c>
      <c r="AK278" s="477">
        <f>SUM(AG278:AJ278)</f>
        <v>0</v>
      </c>
      <c r="AL278" s="36">
        <f t="shared" si="728"/>
        <v>0</v>
      </c>
      <c r="AM278" s="477">
        <f t="shared" si="729"/>
        <v>0</v>
      </c>
      <c r="AN278" s="490">
        <f>-AO278/2</f>
        <v>0</v>
      </c>
      <c r="AO278" s="490">
        <f>SUMIF('Eredeti fejléccel'!$B:$B,'Felosztás eredménykim'!$B278,'Eredeti fejléccel'!$AC:$AC)</f>
        <v>0</v>
      </c>
      <c r="AP278" s="490">
        <f>SUMIF('Eredeti fejléccel'!$B:$B,'Felosztás eredménykim'!$B278,'Eredeti fejléccel'!$AD:$AD)</f>
        <v>0</v>
      </c>
      <c r="AQ278" s="490">
        <f>SUMIF('Eredeti fejléccel'!$B:$B,'Felosztás eredménykim'!$B278,'Eredeti fejléccel'!$AE:$AE)</f>
        <v>0</v>
      </c>
      <c r="AR278" s="490">
        <f>SUMIF('Eredeti fejléccel'!$B:$B,'Felosztás eredménykim'!$B278,'Eredeti fejléccel'!$AG:$AG)</f>
        <v>0</v>
      </c>
      <c r="AS278" s="490">
        <f>SUM(AM278:AR278)</f>
        <v>0</v>
      </c>
      <c r="AT278" s="36">
        <f t="shared" si="730"/>
        <v>0</v>
      </c>
      <c r="AU278" s="477">
        <f t="shared" si="731"/>
        <v>0</v>
      </c>
      <c r="AV278" s="490">
        <f>SUMIF('Eredeti fejléccel'!$B:$B,'Felosztás eredménykim'!$B278,'Eredeti fejléccel'!$AI:$AI)</f>
        <v>0</v>
      </c>
      <c r="AW278" s="490">
        <f>SUMIF('Eredeti fejléccel'!$B:$B,'Felosztás eredménykim'!$B278,'Eredeti fejléccel'!$AJ:$AJ)</f>
        <v>0</v>
      </c>
      <c r="AX278" s="490">
        <f>SUMIF('Eredeti fejléccel'!$B:$B,'Felosztás eredménykim'!$B278,'Eredeti fejléccel'!$AK:$AK)</f>
        <v>0</v>
      </c>
      <c r="AY278" s="490">
        <f>SUMIF('Eredeti fejléccel'!$B:$B,'Felosztás eredménykim'!$B278,'Eredeti fejléccel'!$AL:$AL)</f>
        <v>0</v>
      </c>
      <c r="AZ278" s="490">
        <f>SUMIF('Eredeti fejléccel'!$B:$B,'Felosztás eredménykim'!$B278,'Eredeti fejléccel'!$AM:$AM)</f>
        <v>0</v>
      </c>
      <c r="BA278" s="490">
        <f>SUMIF('Eredeti fejléccel'!$B:$B,'Felosztás eredménykim'!$B278,'Eredeti fejléccel'!$AN:$AN)</f>
        <v>0</v>
      </c>
      <c r="BB278" s="490">
        <f>SUMIF('Eredeti fejléccel'!$B:$B,'Felosztás eredménykim'!$B278,'Eredeti fejléccel'!$AP:$AP)</f>
        <v>0</v>
      </c>
      <c r="BC278" s="490"/>
      <c r="BD278" s="490">
        <f>SUMIF('Eredeti fejléccel'!$B:$B,'Felosztás eredménykim'!$B278,'Eredeti fejléccel'!$AS:$AS)</f>
        <v>0</v>
      </c>
      <c r="BE278" s="477">
        <f>SUM(AU278:BD278)</f>
        <v>0</v>
      </c>
      <c r="BF278" s="36">
        <f t="shared" si="732"/>
        <v>0</v>
      </c>
      <c r="BG278" s="477">
        <f t="shared" si="733"/>
        <v>0</v>
      </c>
      <c r="BH278" s="490">
        <f>AO278/2</f>
        <v>0</v>
      </c>
      <c r="BI278" s="490">
        <f>SUMIF('Eredeti fejléccel'!$B:$B,'Felosztás eredménykim'!$B278,'Eredeti fejléccel'!$AH:$AH)</f>
        <v>0</v>
      </c>
      <c r="BJ278" s="490">
        <f>SUMIF('Eredeti fejléccel'!$B:$B,'Felosztás eredménykim'!$B278,'Eredeti fejléccel'!$AO:$AO)</f>
        <v>0</v>
      </c>
      <c r="BK278" s="490">
        <f>SUMIF('Eredeti fejléccel'!$B:$B,'Felosztás eredménykim'!$B278,'Eredeti fejléccel'!$BF:$BF)</f>
        <v>0</v>
      </c>
      <c r="BL278" s="477">
        <f>SUM(BG278:BK278)</f>
        <v>0</v>
      </c>
      <c r="BM278" s="36">
        <f t="shared" si="734"/>
        <v>0</v>
      </c>
      <c r="BN278" s="477">
        <f t="shared" si="735"/>
        <v>0</v>
      </c>
      <c r="BO278" s="477"/>
      <c r="BP278" s="477">
        <f>-FV278</f>
        <v>0</v>
      </c>
      <c r="BQ278" s="490">
        <f>SUMIF('Eredeti fejléccel'!$B:$B,'Felosztás eredménykim'!$B278,'Eredeti fejléccel'!$N:$N)</f>
        <v>0</v>
      </c>
      <c r="BR278" s="490">
        <f>SUMIF('Eredeti fejléccel'!$B:$B,'Felosztás eredménykim'!$B278,'Eredeti fejléccel'!$S:$S)</f>
        <v>0</v>
      </c>
      <c r="BS278" s="490"/>
      <c r="BT278" s="490">
        <f>SUMIF('Eredeti fejléccel'!$B:$B,'Felosztás eredménykim'!$B278,'Eredeti fejléccel'!$AR:$AR)</f>
        <v>0</v>
      </c>
      <c r="BU278" s="490">
        <f>SUMIF('Eredeti fejléccel'!$B:$B,'Felosztás eredménykim'!$B278,'Eredeti fejléccel'!$AU:$AU)</f>
        <v>0</v>
      </c>
      <c r="BV278" s="490">
        <f>SUMIF('Eredeti fejléccel'!$B:$B,'Felosztás eredménykim'!$B278,'Eredeti fejléccel'!$AV:$AV)</f>
        <v>0</v>
      </c>
      <c r="BW278" s="490">
        <f>SUMIF('Eredeti fejléccel'!$B:$B,'Felosztás eredménykim'!$B278,'Eredeti fejléccel'!$AW:$AW)</f>
        <v>0</v>
      </c>
      <c r="BX278" s="490">
        <f>SUMIF('Eredeti fejléccel'!$B:$B,'Felosztás eredménykim'!$B278,'Eredeti fejléccel'!$AX:$AX)</f>
        <v>0</v>
      </c>
      <c r="BY278" s="6">
        <f>SUMIF('Eredeti fejléccel'!$B:$B,'Felosztás eredménykim'!$B278,'Eredeti fejléccel'!$AY:$AY)</f>
        <v>0</v>
      </c>
      <c r="BZ278" s="490">
        <f>SUMIF('Eredeti fejléccel'!$B:$B,'Felosztás eredménykim'!$B278,'Eredeti fejléccel'!$AZ:$AZ)</f>
        <v>0</v>
      </c>
      <c r="CA278" s="490">
        <f>SUMIF('Eredeti fejléccel'!$B:$B,'Felosztás eredménykim'!$B278,'Eredeti fejléccel'!$BA:$BA)</f>
        <v>0</v>
      </c>
      <c r="CB278" s="490">
        <f t="shared" si="481"/>
        <v>0</v>
      </c>
      <c r="CC278" s="36">
        <f t="shared" si="736"/>
        <v>0</v>
      </c>
      <c r="CD278" s="477">
        <f t="shared" si="737"/>
        <v>0</v>
      </c>
      <c r="CE278" s="490">
        <f>SUMIF('Eredeti fejléccel'!$B:$B,'Felosztás eredménykim'!$B278,'Eredeti fejléccel'!$BC:$BC)</f>
        <v>0</v>
      </c>
      <c r="CF278" s="477">
        <f>-CE278/2</f>
        <v>0</v>
      </c>
      <c r="CG278" s="490">
        <f>SUMIF('Eredeti fejléccel'!$B:$B,'Felosztás eredménykim'!$B278,'Eredeti fejléccel'!$H:$H)</f>
        <v>0</v>
      </c>
      <c r="CH278" s="490">
        <f>SUMIF('Eredeti fejléccel'!$B:$B,'Felosztás eredménykim'!$B278,'Eredeti fejléccel'!$BE:$BE)</f>
        <v>0</v>
      </c>
      <c r="CI278" s="490">
        <f>SUM(CD278:CH278)</f>
        <v>0</v>
      </c>
      <c r="CJ278" s="36">
        <f t="shared" si="738"/>
        <v>0</v>
      </c>
      <c r="CK278" s="477">
        <f t="shared" si="739"/>
        <v>0</v>
      </c>
      <c r="CL278" s="477">
        <f>CE278/2</f>
        <v>0</v>
      </c>
      <c r="CM278" s="490">
        <f>SUMIF('Eredeti fejléccel'!$B:$B,'Felosztás eredménykim'!$B278,'Eredeti fejléccel'!$BD:$BD)</f>
        <v>0</v>
      </c>
      <c r="CN278" s="477">
        <f>SUM(CK278:CM278)</f>
        <v>0</v>
      </c>
      <c r="CO278" s="477">
        <f t="shared" si="482"/>
        <v>0</v>
      </c>
      <c r="CP278" s="477"/>
      <c r="CQ278" s="477"/>
      <c r="CR278" s="36">
        <f t="shared" si="740"/>
        <v>0</v>
      </c>
      <c r="CS278" s="490">
        <f>SUMIF('Eredeti fejléccel'!$B:$B,'Felosztás eredménykim'!$B278,'Eredeti fejléccel'!$I:$I)</f>
        <v>0</v>
      </c>
      <c r="CT278" s="490">
        <f>SUMIF('Eredeti fejléccel'!$B:$B,'Felosztás eredménykim'!$B278,'Eredeti fejléccel'!$BG:$BG)</f>
        <v>0</v>
      </c>
      <c r="CU278" s="490">
        <f>SUMIF('Eredeti fejléccel'!$B:$B,'Felosztás eredménykim'!$B278,'Eredeti fejléccel'!$BH:$BH)</f>
        <v>0</v>
      </c>
      <c r="CV278" s="490">
        <f>SUMIF('Eredeti fejléccel'!$B:$B,'Felosztás eredménykim'!$B278,'Eredeti fejléccel'!$BI:$BI)</f>
        <v>0</v>
      </c>
      <c r="CW278" s="490">
        <f>SUMIF('Eredeti fejléccel'!$B:$B,'Felosztás eredménykim'!$B278,'Eredeti fejléccel'!$BL:$BL)</f>
        <v>0</v>
      </c>
      <c r="CX278" s="490">
        <f>SUM(CS278:CW278)</f>
        <v>0</v>
      </c>
      <c r="CY278" s="490">
        <f>SUMIF('Eredeti fejléccel'!$B:$B,'Felosztás eredménykim'!$B278,'Eredeti fejléccel'!$BJ:$BJ)</f>
        <v>0</v>
      </c>
      <c r="CZ278" s="490">
        <f>SUMIF('Eredeti fejléccel'!$B:$B,'Felosztás eredménykim'!$B278,'Eredeti fejléccel'!$BK:$BK)</f>
        <v>0</v>
      </c>
      <c r="DA278" s="490">
        <f>SUMIF('Eredeti fejléccel'!$B:$B,'Felosztás eredménykim'!$B278,'Eredeti fejléccel'!$BJ:$BJ)</f>
        <v>0</v>
      </c>
      <c r="DB278" s="487"/>
      <c r="DC278" s="36">
        <f t="shared" si="741"/>
        <v>0</v>
      </c>
      <c r="DD278" s="490">
        <f>SUMIF('Eredeti fejléccel'!$B:$B,'Felosztás eredménykim'!$B278,'Eredeti fejléccel'!$J:$J)</f>
        <v>0</v>
      </c>
      <c r="DE278" s="490">
        <f>SUMIF('Eredeti fejléccel'!$B:$B,'Felosztás eredménykim'!$B278,'Eredeti fejléccel'!$BM:$BM)</f>
        <v>0</v>
      </c>
      <c r="DF278" s="490">
        <f>-DI278</f>
        <v>0</v>
      </c>
      <c r="DG278" s="477">
        <f t="shared" si="636"/>
        <v>0</v>
      </c>
      <c r="DH278" s="477">
        <f>SUM(DD278:DG278)</f>
        <v>0</v>
      </c>
      <c r="DI278" s="477"/>
      <c r="DJ278" s="490">
        <f>SUMIF('Eredeti fejléccel'!$B:$B,'Felosztás eredménykim'!$B278,'Eredeti fejléccel'!$BN:$BN)</f>
        <v>0</v>
      </c>
      <c r="DK278" s="490">
        <f>SUMIF('Eredeti fejléccel'!$B:$B,'Felosztás eredménykim'!$B278,'Eredeti fejléccel'!$BZ:$BZ)</f>
        <v>0</v>
      </c>
      <c r="DL278" s="477">
        <f>SUM(DI278:DK278)</f>
        <v>0</v>
      </c>
      <c r="DM278" s="490">
        <f>SUMIF('Eredeti fejléccel'!$B:$B,'Felosztás eredménykim'!$B278,'Eredeti fejléccel'!$BR:$BR)</f>
        <v>0</v>
      </c>
      <c r="DN278" s="490">
        <f>SUMIF('Eredeti fejléccel'!$B:$B,'Felosztás eredménykim'!$B278,'Eredeti fejléccel'!$BS:$BS)</f>
        <v>0</v>
      </c>
      <c r="DO278" s="490">
        <f>SUMIF('Eredeti fejléccel'!$B:$B,'Felosztás eredménykim'!$B278,'Eredeti fejléccel'!$BO:$BO)</f>
        <v>0</v>
      </c>
      <c r="DP278" s="490">
        <f>SUMIF('Eredeti fejléccel'!$B:$B,'Felosztás eredménykim'!$B278,'Eredeti fejléccel'!$BP:$BP)</f>
        <v>0</v>
      </c>
      <c r="DQ278" s="490">
        <f>SUMIF('Eredeti fejléccel'!$B:$B,'Felosztás eredménykim'!$B278,'Eredeti fejléccel'!$BQ:$BQ)</f>
        <v>0</v>
      </c>
      <c r="DR278" s="490"/>
      <c r="DS278" s="477"/>
      <c r="DT278" s="490"/>
      <c r="DU278" s="490">
        <f>SUMIF('Eredeti fejléccel'!$B:$B,'Felosztás eredménykim'!$B278,'Eredeti fejléccel'!$BT:$BT)</f>
        <v>0</v>
      </c>
      <c r="DV278" s="490">
        <f>SUMIF('Eredeti fejléccel'!$B:$B,'Felosztás eredménykim'!$B278,'Eredeti fejléccel'!$BU:$BU)</f>
        <v>0</v>
      </c>
      <c r="DW278" s="490">
        <f>SUMIF('Eredeti fejléccel'!$B:$B,'Felosztás eredménykim'!$B278,'Eredeti fejléccel'!$BV:$BV)</f>
        <v>0</v>
      </c>
      <c r="DX278" s="490">
        <f>SUMIF('Eredeti fejléccel'!$B:$B,'Felosztás eredménykim'!$B278,'Eredeti fejléccel'!$BW:$BW)</f>
        <v>0</v>
      </c>
      <c r="DY278" s="490">
        <f>SUMIF('Eredeti fejléccel'!$B:$B,'Felosztás eredménykim'!$B278,'Eredeti fejléccel'!$BX:$BX)</f>
        <v>0</v>
      </c>
      <c r="DZ278" s="490"/>
      <c r="EA278" s="490"/>
      <c r="EB278" s="490"/>
      <c r="EC278" s="490"/>
      <c r="ED278" s="490"/>
      <c r="EE278" s="490">
        <f>SUMIF('Eredeti fejléccel'!$B:$B,'Felosztás eredménykim'!$B278,'Eredeti fejléccel'!$CA:$CA)</f>
        <v>0</v>
      </c>
      <c r="EF278" s="490">
        <f>SUMIF('Eredeti fejléccel'!$B:$B,'Felosztás eredménykim'!$B278,'Eredeti fejléccel'!$CB:$CB)</f>
        <v>0</v>
      </c>
      <c r="EG278" s="490">
        <f>SUMIF('Eredeti fejléccel'!$B:$B,'Felosztás eredménykim'!$B278,'Eredeti fejléccel'!$CC:$CC)</f>
        <v>0</v>
      </c>
      <c r="EH278" s="490">
        <f>SUMIF('Eredeti fejléccel'!$B:$B,'Felosztás eredménykim'!$B278,'Eredeti fejléccel'!$CD:$CD)</f>
        <v>0</v>
      </c>
      <c r="EI278" s="490"/>
      <c r="EJ278" s="477"/>
      <c r="EK278" s="490">
        <f>SUMIF('Eredeti fejléccel'!$B:$B,'Felosztás eredménykim'!$B278,'Eredeti fejléccel'!$CE:$CE)</f>
        <v>0</v>
      </c>
      <c r="EL278" s="477"/>
      <c r="EM278" s="490"/>
      <c r="EN278" s="490">
        <f>SUMIF('Eredeti fejléccel'!$B:$B,'Felosztás eredménykim'!$B278,'Eredeti fejléccel'!$CF:$CF)</f>
        <v>0</v>
      </c>
      <c r="EO278" s="490"/>
      <c r="EP278" s="490">
        <f>SUMIF('Eredeti fejléccel'!$B:$B,'Felosztás eredménykim'!$B278,'Eredeti fejléccel'!$CG:$CG)</f>
        <v>0</v>
      </c>
      <c r="EQ278" s="490"/>
      <c r="ER278" s="477"/>
      <c r="ES278" s="490">
        <f>SUMIF('Eredeti fejléccel'!$B:$B,'Felosztás eredménykim'!$B278,'Eredeti fejléccel'!$CH:$CH)</f>
        <v>0</v>
      </c>
      <c r="ET278" s="490">
        <f>SUMIF('Eredeti fejléccel'!$B:$B,'Felosztás eredménykim'!$B278,'Eredeti fejléccel'!$CI:$CI)</f>
        <v>0</v>
      </c>
      <c r="EU278" s="490"/>
      <c r="EV278" s="477"/>
      <c r="EW278" s="477">
        <f>SUM(DR278:ED278)</f>
        <v>0</v>
      </c>
      <c r="EX278" s="477">
        <f>SUM(EE278:EV278)</f>
        <v>0</v>
      </c>
      <c r="EY278" s="477">
        <f t="shared" si="638"/>
        <v>0</v>
      </c>
      <c r="EZ278" s="477">
        <f>EY278+DL278+DM278+DN278+DO278+DP278+DQ278</f>
        <v>0</v>
      </c>
      <c r="FA278" s="477">
        <f>EZ278-DL278-DM278</f>
        <v>0</v>
      </c>
      <c r="FB278" s="477"/>
      <c r="FC278" s="490">
        <f>SUMIF('Eredeti fejléccel'!$B:$B,'Felosztás eredménykim'!$B278,'Eredeti fejléccel'!$L:$L)</f>
        <v>0</v>
      </c>
      <c r="FD278" s="490">
        <f>SUMIF('Eredeti fejléccel'!$B:$B,'Felosztás eredménykim'!$B278,'Eredeti fejléccel'!$CJ:$CJ)</f>
        <v>0</v>
      </c>
      <c r="FE278" s="490">
        <f>SUMIF('Eredeti fejléccel'!$B:$B,'Felosztás eredménykim'!$B278,'Eredeti fejléccel'!$CL:$CL)</f>
        <v>0</v>
      </c>
      <c r="FF278" s="488"/>
      <c r="FG278" s="493">
        <f>SUM(FC278:FF278)</f>
        <v>0</v>
      </c>
      <c r="FH278" s="490">
        <f>SUMIF('Eredeti fejléccel'!$B:$B,'Felosztás eredménykim'!$B278,'Eredeti fejléccel'!$CK:$CK)</f>
        <v>0</v>
      </c>
      <c r="FI278" s="36">
        <f t="shared" si="742"/>
        <v>0</v>
      </c>
      <c r="FJ278" s="486">
        <f t="shared" si="743"/>
        <v>0</v>
      </c>
      <c r="FK278" s="490">
        <f>SUMIF('Eredeti fejléccel'!$B:$B,'Felosztás eredménykim'!$B278,'Eredeti fejléccel'!$CM:$CM)</f>
        <v>0</v>
      </c>
      <c r="FL278" s="490">
        <f>SUMIF('Eredeti fejléccel'!$B:$B,'Felosztás eredménykim'!$B278,'Eredeti fejléccel'!$CN:$CN)</f>
        <v>0</v>
      </c>
      <c r="FM278" s="477">
        <f>SUM(FJ278:FL278)</f>
        <v>0</v>
      </c>
      <c r="FN278" s="36">
        <f t="shared" si="744"/>
        <v>0</v>
      </c>
      <c r="FO278" s="486">
        <f t="shared" si="745"/>
        <v>0</v>
      </c>
      <c r="FP278" s="490">
        <f>SUMIF('Eredeti fejléccel'!$B:$B,'Felosztás eredménykim'!$B278,'Eredeti fejléccel'!$CO:$CO)</f>
        <v>0</v>
      </c>
      <c r="FQ278" s="6">
        <f>'Eredeti fejléccel'!CP278</f>
        <v>0</v>
      </c>
      <c r="FR278" s="6">
        <f>'Eredeti fejléccel'!CQ278</f>
        <v>0</v>
      </c>
      <c r="FS278" s="103">
        <f t="shared" si="639"/>
        <v>0</v>
      </c>
      <c r="FT278" s="36">
        <f t="shared" si="746"/>
        <v>0</v>
      </c>
      <c r="FU278" s="486">
        <f t="shared" si="747"/>
        <v>0</v>
      </c>
      <c r="FV278" s="486"/>
      <c r="FW278" s="490">
        <f>SUMIF('Eredeti fejléccel'!$B:$B,'Felosztás eredménykim'!$B278,'Eredeti fejléccel'!$CR:$CR)</f>
        <v>0</v>
      </c>
      <c r="FX278" s="490">
        <f>SUMIF('Eredeti fejléccel'!$B:$B,'Felosztás eredménykim'!$B278,'Eredeti fejléccel'!$CS:$CS)</f>
        <v>0</v>
      </c>
      <c r="FY278" s="490">
        <f>SUMIF('Eredeti fejléccel'!$B:$B,'Felosztás eredménykim'!$B278,'Eredeti fejléccel'!$CT:$CT)</f>
        <v>0</v>
      </c>
      <c r="FZ278" s="490">
        <f>SUMIF('Eredeti fejléccel'!$B:$B,'Felosztás eredménykim'!$B278,'Eredeti fejléccel'!$CU:$CU)</f>
        <v>0</v>
      </c>
      <c r="GA278" s="485">
        <f>SUM(FU278:FZ278)</f>
        <v>0</v>
      </c>
      <c r="GB278" s="36">
        <f t="shared" si="748"/>
        <v>0</v>
      </c>
      <c r="GC278" s="486">
        <f t="shared" si="749"/>
        <v>0</v>
      </c>
      <c r="GD278" s="490">
        <f>SUMIF('Eredeti fejléccel'!$B:$B,'Felosztás eredménykim'!$B278,'Eredeti fejléccel'!$CV:$CV)</f>
        <v>0</v>
      </c>
      <c r="GE278" s="490">
        <f>SUMIF('Eredeti fejléccel'!$B:$B,'Felosztás eredménykim'!$B278,'Eredeti fejléccel'!$CW:$CW)</f>
        <v>0</v>
      </c>
      <c r="GF278" s="485">
        <f>SUM(GC278:GE278)</f>
        <v>0</v>
      </c>
      <c r="GG278" s="36">
        <f t="shared" si="750"/>
        <v>0</v>
      </c>
      <c r="GH278" s="490"/>
      <c r="GI278" s="477"/>
      <c r="GJ278" s="490"/>
      <c r="GK278" s="477"/>
      <c r="GL278" s="490"/>
      <c r="GM278" s="490">
        <f>SUMIF('Eredeti fejléccel'!$B:$B,'Felosztás eredménykim'!$B278,'Eredeti fejléccel'!$CX:$CX)</f>
        <v>0</v>
      </c>
      <c r="GN278" s="490">
        <f>SUMIF('Eredeti fejléccel'!$B:$B,'Felosztás eredménykim'!$B278,'Eredeti fejléccel'!$CY:$CY)</f>
        <v>0</v>
      </c>
      <c r="GO278" s="490">
        <f>SUMIF('Eredeti fejléccel'!$B:$B,'Felosztás eredménykim'!$B278,'Eredeti fejléccel'!$CZ:$CZ)</f>
        <v>0</v>
      </c>
      <c r="GP278" s="490">
        <f>SUMIF('Eredeti fejléccel'!$B:$B,'Felosztás eredménykim'!$B278,'Eredeti fejléccel'!$DA:$DA)</f>
        <v>0</v>
      </c>
      <c r="GQ278" s="490">
        <f>SUMIF('Eredeti fejléccel'!$B:$B,'Felosztás eredménykim'!$B278,'Eredeti fejléccel'!$DB:$DB)</f>
        <v>0</v>
      </c>
      <c r="GR278" s="485">
        <f>SUM(GH278:GQ278)</f>
        <v>0</v>
      </c>
      <c r="GS278" s="477"/>
      <c r="GT278" s="477"/>
      <c r="GU278" s="477"/>
      <c r="GV278" s="477"/>
      <c r="GW278" s="36">
        <f t="shared" si="751"/>
        <v>0</v>
      </c>
      <c r="GX278" s="490">
        <f>SUMIF('Eredeti fejléccel'!$B:$B,'Felosztás eredménykim'!$B278,'Eredeti fejléccel'!$M:$M)</f>
        <v>0</v>
      </c>
      <c r="GY278" s="490">
        <f>SUMIF('Eredeti fejléccel'!$B:$B,'Felosztás eredménykim'!$B278,'Eredeti fejléccel'!$DC:$DC)</f>
        <v>0</v>
      </c>
      <c r="GZ278" s="490">
        <f>SUMIF('Eredeti fejléccel'!$B:$B,'Felosztás eredménykim'!$B278,'Eredeti fejléccel'!$DD:$DD)</f>
        <v>0</v>
      </c>
      <c r="HA278" s="490">
        <f>SUMIF('Eredeti fejléccel'!$B:$B,'Felosztás eredménykim'!$B278,'Eredeti fejléccel'!$DE:$DE)</f>
        <v>0</v>
      </c>
      <c r="HB278" s="485">
        <f>SUM(GX278:HA278)</f>
        <v>0</v>
      </c>
      <c r="HC278" s="477"/>
      <c r="HD278" s="484">
        <f t="shared" si="694"/>
        <v>0</v>
      </c>
      <c r="HE278" s="484"/>
      <c r="HF278" s="483"/>
      <c r="HG278" s="482"/>
      <c r="HH278" s="481">
        <f>+HD278-HE278</f>
        <v>0</v>
      </c>
      <c r="HI278" s="482">
        <f>HD278</f>
        <v>0</v>
      </c>
      <c r="HJ278" s="482">
        <f>HE278</f>
        <v>0</v>
      </c>
    </row>
    <row r="279" spans="1:232" x14ac:dyDescent="0.25">
      <c r="A279" s="495" t="s">
        <v>1494</v>
      </c>
      <c r="B279" s="495" t="s">
        <v>1494</v>
      </c>
      <c r="C279" s="491" t="s">
        <v>1491</v>
      </c>
      <c r="D279" s="490">
        <f>SUMIF('Eredeti fejléccel'!$B:$B,'Felosztás eredménykim'!$B279,'Eredeti fejléccel'!$D:$D)</f>
        <v>0</v>
      </c>
      <c r="E279" s="490">
        <f>SUMIF('Eredeti fejléccel'!$B:$B,'Felosztás eredménykim'!$B279,'Eredeti fejléccel'!$E:$E)</f>
        <v>0</v>
      </c>
      <c r="F279" s="490">
        <f>SUMIF('Eredeti fejléccel'!$B:$B,'Felosztás eredménykim'!$B279,'Eredeti fejléccel'!$F:$F)</f>
        <v>0</v>
      </c>
      <c r="G279" s="490">
        <f>SUMIF('Eredeti fejléccel'!$B:$B,'Felosztás eredménykim'!$B279,'Eredeti fejléccel'!$G:$G)</f>
        <v>0</v>
      </c>
      <c r="H279" s="490"/>
      <c r="I279" s="490">
        <f>SUMIF('Eredeti fejléccel'!$B:$B,'Felosztás eredménykim'!$B279,'Eredeti fejléccel'!$O:$O)</f>
        <v>0</v>
      </c>
      <c r="J279" s="490">
        <f>SUMIF('Eredeti fejléccel'!$B:$B,'Felosztás eredménykim'!$B279,'Eredeti fejléccel'!$P:$P)</f>
        <v>0</v>
      </c>
      <c r="K279" s="490">
        <f>SUMIF('Eredeti fejléccel'!$B:$B,'Felosztás eredménykim'!$B279,'Eredeti fejléccel'!$Q:$Q)</f>
        <v>0</v>
      </c>
      <c r="L279" s="490">
        <f>SUMIF('Eredeti fejléccel'!$B:$B,'Felosztás eredménykim'!$B279,'Eredeti fejléccel'!$R:$R)</f>
        <v>0</v>
      </c>
      <c r="M279" s="490">
        <f>SUMIF('Eredeti fejléccel'!$B:$B,'Felosztás eredménykim'!$B279,'Eredeti fejléccel'!$T:$T)</f>
        <v>0</v>
      </c>
      <c r="N279" s="490">
        <f>SUMIF('Eredeti fejléccel'!$B:$B,'Felosztás eredménykim'!$B279,'Eredeti fejléccel'!$U:$U)</f>
        <v>0</v>
      </c>
      <c r="O279" s="490">
        <f>SUMIF('Eredeti fejléccel'!$B:$B,'Felosztás eredménykim'!$B279,'Eredeti fejléccel'!$V:$V)</f>
        <v>0</v>
      </c>
      <c r="P279" s="490">
        <f>SUMIF('Eredeti fejléccel'!$B:$B,'Felosztás eredménykim'!$B279,'Eredeti fejléccel'!$W:$W)</f>
        <v>0</v>
      </c>
      <c r="Q279" s="490">
        <f>SUMIF('Eredeti fejléccel'!$B:$B,'Felosztás eredménykim'!$B279,'Eredeti fejléccel'!$X:$X)</f>
        <v>0</v>
      </c>
      <c r="R279" s="490">
        <f>SUMIF('Eredeti fejléccel'!$B:$B,'Felosztás eredménykim'!$B279,'Eredeti fejléccel'!$Y:$Y)</f>
        <v>0</v>
      </c>
      <c r="S279" s="490">
        <f>SUMIF('Eredeti fejléccel'!$B:$B,'Felosztás eredménykim'!$B279,'Eredeti fejléccel'!$Z:$Z)</f>
        <v>0</v>
      </c>
      <c r="T279" s="490">
        <f>SUMIF('Eredeti fejléccel'!$B:$B,'Felosztás eredménykim'!$B279,'Eredeti fejléccel'!$AA:$AA)</f>
        <v>0</v>
      </c>
      <c r="U279" s="490">
        <f>SUMIF('Eredeti fejléccel'!$B:$B,'Felosztás eredménykim'!$B279,'Eredeti fejléccel'!$D:$D)</f>
        <v>0</v>
      </c>
      <c r="V279" s="490">
        <f>SUMIF('Eredeti fejléccel'!$B:$B,'Felosztás eredménykim'!$B279,'Eredeti fejléccel'!$AT:$AT)</f>
        <v>0</v>
      </c>
      <c r="W279" s="489"/>
      <c r="X279" s="480">
        <f t="shared" si="635"/>
        <v>0</v>
      </c>
      <c r="Y279" s="489"/>
      <c r="Z279" s="490">
        <f>SUMIF('Eredeti fejléccel'!$B:$B,'Felosztás eredménykim'!$B279,'Eredeti fejléccel'!$K:$K)</f>
        <v>0</v>
      </c>
      <c r="AA279" s="490"/>
      <c r="AB279" s="490">
        <f>SUMIF('Eredeti fejléccel'!$B:$B,'Felosztás eredménykim'!$B279,'Eredeti fejléccel'!$AB:$AB)</f>
        <v>0</v>
      </c>
      <c r="AC279" s="490">
        <f>SUMIF('Eredeti fejléccel'!$B:$B,'Felosztás eredménykim'!$B279,'Eredeti fejléccel'!$AQ:$AQ)</f>
        <v>0</v>
      </c>
      <c r="AD279" s="488"/>
      <c r="AE279" s="488">
        <f>SUM(Z279:AD279)</f>
        <v>0</v>
      </c>
      <c r="AF279" s="36">
        <f t="shared" si="726"/>
        <v>0</v>
      </c>
      <c r="AG279" s="477">
        <f t="shared" si="727"/>
        <v>0</v>
      </c>
      <c r="AH279" s="490"/>
      <c r="AI279" s="490">
        <f>SUMIF('Eredeti fejléccel'!$B:$B,'Felosztás eredménykim'!$B279,'Eredeti fejléccel'!$BB:$BB)</f>
        <v>0</v>
      </c>
      <c r="AJ279" s="490">
        <f>SUMIF('Eredeti fejléccel'!$B:$B,'Felosztás eredménykim'!$B279,'Eredeti fejléccel'!$AF:$AF)</f>
        <v>0</v>
      </c>
      <c r="AK279" s="477">
        <f>SUM(AG279:AJ279)</f>
        <v>0</v>
      </c>
      <c r="AL279" s="36">
        <f t="shared" si="728"/>
        <v>0</v>
      </c>
      <c r="AM279" s="477">
        <f t="shared" si="729"/>
        <v>0</v>
      </c>
      <c r="AN279" s="490">
        <f>-AO279/2</f>
        <v>0</v>
      </c>
      <c r="AO279" s="490">
        <f>SUMIF('Eredeti fejléccel'!$B:$B,'Felosztás eredménykim'!$B279,'Eredeti fejléccel'!$AC:$AC)</f>
        <v>0</v>
      </c>
      <c r="AP279" s="490">
        <f>SUMIF('Eredeti fejléccel'!$B:$B,'Felosztás eredménykim'!$B279,'Eredeti fejléccel'!$AD:$AD)</f>
        <v>0</v>
      </c>
      <c r="AQ279" s="490">
        <f>SUMIF('Eredeti fejléccel'!$B:$B,'Felosztás eredménykim'!$B279,'Eredeti fejléccel'!$AE:$AE)</f>
        <v>0</v>
      </c>
      <c r="AR279" s="490">
        <f>SUMIF('Eredeti fejléccel'!$B:$B,'Felosztás eredménykim'!$B279,'Eredeti fejléccel'!$AG:$AG)</f>
        <v>0</v>
      </c>
      <c r="AS279" s="490">
        <f>SUM(AM279:AR279)</f>
        <v>0</v>
      </c>
      <c r="AT279" s="36">
        <f t="shared" si="730"/>
        <v>0</v>
      </c>
      <c r="AU279" s="477">
        <f t="shared" si="731"/>
        <v>0</v>
      </c>
      <c r="AV279" s="490">
        <f>SUMIF('Eredeti fejléccel'!$B:$B,'Felosztás eredménykim'!$B279,'Eredeti fejléccel'!$AI:$AI)</f>
        <v>0</v>
      </c>
      <c r="AW279" s="490">
        <f>SUMIF('Eredeti fejléccel'!$B:$B,'Felosztás eredménykim'!$B279,'Eredeti fejléccel'!$AJ:$AJ)</f>
        <v>0</v>
      </c>
      <c r="AX279" s="490">
        <f>SUMIF('Eredeti fejléccel'!$B:$B,'Felosztás eredménykim'!$B279,'Eredeti fejléccel'!$AK:$AK)</f>
        <v>0</v>
      </c>
      <c r="AY279" s="490">
        <f>SUMIF('Eredeti fejléccel'!$B:$B,'Felosztás eredménykim'!$B279,'Eredeti fejléccel'!$AL:$AL)</f>
        <v>0</v>
      </c>
      <c r="AZ279" s="490">
        <f>SUMIF('Eredeti fejléccel'!$B:$B,'Felosztás eredménykim'!$B279,'Eredeti fejléccel'!$AM:$AM)</f>
        <v>0</v>
      </c>
      <c r="BA279" s="490">
        <f>SUMIF('Eredeti fejléccel'!$B:$B,'Felosztás eredménykim'!$B279,'Eredeti fejléccel'!$AN:$AN)</f>
        <v>0</v>
      </c>
      <c r="BB279" s="490">
        <f>SUMIF('Eredeti fejléccel'!$B:$B,'Felosztás eredménykim'!$B279,'Eredeti fejléccel'!$AP:$AP)</f>
        <v>0</v>
      </c>
      <c r="BC279" s="490"/>
      <c r="BD279" s="490">
        <f>SUMIF('Eredeti fejléccel'!$B:$B,'Felosztás eredménykim'!$B279,'Eredeti fejléccel'!$AS:$AS)</f>
        <v>0</v>
      </c>
      <c r="BE279" s="477">
        <f>SUM(AU279:BD279)</f>
        <v>0</v>
      </c>
      <c r="BF279" s="36">
        <f t="shared" si="732"/>
        <v>0</v>
      </c>
      <c r="BG279" s="477">
        <f t="shared" si="733"/>
        <v>0</v>
      </c>
      <c r="BH279" s="490">
        <f>AO279/2</f>
        <v>0</v>
      </c>
      <c r="BI279" s="490">
        <f>SUMIF('Eredeti fejléccel'!$B:$B,'Felosztás eredménykim'!$B279,'Eredeti fejléccel'!$AH:$AH)</f>
        <v>0</v>
      </c>
      <c r="BJ279" s="490">
        <f>SUMIF('Eredeti fejléccel'!$B:$B,'Felosztás eredménykim'!$B279,'Eredeti fejléccel'!$AO:$AO)</f>
        <v>0</v>
      </c>
      <c r="BK279" s="490">
        <f>SUMIF('Eredeti fejléccel'!$B:$B,'Felosztás eredménykim'!$B279,'Eredeti fejléccel'!$BF:$BF)</f>
        <v>0</v>
      </c>
      <c r="BL279" s="477">
        <f>SUM(BG279:BK279)</f>
        <v>0</v>
      </c>
      <c r="BM279" s="36">
        <f t="shared" si="734"/>
        <v>0</v>
      </c>
      <c r="BN279" s="477">
        <f t="shared" si="735"/>
        <v>0</v>
      </c>
      <c r="BO279" s="477"/>
      <c r="BP279" s="477">
        <f>-FV279</f>
        <v>0</v>
      </c>
      <c r="BQ279" s="490">
        <f>SUMIF('Eredeti fejléccel'!$B:$B,'Felosztás eredménykim'!$B279,'Eredeti fejléccel'!$N:$N)</f>
        <v>0</v>
      </c>
      <c r="BR279" s="490">
        <f>SUMIF('Eredeti fejléccel'!$B:$B,'Felosztás eredménykim'!$B279,'Eredeti fejléccel'!$S:$S)</f>
        <v>0</v>
      </c>
      <c r="BS279" s="490"/>
      <c r="BT279" s="490">
        <f>SUMIF('Eredeti fejléccel'!$B:$B,'Felosztás eredménykim'!$B279,'Eredeti fejléccel'!$AR:$AR)</f>
        <v>0</v>
      </c>
      <c r="BU279" s="490">
        <f>SUMIF('Eredeti fejléccel'!$B:$B,'Felosztás eredménykim'!$B279,'Eredeti fejléccel'!$AU:$AU)</f>
        <v>0</v>
      </c>
      <c r="BV279" s="490">
        <f>SUMIF('Eredeti fejléccel'!$B:$B,'Felosztás eredménykim'!$B279,'Eredeti fejléccel'!$AV:$AV)</f>
        <v>0</v>
      </c>
      <c r="BW279" s="490">
        <f>SUMIF('Eredeti fejléccel'!$B:$B,'Felosztás eredménykim'!$B279,'Eredeti fejléccel'!$AW:$AW)</f>
        <v>0</v>
      </c>
      <c r="BX279" s="490">
        <f>SUMIF('Eredeti fejléccel'!$B:$B,'Felosztás eredménykim'!$B279,'Eredeti fejléccel'!$AX:$AX)</f>
        <v>0</v>
      </c>
      <c r="BY279" s="6">
        <f>SUMIF('Eredeti fejléccel'!$B:$B,'Felosztás eredménykim'!$B279,'Eredeti fejléccel'!$AY:$AY)</f>
        <v>0</v>
      </c>
      <c r="BZ279" s="490">
        <f>SUMIF('Eredeti fejléccel'!$B:$B,'Felosztás eredménykim'!$B279,'Eredeti fejléccel'!$AZ:$AZ)</f>
        <v>0</v>
      </c>
      <c r="CA279" s="490">
        <f>SUMIF('Eredeti fejléccel'!$B:$B,'Felosztás eredménykim'!$B279,'Eredeti fejléccel'!$BA:$BA)</f>
        <v>0</v>
      </c>
      <c r="CB279" s="490">
        <f t="shared" si="481"/>
        <v>0</v>
      </c>
      <c r="CC279" s="36">
        <f t="shared" si="736"/>
        <v>0</v>
      </c>
      <c r="CD279" s="477">
        <f t="shared" si="737"/>
        <v>0</v>
      </c>
      <c r="CE279" s="490">
        <f>SUMIF('Eredeti fejléccel'!$B:$B,'Felosztás eredménykim'!$B279,'Eredeti fejléccel'!$BC:$BC)</f>
        <v>0</v>
      </c>
      <c r="CF279" s="477">
        <f>-CE279/2</f>
        <v>0</v>
      </c>
      <c r="CG279" s="490">
        <f>SUMIF('Eredeti fejléccel'!$B:$B,'Felosztás eredménykim'!$B279,'Eredeti fejléccel'!$H:$H)</f>
        <v>0</v>
      </c>
      <c r="CH279" s="490">
        <f>SUMIF('Eredeti fejléccel'!$B:$B,'Felosztás eredménykim'!$B279,'Eredeti fejléccel'!$BE:$BE)</f>
        <v>0</v>
      </c>
      <c r="CI279" s="490">
        <f>SUM(CD279:CH279)</f>
        <v>0</v>
      </c>
      <c r="CJ279" s="36">
        <f t="shared" si="738"/>
        <v>0</v>
      </c>
      <c r="CK279" s="477">
        <f t="shared" si="739"/>
        <v>0</v>
      </c>
      <c r="CL279" s="477">
        <f>CE279/2</f>
        <v>0</v>
      </c>
      <c r="CM279" s="490">
        <f>SUMIF('Eredeti fejléccel'!$B:$B,'Felosztás eredménykim'!$B279,'Eredeti fejléccel'!$BD:$BD)</f>
        <v>0</v>
      </c>
      <c r="CN279" s="477">
        <f>SUM(CK279:CM279)</f>
        <v>0</v>
      </c>
      <c r="CO279" s="477">
        <f t="shared" si="482"/>
        <v>0</v>
      </c>
      <c r="CP279" s="477"/>
      <c r="CQ279" s="477"/>
      <c r="CR279" s="36">
        <f t="shared" si="740"/>
        <v>0</v>
      </c>
      <c r="CS279" s="490">
        <f>SUMIF('Eredeti fejléccel'!$B:$B,'Felosztás eredménykim'!$B279,'Eredeti fejléccel'!$I:$I)</f>
        <v>0</v>
      </c>
      <c r="CT279" s="490">
        <f>SUMIF('Eredeti fejléccel'!$B:$B,'Felosztás eredménykim'!$B279,'Eredeti fejléccel'!$BG:$BG)</f>
        <v>0</v>
      </c>
      <c r="CU279" s="490">
        <f>SUMIF('Eredeti fejléccel'!$B:$B,'Felosztás eredménykim'!$B279,'Eredeti fejléccel'!$BH:$BH)</f>
        <v>0</v>
      </c>
      <c r="CV279" s="490">
        <f>SUMIF('Eredeti fejléccel'!$B:$B,'Felosztás eredménykim'!$B279,'Eredeti fejléccel'!$BI:$BI)</f>
        <v>0</v>
      </c>
      <c r="CW279" s="490">
        <f>SUMIF('Eredeti fejléccel'!$B:$B,'Felosztás eredménykim'!$B279,'Eredeti fejléccel'!$BL:$BL)</f>
        <v>0</v>
      </c>
      <c r="CX279" s="490">
        <f>SUM(CS279:CW279)</f>
        <v>0</v>
      </c>
      <c r="CY279" s="490">
        <f>SUMIF('Eredeti fejléccel'!$B:$B,'Felosztás eredménykim'!$B279,'Eredeti fejléccel'!$BJ:$BJ)</f>
        <v>0</v>
      </c>
      <c r="CZ279" s="490">
        <f>SUMIF('Eredeti fejléccel'!$B:$B,'Felosztás eredménykim'!$B279,'Eredeti fejléccel'!$BK:$BK)</f>
        <v>0</v>
      </c>
      <c r="DA279" s="490">
        <f>SUMIF('Eredeti fejléccel'!$B:$B,'Felosztás eredménykim'!$B279,'Eredeti fejléccel'!$BJ:$BJ)</f>
        <v>0</v>
      </c>
      <c r="DB279" s="487"/>
      <c r="DC279" s="36">
        <f t="shared" si="741"/>
        <v>0</v>
      </c>
      <c r="DD279" s="490">
        <f>SUMIF('Eredeti fejléccel'!$B:$B,'Felosztás eredménykim'!$B279,'Eredeti fejléccel'!$J:$J)</f>
        <v>0</v>
      </c>
      <c r="DE279" s="490">
        <f>SUMIF('Eredeti fejléccel'!$B:$B,'Felosztás eredménykim'!$B279,'Eredeti fejléccel'!$BM:$BM)</f>
        <v>0</v>
      </c>
      <c r="DF279" s="490">
        <f>-DI279</f>
        <v>0</v>
      </c>
      <c r="DG279" s="477">
        <f t="shared" si="636"/>
        <v>0</v>
      </c>
      <c r="DH279" s="477">
        <f>SUM(DD279:DG279)</f>
        <v>0</v>
      </c>
      <c r="DI279" s="477"/>
      <c r="DJ279" s="490">
        <f>SUMIF('Eredeti fejléccel'!$B:$B,'Felosztás eredménykim'!$B279,'Eredeti fejléccel'!$BN:$BN)</f>
        <v>0</v>
      </c>
      <c r="DK279" s="490">
        <f>SUMIF('Eredeti fejléccel'!$B:$B,'Felosztás eredménykim'!$B279,'Eredeti fejléccel'!$BZ:$BZ)</f>
        <v>0</v>
      </c>
      <c r="DL279" s="477">
        <f>SUM(DI279:DK279)</f>
        <v>0</v>
      </c>
      <c r="DM279" s="490">
        <f>SUMIF('Eredeti fejléccel'!$B:$B,'Felosztás eredménykim'!$B279,'Eredeti fejléccel'!$BR:$BR)</f>
        <v>0</v>
      </c>
      <c r="DN279" s="490">
        <f>SUMIF('Eredeti fejléccel'!$B:$B,'Felosztás eredménykim'!$B279,'Eredeti fejléccel'!$BS:$BS)</f>
        <v>0</v>
      </c>
      <c r="DO279" s="490">
        <f>SUMIF('Eredeti fejléccel'!$B:$B,'Felosztás eredménykim'!$B279,'Eredeti fejléccel'!$BO:$BO)</f>
        <v>0</v>
      </c>
      <c r="DP279" s="490">
        <f>SUMIF('Eredeti fejléccel'!$B:$B,'Felosztás eredménykim'!$B279,'Eredeti fejléccel'!$BP:$BP)</f>
        <v>0</v>
      </c>
      <c r="DQ279" s="490">
        <f>SUMIF('Eredeti fejléccel'!$B:$B,'Felosztás eredménykim'!$B279,'Eredeti fejléccel'!$BQ:$BQ)</f>
        <v>0</v>
      </c>
      <c r="DR279" s="490"/>
      <c r="DS279" s="477"/>
      <c r="DT279" s="490"/>
      <c r="DU279" s="490">
        <f>SUMIF('Eredeti fejléccel'!$B:$B,'Felosztás eredménykim'!$B279,'Eredeti fejléccel'!$BT:$BT)</f>
        <v>0</v>
      </c>
      <c r="DV279" s="490">
        <f>SUMIF('Eredeti fejléccel'!$B:$B,'Felosztás eredménykim'!$B279,'Eredeti fejléccel'!$BU:$BU)</f>
        <v>0</v>
      </c>
      <c r="DW279" s="490">
        <f>SUMIF('Eredeti fejléccel'!$B:$B,'Felosztás eredménykim'!$B279,'Eredeti fejléccel'!$BV:$BV)</f>
        <v>0</v>
      </c>
      <c r="DX279" s="490">
        <f>SUMIF('Eredeti fejléccel'!$B:$B,'Felosztás eredménykim'!$B279,'Eredeti fejléccel'!$BW:$BW)</f>
        <v>0</v>
      </c>
      <c r="DY279" s="490">
        <f>SUMIF('Eredeti fejléccel'!$B:$B,'Felosztás eredménykim'!$B279,'Eredeti fejléccel'!$BX:$BX)</f>
        <v>0</v>
      </c>
      <c r="DZ279" s="490"/>
      <c r="EA279" s="490"/>
      <c r="EB279" s="490"/>
      <c r="EC279" s="490"/>
      <c r="ED279" s="490"/>
      <c r="EE279" s="490">
        <f>SUMIF('Eredeti fejléccel'!$B:$B,'Felosztás eredménykim'!$B279,'Eredeti fejléccel'!$CA:$CA)</f>
        <v>0</v>
      </c>
      <c r="EF279" s="490">
        <f>SUMIF('Eredeti fejléccel'!$B:$B,'Felosztás eredménykim'!$B279,'Eredeti fejléccel'!$CB:$CB)</f>
        <v>0</v>
      </c>
      <c r="EG279" s="490">
        <f>SUMIF('Eredeti fejléccel'!$B:$B,'Felosztás eredménykim'!$B279,'Eredeti fejléccel'!$CC:$CC)</f>
        <v>0</v>
      </c>
      <c r="EH279" s="490">
        <f>SUMIF('Eredeti fejléccel'!$B:$B,'Felosztás eredménykim'!$B279,'Eredeti fejléccel'!$CD:$CD)</f>
        <v>0</v>
      </c>
      <c r="EI279" s="490"/>
      <c r="EJ279" s="477"/>
      <c r="EK279" s="490">
        <f>SUMIF('Eredeti fejléccel'!$B:$B,'Felosztás eredménykim'!$B279,'Eredeti fejléccel'!$CE:$CE)</f>
        <v>0</v>
      </c>
      <c r="EL279" s="477"/>
      <c r="EM279" s="490"/>
      <c r="EN279" s="490">
        <f>SUMIF('Eredeti fejléccel'!$B:$B,'Felosztás eredménykim'!$B279,'Eredeti fejléccel'!$CF:$CF)</f>
        <v>0</v>
      </c>
      <c r="EO279" s="490"/>
      <c r="EP279" s="490">
        <f>SUMIF('Eredeti fejléccel'!$B:$B,'Felosztás eredménykim'!$B279,'Eredeti fejléccel'!$CG:$CG)</f>
        <v>0</v>
      </c>
      <c r="EQ279" s="490"/>
      <c r="ER279" s="477"/>
      <c r="ES279" s="490">
        <f>SUMIF('Eredeti fejléccel'!$B:$B,'Felosztás eredménykim'!$B279,'Eredeti fejléccel'!$CH:$CH)</f>
        <v>0</v>
      </c>
      <c r="ET279" s="490">
        <f>SUMIF('Eredeti fejléccel'!$B:$B,'Felosztás eredménykim'!$B279,'Eredeti fejléccel'!$CI:$CI)</f>
        <v>0</v>
      </c>
      <c r="EU279" s="490"/>
      <c r="EV279" s="477"/>
      <c r="EW279" s="477">
        <f>SUM(DR279:ED279)</f>
        <v>0</v>
      </c>
      <c r="EX279" s="477">
        <f>SUM(EE279:EV279)</f>
        <v>0</v>
      </c>
      <c r="EY279" s="477">
        <f t="shared" si="638"/>
        <v>0</v>
      </c>
      <c r="EZ279" s="477">
        <f>EY279+DL279+DM279+DN279+DO279+DP279+DQ279</f>
        <v>0</v>
      </c>
      <c r="FA279" s="477">
        <f>EZ279-DL279-DM279</f>
        <v>0</v>
      </c>
      <c r="FB279" s="477"/>
      <c r="FC279" s="490">
        <f>SUMIF('Eredeti fejléccel'!$B:$B,'Felosztás eredménykim'!$B279,'Eredeti fejléccel'!$L:$L)</f>
        <v>0</v>
      </c>
      <c r="FD279" s="490">
        <f>SUMIF('Eredeti fejléccel'!$B:$B,'Felosztás eredménykim'!$B279,'Eredeti fejléccel'!$CJ:$CJ)</f>
        <v>0</v>
      </c>
      <c r="FE279" s="490">
        <f>SUMIF('Eredeti fejléccel'!$B:$B,'Felosztás eredménykim'!$B279,'Eredeti fejléccel'!$CL:$CL)</f>
        <v>0</v>
      </c>
      <c r="FF279" s="488"/>
      <c r="FG279" s="493">
        <f>SUM(FC279:FF279)</f>
        <v>0</v>
      </c>
      <c r="FH279" s="490">
        <f>SUMIF('Eredeti fejléccel'!$B:$B,'Felosztás eredménykim'!$B279,'Eredeti fejléccel'!$CK:$CK)</f>
        <v>0</v>
      </c>
      <c r="FI279" s="36">
        <f t="shared" si="742"/>
        <v>0</v>
      </c>
      <c r="FJ279" s="486">
        <f t="shared" si="743"/>
        <v>0</v>
      </c>
      <c r="FK279" s="490">
        <f>SUMIF('Eredeti fejléccel'!$B:$B,'Felosztás eredménykim'!$B279,'Eredeti fejléccel'!$CM:$CM)</f>
        <v>0</v>
      </c>
      <c r="FL279" s="490">
        <f>SUMIF('Eredeti fejléccel'!$B:$B,'Felosztás eredménykim'!$B279,'Eredeti fejléccel'!$CN:$CN)</f>
        <v>0</v>
      </c>
      <c r="FM279" s="477">
        <f>SUM(FJ279:FL279)</f>
        <v>0</v>
      </c>
      <c r="FN279" s="36">
        <f t="shared" si="744"/>
        <v>0</v>
      </c>
      <c r="FO279" s="486">
        <f t="shared" si="745"/>
        <v>0</v>
      </c>
      <c r="FP279" s="490">
        <f>SUMIF('Eredeti fejléccel'!$B:$B,'Felosztás eredménykim'!$B279,'Eredeti fejléccel'!$CO:$CO)</f>
        <v>0</v>
      </c>
      <c r="FQ279" s="6">
        <f>'Eredeti fejléccel'!CP279</f>
        <v>0</v>
      </c>
      <c r="FR279" s="6">
        <f>'Eredeti fejléccel'!CQ279</f>
        <v>0</v>
      </c>
      <c r="FS279" s="103">
        <f t="shared" si="639"/>
        <v>0</v>
      </c>
      <c r="FT279" s="36">
        <f t="shared" si="746"/>
        <v>0</v>
      </c>
      <c r="FU279" s="486">
        <f t="shared" si="747"/>
        <v>0</v>
      </c>
      <c r="FV279" s="486"/>
      <c r="FW279" s="490">
        <f>SUMIF('Eredeti fejléccel'!$B:$B,'Felosztás eredménykim'!$B279,'Eredeti fejléccel'!$CR:$CR)</f>
        <v>0</v>
      </c>
      <c r="FX279" s="490">
        <f>SUMIF('Eredeti fejléccel'!$B:$B,'Felosztás eredménykim'!$B279,'Eredeti fejléccel'!$CS:$CS)</f>
        <v>0</v>
      </c>
      <c r="FY279" s="490">
        <f>SUMIF('Eredeti fejléccel'!$B:$B,'Felosztás eredménykim'!$B279,'Eredeti fejléccel'!$CT:$CT)</f>
        <v>0</v>
      </c>
      <c r="FZ279" s="490">
        <f>SUMIF('Eredeti fejléccel'!$B:$B,'Felosztás eredménykim'!$B279,'Eredeti fejléccel'!$CU:$CU)</f>
        <v>0</v>
      </c>
      <c r="GA279" s="485">
        <f>SUM(FU279:FZ279)</f>
        <v>0</v>
      </c>
      <c r="GB279" s="36">
        <f t="shared" si="748"/>
        <v>0</v>
      </c>
      <c r="GC279" s="486">
        <f t="shared" si="749"/>
        <v>0</v>
      </c>
      <c r="GD279" s="490">
        <f>SUMIF('Eredeti fejléccel'!$B:$B,'Felosztás eredménykim'!$B279,'Eredeti fejléccel'!$CV:$CV)</f>
        <v>0</v>
      </c>
      <c r="GE279" s="490">
        <f>SUMIF('Eredeti fejléccel'!$B:$B,'Felosztás eredménykim'!$B279,'Eredeti fejléccel'!$CW:$CW)</f>
        <v>0</v>
      </c>
      <c r="GF279" s="485">
        <f>SUM(GC279:GE279)</f>
        <v>0</v>
      </c>
      <c r="GG279" s="36">
        <f t="shared" si="750"/>
        <v>0</v>
      </c>
      <c r="GH279" s="490"/>
      <c r="GI279" s="477"/>
      <c r="GJ279" s="490"/>
      <c r="GK279" s="477"/>
      <c r="GL279" s="490"/>
      <c r="GM279" s="490">
        <f>SUMIF('Eredeti fejléccel'!$B:$B,'Felosztás eredménykim'!$B279,'Eredeti fejléccel'!$CX:$CX)</f>
        <v>0</v>
      </c>
      <c r="GN279" s="490">
        <f>SUMIF('Eredeti fejléccel'!$B:$B,'Felosztás eredménykim'!$B279,'Eredeti fejléccel'!$CY:$CY)</f>
        <v>0</v>
      </c>
      <c r="GO279" s="490">
        <f>SUMIF('Eredeti fejléccel'!$B:$B,'Felosztás eredménykim'!$B279,'Eredeti fejléccel'!$CZ:$CZ)</f>
        <v>0</v>
      </c>
      <c r="GP279" s="490">
        <f>SUMIF('Eredeti fejléccel'!$B:$B,'Felosztás eredménykim'!$B279,'Eredeti fejléccel'!$DA:$DA)</f>
        <v>0</v>
      </c>
      <c r="GQ279" s="490">
        <f>SUMIF('Eredeti fejléccel'!$B:$B,'Felosztás eredménykim'!$B279,'Eredeti fejléccel'!$DB:$DB)</f>
        <v>0</v>
      </c>
      <c r="GR279" s="485">
        <f>SUM(GH279:GQ279)</f>
        <v>0</v>
      </c>
      <c r="GS279" s="477"/>
      <c r="GT279" s="477"/>
      <c r="GU279" s="477"/>
      <c r="GV279" s="477"/>
      <c r="GW279" s="36">
        <f t="shared" si="751"/>
        <v>0</v>
      </c>
      <c r="GX279" s="490">
        <f>SUMIF('Eredeti fejléccel'!$B:$B,'Felosztás eredménykim'!$B279,'Eredeti fejléccel'!$M:$M)</f>
        <v>0</v>
      </c>
      <c r="GY279" s="490">
        <f>SUMIF('Eredeti fejléccel'!$B:$B,'Felosztás eredménykim'!$B279,'Eredeti fejléccel'!$DC:$DC)</f>
        <v>0</v>
      </c>
      <c r="GZ279" s="490">
        <f>SUMIF('Eredeti fejléccel'!$B:$B,'Felosztás eredménykim'!$B279,'Eredeti fejléccel'!$DD:$DD)</f>
        <v>0</v>
      </c>
      <c r="HA279" s="490">
        <f>SUMIF('Eredeti fejléccel'!$B:$B,'Felosztás eredménykim'!$B279,'Eredeti fejléccel'!$DE:$DE)</f>
        <v>0</v>
      </c>
      <c r="HB279" s="485">
        <f>SUM(GX279:HA279)</f>
        <v>0</v>
      </c>
      <c r="HC279" s="477"/>
      <c r="HD279" s="484">
        <f t="shared" si="694"/>
        <v>0</v>
      </c>
      <c r="HE279" s="484"/>
      <c r="HF279" s="483"/>
      <c r="HG279" s="482"/>
      <c r="HH279" s="481">
        <f>+HD279-HE279</f>
        <v>0</v>
      </c>
      <c r="HI279" s="482">
        <f>HD279</f>
        <v>0</v>
      </c>
      <c r="HJ279" s="482">
        <f>HE279</f>
        <v>0</v>
      </c>
    </row>
    <row r="280" spans="1:232" x14ac:dyDescent="0.25">
      <c r="A280" s="492" t="s">
        <v>1490</v>
      </c>
      <c r="B280" s="492" t="s">
        <v>1490</v>
      </c>
      <c r="C280" s="491" t="s">
        <v>1491</v>
      </c>
      <c r="D280" s="490">
        <f>SUMIF('Eredeti fejléccel'!$B:$B,'Felosztás eredménykim'!$B280,'Eredeti fejléccel'!$D:$D)</f>
        <v>0</v>
      </c>
      <c r="E280" s="490">
        <f>SUMIF('Eredeti fejléccel'!$B:$B,'Felosztás eredménykim'!$B280,'Eredeti fejléccel'!$E:$E)</f>
        <v>0</v>
      </c>
      <c r="F280" s="490">
        <f>SUMIF('Eredeti fejléccel'!$B:$B,'Felosztás eredménykim'!$B280,'Eredeti fejléccel'!$F:$F)</f>
        <v>0</v>
      </c>
      <c r="G280" s="490">
        <f>SUMIF('Eredeti fejléccel'!$B:$B,'Felosztás eredménykim'!$B280,'Eredeti fejléccel'!$G:$G)</f>
        <v>0</v>
      </c>
      <c r="H280" s="490"/>
      <c r="I280" s="490">
        <f>SUMIF('Eredeti fejléccel'!$B:$B,'Felosztás eredménykim'!$B280,'Eredeti fejléccel'!$O:$O)</f>
        <v>0</v>
      </c>
      <c r="J280" s="490">
        <f>SUMIF('Eredeti fejléccel'!$B:$B,'Felosztás eredménykim'!$B280,'Eredeti fejléccel'!$P:$P)</f>
        <v>0</v>
      </c>
      <c r="K280" s="490">
        <f>SUMIF('Eredeti fejléccel'!$B:$B,'Felosztás eredménykim'!$B280,'Eredeti fejléccel'!$Q:$Q)</f>
        <v>0</v>
      </c>
      <c r="L280" s="490">
        <f>SUMIF('Eredeti fejléccel'!$B:$B,'Felosztás eredménykim'!$B280,'Eredeti fejléccel'!$R:$R)</f>
        <v>0</v>
      </c>
      <c r="M280" s="490">
        <f>SUMIF('Eredeti fejléccel'!$B:$B,'Felosztás eredménykim'!$B280,'Eredeti fejléccel'!$T:$T)</f>
        <v>0</v>
      </c>
      <c r="N280" s="490">
        <f>SUMIF('Eredeti fejléccel'!$B:$B,'Felosztás eredménykim'!$B280,'Eredeti fejléccel'!$U:$U)</f>
        <v>0</v>
      </c>
      <c r="O280" s="490">
        <f>SUMIF('Eredeti fejléccel'!$B:$B,'Felosztás eredménykim'!$B280,'Eredeti fejléccel'!$V:$V)</f>
        <v>0</v>
      </c>
      <c r="P280" s="490">
        <f>SUMIF('Eredeti fejléccel'!$B:$B,'Felosztás eredménykim'!$B280,'Eredeti fejléccel'!$W:$W)</f>
        <v>0</v>
      </c>
      <c r="Q280" s="490">
        <f>SUMIF('Eredeti fejléccel'!$B:$B,'Felosztás eredménykim'!$B280,'Eredeti fejléccel'!$X:$X)</f>
        <v>0</v>
      </c>
      <c r="R280" s="490">
        <f>SUMIF('Eredeti fejléccel'!$B:$B,'Felosztás eredménykim'!$B280,'Eredeti fejléccel'!$Y:$Y)</f>
        <v>0</v>
      </c>
      <c r="S280" s="490">
        <f>SUMIF('Eredeti fejléccel'!$B:$B,'Felosztás eredménykim'!$B280,'Eredeti fejléccel'!$Z:$Z)</f>
        <v>0</v>
      </c>
      <c r="T280" s="490">
        <f>SUMIF('Eredeti fejléccel'!$B:$B,'Felosztás eredménykim'!$B280,'Eredeti fejléccel'!$AA:$AA)</f>
        <v>0</v>
      </c>
      <c r="U280" s="490">
        <f>SUMIF('Eredeti fejléccel'!$B:$B,'Felosztás eredménykim'!$B280,'Eredeti fejléccel'!$D:$D)</f>
        <v>0</v>
      </c>
      <c r="V280" s="490">
        <f>SUMIF('Eredeti fejléccel'!$B:$B,'Felosztás eredménykim'!$B280,'Eredeti fejléccel'!$AT:$AT)</f>
        <v>0</v>
      </c>
      <c r="W280" s="489"/>
      <c r="X280" s="480">
        <f t="shared" si="635"/>
        <v>0</v>
      </c>
      <c r="Y280" s="489"/>
      <c r="Z280" s="490">
        <f>SUMIF('Eredeti fejléccel'!$B:$B,'Felosztás eredménykim'!$B280,'Eredeti fejléccel'!$K:$K)</f>
        <v>0</v>
      </c>
      <c r="AA280" s="490"/>
      <c r="AB280" s="490">
        <f>SUMIF('Eredeti fejléccel'!$B:$B,'Felosztás eredménykim'!$B280,'Eredeti fejléccel'!$AB:$AB)</f>
        <v>0</v>
      </c>
      <c r="AC280" s="490">
        <f>SUMIF('Eredeti fejléccel'!$B:$B,'Felosztás eredménykim'!$B280,'Eredeti fejléccel'!$AQ:$AQ)</f>
        <v>0</v>
      </c>
      <c r="AD280" s="488"/>
      <c r="AE280" s="488">
        <f t="shared" si="548"/>
        <v>0</v>
      </c>
      <c r="AF280" s="36">
        <f t="shared" si="726"/>
        <v>0</v>
      </c>
      <c r="AG280" s="477">
        <f t="shared" si="727"/>
        <v>0</v>
      </c>
      <c r="AH280" s="490"/>
      <c r="AI280" s="490">
        <f>SUMIF('Eredeti fejléccel'!$B:$B,'Felosztás eredménykim'!$B280,'Eredeti fejléccel'!$BB:$BB)</f>
        <v>0</v>
      </c>
      <c r="AJ280" s="490">
        <f>SUMIF('Eredeti fejléccel'!$B:$B,'Felosztás eredménykim'!$B280,'Eredeti fejléccel'!$AF:$AF)</f>
        <v>0</v>
      </c>
      <c r="AK280" s="477">
        <f t="shared" si="522"/>
        <v>0</v>
      </c>
      <c r="AL280" s="36">
        <f t="shared" si="728"/>
        <v>0</v>
      </c>
      <c r="AM280" s="477">
        <f t="shared" si="729"/>
        <v>0</v>
      </c>
      <c r="AN280" s="490">
        <f t="shared" si="538"/>
        <v>0</v>
      </c>
      <c r="AO280" s="490">
        <f>SUMIF('Eredeti fejléccel'!$B:$B,'Felosztás eredménykim'!$B280,'Eredeti fejléccel'!$AC:$AC)</f>
        <v>0</v>
      </c>
      <c r="AP280" s="490">
        <f>SUMIF('Eredeti fejléccel'!$B:$B,'Felosztás eredménykim'!$B280,'Eredeti fejléccel'!$AD:$AD)</f>
        <v>0</v>
      </c>
      <c r="AQ280" s="490">
        <f>SUMIF('Eredeti fejléccel'!$B:$B,'Felosztás eredménykim'!$B280,'Eredeti fejléccel'!$AE:$AE)</f>
        <v>0</v>
      </c>
      <c r="AR280" s="490">
        <f>SUMIF('Eredeti fejléccel'!$B:$B,'Felosztás eredménykim'!$B280,'Eredeti fejléccel'!$AG:$AG)</f>
        <v>0</v>
      </c>
      <c r="AS280" s="490">
        <f t="shared" si="539"/>
        <v>0</v>
      </c>
      <c r="AT280" s="36">
        <f t="shared" si="730"/>
        <v>0</v>
      </c>
      <c r="AU280" s="477">
        <f t="shared" si="731"/>
        <v>0</v>
      </c>
      <c r="AV280" s="490">
        <f>SUMIF('Eredeti fejléccel'!$B:$B,'Felosztás eredménykim'!$B280,'Eredeti fejléccel'!$AI:$AI)</f>
        <v>0</v>
      </c>
      <c r="AW280" s="490">
        <f>SUMIF('Eredeti fejléccel'!$B:$B,'Felosztás eredménykim'!$B280,'Eredeti fejléccel'!$AJ:$AJ)</f>
        <v>0</v>
      </c>
      <c r="AX280" s="490">
        <f>SUMIF('Eredeti fejléccel'!$B:$B,'Felosztás eredménykim'!$B280,'Eredeti fejléccel'!$AK:$AK)</f>
        <v>0</v>
      </c>
      <c r="AY280" s="490">
        <f>SUMIF('Eredeti fejléccel'!$B:$B,'Felosztás eredménykim'!$B280,'Eredeti fejléccel'!$AL:$AL)</f>
        <v>0</v>
      </c>
      <c r="AZ280" s="490">
        <f>SUMIF('Eredeti fejléccel'!$B:$B,'Felosztás eredménykim'!$B280,'Eredeti fejléccel'!$AM:$AM)</f>
        <v>0</v>
      </c>
      <c r="BA280" s="490">
        <f>SUMIF('Eredeti fejléccel'!$B:$B,'Felosztás eredménykim'!$B280,'Eredeti fejléccel'!$AN:$AN)</f>
        <v>0</v>
      </c>
      <c r="BB280" s="490">
        <f>SUMIF('Eredeti fejléccel'!$B:$B,'Felosztás eredménykim'!$B280,'Eredeti fejléccel'!$AP:$AP)</f>
        <v>0</v>
      </c>
      <c r="BC280" s="490"/>
      <c r="BD280" s="490">
        <f>SUMIF('Eredeti fejléccel'!$B:$B,'Felosztás eredménykim'!$B280,'Eredeti fejléccel'!$AS:$AS)</f>
        <v>0</v>
      </c>
      <c r="BE280" s="477">
        <f t="shared" si="523"/>
        <v>0</v>
      </c>
      <c r="BF280" s="36">
        <f t="shared" si="732"/>
        <v>0</v>
      </c>
      <c r="BG280" s="477">
        <f t="shared" si="733"/>
        <v>0</v>
      </c>
      <c r="BH280" s="490">
        <f t="shared" si="540"/>
        <v>0</v>
      </c>
      <c r="BI280" s="490">
        <f>SUMIF('Eredeti fejléccel'!$B:$B,'Felosztás eredménykim'!$B280,'Eredeti fejléccel'!$AH:$AH)</f>
        <v>0</v>
      </c>
      <c r="BJ280" s="490">
        <f>SUMIF('Eredeti fejléccel'!$B:$B,'Felosztás eredménykim'!$B280,'Eredeti fejléccel'!$AO:$AO)</f>
        <v>0</v>
      </c>
      <c r="BK280" s="490">
        <f>SUMIF('Eredeti fejléccel'!$B:$B,'Felosztás eredménykim'!$B280,'Eredeti fejléccel'!$BF:$BF)</f>
        <v>0</v>
      </c>
      <c r="BL280" s="477">
        <f t="shared" si="541"/>
        <v>0</v>
      </c>
      <c r="BM280" s="36">
        <f t="shared" si="734"/>
        <v>0</v>
      </c>
      <c r="BN280" s="477">
        <f t="shared" si="735"/>
        <v>0</v>
      </c>
      <c r="BO280" s="477"/>
      <c r="BP280" s="477">
        <f t="shared" si="542"/>
        <v>0</v>
      </c>
      <c r="BQ280" s="490">
        <f>SUMIF('Eredeti fejléccel'!$B:$B,'Felosztás eredménykim'!$B280,'Eredeti fejléccel'!$N:$N)</f>
        <v>0</v>
      </c>
      <c r="BR280" s="490">
        <f>SUMIF('Eredeti fejléccel'!$B:$B,'Felosztás eredménykim'!$B280,'Eredeti fejléccel'!$S:$S)</f>
        <v>0</v>
      </c>
      <c r="BS280" s="490"/>
      <c r="BT280" s="490">
        <f>SUMIF('Eredeti fejléccel'!$B:$B,'Felosztás eredménykim'!$B280,'Eredeti fejléccel'!$AR:$AR)</f>
        <v>0</v>
      </c>
      <c r="BU280" s="490">
        <f>SUMIF('Eredeti fejléccel'!$B:$B,'Felosztás eredménykim'!$B280,'Eredeti fejléccel'!$AU:$AU)</f>
        <v>0</v>
      </c>
      <c r="BV280" s="490">
        <f>SUMIF('Eredeti fejléccel'!$B:$B,'Felosztás eredménykim'!$B280,'Eredeti fejléccel'!$AV:$AV)</f>
        <v>0</v>
      </c>
      <c r="BW280" s="490">
        <f>SUMIF('Eredeti fejléccel'!$B:$B,'Felosztás eredménykim'!$B280,'Eredeti fejléccel'!$AW:$AW)</f>
        <v>0</v>
      </c>
      <c r="BX280" s="490">
        <f>SUMIF('Eredeti fejléccel'!$B:$B,'Felosztás eredménykim'!$B280,'Eredeti fejléccel'!$AX:$AX)</f>
        <v>0</v>
      </c>
      <c r="BY280" s="6">
        <f>SUMIF('Eredeti fejléccel'!$B:$B,'Felosztás eredménykim'!$B280,'Eredeti fejléccel'!$AY:$AY)</f>
        <v>0</v>
      </c>
      <c r="BZ280" s="490">
        <f>SUMIF('Eredeti fejléccel'!$B:$B,'Felosztás eredménykim'!$B280,'Eredeti fejléccel'!$AZ:$AZ)</f>
        <v>0</v>
      </c>
      <c r="CA280" s="490">
        <f>SUMIF('Eredeti fejléccel'!$B:$B,'Felosztás eredménykim'!$B280,'Eredeti fejléccel'!$BA:$BA)</f>
        <v>0</v>
      </c>
      <c r="CB280" s="490">
        <f t="shared" ref="CB280" si="753">SUM(BN280:CA280)</f>
        <v>0</v>
      </c>
      <c r="CC280" s="36">
        <f t="shared" si="736"/>
        <v>0</v>
      </c>
      <c r="CD280" s="477">
        <f t="shared" si="737"/>
        <v>0</v>
      </c>
      <c r="CE280" s="490">
        <f>SUMIF('Eredeti fejléccel'!$B:$B,'Felosztás eredménykim'!$B280,'Eredeti fejléccel'!$BC:$BC)</f>
        <v>0</v>
      </c>
      <c r="CF280" s="477">
        <f t="shared" si="555"/>
        <v>0</v>
      </c>
      <c r="CG280" s="490">
        <f>SUMIF('Eredeti fejléccel'!$B:$B,'Felosztás eredménykim'!$B280,'Eredeti fejléccel'!$H:$H)</f>
        <v>0</v>
      </c>
      <c r="CH280" s="490">
        <f>SUMIF('Eredeti fejléccel'!$B:$B,'Felosztás eredménykim'!$B280,'Eredeti fejléccel'!$BE:$BE)</f>
        <v>0</v>
      </c>
      <c r="CI280" s="490">
        <f t="shared" si="524"/>
        <v>0</v>
      </c>
      <c r="CJ280" s="36">
        <f t="shared" si="738"/>
        <v>0</v>
      </c>
      <c r="CK280" s="477">
        <f t="shared" si="739"/>
        <v>0</v>
      </c>
      <c r="CL280" s="477">
        <f t="shared" si="557"/>
        <v>0</v>
      </c>
      <c r="CM280" s="490">
        <f>SUMIF('Eredeti fejléccel'!$B:$B,'Felosztás eredménykim'!$B280,'Eredeti fejléccel'!$BD:$BD)</f>
        <v>0</v>
      </c>
      <c r="CN280" s="477">
        <f t="shared" si="525"/>
        <v>0</v>
      </c>
      <c r="CO280" s="477">
        <f t="shared" ref="CO280" si="754">+AF280+AK280+AL280+AS280+AT280+BE280+BF280+BL280+BM280+CB280+CC280+CI280+CJ280+CN280</f>
        <v>0</v>
      </c>
      <c r="CP280" s="477"/>
      <c r="CQ280" s="477"/>
      <c r="CR280" s="36">
        <f t="shared" si="740"/>
        <v>0</v>
      </c>
      <c r="CS280" s="490">
        <f>SUMIF('Eredeti fejléccel'!$B:$B,'Felosztás eredménykim'!$B280,'Eredeti fejléccel'!$I:$I)</f>
        <v>0</v>
      </c>
      <c r="CT280" s="490">
        <f>SUMIF('Eredeti fejléccel'!$B:$B,'Felosztás eredménykim'!$B280,'Eredeti fejléccel'!$BG:$BG)</f>
        <v>0</v>
      </c>
      <c r="CU280" s="490">
        <f>SUMIF('Eredeti fejléccel'!$B:$B,'Felosztás eredménykim'!$B280,'Eredeti fejléccel'!$BH:$BH)</f>
        <v>0</v>
      </c>
      <c r="CV280" s="490">
        <f>SUMIF('Eredeti fejléccel'!$B:$B,'Felosztás eredménykim'!$B280,'Eredeti fejléccel'!$BI:$BI)</f>
        <v>0</v>
      </c>
      <c r="CW280" s="490">
        <f>SUMIF('Eredeti fejléccel'!$B:$B,'Felosztás eredménykim'!$B280,'Eredeti fejléccel'!$BL:$BL)</f>
        <v>0</v>
      </c>
      <c r="CX280" s="490">
        <f t="shared" si="526"/>
        <v>0</v>
      </c>
      <c r="CY280" s="490">
        <f>SUMIF('Eredeti fejléccel'!$B:$B,'Felosztás eredménykim'!$B280,'Eredeti fejléccel'!$BJ:$BJ)</f>
        <v>0</v>
      </c>
      <c r="CZ280" s="490">
        <f>SUMIF('Eredeti fejléccel'!$B:$B,'Felosztás eredménykim'!$B280,'Eredeti fejléccel'!$BK:$BK)</f>
        <v>0</v>
      </c>
      <c r="DA280" s="490">
        <f>SUMIF('Eredeti fejléccel'!$B:$B,'Felosztás eredménykim'!$B280,'Eredeti fejléccel'!$BJ:$BJ)</f>
        <v>0</v>
      </c>
      <c r="DB280" s="487"/>
      <c r="DC280" s="36">
        <f t="shared" si="741"/>
        <v>0</v>
      </c>
      <c r="DD280" s="490">
        <f>SUMIF('Eredeti fejléccel'!$B:$B,'Felosztás eredménykim'!$B280,'Eredeti fejléccel'!$J:$J)</f>
        <v>0</v>
      </c>
      <c r="DE280" s="490">
        <f>SUMIF('Eredeti fejléccel'!$B:$B,'Felosztás eredménykim'!$B280,'Eredeti fejléccel'!$BM:$BM)</f>
        <v>0</v>
      </c>
      <c r="DF280" s="490">
        <f t="shared" si="543"/>
        <v>0</v>
      </c>
      <c r="DG280" s="477">
        <f t="shared" si="636"/>
        <v>0</v>
      </c>
      <c r="DH280" s="477">
        <f t="shared" si="544"/>
        <v>0</v>
      </c>
      <c r="DI280" s="477"/>
      <c r="DJ280" s="490">
        <f>SUMIF('Eredeti fejléccel'!$B:$B,'Felosztás eredménykim'!$B280,'Eredeti fejléccel'!$BN:$BN)</f>
        <v>0</v>
      </c>
      <c r="DK280" s="490">
        <f>SUMIF('Eredeti fejléccel'!$B:$B,'Felosztás eredménykim'!$B280,'Eredeti fejléccel'!$BZ:$BZ)</f>
        <v>0</v>
      </c>
      <c r="DL280" s="477">
        <f t="shared" si="545"/>
        <v>0</v>
      </c>
      <c r="DM280" s="490">
        <f>SUMIF('Eredeti fejléccel'!$B:$B,'Felosztás eredménykim'!$B280,'Eredeti fejléccel'!$BR:$BR)</f>
        <v>0</v>
      </c>
      <c r="DN280" s="490">
        <f>SUMIF('Eredeti fejléccel'!$B:$B,'Felosztás eredménykim'!$B280,'Eredeti fejléccel'!$BS:$BS)</f>
        <v>0</v>
      </c>
      <c r="DO280" s="490">
        <f>SUMIF('Eredeti fejléccel'!$B:$B,'Felosztás eredménykim'!$B280,'Eredeti fejléccel'!$BO:$BO)</f>
        <v>0</v>
      </c>
      <c r="DP280" s="490">
        <f>SUMIF('Eredeti fejléccel'!$B:$B,'Felosztás eredménykim'!$B280,'Eredeti fejléccel'!$BP:$BP)</f>
        <v>0</v>
      </c>
      <c r="DQ280" s="490">
        <f>SUMIF('Eredeti fejléccel'!$B:$B,'Felosztás eredménykim'!$B280,'Eredeti fejléccel'!$BQ:$BQ)</f>
        <v>0</v>
      </c>
      <c r="DR280" s="490"/>
      <c r="DS280" s="477"/>
      <c r="DT280" s="490"/>
      <c r="DU280" s="490">
        <f>SUMIF('Eredeti fejléccel'!$B:$B,'Felosztás eredménykim'!$B280,'Eredeti fejléccel'!$BT:$BT)</f>
        <v>0</v>
      </c>
      <c r="DV280" s="490">
        <f>SUMIF('Eredeti fejléccel'!$B:$B,'Felosztás eredménykim'!$B280,'Eredeti fejléccel'!$BU:$BU)</f>
        <v>0</v>
      </c>
      <c r="DW280" s="490">
        <f>SUMIF('Eredeti fejléccel'!$B:$B,'Felosztás eredménykim'!$B280,'Eredeti fejléccel'!$BV:$BV)</f>
        <v>0</v>
      </c>
      <c r="DX280" s="490">
        <f>SUMIF('Eredeti fejléccel'!$B:$B,'Felosztás eredménykim'!$B280,'Eredeti fejléccel'!$BW:$BW)</f>
        <v>0</v>
      </c>
      <c r="DY280" s="490">
        <f>SUMIF('Eredeti fejléccel'!$B:$B,'Felosztás eredménykim'!$B280,'Eredeti fejléccel'!$BX:$BX)</f>
        <v>0</v>
      </c>
      <c r="DZ280" s="490"/>
      <c r="EA280" s="490"/>
      <c r="EB280" s="490"/>
      <c r="EC280" s="490"/>
      <c r="ED280" s="490"/>
      <c r="EE280" s="490">
        <f>SUMIF('Eredeti fejléccel'!$B:$B,'Felosztás eredménykim'!$B280,'Eredeti fejléccel'!$CA:$CA)</f>
        <v>0</v>
      </c>
      <c r="EF280" s="490">
        <f>SUMIF('Eredeti fejléccel'!$B:$B,'Felosztás eredménykim'!$B280,'Eredeti fejléccel'!$CB:$CB)</f>
        <v>0</v>
      </c>
      <c r="EG280" s="490">
        <f>SUMIF('Eredeti fejléccel'!$B:$B,'Felosztás eredménykim'!$B280,'Eredeti fejléccel'!$CC:$CC)</f>
        <v>0</v>
      </c>
      <c r="EH280" s="490">
        <f>SUMIF('Eredeti fejléccel'!$B:$B,'Felosztás eredménykim'!$B280,'Eredeti fejléccel'!$CD:$CD)</f>
        <v>0</v>
      </c>
      <c r="EI280" s="490"/>
      <c r="EJ280" s="477"/>
      <c r="EK280" s="490">
        <f>SUMIF('Eredeti fejléccel'!$B:$B,'Felosztás eredménykim'!$B280,'Eredeti fejléccel'!$CE:$CE)</f>
        <v>0</v>
      </c>
      <c r="EL280" s="477"/>
      <c r="EM280" s="490"/>
      <c r="EN280" s="490">
        <f>SUMIF('Eredeti fejléccel'!$B:$B,'Felosztás eredménykim'!$B280,'Eredeti fejléccel'!$CF:$CF)</f>
        <v>0</v>
      </c>
      <c r="EO280" s="490"/>
      <c r="EP280" s="490">
        <f>SUMIF('Eredeti fejléccel'!$B:$B,'Felosztás eredménykim'!$B280,'Eredeti fejléccel'!$CG:$CG)</f>
        <v>0</v>
      </c>
      <c r="EQ280" s="490"/>
      <c r="ER280" s="477"/>
      <c r="ES280" s="490">
        <f>SUMIF('Eredeti fejléccel'!$B:$B,'Felosztás eredménykim'!$B280,'Eredeti fejléccel'!$CH:$CH)</f>
        <v>0</v>
      </c>
      <c r="ET280" s="490">
        <f>SUMIF('Eredeti fejléccel'!$B:$B,'Felosztás eredménykim'!$B280,'Eredeti fejléccel'!$CI:$CI)</f>
        <v>0</v>
      </c>
      <c r="EU280" s="490"/>
      <c r="EV280" s="477"/>
      <c r="EW280" s="477">
        <f t="shared" si="535"/>
        <v>0</v>
      </c>
      <c r="EX280" s="477">
        <f t="shared" si="527"/>
        <v>0</v>
      </c>
      <c r="EY280" s="477">
        <f t="shared" si="638"/>
        <v>0</v>
      </c>
      <c r="EZ280" s="477">
        <f t="shared" si="536"/>
        <v>0</v>
      </c>
      <c r="FA280" s="477">
        <f t="shared" si="537"/>
        <v>0</v>
      </c>
      <c r="FB280" s="477"/>
      <c r="FC280" s="490">
        <f>SUMIF('Eredeti fejléccel'!$B:$B,'Felosztás eredménykim'!$B280,'Eredeti fejléccel'!$L:$L)</f>
        <v>0</v>
      </c>
      <c r="FD280" s="490">
        <f>SUMIF('Eredeti fejléccel'!$B:$B,'Felosztás eredménykim'!$B280,'Eredeti fejléccel'!$CJ:$CJ)</f>
        <v>0</v>
      </c>
      <c r="FE280" s="490">
        <f>SUMIF('Eredeti fejléccel'!$B:$B,'Felosztás eredménykim'!$B280,'Eredeti fejléccel'!$CL:$CL)</f>
        <v>0</v>
      </c>
      <c r="FF280" s="488"/>
      <c r="FG280" s="493">
        <f t="shared" si="528"/>
        <v>0</v>
      </c>
      <c r="FH280" s="490">
        <f>SUMIF('Eredeti fejléccel'!$B:$B,'Felosztás eredménykim'!$B280,'Eredeti fejléccel'!$CK:$CK)</f>
        <v>0</v>
      </c>
      <c r="FI280" s="36">
        <f t="shared" si="742"/>
        <v>0</v>
      </c>
      <c r="FJ280" s="486">
        <f t="shared" si="743"/>
        <v>0</v>
      </c>
      <c r="FK280" s="490">
        <f>SUMIF('Eredeti fejléccel'!$B:$B,'Felosztás eredménykim'!$B280,'Eredeti fejléccel'!$CM:$CM)</f>
        <v>0</v>
      </c>
      <c r="FL280" s="490">
        <f>SUMIF('Eredeti fejléccel'!$B:$B,'Felosztás eredménykim'!$B280,'Eredeti fejléccel'!$CN:$CN)</f>
        <v>0</v>
      </c>
      <c r="FM280" s="477">
        <f t="shared" si="529"/>
        <v>0</v>
      </c>
      <c r="FN280" s="36">
        <f t="shared" si="744"/>
        <v>0</v>
      </c>
      <c r="FO280" s="486">
        <f t="shared" si="745"/>
        <v>0</v>
      </c>
      <c r="FP280" s="490">
        <f>SUMIF('Eredeti fejléccel'!$B:$B,'Felosztás eredménykim'!$B280,'Eredeti fejléccel'!$CO:$CO)</f>
        <v>0</v>
      </c>
      <c r="FQ280" s="6">
        <f>'Eredeti fejléccel'!CP280</f>
        <v>0</v>
      </c>
      <c r="FR280" s="6">
        <f>'Eredeti fejléccel'!CQ280</f>
        <v>0</v>
      </c>
      <c r="FS280" s="103">
        <f t="shared" si="639"/>
        <v>0</v>
      </c>
      <c r="FT280" s="36">
        <f t="shared" si="746"/>
        <v>0</v>
      </c>
      <c r="FU280" s="486">
        <f t="shared" si="747"/>
        <v>0</v>
      </c>
      <c r="FV280" s="486"/>
      <c r="FW280" s="490">
        <f>SUMIF('Eredeti fejléccel'!$B:$B,'Felosztás eredménykim'!$B280,'Eredeti fejléccel'!$CR:$CR)</f>
        <v>0</v>
      </c>
      <c r="FX280" s="490">
        <f>SUMIF('Eredeti fejléccel'!$B:$B,'Felosztás eredménykim'!$B280,'Eredeti fejléccel'!$CS:$CS)</f>
        <v>0</v>
      </c>
      <c r="FY280" s="490">
        <f>SUMIF('Eredeti fejléccel'!$B:$B,'Felosztás eredménykim'!$B280,'Eredeti fejléccel'!$CT:$CT)</f>
        <v>0</v>
      </c>
      <c r="FZ280" s="490">
        <f>SUMIF('Eredeti fejléccel'!$B:$B,'Felosztás eredménykim'!$B280,'Eredeti fejléccel'!$CU:$CU)</f>
        <v>0</v>
      </c>
      <c r="GA280" s="485">
        <f t="shared" si="530"/>
        <v>0</v>
      </c>
      <c r="GB280" s="36">
        <f t="shared" si="748"/>
        <v>0</v>
      </c>
      <c r="GC280" s="486">
        <f t="shared" si="749"/>
        <v>0</v>
      </c>
      <c r="GD280" s="490">
        <f>SUMIF('Eredeti fejléccel'!$B:$B,'Felosztás eredménykim'!$B280,'Eredeti fejléccel'!$CV:$CV)</f>
        <v>0</v>
      </c>
      <c r="GE280" s="490">
        <f>SUMIF('Eredeti fejléccel'!$B:$B,'Felosztás eredménykim'!$B280,'Eredeti fejléccel'!$CW:$CW)</f>
        <v>0</v>
      </c>
      <c r="GF280" s="485">
        <f t="shared" si="531"/>
        <v>0</v>
      </c>
      <c r="GG280" s="36">
        <f t="shared" si="750"/>
        <v>0</v>
      </c>
      <c r="GH280" s="490"/>
      <c r="GI280" s="477"/>
      <c r="GJ280" s="490"/>
      <c r="GK280" s="477"/>
      <c r="GL280" s="490"/>
      <c r="GM280" s="490">
        <f>SUMIF('Eredeti fejléccel'!$B:$B,'Felosztás eredménykim'!$B280,'Eredeti fejléccel'!$CX:$CX)</f>
        <v>0</v>
      </c>
      <c r="GN280" s="490">
        <f>SUMIF('Eredeti fejléccel'!$B:$B,'Felosztás eredménykim'!$B280,'Eredeti fejléccel'!$CY:$CY)</f>
        <v>0</v>
      </c>
      <c r="GO280" s="490">
        <f>SUMIF('Eredeti fejléccel'!$B:$B,'Felosztás eredménykim'!$B280,'Eredeti fejléccel'!$CZ:$CZ)</f>
        <v>0</v>
      </c>
      <c r="GP280" s="490">
        <f>SUMIF('Eredeti fejléccel'!$B:$B,'Felosztás eredménykim'!$B280,'Eredeti fejléccel'!$DA:$DA)</f>
        <v>0</v>
      </c>
      <c r="GQ280" s="490">
        <f>SUMIF('Eredeti fejléccel'!$B:$B,'Felosztás eredménykim'!$B280,'Eredeti fejléccel'!$DB:$DB)</f>
        <v>0</v>
      </c>
      <c r="GR280" s="485">
        <f t="shared" si="532"/>
        <v>0</v>
      </c>
      <c r="GS280" s="477"/>
      <c r="GT280" s="477"/>
      <c r="GU280" s="477"/>
      <c r="GV280" s="477"/>
      <c r="GW280" s="36">
        <f t="shared" si="751"/>
        <v>0</v>
      </c>
      <c r="GX280" s="490">
        <f>SUMIF('Eredeti fejléccel'!$B:$B,'Felosztás eredménykim'!$B280,'Eredeti fejléccel'!$M:$M)</f>
        <v>0</v>
      </c>
      <c r="GY280" s="490">
        <f>SUMIF('Eredeti fejléccel'!$B:$B,'Felosztás eredménykim'!$B280,'Eredeti fejléccel'!$DC:$DC)</f>
        <v>0</v>
      </c>
      <c r="GZ280" s="490">
        <f>SUMIF('Eredeti fejléccel'!$B:$B,'Felosztás eredménykim'!$B280,'Eredeti fejléccel'!$DD:$DD)</f>
        <v>0</v>
      </c>
      <c r="HA280" s="490">
        <f>SUMIF('Eredeti fejléccel'!$B:$B,'Felosztás eredménykim'!$B280,'Eredeti fejléccel'!$DE:$DE)</f>
        <v>0</v>
      </c>
      <c r="HB280" s="485">
        <f t="shared" si="533"/>
        <v>0</v>
      </c>
      <c r="HC280" s="477"/>
      <c r="HD280" s="484">
        <f t="shared" si="694"/>
        <v>0</v>
      </c>
      <c r="HE280" s="484"/>
      <c r="HF280" s="483"/>
      <c r="HG280" s="482"/>
      <c r="HH280" s="481">
        <f t="shared" si="534"/>
        <v>0</v>
      </c>
      <c r="HI280" s="482">
        <f t="shared" si="752"/>
        <v>0</v>
      </c>
      <c r="HJ280" s="482">
        <f t="shared" si="752"/>
        <v>0</v>
      </c>
    </row>
    <row r="281" spans="1:232" s="3" customFormat="1" ht="12.75" customHeight="1" x14ac:dyDescent="0.3">
      <c r="A281" s="5"/>
      <c r="B281" s="5"/>
      <c r="C281" s="3" t="s">
        <v>365</v>
      </c>
      <c r="D281" s="7">
        <f t="shared" ref="D281:X281" si="755">SUM(D6:D280)</f>
        <v>-35</v>
      </c>
      <c r="E281" s="7">
        <f t="shared" si="755"/>
        <v>233079536.96319997</v>
      </c>
      <c r="F281" s="7">
        <f t="shared" si="755"/>
        <v>1167551.9999999974</v>
      </c>
      <c r="G281" s="7">
        <f t="shared" si="755"/>
        <v>7917691.29</v>
      </c>
      <c r="H281" s="7">
        <f t="shared" si="755"/>
        <v>0</v>
      </c>
      <c r="I281" s="7">
        <f t="shared" si="755"/>
        <v>24601476.092799999</v>
      </c>
      <c r="J281" s="7">
        <f t="shared" si="755"/>
        <v>6240000</v>
      </c>
      <c r="K281" s="7">
        <f t="shared" si="755"/>
        <v>5800</v>
      </c>
      <c r="L281" s="7">
        <f t="shared" si="755"/>
        <v>43029770.229999997</v>
      </c>
      <c r="M281" s="7">
        <f t="shared" si="755"/>
        <v>512248.16000000003</v>
      </c>
      <c r="N281" s="7">
        <f t="shared" si="755"/>
        <v>1906.8000000000002</v>
      </c>
      <c r="O281" s="7">
        <f t="shared" si="755"/>
        <v>49709765.4388</v>
      </c>
      <c r="P281" s="7">
        <f t="shared" si="755"/>
        <v>37329132.700000003</v>
      </c>
      <c r="Q281" s="7">
        <f t="shared" si="755"/>
        <v>86819133.060000002</v>
      </c>
      <c r="R281" s="7">
        <f t="shared" si="755"/>
        <v>25840590.629999999</v>
      </c>
      <c r="S281" s="7">
        <f t="shared" si="755"/>
        <v>20585578.699999999</v>
      </c>
      <c r="T281" s="7">
        <f t="shared" si="755"/>
        <v>0</v>
      </c>
      <c r="U281" s="7">
        <f t="shared" si="755"/>
        <v>0</v>
      </c>
      <c r="V281" s="7">
        <f t="shared" si="755"/>
        <v>48238932.810000062</v>
      </c>
      <c r="W281" s="7">
        <f t="shared" si="755"/>
        <v>-236387</v>
      </c>
      <c r="X281" s="7">
        <f t="shared" si="755"/>
        <v>584842692.87479997</v>
      </c>
      <c r="Y281" s="7"/>
      <c r="Z281" s="7">
        <f>SUM(Z6:Z280)</f>
        <v>-881237292.35199976</v>
      </c>
      <c r="AA281" s="7">
        <f>SUM(AA6:AA280)</f>
        <v>0</v>
      </c>
      <c r="AB281" s="7">
        <f>SUM(AB6:AB280)</f>
        <v>-379530</v>
      </c>
      <c r="AC281" s="7">
        <f>SUM(AC6:AC280)</f>
        <v>421468</v>
      </c>
      <c r="AD281" s="77"/>
      <c r="AE281" s="77"/>
      <c r="AF281" s="77"/>
      <c r="AH281" s="7">
        <f>SUM(AH6:AH280)</f>
        <v>0</v>
      </c>
      <c r="AI281" s="7">
        <f>SUM(AI6:AI280)</f>
        <v>85947533.628000006</v>
      </c>
      <c r="AJ281" s="7">
        <f>SUM(AJ6:AJ280)</f>
        <v>28730</v>
      </c>
      <c r="AK281" s="7"/>
      <c r="AL281" s="77"/>
      <c r="AN281" s="7">
        <f>SUM(AN6:AN280)</f>
        <v>-918333.5075999999</v>
      </c>
      <c r="AO281" s="7">
        <f>SUM(AO6:AO280)</f>
        <v>1836667.0151999998</v>
      </c>
      <c r="AP281" s="7">
        <f>SUM(AP6:AP280)</f>
        <v>-53979460</v>
      </c>
      <c r="AQ281" s="7">
        <f>SUM(AQ6:AQ280)</f>
        <v>-48245561</v>
      </c>
      <c r="AR281" s="7">
        <f>SUM(AR6:AR280)</f>
        <v>95304952.839999989</v>
      </c>
      <c r="AS281" s="7"/>
      <c r="AT281" s="77"/>
      <c r="AV281" s="7">
        <f t="shared" ref="AV281:BD281" si="756">SUM(AV6:AV280)</f>
        <v>914563</v>
      </c>
      <c r="AW281" s="7">
        <f t="shared" si="756"/>
        <v>11245444.7752</v>
      </c>
      <c r="AX281" s="7">
        <f t="shared" si="756"/>
        <v>89785185.098799989</v>
      </c>
      <c r="AY281" s="7">
        <f t="shared" si="756"/>
        <v>55907629.968000002</v>
      </c>
      <c r="AZ281" s="7">
        <f t="shared" si="756"/>
        <v>44579215.308400005</v>
      </c>
      <c r="BA281" s="7">
        <f t="shared" si="756"/>
        <v>0</v>
      </c>
      <c r="BB281" s="7">
        <f t="shared" si="756"/>
        <v>17743544.560000002</v>
      </c>
      <c r="BC281" s="7">
        <f t="shared" si="756"/>
        <v>0</v>
      </c>
      <c r="BD281" s="7">
        <f t="shared" si="756"/>
        <v>190000</v>
      </c>
      <c r="BE281" s="7"/>
      <c r="BF281" s="77"/>
      <c r="BH281" s="7">
        <f>SUM(BH6:BH280)</f>
        <v>918333.5075999999</v>
      </c>
      <c r="BI281" s="7">
        <f>SUM(BI6:BI280)</f>
        <v>49395923.588399999</v>
      </c>
      <c r="BJ281" s="7">
        <f>SUM(BJ6:BJ280)</f>
        <v>0</v>
      </c>
      <c r="BK281" s="7">
        <f>SUM(BK6:BK280)</f>
        <v>0</v>
      </c>
      <c r="BL281" s="7"/>
      <c r="BM281" s="77"/>
      <c r="BO281" s="7">
        <f t="shared" ref="BO281:CA281" si="757">SUM(BO6:BO280)</f>
        <v>6205126.5</v>
      </c>
      <c r="BP281" s="7">
        <f t="shared" si="757"/>
        <v>0</v>
      </c>
      <c r="BQ281" s="7">
        <f t="shared" si="757"/>
        <v>0</v>
      </c>
      <c r="BR281" s="7">
        <f t="shared" si="757"/>
        <v>120000</v>
      </c>
      <c r="BS281" s="7">
        <f t="shared" si="757"/>
        <v>0</v>
      </c>
      <c r="BT281" s="7">
        <f t="shared" si="757"/>
        <v>0</v>
      </c>
      <c r="BU281" s="7">
        <f t="shared" si="757"/>
        <v>0</v>
      </c>
      <c r="BV281" s="7">
        <f t="shared" si="757"/>
        <v>31539566.329999998</v>
      </c>
      <c r="BW281" s="7">
        <f t="shared" si="757"/>
        <v>0</v>
      </c>
      <c r="BX281" s="7">
        <f t="shared" si="757"/>
        <v>354346.94</v>
      </c>
      <c r="BY281" s="7">
        <f t="shared" si="757"/>
        <v>0</v>
      </c>
      <c r="BZ281" s="7">
        <f t="shared" si="757"/>
        <v>40682.620000000003</v>
      </c>
      <c r="CA281" s="7">
        <f t="shared" si="757"/>
        <v>182672898.19280002</v>
      </c>
      <c r="CB281" s="7"/>
      <c r="CC281" s="77"/>
      <c r="CE281" s="7">
        <f>SUM(CE6:CE280)</f>
        <v>9148000.2151999995</v>
      </c>
      <c r="CF281" s="7">
        <f>SUM(CF6:CF280)</f>
        <v>-4574000.1075999998</v>
      </c>
      <c r="CG281" s="7">
        <f>SUM(CG6:CG280)</f>
        <v>236600</v>
      </c>
      <c r="CH281" s="7">
        <f>SUM(CH6:CH280)</f>
        <v>55701859.536400005</v>
      </c>
      <c r="CI281" s="7"/>
      <c r="CJ281" s="77"/>
      <c r="CL281" s="7">
        <f>SUM(CL6:CL280)</f>
        <v>4574000.1075999998</v>
      </c>
      <c r="CM281" s="7">
        <f>SUM(CM6:CM280)</f>
        <v>53451867.470800005</v>
      </c>
      <c r="CN281" s="7"/>
      <c r="CO281" s="7"/>
      <c r="CP281" s="7"/>
      <c r="CQ281" s="7"/>
      <c r="CR281" s="77"/>
      <c r="CS281" s="7">
        <f>SUM(CS6:CS280)</f>
        <v>-580216357.35000002</v>
      </c>
      <c r="CT281" s="7">
        <f>SUM(CT6:CT280)</f>
        <v>0</v>
      </c>
      <c r="CU281" s="7">
        <f>SUM(CU6:CU280)</f>
        <v>117878790.19</v>
      </c>
      <c r="CV281" s="7">
        <f>SUM(CV6:CV280)</f>
        <v>24243681.760000002</v>
      </c>
      <c r="CW281" s="7">
        <f>SUM(CW6:CW280)</f>
        <v>247320616.41000006</v>
      </c>
      <c r="CX281" s="7"/>
      <c r="CY281" s="7">
        <f>SUM(CY6:CY280)</f>
        <v>135216171.65000001</v>
      </c>
      <c r="CZ281" s="7">
        <f>SUM(CZ6:CZ280)</f>
        <v>3832600.52</v>
      </c>
      <c r="DC281" s="77"/>
      <c r="DD281" s="7">
        <f>SUM(DD6:DD280)</f>
        <v>0</v>
      </c>
      <c r="DE281" s="7">
        <f>SUM(DE6:DE280)</f>
        <v>-46993898.329999998</v>
      </c>
      <c r="DF281" s="7"/>
      <c r="DG281" s="7"/>
      <c r="DH281" s="7"/>
      <c r="DI281" s="7"/>
      <c r="DJ281" s="7">
        <f>SUM(DJ6:DJ280)</f>
        <v>44811501.439999998</v>
      </c>
      <c r="DK281" s="7">
        <f>SUM(DK6:DK280)</f>
        <v>-38400000</v>
      </c>
      <c r="DL281" s="7"/>
      <c r="DM281" s="7">
        <f t="shared" ref="DM281:DU281" si="758">SUM(DM6:DM280)</f>
        <v>6142.769999999844</v>
      </c>
      <c r="DN281" s="7">
        <f t="shared" si="758"/>
        <v>130616.31</v>
      </c>
      <c r="DO281" s="7">
        <f t="shared" si="758"/>
        <v>0</v>
      </c>
      <c r="DP281" s="7">
        <f t="shared" si="758"/>
        <v>508000</v>
      </c>
      <c r="DQ281" s="7">
        <f t="shared" si="758"/>
        <v>0</v>
      </c>
      <c r="DR281" s="7">
        <f t="shared" si="758"/>
        <v>0</v>
      </c>
      <c r="DS281" s="7">
        <f t="shared" si="758"/>
        <v>0</v>
      </c>
      <c r="DT281" s="7">
        <f t="shared" si="758"/>
        <v>0</v>
      </c>
      <c r="DU281" s="7">
        <f t="shared" si="758"/>
        <v>929748.00000000047</v>
      </c>
      <c r="DV281" s="7"/>
      <c r="DW281" s="7"/>
      <c r="DX281" s="7"/>
      <c r="DY281" s="7"/>
      <c r="DZ281" s="7"/>
      <c r="EA281" s="7"/>
      <c r="EB281" s="7"/>
      <c r="EC281" s="7"/>
      <c r="ED281" s="7"/>
      <c r="EE281" s="7">
        <f t="shared" ref="EE281:EV281" si="759">SUM(EE6:EE280)</f>
        <v>0</v>
      </c>
      <c r="EF281" s="7">
        <f t="shared" si="759"/>
        <v>0</v>
      </c>
      <c r="EG281" s="7">
        <f t="shared" si="759"/>
        <v>0</v>
      </c>
      <c r="EH281" s="7">
        <f t="shared" si="759"/>
        <v>0</v>
      </c>
      <c r="EI281" s="7">
        <f t="shared" si="759"/>
        <v>0</v>
      </c>
      <c r="EJ281" s="7">
        <f t="shared" si="759"/>
        <v>0</v>
      </c>
      <c r="EK281" s="7">
        <f t="shared" si="759"/>
        <v>0</v>
      </c>
      <c r="EL281" s="7">
        <f t="shared" si="759"/>
        <v>0</v>
      </c>
      <c r="EM281" s="7">
        <f t="shared" si="759"/>
        <v>0</v>
      </c>
      <c r="EN281" s="7">
        <f t="shared" si="759"/>
        <v>0</v>
      </c>
      <c r="EO281" s="7">
        <f t="shared" si="759"/>
        <v>0</v>
      </c>
      <c r="EP281" s="7">
        <f t="shared" si="759"/>
        <v>0</v>
      </c>
      <c r="EQ281" s="7">
        <f t="shared" si="759"/>
        <v>0</v>
      </c>
      <c r="ER281" s="7">
        <f t="shared" si="759"/>
        <v>0</v>
      </c>
      <c r="ES281" s="7">
        <f t="shared" si="759"/>
        <v>0</v>
      </c>
      <c r="ET281" s="7">
        <f t="shared" si="759"/>
        <v>0</v>
      </c>
      <c r="EU281" s="7">
        <f t="shared" si="759"/>
        <v>0</v>
      </c>
      <c r="EV281" s="7">
        <f t="shared" si="759"/>
        <v>0</v>
      </c>
      <c r="EW281" s="7"/>
      <c r="EX281" s="7"/>
      <c r="EY281" s="7"/>
      <c r="EZ281" s="7"/>
      <c r="FA281" s="7"/>
      <c r="FB281" s="7"/>
      <c r="FC281" s="7">
        <f>SUM(FC6:FC280)</f>
        <v>3796</v>
      </c>
      <c r="FD281" s="7">
        <f>SUM(FD6:FD280)</f>
        <v>-1539065789.77</v>
      </c>
      <c r="FE281" s="7">
        <f>SUM(FE6:FE280)</f>
        <v>0</v>
      </c>
      <c r="FF281" s="77"/>
      <c r="FH281" s="7">
        <f>SUM(FH6:FH280)</f>
        <v>0</v>
      </c>
      <c r="FI281" s="77"/>
      <c r="FJ281" s="7"/>
      <c r="FK281" s="7">
        <f>SUM(FK6:FK280)</f>
        <v>156524979.39000002</v>
      </c>
      <c r="FL281" s="7">
        <f>SUM(FL6:FL280)</f>
        <v>0</v>
      </c>
      <c r="FM281" s="7"/>
      <c r="FN281" s="77"/>
      <c r="FO281" s="7"/>
      <c r="FP281" s="7">
        <f>SUM(FP6:FP280)</f>
        <v>138003711.07999998</v>
      </c>
      <c r="FQ281" s="7">
        <f>SUM(FQ6:FQ280)</f>
        <v>52401795.469999999</v>
      </c>
      <c r="FR281" s="7">
        <f>SUM(FR6:FR280)</f>
        <v>5433834.2400000002</v>
      </c>
      <c r="FS281" s="102"/>
      <c r="FT281" s="77"/>
      <c r="FU281" s="7"/>
      <c r="FV281" s="7">
        <f>SUM(FV6:FV280)</f>
        <v>0</v>
      </c>
      <c r="FW281" s="7">
        <f>SUM(FW6:FW280)</f>
        <v>408418409.85000002</v>
      </c>
      <c r="FX281" s="7">
        <f>SUM(FX6:FX280)</f>
        <v>23228840</v>
      </c>
      <c r="FY281" s="7">
        <f>SUM(FY6:FY280)</f>
        <v>15705688.890000001</v>
      </c>
      <c r="FZ281" s="7">
        <f>SUM(FZ6:FZ280)</f>
        <v>0</v>
      </c>
      <c r="GA281" s="7"/>
      <c r="GB281" s="77"/>
      <c r="GC281" s="7"/>
      <c r="GD281" s="7">
        <f>SUM(GD6:GD280)</f>
        <v>497024983.62000006</v>
      </c>
      <c r="GE281" s="7">
        <f>SUM(GE6:GE280)</f>
        <v>-1049783.04</v>
      </c>
      <c r="GF281" s="7"/>
      <c r="GG281" s="77"/>
      <c r="GH281" s="7">
        <f t="shared" ref="GH281:GQ281" si="760">SUM(GH6:GH280)</f>
        <v>0</v>
      </c>
      <c r="GI281" s="7">
        <f t="shared" si="760"/>
        <v>0</v>
      </c>
      <c r="GJ281" s="7">
        <f t="shared" si="760"/>
        <v>0</v>
      </c>
      <c r="GK281" s="7">
        <f t="shared" si="760"/>
        <v>0</v>
      </c>
      <c r="GL281" s="7">
        <f t="shared" si="760"/>
        <v>0</v>
      </c>
      <c r="GM281" s="7">
        <f t="shared" si="760"/>
        <v>0</v>
      </c>
      <c r="GN281" s="7">
        <f t="shared" si="760"/>
        <v>0</v>
      </c>
      <c r="GO281" s="7">
        <f t="shared" si="760"/>
        <v>0</v>
      </c>
      <c r="GP281" s="7">
        <f t="shared" si="760"/>
        <v>0</v>
      </c>
      <c r="GQ281" s="7">
        <f t="shared" si="760"/>
        <v>0</v>
      </c>
      <c r="GR281" s="7"/>
      <c r="GS281" s="7"/>
      <c r="GT281" s="7"/>
      <c r="GU281" s="7"/>
      <c r="GV281" s="7"/>
      <c r="GW281" s="77"/>
      <c r="GX281" s="7">
        <f>SUM(GX6:GX280)</f>
        <v>-149321802.5</v>
      </c>
      <c r="GY281" s="7">
        <f>SUM(GY6:GY280)</f>
        <v>70221627.400000006</v>
      </c>
      <c r="GZ281" s="7">
        <f>SUM(GZ6:GZ280)</f>
        <v>0</v>
      </c>
      <c r="HA281" s="7">
        <f>SUM(HA6:HA280)</f>
        <v>50479412</v>
      </c>
      <c r="HB281" s="7"/>
      <c r="HC281" s="7"/>
      <c r="HD281" s="7">
        <f>SUM(HD6:HD280)</f>
        <v>25081231.610001002</v>
      </c>
      <c r="HE281" s="7">
        <v>-206737836.69000006</v>
      </c>
      <c r="HF281" s="77"/>
      <c r="HG281" s="35"/>
      <c r="HH281" s="7">
        <f>SUM(HH6:HH280)</f>
        <v>223472996.06000006</v>
      </c>
      <c r="HI281" s="7">
        <f>SUM(HI6:HI280)</f>
        <v>25081231.610001564</v>
      </c>
      <c r="HJ281" s="7">
        <f>SUM(HJ6:HJ280)</f>
        <v>-198391764.44999981</v>
      </c>
      <c r="HK281" s="35"/>
      <c r="HL281" s="35"/>
      <c r="HM281" s="35"/>
      <c r="HN281" s="35"/>
      <c r="HO281" s="35"/>
      <c r="HP281" s="35"/>
      <c r="HQ281" s="35"/>
      <c r="HR281" s="35"/>
      <c r="HS281" s="35"/>
      <c r="HT281" s="35"/>
      <c r="HU281" s="35"/>
      <c r="HV281" s="35"/>
      <c r="HW281" s="35"/>
      <c r="HX281" s="35"/>
    </row>
    <row r="282" spans="1:232" s="3" customFormat="1" ht="12.75" customHeight="1" x14ac:dyDescent="0.3">
      <c r="A282" s="5"/>
      <c r="B282" s="5"/>
      <c r="C282" s="3" t="s">
        <v>365</v>
      </c>
      <c r="D282" s="6">
        <f>SUMIF('Eredeti fejléccel'!$C:$C,'Felosztás eredménykim'!$C282,'Eredeti fejléccel'!$D:$D)/2</f>
        <v>7955</v>
      </c>
      <c r="E282" s="6">
        <f>SUMIF('Eredeti fejléccel'!$C:$C,'Felosztás eredménykim'!$C282,'Eredeti fejléccel'!E:E)/2</f>
        <v>209849362.78059998</v>
      </c>
      <c r="F282" s="6">
        <f>SUMIF('Eredeti fejléccel'!$C:$C,'Felosztás eredménykim'!$C282,'Eredeti fejléccel'!F:F)/2</f>
        <v>1031153.9999999913</v>
      </c>
      <c r="G282" s="6">
        <f>SUMIF('Eredeti fejléccel'!$C:$C,'Felosztás eredménykim'!$C282,'Eredeti fejléccel'!G:G)/2</f>
        <v>7509724.79</v>
      </c>
      <c r="H282" s="6"/>
      <c r="I282" s="6">
        <f>SUMIF('Eredeti fejléccel'!$C:$C,'Felosztás eredménykim'!$C282,'Eredeti fejléccel'!O:O)/2</f>
        <v>24597799.527399998</v>
      </c>
      <c r="J282" s="6">
        <f>SUMIF('Eredeti fejléccel'!$C:$C,'Felosztás eredménykim'!$C282,'Eredeti fejléccel'!P:P)/2</f>
        <v>6240000</v>
      </c>
      <c r="K282" s="6">
        <f>SUMIF('Eredeti fejléccel'!$C:$C,'Felosztás eredménykim'!$C282,'Eredeti fejléccel'!Q:Q)/2</f>
        <v>5800</v>
      </c>
      <c r="L282" s="6">
        <f>SUMIF('Eredeti fejléccel'!$C:$C,'Felosztás eredménykim'!$C282,'Eredeti fejléccel'!R:R)/2</f>
        <v>43081053.075000003</v>
      </c>
      <c r="M282" s="6">
        <f>SUMIF('Eredeti fejléccel'!$C:$C,'Felosztás eredménykim'!$C282,'Eredeti fejléccel'!T:T)/2</f>
        <v>512248.16000000003</v>
      </c>
      <c r="N282" s="6">
        <f>SUMIF('Eredeti fejléccel'!$C:$C,'Felosztás eredménykim'!$C282,'Eredeti fejléccel'!U:U)/2</f>
        <v>1906.8000000000002</v>
      </c>
      <c r="O282" s="6">
        <f>SUMIF('Eredeti fejléccel'!$C:$C,'Felosztás eredménykim'!$C282,'Eredeti fejléccel'!V:V)/2</f>
        <v>49693833.655400001</v>
      </c>
      <c r="P282" s="6">
        <f>SUMIF('Eredeti fejléccel'!$C:$C,'Felosztás eredménykim'!$C282,'Eredeti fejléccel'!W:W)/2</f>
        <v>37329132.700000003</v>
      </c>
      <c r="Q282" s="6">
        <f>SUMIF('Eredeti fejléccel'!$C:$C,'Felosztás eredménykim'!$C282,'Eredeti fejléccel'!X:X)/2</f>
        <v>86819133.060000002</v>
      </c>
      <c r="R282" s="6">
        <f>SUMIF('Eredeti fejléccel'!$C:$C,'Felosztás eredménykim'!$C282,'Eredeti fejléccel'!Y:Y)/2</f>
        <v>25840590.629999999</v>
      </c>
      <c r="S282" s="6">
        <f>SUMIF('Eredeti fejléccel'!$C:$C,'Felosztás eredménykim'!$C282,'Eredeti fejléccel'!Z:Z)/2</f>
        <v>20585578.699999999</v>
      </c>
      <c r="T282" s="6">
        <f>SUMIF('Eredeti fejléccel'!$C:$C,'Felosztás eredménykim'!$C282,'Eredeti fejléccel'!AA:AA)/2</f>
        <v>0</v>
      </c>
      <c r="U282" s="6"/>
      <c r="V282" s="6">
        <f>SUMIF('Eredeti fejléccel'!$C:$C,'Felosztás eredménykim'!$C282,'Eredeti fejléccel'!AT:AT)/2</f>
        <v>48238932.810000002</v>
      </c>
      <c r="W282" s="7"/>
      <c r="X282" s="7"/>
      <c r="Y282" s="7"/>
      <c r="Z282" s="6">
        <f>SUMIF('Eredeti fejléccel'!$C:$C,'Felosztás eredménykim'!$C282,'Eredeti fejléccel'!K:K)/2</f>
        <v>-1017011983.961</v>
      </c>
      <c r="AA282" s="7"/>
      <c r="AB282" s="6">
        <f>SUMIF('Eredeti fejléccel'!$C:$C,'Felosztás eredménykim'!$C282,'Eredeti fejléccel'!AB:AB)/2</f>
        <v>-379530</v>
      </c>
      <c r="AC282" s="6">
        <f>SUMIF('Eredeti fejléccel'!$C:$C,'Felosztás eredménykim'!$C282,'Eredeti fejléccel'!AQ:AQ)/2</f>
        <v>421468</v>
      </c>
      <c r="AD282" s="77"/>
      <c r="AE282" s="77"/>
      <c r="AF282" s="77"/>
      <c r="AH282" s="7"/>
      <c r="AI282" s="6">
        <f>SUMIF('Eredeti fejléccel'!$C:$C,'Felosztás eredménykim'!$C282,'Eredeti fejléccel'!BB:BB)/2</f>
        <v>85930142.264400005</v>
      </c>
      <c r="AJ282" s="6">
        <f>SUMIF('Eredeti fejléccel'!$C:$C,'Felosztás eredménykim'!$C282,'Eredeti fejléccel'!AF:AF)/2</f>
        <v>28730</v>
      </c>
      <c r="AK282" s="7"/>
      <c r="AL282" s="77"/>
      <c r="AN282" s="6"/>
      <c r="AO282" s="6">
        <f>SUMIF('Eredeti fejléccel'!$C:$C,'Felosztás eredménykim'!$C282,'Eredeti fejléccel'!AC:AC)/2</f>
        <v>1834215.9715999998</v>
      </c>
      <c r="AP282" s="6">
        <f>SUMIF('Eredeti fejléccel'!$C:$C,'Felosztás eredménykim'!$C282,'Eredeti fejléccel'!AD:AD)/2</f>
        <v>-53979460</v>
      </c>
      <c r="AQ282" s="6">
        <f>SUMIF('Eredeti fejléccel'!$C:$C,'Felosztás eredménykim'!$C282,'Eredeti fejléccel'!AE:AE)/2</f>
        <v>-48245561</v>
      </c>
      <c r="AR282" s="6">
        <f>SUMIF('Eredeti fejléccel'!$C:$C,'Felosztás eredménykim'!$C282,'Eredeti fejléccel'!AG:AG)/2</f>
        <v>95367352.840000004</v>
      </c>
      <c r="AS282" s="7"/>
      <c r="AT282" s="77"/>
      <c r="AV282" s="6">
        <f>SUMIF('Eredeti fejléccel'!$C:$C,'Felosztás eredménykim'!$C282,'Eredeti fejléccel'!AI:AI)/2</f>
        <v>914563</v>
      </c>
      <c r="AW282" s="6">
        <f>SUMIF('Eredeti fejléccel'!$C:$C,'Felosztás eredménykim'!$C282,'Eredeti fejléccel'!AJ:AJ)/2</f>
        <v>11242993.731599998</v>
      </c>
      <c r="AX282" s="6">
        <f>SUMIF('Eredeti fejléccel'!$C:$C,'Felosztás eredménykim'!$C282,'Eredeti fejléccel'!AK:AK)/2</f>
        <v>89862853.315400004</v>
      </c>
      <c r="AY282" s="6">
        <f>SUMIF('Eredeti fejléccel'!$C:$C,'Felosztás eredménykim'!$C282,'Eredeti fejléccel'!AL:AL)/2</f>
        <v>55901502.358999997</v>
      </c>
      <c r="AZ282" s="6">
        <f>SUMIF('Eredeti fejléccel'!$C:$C,'Felosztás eredménykim'!$C282,'Eredeti fejléccel'!AM:AM)/2</f>
        <v>44568185.612199999</v>
      </c>
      <c r="BA282" s="6">
        <f>SUMIF('Eredeti fejléccel'!$C:$C,'Felosztás eredménykim'!$C282,'Eredeti fejléccel'!AN:AN)/2</f>
        <v>0</v>
      </c>
      <c r="BB282" s="6">
        <f>SUMIF('Eredeti fejléccel'!$C:$C,'Felosztás eredménykim'!$C282,'Eredeti fejléccel'!AP:AP)/2</f>
        <v>17743544.560000002</v>
      </c>
      <c r="BC282" s="7"/>
      <c r="BD282" s="6">
        <f>SUMIF('Eredeti fejléccel'!$C:$C,'Felosztás eredménykim'!$C282,'Eredeti fejléccel'!AS:AS)/2</f>
        <v>190000</v>
      </c>
      <c r="BE282" s="7"/>
      <c r="BF282" s="77"/>
      <c r="BH282" s="6"/>
      <c r="BI282" s="6">
        <f>SUMIF('Eredeti fejléccel'!$C:$C,'Felosztás eredménykim'!$C282,'Eredeti fejléccel'!AH:AH)/2</f>
        <v>49416093.892200001</v>
      </c>
      <c r="BJ282" s="6">
        <f>SUMIF('Eredeti fejléccel'!$C:$C,'Felosztás eredménykim'!$C282,'Eredeti fejléccel'!AO:AO)/2</f>
        <v>0</v>
      </c>
      <c r="BK282" s="6">
        <f>SUMIF('Eredeti fejléccel'!$C:$C,'Felosztás eredménykim'!$C282,'Eredeti fejléccel'!BF:BF)/2</f>
        <v>0</v>
      </c>
      <c r="BL282" s="7"/>
      <c r="BM282" s="77"/>
      <c r="BO282" s="77"/>
      <c r="BP282" s="77"/>
      <c r="BQ282" s="77"/>
      <c r="BR282" s="6">
        <f>SUMIF('Eredeti fejléccel'!$C:$C,'Felosztás eredménykim'!$C282,'Eredeti fejléccel'!S:S)/2</f>
        <v>120000</v>
      </c>
      <c r="BS282" s="7"/>
      <c r="BT282" s="7"/>
      <c r="BU282" s="6">
        <f>SUMIF('Eredeti fejléccel'!$C:$C,'Felosztás eredménykim'!$C282,'Eredeti fejléccel'!AU:AU)/2</f>
        <v>0</v>
      </c>
      <c r="BV282" s="6">
        <f>SUMIF('Eredeti fejléccel'!$C:$C,'Felosztás eredménykim'!$C282,'Eredeti fejléccel'!AV:AV)/2</f>
        <v>31539155.710000001</v>
      </c>
      <c r="BW282" s="6">
        <f>SUMIF('Eredeti fejléccel'!$C:$C,'Felosztás eredménykim'!$C282,'Eredeti fejléccel'!AW:AW)/2</f>
        <v>0</v>
      </c>
      <c r="BX282" s="6">
        <f>SUMIF('Eredeti fejléccel'!$C:$C,'Felosztás eredménykim'!$C282,'Eredeti fejléccel'!AX:AX)/2</f>
        <v>354346.94</v>
      </c>
      <c r="BY282" s="6">
        <f>SUMIF('Eredeti fejléccel'!$C:$C,'Felosztás eredménykim'!$C282,'Eredeti fejléccel'!AY:AY)/2</f>
        <v>-4480000</v>
      </c>
      <c r="BZ282" s="6">
        <f>SUMIF('Eredeti fejléccel'!$C:$C,'Felosztás eredménykim'!$C282,'Eredeti fejléccel'!AZ:AZ)/2</f>
        <v>40682.620000000003</v>
      </c>
      <c r="CA282" s="6">
        <f>SUMIF('Eredeti fejléccel'!$C:$C,'Felosztás eredménykim'!$C282,'Eredeti fejléccel'!BA:BA)/2</f>
        <v>182848688.76200002</v>
      </c>
      <c r="CB282" s="7"/>
      <c r="CC282" s="77"/>
      <c r="CE282" s="6">
        <f>SUMIF('Eredeti fejléccel'!$C:$C,'Felosztás eredménykim'!$C282,'Eredeti fejléccel'!BC:BC)/2</f>
        <v>9145549.1715999991</v>
      </c>
      <c r="CF282" s="77"/>
      <c r="CG282" s="6">
        <f>SUMIF('Eredeti fejléccel'!$C:$C,'Felosztás eredménykim'!$C282,'Eredeti fejléccel'!H:H)/2</f>
        <v>236600</v>
      </c>
      <c r="CH282" s="6">
        <f>SUMIF('Eredeti fejléccel'!$C:$C,'Felosztás eredménykim'!$C282,'Eredeti fejléccel'!BE:BE)/2</f>
        <v>55684702.23120001</v>
      </c>
      <c r="CI282" s="7"/>
      <c r="CJ282" s="77"/>
      <c r="CL282" s="77"/>
      <c r="CM282" s="6">
        <f>SUMIF('Eredeti fejléccel'!$C:$C,'Felosztás eredménykim'!$C282,'Eredeti fejléccel'!BD:BD)/2</f>
        <v>53442063.296400003</v>
      </c>
      <c r="CN282" s="7"/>
      <c r="CO282" s="7"/>
      <c r="CP282" s="7"/>
      <c r="CQ282" s="7"/>
      <c r="CR282" s="77"/>
      <c r="CS282" s="6">
        <f>SUMIF('Eredeti fejléccel'!$C:$C,'Felosztás eredménykim'!$C282,'Eredeti fejléccel'!I:I)/2</f>
        <v>-633877138.35000002</v>
      </c>
      <c r="CT282" s="6">
        <f>SUMIF('Eredeti fejléccel'!$C:$C,'Felosztás eredménykim'!$C282,'Eredeti fejléccel'!BG:BG)/2</f>
        <v>0</v>
      </c>
      <c r="CU282" s="6">
        <f>SUMIF('Eredeti fejléccel'!$C:$C,'Felosztás eredménykim'!$C282,'Eredeti fejléccel'!BH:BH)/2</f>
        <v>117878790.19</v>
      </c>
      <c r="CV282" s="6">
        <f>SUMIF('Eredeti fejléccel'!$C:$C,'Felosztás eredménykim'!$C282,'Eredeti fejléccel'!BI:BI)/2</f>
        <v>24243681.759999998</v>
      </c>
      <c r="CW282" s="6">
        <f>SUMIF('Eredeti fejléccel'!$C:$C,'Felosztás eredménykim'!$C282,'Eredeti fejléccel'!BL:BL)/2</f>
        <v>247312352.97000009</v>
      </c>
      <c r="CX282" s="7"/>
      <c r="CY282" s="6">
        <f>SUMIF('Eredeti fejléccel'!$C:$C,'Felosztás eredménykim'!$C282,'Eredeti fejléccel'!BJ:BJ)/2</f>
        <v>135216171.65000001</v>
      </c>
      <c r="CZ282" s="6">
        <f>SUMIF('Eredeti fejléccel'!$C:$C,'Felosztás eredménykim'!$C282,'Eredeti fejléccel'!BK:BK)/2</f>
        <v>3840834.8</v>
      </c>
      <c r="DC282" s="77"/>
      <c r="DD282" s="6">
        <f>SUMIF('Eredeti fejléccel'!$C:$C,'Felosztás eredménykim'!$C282,'Eredeti fejléccel'!J:J)/2</f>
        <v>0</v>
      </c>
      <c r="DE282" s="6">
        <f>SUMIF('Eredeti fejléccel'!$C:$C,'Felosztás eredménykim'!$C282,'Eredeti fejléccel'!BM:BM)/2</f>
        <v>-59560801.595000006</v>
      </c>
      <c r="DF282" s="7"/>
      <c r="DG282" s="7"/>
      <c r="DH282" s="7"/>
      <c r="DI282" s="7"/>
      <c r="DJ282" s="6">
        <f>SUMIF('Eredeti fejléccel'!$C:$C,'Felosztás eredménykim'!$C282,'Eredeti fejléccel'!BN:BN)/2</f>
        <v>44811501.439999998</v>
      </c>
      <c r="DK282" s="6">
        <f>SUMIF('Eredeti fejléccel'!$C:$C,'Felosztás eredménykim'!$C282,'Eredeti fejléccel'!BZ:BZ)/2</f>
        <v>-38400000</v>
      </c>
      <c r="DL282" s="7"/>
      <c r="DM282" s="6">
        <f>SUMIF('Eredeti fejléccel'!$C:$C,'Felosztás eredménykim'!$C282,'Eredeti fejléccel'!BR:BR)/2</f>
        <v>6142.7699999998149</v>
      </c>
      <c r="DN282" s="6">
        <f>SUMIF('Eredeti fejléccel'!$C:$C,'Felosztás eredménykim'!$C282,'Eredeti fejléccel'!BS:BS)/2</f>
        <v>130616.31</v>
      </c>
      <c r="DO282" s="6">
        <f>SUMIF('Eredeti fejléccel'!$C:$C,'Felosztás eredménykim'!$C282,'Eredeti fejléccel'!BO:BO)/2</f>
        <v>0</v>
      </c>
      <c r="DP282" s="6">
        <f>SUMIF('Eredeti fejléccel'!$C:$C,'Felosztás eredménykim'!$C282,'Eredeti fejléccel'!BP:BP)/2</f>
        <v>508000</v>
      </c>
      <c r="DQ282" s="6">
        <f>SUMIF('Eredeti fejléccel'!$C:$C,'Felosztás eredménykim'!$C282,'Eredeti fejléccel'!BQ:BQ)/2</f>
        <v>0</v>
      </c>
      <c r="DR282" s="7"/>
      <c r="DS282" s="7"/>
      <c r="DT282" s="7"/>
      <c r="DU282" s="6">
        <f>SUMIF('Eredeti fejléccel'!$C:$C,'Felosztás eredménykim'!$C282,'Eredeti fejléccel'!BT:BT)/2</f>
        <v>929748.00000000047</v>
      </c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6">
        <f>SUMIF('Eredeti fejléccel'!$C:$C,'Felosztás eredménykim'!$C282,'Eredeti fejléccel'!L:L)/2</f>
        <v>3796</v>
      </c>
      <c r="FD282" s="6">
        <f>SUMIF('Eredeti fejléccel'!$C:$C,'Felosztás eredménykim'!$C282,'Eredeti fejléccel'!CJ:CJ)/2</f>
        <v>-1533473626.8900001</v>
      </c>
      <c r="FE282" s="6">
        <f>SUMIF('Eredeti fejléccel'!$C:$C,'Felosztás eredménykim'!$C282,'Eredeti fejléccel'!CL:CL)/2</f>
        <v>0</v>
      </c>
      <c r="FF282" s="77"/>
      <c r="FH282" s="6">
        <f>SUMIF('Eredeti fejléccel'!$C:$C,'Felosztás eredménykim'!$C282,'Eredeti fejléccel'!CK:CK)/2</f>
        <v>0</v>
      </c>
      <c r="FI282" s="77"/>
      <c r="FJ282" s="7"/>
      <c r="FK282" s="6">
        <f>SUMIF('Eredeti fejléccel'!$C:$C,'Felosztás eredménykim'!$C282,'Eredeti fejléccel'!CM:CM)/2</f>
        <v>156957289.39000002</v>
      </c>
      <c r="FL282" s="6">
        <f>SUMIF('Eredeti fejléccel'!$C:$C,'Felosztás eredménykim'!$C282,'Eredeti fejléccel'!CN:CN)/2</f>
        <v>0</v>
      </c>
      <c r="FM282" s="7"/>
      <c r="FN282" s="77"/>
      <c r="FO282" s="7"/>
      <c r="FP282" s="6">
        <f>SUMIF('Eredeti fejléccel'!$C:$C,'Felosztás eredménykim'!$C282,'Eredeti fejléccel'!CO:CO)/2</f>
        <v>131678469.57999998</v>
      </c>
      <c r="FQ282" s="6">
        <f>SUMIF('Eredeti fejléccel'!$C:$C,'Felosztás eredménykim'!$C282,'Eredeti fejléccel'!CP:CP)/2</f>
        <v>52400096.869999997</v>
      </c>
      <c r="FR282" s="6">
        <f>SUMIF('Eredeti fejléccel'!$C:$C,'Felosztás eredménykim'!$C282,'Eredeti fejléccel'!CQ:CQ)/2</f>
        <v>5433834.2400000002</v>
      </c>
      <c r="FS282" s="102"/>
      <c r="FT282" s="77"/>
      <c r="FU282" s="7"/>
      <c r="FV282" s="7"/>
      <c r="FW282" s="6">
        <f>SUMIF('Eredeti fejléccel'!$C:$C,'Felosztás eredménykim'!$C282,'Eredeti fejléccel'!CR:CR)/2</f>
        <v>408548405.65500003</v>
      </c>
      <c r="FX282" s="6">
        <f>SUMIF('Eredeti fejléccel'!$C:$C,'Felosztás eredménykim'!$C282,'Eredeti fejléccel'!CS:CS)/2</f>
        <v>23228840</v>
      </c>
      <c r="FY282" s="6">
        <f>SUMIF('Eredeti fejléccel'!$C:$C,'Felosztás eredménykim'!$C282,'Eredeti fejléccel'!CT:CT)/2</f>
        <v>15705688.890000001</v>
      </c>
      <c r="FZ282" s="6">
        <f>SUMIF('Eredeti fejléccel'!$C:$C,'Felosztás eredménykim'!$C282,'Eredeti fejléccel'!CU:CU)/2</f>
        <v>0</v>
      </c>
      <c r="GA282" s="7"/>
      <c r="GB282" s="77"/>
      <c r="GC282" s="7"/>
      <c r="GD282" s="6">
        <f>SUMIF('Eredeti fejléccel'!$C:$C,'Felosztás eredménykim'!$C282,'Eredeti fejléccel'!CV:CV)/2</f>
        <v>503636950.41500008</v>
      </c>
      <c r="GE282" s="6">
        <f>SUMIF('Eredeti fejléccel'!$C:$C,'Felosztás eredménykim'!$C282,'Eredeti fejléccel'!CW:CW)/2</f>
        <v>-1049783.04</v>
      </c>
      <c r="GF282" s="7"/>
      <c r="GG282" s="7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7"/>
      <c r="GX282" s="6">
        <f>SUMIF('Eredeti fejléccel'!$C:$C,'Felosztás eredménykim'!$C282,'Eredeti fejléccel'!M:M)/2</f>
        <v>-153133467.5</v>
      </c>
      <c r="GY282" s="6">
        <f>SUMIF('Eredeti fejléccel'!$C:$C,'Felosztás eredménykim'!$C282,'Eredeti fejléccel'!DC:DC)/2</f>
        <v>70205391.400000006</v>
      </c>
      <c r="GZ282" s="6">
        <f>SUMIF('Eredeti fejléccel'!$C:$C,'Felosztás eredménykim'!$C282,'Eredeti fejléccel'!DD:DD)/2</f>
        <v>-307102.5</v>
      </c>
      <c r="HA282" s="6">
        <f>SUMIF('Eredeti fejléccel'!$C:$C,'Felosztás eredménykim'!$C282,'Eredeti fejléccel'!DE:DE)/2</f>
        <v>50479412</v>
      </c>
      <c r="HB282" s="7"/>
      <c r="HC282" s="7"/>
      <c r="HD282" s="7"/>
      <c r="HE282" s="7">
        <f>SUM(HE6:HE280)</f>
        <v>-198391764.45000133</v>
      </c>
      <c r="HF282" s="77"/>
      <c r="HG282" s="35"/>
      <c r="HH282" s="77"/>
      <c r="HI282" s="35"/>
      <c r="HJ282" s="35"/>
      <c r="HK282" s="35"/>
      <c r="HL282" s="35"/>
      <c r="HM282" s="35"/>
      <c r="HN282" s="35"/>
      <c r="HO282" s="35"/>
      <c r="HP282" s="35"/>
      <c r="HQ282" s="35"/>
      <c r="HR282" s="35"/>
      <c r="HS282" s="35"/>
      <c r="HT282" s="35"/>
      <c r="HU282" s="35"/>
      <c r="HV282" s="35"/>
      <c r="HW282" s="35"/>
      <c r="HX282" s="35"/>
    </row>
    <row r="283" spans="1:232" s="3" customFormat="1" ht="12.75" customHeight="1" x14ac:dyDescent="0.3">
      <c r="A283" s="5"/>
      <c r="B283" s="5"/>
      <c r="D283" s="7">
        <f>+D281-D282</f>
        <v>-7990</v>
      </c>
      <c r="E283" s="7">
        <f t="shared" ref="E283:BR283" si="761">+E281-E282</f>
        <v>23230174.182599992</v>
      </c>
      <c r="F283" s="7">
        <f t="shared" si="761"/>
        <v>136398.00000000617</v>
      </c>
      <c r="G283" s="7">
        <f t="shared" si="761"/>
        <v>407966.5</v>
      </c>
      <c r="H283" s="7">
        <f t="shared" si="761"/>
        <v>0</v>
      </c>
      <c r="I283" s="7">
        <f t="shared" si="761"/>
        <v>3676.5654000006616</v>
      </c>
      <c r="J283" s="7">
        <f t="shared" si="761"/>
        <v>0</v>
      </c>
      <c r="K283" s="7">
        <f t="shared" si="761"/>
        <v>0</v>
      </c>
      <c r="L283" s="7">
        <f t="shared" si="761"/>
        <v>-51282.845000006258</v>
      </c>
      <c r="M283" s="7">
        <f t="shared" si="761"/>
        <v>0</v>
      </c>
      <c r="N283" s="7">
        <f t="shared" si="761"/>
        <v>0</v>
      </c>
      <c r="O283" s="7">
        <f t="shared" si="761"/>
        <v>15931.783399999142</v>
      </c>
      <c r="P283" s="7">
        <f t="shared" si="761"/>
        <v>0</v>
      </c>
      <c r="Q283" s="7">
        <f t="shared" si="761"/>
        <v>0</v>
      </c>
      <c r="R283" s="7">
        <f t="shared" si="761"/>
        <v>0</v>
      </c>
      <c r="S283" s="7">
        <f t="shared" si="761"/>
        <v>0</v>
      </c>
      <c r="T283" s="7">
        <f t="shared" si="761"/>
        <v>0</v>
      </c>
      <c r="U283" s="7">
        <f t="shared" si="761"/>
        <v>0</v>
      </c>
      <c r="V283" s="7">
        <f t="shared" si="761"/>
        <v>5.9604644775390625E-8</v>
      </c>
      <c r="W283" s="7">
        <f t="shared" si="761"/>
        <v>-236387</v>
      </c>
      <c r="X283" s="7">
        <f t="shared" si="761"/>
        <v>584842692.87479997</v>
      </c>
      <c r="Y283" s="7">
        <f t="shared" si="761"/>
        <v>0</v>
      </c>
      <c r="Z283" s="7">
        <f t="shared" si="761"/>
        <v>135774691.60900021</v>
      </c>
      <c r="AA283" s="7">
        <f t="shared" si="761"/>
        <v>0</v>
      </c>
      <c r="AB283" s="7">
        <f t="shared" si="761"/>
        <v>0</v>
      </c>
      <c r="AC283" s="7">
        <f t="shared" si="761"/>
        <v>0</v>
      </c>
      <c r="AD283" s="7">
        <f t="shared" si="761"/>
        <v>0</v>
      </c>
      <c r="AE283" s="7">
        <f t="shared" si="761"/>
        <v>0</v>
      </c>
      <c r="AF283" s="7">
        <f t="shared" si="761"/>
        <v>0</v>
      </c>
      <c r="AG283" s="7">
        <f t="shared" si="761"/>
        <v>0</v>
      </c>
      <c r="AH283" s="7">
        <f t="shared" si="761"/>
        <v>0</v>
      </c>
      <c r="AI283" s="7">
        <f t="shared" ref="AI283" si="762">+AI281-AI282</f>
        <v>17391.363600000739</v>
      </c>
      <c r="AJ283" s="7">
        <f t="shared" si="761"/>
        <v>0</v>
      </c>
      <c r="AK283" s="7">
        <f t="shared" si="761"/>
        <v>0</v>
      </c>
      <c r="AL283" s="7">
        <f t="shared" si="761"/>
        <v>0</v>
      </c>
      <c r="AM283" s="7">
        <f t="shared" si="761"/>
        <v>0</v>
      </c>
      <c r="AN283" s="7">
        <f t="shared" si="761"/>
        <v>-918333.5075999999</v>
      </c>
      <c r="AO283" s="7">
        <f t="shared" si="761"/>
        <v>2451.0435999999754</v>
      </c>
      <c r="AP283" s="7">
        <f t="shared" si="761"/>
        <v>0</v>
      </c>
      <c r="AQ283" s="7">
        <f t="shared" si="761"/>
        <v>0</v>
      </c>
      <c r="AR283" s="7">
        <f t="shared" si="761"/>
        <v>-62400.000000014901</v>
      </c>
      <c r="AS283" s="7">
        <f t="shared" si="761"/>
        <v>0</v>
      </c>
      <c r="AT283" s="7">
        <f t="shared" si="761"/>
        <v>0</v>
      </c>
      <c r="AU283" s="7">
        <f t="shared" si="761"/>
        <v>0</v>
      </c>
      <c r="AV283" s="7">
        <f t="shared" si="761"/>
        <v>0</v>
      </c>
      <c r="AW283" s="7">
        <f t="shared" si="761"/>
        <v>2451.0436000023037</v>
      </c>
      <c r="AX283" s="7">
        <f t="shared" si="761"/>
        <v>-77668.216600015759</v>
      </c>
      <c r="AY283" s="7">
        <f t="shared" si="761"/>
        <v>6127.609000004828</v>
      </c>
      <c r="AZ283" s="7">
        <f t="shared" si="761"/>
        <v>11029.69620000571</v>
      </c>
      <c r="BA283" s="7">
        <f t="shared" si="761"/>
        <v>0</v>
      </c>
      <c r="BB283" s="7">
        <f>+BB281-BB282</f>
        <v>0</v>
      </c>
      <c r="BC283" s="7">
        <f t="shared" si="761"/>
        <v>0</v>
      </c>
      <c r="BD283" s="7">
        <f t="shared" si="761"/>
        <v>0</v>
      </c>
      <c r="BE283" s="7">
        <f t="shared" si="761"/>
        <v>0</v>
      </c>
      <c r="BF283" s="7">
        <f t="shared" si="761"/>
        <v>0</v>
      </c>
      <c r="BG283" s="7">
        <f t="shared" si="761"/>
        <v>0</v>
      </c>
      <c r="BH283" s="7">
        <f t="shared" si="761"/>
        <v>918333.5075999999</v>
      </c>
      <c r="BI283" s="7">
        <f t="shared" si="761"/>
        <v>-20170.30380000174</v>
      </c>
      <c r="BJ283" s="7">
        <f t="shared" si="761"/>
        <v>0</v>
      </c>
      <c r="BK283" s="7">
        <f t="shared" si="761"/>
        <v>0</v>
      </c>
      <c r="BL283" s="7">
        <f t="shared" si="761"/>
        <v>0</v>
      </c>
      <c r="BM283" s="7">
        <f t="shared" si="761"/>
        <v>0</v>
      </c>
      <c r="BN283" s="7">
        <f t="shared" si="761"/>
        <v>0</v>
      </c>
      <c r="BO283" s="7">
        <f t="shared" si="761"/>
        <v>6205126.5</v>
      </c>
      <c r="BP283" s="7">
        <f t="shared" si="761"/>
        <v>0</v>
      </c>
      <c r="BQ283" s="7">
        <f t="shared" si="761"/>
        <v>0</v>
      </c>
      <c r="BR283" s="7">
        <f t="shared" si="761"/>
        <v>0</v>
      </c>
      <c r="BS283" s="7">
        <f t="shared" ref="BS283:EG283" si="763">+BS281-BS282</f>
        <v>0</v>
      </c>
      <c r="BT283" s="7">
        <f t="shared" si="763"/>
        <v>0</v>
      </c>
      <c r="BU283" s="7">
        <f t="shared" si="763"/>
        <v>0</v>
      </c>
      <c r="BV283" s="7">
        <f t="shared" si="763"/>
        <v>410.61999999731779</v>
      </c>
      <c r="BW283" s="7">
        <f t="shared" si="763"/>
        <v>0</v>
      </c>
      <c r="BX283" s="7">
        <f t="shared" si="763"/>
        <v>0</v>
      </c>
      <c r="BY283" s="7">
        <f t="shared" si="763"/>
        <v>4480000</v>
      </c>
      <c r="BZ283" s="7">
        <f>+BZ281-BZ282</f>
        <v>0</v>
      </c>
      <c r="CA283" s="7">
        <f t="shared" si="763"/>
        <v>-175790.56920000911</v>
      </c>
      <c r="CB283" s="7">
        <f t="shared" si="763"/>
        <v>0</v>
      </c>
      <c r="CC283" s="7">
        <f t="shared" si="763"/>
        <v>0</v>
      </c>
      <c r="CD283" s="7">
        <f t="shared" si="763"/>
        <v>0</v>
      </c>
      <c r="CE283" s="7">
        <f t="shared" si="763"/>
        <v>2451.0436000004411</v>
      </c>
      <c r="CF283" s="7">
        <f t="shared" si="763"/>
        <v>-4574000.1075999998</v>
      </c>
      <c r="CG283" s="7">
        <f t="shared" si="763"/>
        <v>0</v>
      </c>
      <c r="CH283" s="7">
        <f t="shared" si="763"/>
        <v>17157.305199995637</v>
      </c>
      <c r="CI283" s="7">
        <f t="shared" si="763"/>
        <v>0</v>
      </c>
      <c r="CJ283" s="7">
        <f t="shared" si="763"/>
        <v>0</v>
      </c>
      <c r="CK283" s="7">
        <f t="shared" si="763"/>
        <v>0</v>
      </c>
      <c r="CL283" s="7">
        <f t="shared" si="763"/>
        <v>4574000.1075999998</v>
      </c>
      <c r="CM283" s="7">
        <f t="shared" si="763"/>
        <v>9804.1744000017643</v>
      </c>
      <c r="CN283" s="7">
        <f t="shared" si="763"/>
        <v>0</v>
      </c>
      <c r="CO283" s="7">
        <f t="shared" si="763"/>
        <v>0</v>
      </c>
      <c r="CP283" s="7">
        <f t="shared" si="763"/>
        <v>0</v>
      </c>
      <c r="CQ283" s="7">
        <f t="shared" si="763"/>
        <v>0</v>
      </c>
      <c r="CR283" s="7">
        <f t="shared" si="763"/>
        <v>0</v>
      </c>
      <c r="CS283" s="7">
        <f t="shared" si="763"/>
        <v>53660781</v>
      </c>
      <c r="CT283" s="7">
        <f t="shared" si="763"/>
        <v>0</v>
      </c>
      <c r="CU283" s="7">
        <f t="shared" si="763"/>
        <v>0</v>
      </c>
      <c r="CV283" s="7">
        <f t="shared" si="763"/>
        <v>0</v>
      </c>
      <c r="CW283" s="7">
        <f t="shared" si="763"/>
        <v>8263.4399999678135</v>
      </c>
      <c r="CX283" s="7">
        <f t="shared" si="763"/>
        <v>0</v>
      </c>
      <c r="CY283" s="7">
        <f t="shared" si="763"/>
        <v>0</v>
      </c>
      <c r="CZ283" s="7">
        <f t="shared" ref="CZ283" si="764">+CZ281-CZ282</f>
        <v>-8234.2799999997951</v>
      </c>
      <c r="DA283" s="7">
        <f t="shared" si="763"/>
        <v>0</v>
      </c>
      <c r="DB283" s="7">
        <f t="shared" si="763"/>
        <v>0</v>
      </c>
      <c r="DC283" s="7">
        <f t="shared" si="763"/>
        <v>0</v>
      </c>
      <c r="DD283" s="7">
        <f t="shared" si="763"/>
        <v>0</v>
      </c>
      <c r="DE283" s="7">
        <f t="shared" si="763"/>
        <v>12566903.265000008</v>
      </c>
      <c r="DF283" s="7">
        <f t="shared" si="763"/>
        <v>0</v>
      </c>
      <c r="DG283" s="7">
        <f t="shared" si="763"/>
        <v>0</v>
      </c>
      <c r="DH283" s="7">
        <f t="shared" si="763"/>
        <v>0</v>
      </c>
      <c r="DI283" s="7">
        <f t="shared" si="763"/>
        <v>0</v>
      </c>
      <c r="DJ283" s="7">
        <f t="shared" si="763"/>
        <v>0</v>
      </c>
      <c r="DK283" s="7">
        <f t="shared" si="763"/>
        <v>0</v>
      </c>
      <c r="DL283" s="7">
        <f t="shared" si="763"/>
        <v>0</v>
      </c>
      <c r="DM283" s="7">
        <f t="shared" si="763"/>
        <v>2.9103830456733704E-11</v>
      </c>
      <c r="DN283" s="7">
        <f t="shared" si="763"/>
        <v>0</v>
      </c>
      <c r="DO283" s="7">
        <f t="shared" si="763"/>
        <v>0</v>
      </c>
      <c r="DP283" s="7">
        <f t="shared" si="763"/>
        <v>0</v>
      </c>
      <c r="DQ283" s="7">
        <f t="shared" si="763"/>
        <v>0</v>
      </c>
      <c r="DR283" s="7">
        <f t="shared" si="763"/>
        <v>0</v>
      </c>
      <c r="DS283" s="7">
        <f t="shared" si="763"/>
        <v>0</v>
      </c>
      <c r="DT283" s="7">
        <f t="shared" si="763"/>
        <v>0</v>
      </c>
      <c r="DU283" s="7">
        <f t="shared" si="763"/>
        <v>0</v>
      </c>
      <c r="DV283" s="7">
        <f t="shared" si="763"/>
        <v>0</v>
      </c>
      <c r="DW283" s="7">
        <f t="shared" si="763"/>
        <v>0</v>
      </c>
      <c r="DX283" s="7">
        <f t="shared" si="763"/>
        <v>0</v>
      </c>
      <c r="DY283" s="7">
        <f t="shared" si="763"/>
        <v>0</v>
      </c>
      <c r="DZ283" s="7">
        <f t="shared" si="763"/>
        <v>0</v>
      </c>
      <c r="EA283" s="7">
        <f t="shared" si="763"/>
        <v>0</v>
      </c>
      <c r="EB283" s="7">
        <f t="shared" si="763"/>
        <v>0</v>
      </c>
      <c r="EC283" s="7">
        <f t="shared" si="763"/>
        <v>0</v>
      </c>
      <c r="ED283" s="7">
        <f t="shared" si="763"/>
        <v>0</v>
      </c>
      <c r="EE283" s="7">
        <f t="shared" si="763"/>
        <v>0</v>
      </c>
      <c r="EF283" s="7">
        <f t="shared" si="763"/>
        <v>0</v>
      </c>
      <c r="EG283" s="7">
        <f t="shared" si="763"/>
        <v>0</v>
      </c>
      <c r="EH283" s="7">
        <f t="shared" ref="EH283:GW283" si="765">+EH281-EH282</f>
        <v>0</v>
      </c>
      <c r="EI283" s="7">
        <f t="shared" si="765"/>
        <v>0</v>
      </c>
      <c r="EJ283" s="7">
        <f t="shared" si="765"/>
        <v>0</v>
      </c>
      <c r="EK283" s="7">
        <f t="shared" si="765"/>
        <v>0</v>
      </c>
      <c r="EL283" s="7">
        <f t="shared" si="765"/>
        <v>0</v>
      </c>
      <c r="EM283" s="7">
        <f t="shared" si="765"/>
        <v>0</v>
      </c>
      <c r="EN283" s="7">
        <f t="shared" si="765"/>
        <v>0</v>
      </c>
      <c r="EO283" s="7">
        <f t="shared" si="765"/>
        <v>0</v>
      </c>
      <c r="EP283" s="7">
        <f t="shared" si="765"/>
        <v>0</v>
      </c>
      <c r="EQ283" s="7">
        <f t="shared" si="765"/>
        <v>0</v>
      </c>
      <c r="ER283" s="7">
        <f t="shared" si="765"/>
        <v>0</v>
      </c>
      <c r="ES283" s="7">
        <f t="shared" si="765"/>
        <v>0</v>
      </c>
      <c r="ET283" s="7">
        <f t="shared" si="765"/>
        <v>0</v>
      </c>
      <c r="EU283" s="7">
        <f t="shared" si="765"/>
        <v>0</v>
      </c>
      <c r="EV283" s="7">
        <f t="shared" si="765"/>
        <v>0</v>
      </c>
      <c r="EW283" s="7">
        <f t="shared" si="765"/>
        <v>0</v>
      </c>
      <c r="EX283" s="7">
        <f t="shared" si="765"/>
        <v>0</v>
      </c>
      <c r="EY283" s="7">
        <f t="shared" si="765"/>
        <v>0</v>
      </c>
      <c r="EZ283" s="7">
        <f t="shared" si="765"/>
        <v>0</v>
      </c>
      <c r="FA283" s="7">
        <f t="shared" si="765"/>
        <v>0</v>
      </c>
      <c r="FB283" s="7">
        <f t="shared" si="765"/>
        <v>0</v>
      </c>
      <c r="FC283" s="7">
        <f t="shared" si="765"/>
        <v>0</v>
      </c>
      <c r="FD283" s="7">
        <f t="shared" si="765"/>
        <v>-5592162.879999876</v>
      </c>
      <c r="FE283" s="7">
        <f t="shared" si="765"/>
        <v>0</v>
      </c>
      <c r="FF283" s="7">
        <f t="shared" si="765"/>
        <v>0</v>
      </c>
      <c r="FG283" s="7">
        <f t="shared" si="765"/>
        <v>0</v>
      </c>
      <c r="FH283" s="7">
        <f t="shared" si="765"/>
        <v>0</v>
      </c>
      <c r="FI283" s="7">
        <f t="shared" si="765"/>
        <v>0</v>
      </c>
      <c r="FJ283" s="7">
        <f t="shared" si="765"/>
        <v>0</v>
      </c>
      <c r="FK283" s="7">
        <f t="shared" ref="FK283" si="766">+FK281-FK282</f>
        <v>-432310</v>
      </c>
      <c r="FL283" s="7">
        <f t="shared" si="765"/>
        <v>0</v>
      </c>
      <c r="FM283" s="7">
        <f t="shared" si="765"/>
        <v>0</v>
      </c>
      <c r="FN283" s="7">
        <f t="shared" si="765"/>
        <v>0</v>
      </c>
      <c r="FO283" s="7">
        <f t="shared" si="765"/>
        <v>0</v>
      </c>
      <c r="FP283" s="7">
        <f t="shared" si="765"/>
        <v>6325241.5</v>
      </c>
      <c r="FQ283" s="7">
        <f t="shared" ref="FQ283:FR283" si="767">+FQ281-FQ282</f>
        <v>1698.6000000014901</v>
      </c>
      <c r="FR283" s="7">
        <f t="shared" si="767"/>
        <v>0</v>
      </c>
      <c r="FS283" s="7">
        <f t="shared" si="765"/>
        <v>0</v>
      </c>
      <c r="FT283" s="7">
        <f t="shared" si="765"/>
        <v>0</v>
      </c>
      <c r="FU283" s="7">
        <f t="shared" si="765"/>
        <v>0</v>
      </c>
      <c r="FV283" s="7">
        <f t="shared" si="765"/>
        <v>0</v>
      </c>
      <c r="FW283" s="7">
        <f t="shared" si="765"/>
        <v>-129995.80500000715</v>
      </c>
      <c r="FX283" s="7">
        <f t="shared" si="765"/>
        <v>0</v>
      </c>
      <c r="FY283" s="7">
        <f t="shared" si="765"/>
        <v>0</v>
      </c>
      <c r="FZ283" s="7">
        <f t="shared" si="765"/>
        <v>0</v>
      </c>
      <c r="GA283" s="7">
        <f t="shared" si="765"/>
        <v>0</v>
      </c>
      <c r="GB283" s="7">
        <f t="shared" si="765"/>
        <v>0</v>
      </c>
      <c r="GC283" s="7">
        <f t="shared" si="765"/>
        <v>0</v>
      </c>
      <c r="GD283" s="7">
        <f t="shared" si="765"/>
        <v>-6611966.7950000167</v>
      </c>
      <c r="GE283" s="7">
        <f t="shared" si="765"/>
        <v>0</v>
      </c>
      <c r="GF283" s="7">
        <f t="shared" si="765"/>
        <v>0</v>
      </c>
      <c r="GG283" s="7">
        <f t="shared" si="765"/>
        <v>0</v>
      </c>
      <c r="GH283" s="7">
        <f t="shared" si="765"/>
        <v>0</v>
      </c>
      <c r="GI283" s="7">
        <f t="shared" si="765"/>
        <v>0</v>
      </c>
      <c r="GJ283" s="7">
        <f t="shared" si="765"/>
        <v>0</v>
      </c>
      <c r="GK283" s="7">
        <f t="shared" si="765"/>
        <v>0</v>
      </c>
      <c r="GL283" s="7">
        <f t="shared" si="765"/>
        <v>0</v>
      </c>
      <c r="GM283" s="7">
        <f t="shared" si="765"/>
        <v>0</v>
      </c>
      <c r="GN283" s="7">
        <f t="shared" si="765"/>
        <v>0</v>
      </c>
      <c r="GO283" s="7">
        <f t="shared" si="765"/>
        <v>0</v>
      </c>
      <c r="GP283" s="7">
        <f>+GP281-GP282</f>
        <v>0</v>
      </c>
      <c r="GQ283" s="7">
        <f t="shared" si="765"/>
        <v>0</v>
      </c>
      <c r="GR283" s="7">
        <f t="shared" si="765"/>
        <v>0</v>
      </c>
      <c r="GS283" s="7">
        <f t="shared" si="765"/>
        <v>0</v>
      </c>
      <c r="GT283" s="7">
        <f t="shared" si="765"/>
        <v>0</v>
      </c>
      <c r="GU283" s="7">
        <f t="shared" si="765"/>
        <v>0</v>
      </c>
      <c r="GV283" s="7">
        <f t="shared" si="765"/>
        <v>0</v>
      </c>
      <c r="GW283" s="7">
        <f t="shared" si="765"/>
        <v>0</v>
      </c>
      <c r="GX283" s="7">
        <f t="shared" ref="GX283:HD283" si="768">+GX281-GX282</f>
        <v>3811665</v>
      </c>
      <c r="GY283" s="7">
        <f t="shared" si="768"/>
        <v>16236</v>
      </c>
      <c r="GZ283" s="7">
        <f t="shared" ref="GZ283" si="769">+GZ281-GZ282</f>
        <v>307102.5</v>
      </c>
      <c r="HA283" s="7">
        <f t="shared" si="768"/>
        <v>0</v>
      </c>
      <c r="HB283" s="7">
        <f t="shared" si="768"/>
        <v>0</v>
      </c>
      <c r="HC283" s="7">
        <f t="shared" si="768"/>
        <v>0</v>
      </c>
      <c r="HD283" s="7">
        <f t="shared" si="768"/>
        <v>25081231.610001002</v>
      </c>
      <c r="HE283" s="8">
        <f>SUM(HE6:HE280)</f>
        <v>-198391764.45000133</v>
      </c>
      <c r="HF283" s="77"/>
      <c r="HG283" s="35"/>
      <c r="HH283" s="77"/>
      <c r="HI283" s="35"/>
      <c r="HJ283" s="35"/>
      <c r="HK283" s="35"/>
      <c r="HL283" s="35"/>
      <c r="HM283" s="35"/>
      <c r="HN283" s="35"/>
      <c r="HO283" s="35"/>
      <c r="HP283" s="35"/>
      <c r="HQ283" s="35"/>
      <c r="HR283" s="35"/>
      <c r="HS283" s="35"/>
      <c r="HT283" s="35"/>
      <c r="HU283" s="35"/>
      <c r="HV283" s="35"/>
      <c r="HW283" s="35"/>
      <c r="HX283" s="35"/>
    </row>
    <row r="284" spans="1:232" s="3" customFormat="1" ht="12.75" customHeight="1" x14ac:dyDescent="0.3">
      <c r="A284" s="4"/>
      <c r="B284" s="5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6"/>
      <c r="T284" s="8"/>
      <c r="U284" s="8"/>
      <c r="V284" s="7"/>
      <c r="W284" s="7"/>
      <c r="X284" s="7"/>
      <c r="Y284" s="7"/>
      <c r="Z284" s="7"/>
      <c r="AA284" s="7"/>
      <c r="AB284" s="7"/>
      <c r="AC284" s="7"/>
      <c r="AD284" s="77"/>
      <c r="AE284" s="77"/>
      <c r="AF284" s="77"/>
      <c r="AH284" s="7"/>
      <c r="AI284" s="7"/>
      <c r="AJ284" s="7"/>
      <c r="AK284" s="7"/>
      <c r="AL284" s="77"/>
      <c r="AN284" s="7"/>
      <c r="AO284" s="7"/>
      <c r="AP284" s="7"/>
      <c r="AQ284" s="7"/>
      <c r="AR284" s="7"/>
      <c r="AS284" s="7"/>
      <c r="AT284" s="7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7"/>
      <c r="BJ284" s="7"/>
      <c r="BK284" s="7"/>
      <c r="BL284" s="7"/>
      <c r="BM284" s="7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7"/>
      <c r="CG284" s="7"/>
      <c r="CH284" s="7"/>
      <c r="CI284" s="7"/>
      <c r="CJ284" s="77"/>
      <c r="CM284" s="7"/>
      <c r="CN284" s="7"/>
      <c r="CO284" s="7"/>
      <c r="CP284" s="7"/>
      <c r="CQ284" s="7"/>
      <c r="CR284" s="77"/>
      <c r="CS284" s="7"/>
      <c r="CT284" s="7"/>
      <c r="CU284" s="7"/>
      <c r="CV284" s="7"/>
      <c r="CW284" s="7"/>
      <c r="CX284" s="7"/>
      <c r="CY284" s="7"/>
      <c r="CZ284" s="7"/>
      <c r="DC284" s="7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7"/>
      <c r="FH284" s="7"/>
      <c r="FI284" s="77"/>
      <c r="FJ284" s="7"/>
      <c r="FK284" s="7"/>
      <c r="FL284" s="7"/>
      <c r="FM284" s="7"/>
      <c r="FN284" s="77"/>
      <c r="FO284" s="7"/>
      <c r="FP284" s="7"/>
      <c r="FQ284" s="7"/>
      <c r="FR284" s="7"/>
      <c r="FS284" s="102"/>
      <c r="FT284" s="77"/>
      <c r="FU284" s="7"/>
      <c r="FV284" s="7"/>
      <c r="FW284" s="7"/>
      <c r="FX284" s="7"/>
      <c r="FY284" s="7"/>
      <c r="FZ284" s="7"/>
      <c r="GA284" s="7"/>
      <c r="GB284" s="77"/>
      <c r="GC284" s="7"/>
      <c r="GD284" s="7"/>
      <c r="GE284" s="7"/>
      <c r="GF284" s="7"/>
      <c r="GG284" s="7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7"/>
      <c r="GX284" s="8"/>
      <c r="GY284" s="7"/>
      <c r="GZ284" s="7"/>
      <c r="HA284" s="7"/>
      <c r="HB284" s="7"/>
      <c r="HC284" s="7"/>
      <c r="HD284" s="9">
        <f>SUM(D284:HA284)-W284-X284-AD284-AE284-AF284-AG284-AK284-AL284-AM284-AS284-AT284-AU284-BE284-BF284-BG284-BL284-BM284-BN284-CB284-CC284-CD284-CI284-CJ284-CK284-CN284-CO284-CP284-CR284-CX284-DA284-DC284-DG284-DH284-DL284-EY284-EZ284-FA284-FF284-FG284-FI284-FJ284-FM284-FN284-FO284-FS284-FT284-FU284-GA284-GB284-GC284-GF284-GG284-GR284-GS284-GT284-GU284-GW284</f>
        <v>0</v>
      </c>
      <c r="HE284" s="8">
        <f>SUM(D281:HC281)</f>
        <v>615892663.98480022</v>
      </c>
      <c r="HF284" s="473"/>
      <c r="HG284" s="35"/>
      <c r="HH284" s="77"/>
      <c r="HI284" s="35"/>
      <c r="HJ284" s="35"/>
      <c r="HK284" s="35"/>
      <c r="HL284" s="35"/>
      <c r="HM284" s="35"/>
      <c r="HN284" s="35"/>
      <c r="HO284" s="35"/>
      <c r="HP284" s="35"/>
      <c r="HQ284" s="35"/>
      <c r="HR284" s="35"/>
      <c r="HS284" s="35"/>
      <c r="HT284" s="35"/>
      <c r="HU284" s="35"/>
      <c r="HV284" s="35"/>
      <c r="HW284" s="35"/>
      <c r="HX284" s="35"/>
    </row>
    <row r="285" spans="1:232" s="3" customFormat="1" ht="12.75" customHeight="1" x14ac:dyDescent="0.3">
      <c r="A285" s="4"/>
      <c r="B285" s="5"/>
      <c r="C285" s="3" t="s">
        <v>676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6"/>
      <c r="T285" s="8"/>
      <c r="U285" s="8"/>
      <c r="V285" s="7"/>
      <c r="W285" s="7"/>
      <c r="X285" s="7"/>
      <c r="Y285" s="7"/>
      <c r="Z285" s="7"/>
      <c r="AA285" s="7"/>
      <c r="AB285" s="7"/>
      <c r="AC285" s="7"/>
      <c r="AD285" s="77"/>
      <c r="AE285" s="77"/>
      <c r="AF285" s="77"/>
      <c r="AH285" s="7"/>
      <c r="AI285" s="7"/>
      <c r="AJ285" s="7"/>
      <c r="AK285" s="102">
        <f>SUM(AK6:AK281)</f>
        <v>102625818.51353084</v>
      </c>
      <c r="AL285" s="77"/>
      <c r="AN285" s="7"/>
      <c r="AO285" s="7"/>
      <c r="AP285" s="7"/>
      <c r="AQ285" s="7"/>
      <c r="AR285" s="7"/>
      <c r="AS285" s="102">
        <f>SUM(AS6:AS281)</f>
        <v>611384.48305907391</v>
      </c>
      <c r="AT285" s="77"/>
      <c r="AV285" s="7"/>
      <c r="AW285" s="7"/>
      <c r="AX285" s="7"/>
      <c r="AY285" s="7"/>
      <c r="AZ285" s="7"/>
      <c r="BA285" s="7"/>
      <c r="BB285" s="7"/>
      <c r="BC285" s="7"/>
      <c r="BD285" s="7"/>
      <c r="BE285" s="102">
        <f>SUM(BE6:BE281)</f>
        <v>231107231.0236457</v>
      </c>
      <c r="BF285" s="77"/>
      <c r="BJ285" s="7"/>
      <c r="BK285" s="7"/>
      <c r="BL285" s="102">
        <f>SUM(BL6:BL281)</f>
        <v>53116426.221194528</v>
      </c>
      <c r="BM285" s="77"/>
      <c r="BS285" s="7"/>
      <c r="BT285" s="7"/>
      <c r="BU285" s="7"/>
      <c r="BV285" s="7"/>
      <c r="BW285" s="7"/>
      <c r="BX285" s="7"/>
      <c r="BY285" s="7"/>
      <c r="BZ285" s="7"/>
      <c r="CA285" s="7"/>
      <c r="CB285" s="102">
        <f>SUM(CB6:CB281)</f>
        <v>231431414.23852891</v>
      </c>
      <c r="CC285" s="77"/>
      <c r="CG285" s="7"/>
      <c r="CH285" s="7"/>
      <c r="CI285" s="102">
        <f>SUM(CI6:CI281)</f>
        <v>63370672.15169844</v>
      </c>
      <c r="CJ285" s="77"/>
      <c r="CM285" s="7"/>
      <c r="CN285" s="102">
        <f>SUM(CN6:CN281)</f>
        <v>60080791.603542648</v>
      </c>
      <c r="CO285" s="102">
        <f>SUM(CO6:CO281)</f>
        <v>961160767.6588335</v>
      </c>
      <c r="CP285" s="7"/>
      <c r="CQ285" s="7"/>
      <c r="CR285" s="77"/>
      <c r="CS285" s="7"/>
      <c r="CT285" s="7"/>
      <c r="CU285" s="7"/>
      <c r="CV285" s="7"/>
      <c r="CW285" s="7"/>
      <c r="CX285" s="7"/>
      <c r="CY285" s="7"/>
      <c r="CZ285" s="7"/>
      <c r="DA285" s="7">
        <f>SUM(DA6:DA281)</f>
        <v>-51724496.819999814</v>
      </c>
      <c r="DC285" s="77"/>
      <c r="DD285" s="7"/>
      <c r="DE285" s="7"/>
      <c r="DF285" s="7"/>
      <c r="DG285" s="7"/>
      <c r="DH285" s="7"/>
      <c r="DI285" s="7"/>
      <c r="DJ285" s="7"/>
      <c r="DK285" s="7"/>
      <c r="DL285" s="7">
        <f>SUM(DL6:DL281)</f>
        <v>84495.439999997616</v>
      </c>
      <c r="DM285" s="7">
        <f>DM281</f>
        <v>6142.769999999844</v>
      </c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>
        <f>SUM(EY6:EY281)</f>
        <v>77712080.480000019</v>
      </c>
      <c r="EZ285" s="7"/>
      <c r="FA285" s="7"/>
      <c r="FB285" s="7"/>
      <c r="FC285" s="7"/>
      <c r="FD285" s="7"/>
      <c r="FE285" s="7"/>
      <c r="FF285" s="77"/>
      <c r="FH285" s="7"/>
      <c r="FI285" s="77"/>
      <c r="FJ285" s="7"/>
      <c r="FK285" s="7"/>
      <c r="FL285" s="7"/>
      <c r="FM285" s="102">
        <f>SUM(FM6:FM281)</f>
        <v>166659897.22184235</v>
      </c>
      <c r="FN285" s="77"/>
      <c r="FO285" s="7"/>
      <c r="FP285" s="7"/>
      <c r="FQ285" s="7"/>
      <c r="FR285" s="7"/>
      <c r="FS285" s="102">
        <f>SUM(FS6:FS281)</f>
        <v>204455683.62042516</v>
      </c>
      <c r="FT285" s="77"/>
      <c r="FU285" s="7"/>
      <c r="FV285" s="7"/>
      <c r="FW285" s="7"/>
      <c r="FX285" s="7"/>
      <c r="FY285" s="7"/>
      <c r="FZ285" s="7"/>
      <c r="GA285" s="102">
        <f>SUM(GA6:GA281)</f>
        <v>471136557.43616086</v>
      </c>
      <c r="GB285" s="77"/>
      <c r="GC285" s="7"/>
      <c r="GD285" s="7"/>
      <c r="GE285" s="7"/>
      <c r="GF285" s="102">
        <f>SUM(GF6:GF281)</f>
        <v>499145364.4515714</v>
      </c>
      <c r="GG285" s="7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102">
        <f>SUM(GR6:GR281)</f>
        <v>0</v>
      </c>
      <c r="GS285" s="7"/>
      <c r="GT285" s="7"/>
      <c r="GU285" s="7"/>
      <c r="GV285" s="7"/>
      <c r="GW285" s="77"/>
      <c r="GX285" s="8"/>
      <c r="GY285" s="7"/>
      <c r="GZ285" s="7"/>
      <c r="HA285" s="7"/>
      <c r="HB285" s="7">
        <f>SUM(HB6:HB281)</f>
        <v>-28620763.099999994</v>
      </c>
      <c r="HC285" s="7"/>
      <c r="HD285" s="7">
        <f>SUM(D285:HB285)</f>
        <v>3042359467.3940339</v>
      </c>
      <c r="HE285" s="8"/>
      <c r="HF285" s="473"/>
      <c r="HG285" s="35"/>
      <c r="HH285" s="77"/>
      <c r="HI285" s="35"/>
      <c r="HJ285" s="35"/>
      <c r="HK285" s="35"/>
      <c r="HL285" s="35"/>
      <c r="HM285" s="35"/>
      <c r="HN285" s="35"/>
      <c r="HO285" s="35"/>
      <c r="HP285" s="35"/>
      <c r="HQ285" s="35"/>
      <c r="HR285" s="35"/>
      <c r="HS285" s="35"/>
      <c r="HT285" s="35"/>
      <c r="HU285" s="35"/>
      <c r="HV285" s="35"/>
      <c r="HW285" s="35"/>
      <c r="HX285" s="35"/>
    </row>
    <row r="286" spans="1:232" x14ac:dyDescent="0.25">
      <c r="C286" s="100" t="s">
        <v>673</v>
      </c>
      <c r="AF286" s="73">
        <f>SUM(AF6:AF281)</f>
        <v>69768599.400344595</v>
      </c>
      <c r="AL286" s="73">
        <f>SUM(AL6:AL281)</f>
        <v>27711735.413993817</v>
      </c>
      <c r="AM286"/>
      <c r="AT286" s="73">
        <f>SUM(AT6:AT281)</f>
        <v>45011999.613125533</v>
      </c>
      <c r="AU286"/>
      <c r="BF286" s="73">
        <f>SUM(BF6:BF281)</f>
        <v>11742260.768641451</v>
      </c>
      <c r="BG286"/>
      <c r="BH286"/>
      <c r="BI286"/>
      <c r="BM286" s="73">
        <f>SUM(BM6:BM281)</f>
        <v>43994337.013176605</v>
      </c>
      <c r="BN286"/>
      <c r="BO286"/>
      <c r="BP286"/>
      <c r="BQ286"/>
      <c r="BR286"/>
      <c r="CC286" s="73">
        <f>SUM(CC6:CC281)</f>
        <v>11977105.984014276</v>
      </c>
      <c r="CD286"/>
      <c r="CE286"/>
      <c r="CF286"/>
      <c r="CJ286" s="73">
        <f>SUM(CJ6:CJ281)</f>
        <v>8610991.230337061</v>
      </c>
      <c r="CK286"/>
      <c r="CL286"/>
      <c r="CR286" s="73">
        <f>SUM(CR6:CR281)</f>
        <v>51724497.016325697</v>
      </c>
      <c r="DC286" s="73">
        <f>SUM(DC6:DC281)</f>
        <v>45303654.831190236</v>
      </c>
      <c r="FI286" s="73">
        <f>SUM(FI6:FI281)</f>
        <v>53302621.011744283</v>
      </c>
      <c r="FN286" s="73">
        <f>SUM(FN6:FN281)</f>
        <v>45315972.365799367</v>
      </c>
      <c r="FT286" s="73">
        <f>SUM(FT6:FT281)</f>
        <v>125085297.64950708</v>
      </c>
      <c r="FU286" s="8"/>
      <c r="FV286" s="8"/>
      <c r="GB286" s="73">
        <f>SUM(GB6:GB281)</f>
        <v>16672857.757228058</v>
      </c>
      <c r="GC286" s="8"/>
      <c r="GG286" s="73">
        <f>SUM(GG6:GG281)</f>
        <v>0</v>
      </c>
      <c r="GW286" s="73">
        <f>SUM(GW6:GW281)</f>
        <v>28620762.819372054</v>
      </c>
      <c r="HD286" s="9">
        <f>SUM(Z286:HC286)-X281</f>
        <v>0</v>
      </c>
    </row>
    <row r="287" spans="1:232" x14ac:dyDescent="0.25">
      <c r="C287" s="100" t="s">
        <v>674</v>
      </c>
      <c r="AE287" s="73">
        <f>SUM(AE6:AE286)</f>
        <v>52218421.648000002</v>
      </c>
      <c r="AG287" s="99">
        <f>SUM(AG6:AG286)</f>
        <v>16649554.885530811</v>
      </c>
      <c r="AL287" s="73"/>
      <c r="AM287" s="99">
        <f>SUM(AM6:AM286)</f>
        <v>6613119.1354590831</v>
      </c>
      <c r="AT287" s="73"/>
      <c r="AU287" s="99">
        <f>SUM(AU6:AU286)</f>
        <v>10741648.313245682</v>
      </c>
      <c r="BF287" s="73"/>
      <c r="BG287" s="99">
        <f>SUM(BG6:BG286)</f>
        <v>2802169.1251945258</v>
      </c>
      <c r="BH287" s="99"/>
      <c r="BI287" s="99"/>
      <c r="BM287" s="73"/>
      <c r="BN287" s="99">
        <f>SUM(BN6:BN286)</f>
        <v>10498793.655728821</v>
      </c>
      <c r="BO287" s="99"/>
      <c r="BP287" s="99"/>
      <c r="BQ287" s="99"/>
      <c r="BR287" s="99"/>
      <c r="CC287" s="73"/>
      <c r="CD287" s="99">
        <f>SUM(CD6:CD286)</f>
        <v>2858212.5076984167</v>
      </c>
      <c r="CE287" s="99"/>
      <c r="CF287" s="99"/>
      <c r="CJ287" s="73"/>
      <c r="CK287" s="99">
        <f>SUM(CK6:CK286)</f>
        <v>2054924.025142652</v>
      </c>
      <c r="CL287" s="99"/>
      <c r="CR287" s="73"/>
      <c r="DC287" s="73"/>
      <c r="FI287" s="73"/>
      <c r="FN287" s="73"/>
      <c r="FT287" s="73"/>
      <c r="FU287" s="8"/>
      <c r="FV287" s="8"/>
      <c r="GB287" s="73"/>
      <c r="GC287" s="8"/>
      <c r="GG287" s="73"/>
      <c r="GW287" s="73"/>
      <c r="HD287" s="9">
        <f>SUM(AF287:HC287)-AE287</f>
        <v>0</v>
      </c>
    </row>
    <row r="288" spans="1:232" x14ac:dyDescent="0.25">
      <c r="C288" s="100" t="s">
        <v>675</v>
      </c>
      <c r="AG288" s="99"/>
      <c r="AL288" s="73"/>
      <c r="AM288" s="99"/>
      <c r="AT288" s="73"/>
      <c r="AU288" s="99"/>
      <c r="BF288" s="73"/>
      <c r="BG288" s="99"/>
      <c r="BH288" s="99"/>
      <c r="BI288" s="99"/>
      <c r="BM288" s="73"/>
      <c r="BN288" s="99"/>
      <c r="BO288" s="99"/>
      <c r="BP288" s="99"/>
      <c r="BQ288" s="99"/>
      <c r="BR288" s="99"/>
      <c r="CC288" s="73"/>
      <c r="CD288" s="99"/>
      <c r="CE288" s="99"/>
      <c r="CF288" s="99"/>
      <c r="CJ288" s="73"/>
      <c r="CK288" s="99"/>
      <c r="CL288" s="99"/>
      <c r="CR288" s="73"/>
      <c r="DC288" s="73"/>
      <c r="FG288" s="99">
        <f>SUM(FG6:FG287)</f>
        <v>45705043.229999989</v>
      </c>
      <c r="FI288" s="73"/>
      <c r="FJ288" s="8">
        <f>SUM(FJ6:FJ287)</f>
        <v>10134917.831842361</v>
      </c>
      <c r="FN288" s="73"/>
      <c r="FO288" s="8">
        <f>SUM(FO6:FO287)</f>
        <v>8616342.8304252215</v>
      </c>
      <c r="FT288" s="73"/>
      <c r="FU288" s="8">
        <f>SUM(FU6:FU287)</f>
        <v>23783618.696160875</v>
      </c>
      <c r="FV288" s="8"/>
      <c r="GB288" s="73"/>
      <c r="GC288" s="8">
        <f>SUM(GC6:GC287)</f>
        <v>3170163.8715715427</v>
      </c>
      <c r="GG288" s="73"/>
      <c r="GW288" s="73"/>
      <c r="HD288" s="9">
        <f>SUM(FH288:HC288)-FG288</f>
        <v>0</v>
      </c>
    </row>
    <row r="290" spans="1:216" s="301" customFormat="1" x14ac:dyDescent="0.25">
      <c r="A290" s="4"/>
      <c r="B290" s="296" t="s">
        <v>589</v>
      </c>
      <c r="C290" s="337" t="s">
        <v>1600</v>
      </c>
      <c r="D290" s="297"/>
      <c r="E290" s="298"/>
      <c r="F290" s="297"/>
      <c r="G290" s="298"/>
      <c r="H290" s="298"/>
      <c r="I290" s="297"/>
      <c r="J290" s="297"/>
      <c r="K290" s="297"/>
      <c r="L290" s="298"/>
      <c r="M290" s="297"/>
      <c r="N290" s="297"/>
      <c r="O290" s="297"/>
      <c r="P290" s="298"/>
      <c r="Q290" s="297"/>
      <c r="R290" s="298"/>
      <c r="S290" s="297"/>
      <c r="T290" s="298"/>
      <c r="U290" s="298"/>
      <c r="V290" s="297"/>
      <c r="W290" s="299"/>
      <c r="X290" s="299">
        <f>Létszám!C2+Létszám!C4+Létszám!C5+Létszám!C6</f>
        <v>44.93</v>
      </c>
      <c r="Y290" s="299"/>
      <c r="Z290" s="298"/>
      <c r="AA290" s="297"/>
      <c r="AB290" s="298"/>
      <c r="AC290" s="297"/>
      <c r="AD290" s="300"/>
      <c r="AE290" s="300">
        <f>Létszám!C9</f>
        <v>4.4000000000000004</v>
      </c>
      <c r="AF290" s="300"/>
      <c r="AG290" s="301">
        <f>Létszám!C13</f>
        <v>35.65</v>
      </c>
      <c r="AH290" s="297"/>
      <c r="AI290" s="297"/>
      <c r="AJ290" s="298"/>
      <c r="AK290" s="298"/>
      <c r="AL290" s="298"/>
      <c r="AM290" s="298">
        <f>Létszám!C10+Létszám!C11+Létszám!C12</f>
        <v>14.16</v>
      </c>
      <c r="AN290" s="297"/>
      <c r="AO290" s="297"/>
      <c r="AP290" s="298"/>
      <c r="AQ290" s="297"/>
      <c r="AR290" s="297"/>
      <c r="AS290" s="297"/>
      <c r="AT290" s="297"/>
      <c r="AU290" s="297">
        <f>Létszám!C14</f>
        <v>23</v>
      </c>
      <c r="AV290" s="298"/>
      <c r="AW290" s="297"/>
      <c r="AX290" s="298"/>
      <c r="AY290" s="297"/>
      <c r="AZ290" s="298"/>
      <c r="BA290" s="297"/>
      <c r="BB290" s="297"/>
      <c r="BC290" s="297"/>
      <c r="BD290" s="298"/>
      <c r="BE290" s="298"/>
      <c r="BF290" s="298"/>
      <c r="BG290" s="298">
        <f>Létszám!C19</f>
        <v>6</v>
      </c>
      <c r="BH290" s="298"/>
      <c r="BI290" s="298"/>
      <c r="BJ290" s="298"/>
      <c r="BK290" s="298"/>
      <c r="BL290" s="298"/>
      <c r="BM290" s="298"/>
      <c r="BN290" s="298">
        <f>Létszám!C15+Létszám!C16+Létszám!C17</f>
        <v>22.48</v>
      </c>
      <c r="BO290" s="298"/>
      <c r="BP290" s="298"/>
      <c r="BQ290" s="298"/>
      <c r="BR290" s="298"/>
      <c r="BS290" s="297"/>
      <c r="BT290" s="298"/>
      <c r="BU290" s="298"/>
      <c r="BV290" s="297"/>
      <c r="BW290" s="298"/>
      <c r="BX290" s="297"/>
      <c r="BY290" s="297"/>
      <c r="BZ290" s="297"/>
      <c r="CA290" s="297"/>
      <c r="CB290" s="297"/>
      <c r="CC290" s="297"/>
      <c r="CD290" s="297">
        <f>Létszám!C18</f>
        <v>6.12</v>
      </c>
      <c r="CE290" s="297"/>
      <c r="CF290" s="297"/>
      <c r="CG290" s="297"/>
      <c r="CH290" s="297"/>
      <c r="CI290" s="297"/>
      <c r="CJ290" s="297"/>
      <c r="CK290" s="297">
        <f>Létszám!C20</f>
        <v>4.4000000000000004</v>
      </c>
      <c r="CL290" s="297"/>
      <c r="CM290" s="298"/>
      <c r="CN290" s="298"/>
      <c r="CO290" s="298"/>
      <c r="CP290" s="298"/>
      <c r="CQ290" s="298"/>
      <c r="CR290" s="298">
        <f>Létszám!C22</f>
        <v>27.47</v>
      </c>
      <c r="CS290" s="298"/>
      <c r="CT290" s="297"/>
      <c r="CU290" s="298"/>
      <c r="CV290" s="297"/>
      <c r="CW290" s="297"/>
      <c r="CX290" s="297"/>
      <c r="CY290" s="298"/>
      <c r="CZ290" s="298"/>
      <c r="DC290" s="301">
        <f>Létszám!C25+Létszám!C26+Létszám!C27+DJ290</f>
        <v>24.060000000000002</v>
      </c>
      <c r="DD290" s="297"/>
      <c r="DE290" s="298"/>
      <c r="DF290" s="298"/>
      <c r="DG290" s="298"/>
      <c r="DH290" s="298"/>
      <c r="DI290" s="298"/>
      <c r="DJ290" s="297">
        <f>Létszám!C28</f>
        <v>12.96</v>
      </c>
      <c r="DK290" s="298"/>
      <c r="DL290" s="298"/>
      <c r="DM290" s="298"/>
      <c r="DN290" s="298"/>
      <c r="DO290" s="298"/>
      <c r="DP290" s="297"/>
      <c r="DQ290" s="298"/>
      <c r="DR290" s="297"/>
      <c r="DS290" s="297"/>
      <c r="DT290" s="297"/>
      <c r="DU290" s="297"/>
      <c r="DV290" s="297"/>
      <c r="DW290" s="298"/>
      <c r="DX290" s="297"/>
      <c r="DY290" s="298"/>
      <c r="DZ290" s="297"/>
      <c r="EA290" s="298"/>
      <c r="EB290" s="297"/>
      <c r="EC290" s="298"/>
      <c r="ED290" s="297"/>
      <c r="EE290" s="297"/>
      <c r="EF290" s="298"/>
      <c r="EG290" s="297"/>
      <c r="EH290" s="298"/>
      <c r="EI290" s="297"/>
      <c r="EJ290" s="298"/>
      <c r="EK290" s="297"/>
      <c r="EL290" s="298"/>
      <c r="EM290" s="297"/>
      <c r="EN290" s="298"/>
      <c r="EO290" s="297"/>
      <c r="EP290" s="298"/>
      <c r="EQ290" s="297"/>
      <c r="ER290" s="298"/>
      <c r="ES290" s="297"/>
      <c r="ET290" s="298"/>
      <c r="EU290" s="297"/>
      <c r="EV290" s="298"/>
      <c r="EW290" s="298"/>
      <c r="EX290" s="298"/>
      <c r="EY290" s="298"/>
      <c r="EZ290" s="298"/>
      <c r="FA290" s="298"/>
      <c r="FB290" s="298"/>
      <c r="FC290" s="297"/>
      <c r="FD290" s="297">
        <f>Létszám!C31</f>
        <v>3.96</v>
      </c>
      <c r="FE290" s="297">
        <f>Létszám!C32</f>
        <v>0</v>
      </c>
      <c r="FF290" s="300"/>
      <c r="FH290" s="298"/>
      <c r="FI290" s="298"/>
      <c r="FJ290" s="298">
        <f>Létszám!C33</f>
        <v>27.43</v>
      </c>
      <c r="FK290" s="298"/>
      <c r="FL290" s="298"/>
      <c r="FM290" s="298"/>
      <c r="FN290" s="298"/>
      <c r="FO290" s="298">
        <f>Létszám!C34</f>
        <v>23.32</v>
      </c>
      <c r="FP290" s="297"/>
      <c r="FQ290" s="297"/>
      <c r="FR290" s="297"/>
      <c r="FS290" s="302"/>
      <c r="FT290" s="297"/>
      <c r="FU290" s="297">
        <f>Létszám!C36+Létszám!C37</f>
        <v>64.37</v>
      </c>
      <c r="FV290" s="297"/>
      <c r="FW290" s="298"/>
      <c r="FX290" s="297"/>
      <c r="FY290" s="298"/>
      <c r="FZ290" s="297"/>
      <c r="GA290" s="297"/>
      <c r="GB290" s="297"/>
      <c r="GC290" s="297">
        <f>Létszám!C35</f>
        <v>8.58</v>
      </c>
      <c r="GD290" s="298"/>
      <c r="GE290" s="298"/>
      <c r="GF290" s="298"/>
      <c r="GG290" s="298">
        <f>+Létszám!C39</f>
        <v>0</v>
      </c>
      <c r="GH290" s="297"/>
      <c r="GI290" s="298"/>
      <c r="GJ290" s="297"/>
      <c r="GK290" s="298"/>
      <c r="GL290" s="297"/>
      <c r="GM290" s="298"/>
      <c r="GN290" s="297"/>
      <c r="GO290" s="298"/>
      <c r="GP290" s="298"/>
      <c r="GQ290" s="298"/>
      <c r="GR290" s="298"/>
      <c r="GS290" s="298"/>
      <c r="GT290" s="298"/>
      <c r="GU290" s="298"/>
      <c r="GV290" s="298"/>
      <c r="GW290" s="298">
        <f>Létszám!C42</f>
        <v>15.2</v>
      </c>
      <c r="GX290" s="8"/>
      <c r="GY290" s="297"/>
      <c r="GZ290" s="297"/>
      <c r="HA290" s="298"/>
      <c r="HB290" s="298"/>
      <c r="HC290" s="298"/>
      <c r="HD290" s="303">
        <f>SUM(D290:HA290)-X290-DJ290</f>
        <v>310.59999999999997</v>
      </c>
      <c r="HE290" s="8"/>
      <c r="HF290" s="473"/>
    </row>
    <row r="291" spans="1:216" s="301" customFormat="1" x14ac:dyDescent="0.25">
      <c r="A291" s="4"/>
      <c r="B291" s="51"/>
      <c r="C291" s="304" t="s">
        <v>800</v>
      </c>
      <c r="D291" s="297"/>
      <c r="E291" s="298"/>
      <c r="F291" s="297"/>
      <c r="G291" s="298"/>
      <c r="H291" s="298"/>
      <c r="I291" s="297"/>
      <c r="J291" s="297"/>
      <c r="K291" s="297"/>
      <c r="L291" s="298"/>
      <c r="M291" s="297"/>
      <c r="N291" s="297"/>
      <c r="O291" s="297"/>
      <c r="P291" s="298"/>
      <c r="Q291" s="297"/>
      <c r="R291" s="298"/>
      <c r="S291" s="297"/>
      <c r="T291" s="298"/>
      <c r="U291" s="298"/>
      <c r="V291" s="297"/>
      <c r="W291" s="299"/>
      <c r="X291" s="299"/>
      <c r="Y291" s="299"/>
      <c r="Z291" s="298"/>
      <c r="AA291" s="297"/>
      <c r="AB291" s="298"/>
      <c r="AC291" s="297"/>
      <c r="AD291" s="300"/>
      <c r="AE291" s="300"/>
      <c r="AF291" s="300"/>
      <c r="AG291" s="298">
        <f>$AE290/$HD$291*AG$290</f>
        <v>1.4029156604954833</v>
      </c>
      <c r="AH291" s="297"/>
      <c r="AI291" s="297"/>
      <c r="AJ291" s="298"/>
      <c r="AK291" s="298"/>
      <c r="AL291" s="298"/>
      <c r="AM291" s="298">
        <f>$AE290/$HD$291*AM$290</f>
        <v>0.55723101690367582</v>
      </c>
      <c r="AN291" s="297"/>
      <c r="AO291" s="297"/>
      <c r="AP291" s="298"/>
      <c r="AQ291" s="297"/>
      <c r="AR291" s="297"/>
      <c r="AS291" s="297"/>
      <c r="AT291" s="297"/>
      <c r="AU291" s="298">
        <f>$AE290/$HD$291*AU$290</f>
        <v>0.90510687773902154</v>
      </c>
      <c r="AV291" s="298"/>
      <c r="AW291" s="297"/>
      <c r="AX291" s="298"/>
      <c r="AY291" s="297"/>
      <c r="AZ291" s="298"/>
      <c r="BA291" s="297"/>
      <c r="BB291" s="297"/>
      <c r="BC291" s="297"/>
      <c r="BD291" s="298"/>
      <c r="BE291" s="298"/>
      <c r="BF291" s="298"/>
      <c r="BG291" s="298">
        <f>$AE290/$HD$291*BG$290</f>
        <v>0.23611483767104907</v>
      </c>
      <c r="BH291" s="298"/>
      <c r="BI291" s="298"/>
      <c r="BJ291" s="298"/>
      <c r="BK291" s="298"/>
      <c r="BL291" s="298"/>
      <c r="BM291" s="298"/>
      <c r="BN291" s="298">
        <f>$AE290/$HD$291*BN$290</f>
        <v>0.8846435918075306</v>
      </c>
      <c r="BO291" s="298"/>
      <c r="BP291" s="298"/>
      <c r="BQ291" s="298"/>
      <c r="BR291" s="298"/>
      <c r="BS291" s="297"/>
      <c r="BT291" s="298"/>
      <c r="BU291" s="298"/>
      <c r="BV291" s="297"/>
      <c r="BW291" s="298"/>
      <c r="BX291" s="297"/>
      <c r="BY291" s="297"/>
      <c r="BZ291" s="297"/>
      <c r="CA291" s="297"/>
      <c r="CB291" s="297"/>
      <c r="CC291" s="297"/>
      <c r="CD291" s="298">
        <f>$AE290/$HD$291*CD$290</f>
        <v>0.24083713442447008</v>
      </c>
      <c r="CE291" s="298"/>
      <c r="CF291" s="298"/>
      <c r="CG291" s="297"/>
      <c r="CH291" s="297"/>
      <c r="CI291" s="297"/>
      <c r="CJ291" s="297"/>
      <c r="CK291" s="298">
        <f>$AE290/$HD$291*CK$290</f>
        <v>0.17315088095876935</v>
      </c>
      <c r="CL291" s="298"/>
      <c r="CM291" s="298"/>
      <c r="CN291" s="298"/>
      <c r="CO291" s="298"/>
      <c r="CP291" s="298"/>
      <c r="CQ291" s="298"/>
      <c r="CR291" s="298"/>
      <c r="CS291" s="298"/>
      <c r="CT291" s="297"/>
      <c r="CU291" s="298"/>
      <c r="CV291" s="297"/>
      <c r="CW291" s="297"/>
      <c r="CX291" s="297"/>
      <c r="CY291" s="298"/>
      <c r="CZ291" s="298"/>
      <c r="DD291" s="297"/>
      <c r="DE291" s="298"/>
      <c r="DF291" s="298"/>
      <c r="DG291" s="298"/>
      <c r="DH291" s="298"/>
      <c r="DI291" s="298"/>
      <c r="DJ291" s="297"/>
      <c r="DK291" s="298"/>
      <c r="DL291" s="298"/>
      <c r="DM291" s="298"/>
      <c r="DN291" s="298"/>
      <c r="DO291" s="298"/>
      <c r="DP291" s="297"/>
      <c r="DQ291" s="298"/>
      <c r="DR291" s="297"/>
      <c r="DS291" s="297"/>
      <c r="DT291" s="297"/>
      <c r="DU291" s="297"/>
      <c r="DV291" s="297"/>
      <c r="DW291" s="298"/>
      <c r="DX291" s="297"/>
      <c r="DY291" s="298"/>
      <c r="DZ291" s="297"/>
      <c r="EA291" s="298"/>
      <c r="EB291" s="297"/>
      <c r="EC291" s="298"/>
      <c r="ED291" s="297"/>
      <c r="EE291" s="297"/>
      <c r="EF291" s="298"/>
      <c r="EG291" s="297"/>
      <c r="EH291" s="298"/>
      <c r="EI291" s="297"/>
      <c r="EJ291" s="298"/>
      <c r="EK291" s="297"/>
      <c r="EL291" s="298"/>
      <c r="EM291" s="297"/>
      <c r="EN291" s="298"/>
      <c r="EO291" s="297"/>
      <c r="EP291" s="298"/>
      <c r="EQ291" s="297"/>
      <c r="ER291" s="298"/>
      <c r="ES291" s="297"/>
      <c r="ET291" s="298"/>
      <c r="EU291" s="297"/>
      <c r="EV291" s="298"/>
      <c r="EW291" s="298"/>
      <c r="EX291" s="298"/>
      <c r="EY291" s="298"/>
      <c r="EZ291" s="298"/>
      <c r="FA291" s="298"/>
      <c r="FB291" s="298"/>
      <c r="FC291" s="297"/>
      <c r="FD291" s="297"/>
      <c r="FE291" s="297"/>
      <c r="FF291" s="300"/>
      <c r="FH291" s="298"/>
      <c r="FI291" s="298"/>
      <c r="FJ291" s="298"/>
      <c r="FK291" s="298"/>
      <c r="FL291" s="298"/>
      <c r="FM291" s="298"/>
      <c r="FN291" s="298"/>
      <c r="FO291" s="298"/>
      <c r="FP291" s="297"/>
      <c r="FQ291" s="297"/>
      <c r="FR291" s="297"/>
      <c r="FS291" s="302"/>
      <c r="FT291" s="297"/>
      <c r="FU291" s="297"/>
      <c r="FV291" s="297"/>
      <c r="FW291" s="298"/>
      <c r="FX291" s="297"/>
      <c r="FY291" s="298"/>
      <c r="FZ291" s="297"/>
      <c r="GA291" s="297"/>
      <c r="GB291" s="297"/>
      <c r="GC291" s="297"/>
      <c r="GD291" s="298"/>
      <c r="GE291" s="298"/>
      <c r="GF291" s="298"/>
      <c r="GG291" s="298"/>
      <c r="GH291" s="297"/>
      <c r="GI291" s="298"/>
      <c r="GJ291" s="297"/>
      <c r="GK291" s="298"/>
      <c r="GL291" s="297"/>
      <c r="GM291" s="298"/>
      <c r="GN291" s="297"/>
      <c r="GO291" s="298"/>
      <c r="GP291" s="298"/>
      <c r="GQ291" s="298"/>
      <c r="GR291" s="298"/>
      <c r="GS291" s="298"/>
      <c r="GT291" s="298"/>
      <c r="GU291" s="298"/>
      <c r="GV291" s="298"/>
      <c r="GW291" s="298"/>
      <c r="GX291" s="8"/>
      <c r="GY291" s="297"/>
      <c r="GZ291" s="297"/>
      <c r="HA291" s="298"/>
      <c r="HB291" s="298"/>
      <c r="HC291" s="298"/>
      <c r="HD291" s="303">
        <f>SUM(AG290:CK290)</f>
        <v>111.81000000000002</v>
      </c>
      <c r="HE291" s="8"/>
      <c r="HF291" s="473"/>
      <c r="HH291" s="301">
        <f>SUM(HD291:HE291)</f>
        <v>111.81000000000002</v>
      </c>
    </row>
    <row r="292" spans="1:216" s="301" customFormat="1" x14ac:dyDescent="0.25">
      <c r="A292" s="4"/>
      <c r="B292" s="51"/>
      <c r="C292" s="52" t="s">
        <v>590</v>
      </c>
      <c r="D292" s="297"/>
      <c r="E292" s="298"/>
      <c r="F292" s="297"/>
      <c r="G292" s="298"/>
      <c r="H292" s="298"/>
      <c r="I292" s="297"/>
      <c r="J292" s="297"/>
      <c r="K292" s="297"/>
      <c r="L292" s="298"/>
      <c r="M292" s="297"/>
      <c r="N292" s="297"/>
      <c r="O292" s="297"/>
      <c r="P292" s="298"/>
      <c r="Q292" s="297"/>
      <c r="R292" s="298"/>
      <c r="S292" s="297"/>
      <c r="T292" s="298"/>
      <c r="U292" s="298"/>
      <c r="V292" s="297"/>
      <c r="W292" s="299"/>
      <c r="X292" s="299"/>
      <c r="Y292" s="299"/>
      <c r="Z292" s="298"/>
      <c r="AA292" s="297"/>
      <c r="AB292" s="298"/>
      <c r="AC292" s="297"/>
      <c r="AD292" s="300"/>
      <c r="AE292" s="300"/>
      <c r="AF292" s="300"/>
      <c r="AH292" s="297"/>
      <c r="AI292" s="297"/>
      <c r="AJ292" s="298"/>
      <c r="AK292" s="298"/>
      <c r="AL292" s="298"/>
      <c r="AM292" s="298"/>
      <c r="AN292" s="297"/>
      <c r="AO292" s="297"/>
      <c r="AP292" s="298"/>
      <c r="AQ292" s="297"/>
      <c r="AR292" s="297"/>
      <c r="AS292" s="297"/>
      <c r="AT292" s="297"/>
      <c r="AU292" s="297"/>
      <c r="AV292" s="298"/>
      <c r="AW292" s="297"/>
      <c r="AX292" s="298"/>
      <c r="AY292" s="297"/>
      <c r="AZ292" s="298"/>
      <c r="BA292" s="297"/>
      <c r="BB292" s="297"/>
      <c r="BC292" s="297"/>
      <c r="BD292" s="298"/>
      <c r="BE292" s="298"/>
      <c r="BF292" s="298"/>
      <c r="BG292" s="298"/>
      <c r="BH292" s="298"/>
      <c r="BI292" s="298"/>
      <c r="BJ292" s="298"/>
      <c r="BK292" s="298"/>
      <c r="BL292" s="298"/>
      <c r="BM292" s="298"/>
      <c r="BN292" s="298"/>
      <c r="BO292" s="298"/>
      <c r="BP292" s="298"/>
      <c r="BQ292" s="298"/>
      <c r="BR292" s="298"/>
      <c r="BS292" s="297"/>
      <c r="BT292" s="298"/>
      <c r="BU292" s="298"/>
      <c r="BV292" s="297"/>
      <c r="BW292" s="298"/>
      <c r="BX292" s="297"/>
      <c r="BY292" s="297"/>
      <c r="BZ292" s="297"/>
      <c r="CA292" s="297"/>
      <c r="CB292" s="297"/>
      <c r="CC292" s="297"/>
      <c r="CD292" s="297"/>
      <c r="CE292" s="297"/>
      <c r="CF292" s="297"/>
      <c r="CG292" s="297"/>
      <c r="CH292" s="297"/>
      <c r="CI292" s="297"/>
      <c r="CJ292" s="297"/>
      <c r="CK292" s="297"/>
      <c r="CL292" s="297"/>
      <c r="CM292" s="298"/>
      <c r="CN292" s="298"/>
      <c r="CO292" s="298"/>
      <c r="CP292" s="298"/>
      <c r="CQ292" s="298"/>
      <c r="CR292" s="298"/>
      <c r="CS292" s="298"/>
      <c r="CT292" s="297"/>
      <c r="CU292" s="298"/>
      <c r="CV292" s="297"/>
      <c r="CW292" s="297"/>
      <c r="CX292" s="297"/>
      <c r="CY292" s="298"/>
      <c r="CZ292" s="298"/>
      <c r="DD292" s="297"/>
      <c r="DE292" s="298"/>
      <c r="DF292" s="298"/>
      <c r="DG292" s="298"/>
      <c r="DH292" s="298"/>
      <c r="DI292" s="298"/>
      <c r="DJ292" s="297"/>
      <c r="DK292" s="298"/>
      <c r="DL292" s="298"/>
      <c r="DM292" s="298"/>
      <c r="DN292" s="298"/>
      <c r="DO292" s="298"/>
      <c r="DP292" s="297"/>
      <c r="DQ292" s="298"/>
      <c r="DR292" s="297"/>
      <c r="DS292" s="297"/>
      <c r="DT292" s="297"/>
      <c r="DU292" s="297"/>
      <c r="DV292" s="297"/>
      <c r="DW292" s="298"/>
      <c r="DX292" s="297"/>
      <c r="DY292" s="298"/>
      <c r="DZ292" s="297"/>
      <c r="EA292" s="298"/>
      <c r="EB292" s="297"/>
      <c r="EC292" s="298"/>
      <c r="ED292" s="297"/>
      <c r="EE292" s="297"/>
      <c r="EF292" s="298"/>
      <c r="EG292" s="297"/>
      <c r="EH292" s="298"/>
      <c r="EI292" s="297"/>
      <c r="EJ292" s="298"/>
      <c r="EK292" s="297"/>
      <c r="EL292" s="298"/>
      <c r="EM292" s="297"/>
      <c r="EN292" s="298"/>
      <c r="EO292" s="297"/>
      <c r="EP292" s="298"/>
      <c r="EQ292" s="297"/>
      <c r="ER292" s="298"/>
      <c r="ES292" s="297"/>
      <c r="ET292" s="298"/>
      <c r="EU292" s="297"/>
      <c r="EV292" s="298"/>
      <c r="EW292" s="298"/>
      <c r="EX292" s="298"/>
      <c r="EY292" s="298"/>
      <c r="EZ292" s="298"/>
      <c r="FA292" s="298"/>
      <c r="FB292" s="298"/>
      <c r="FC292" s="297"/>
      <c r="FD292" s="297"/>
      <c r="FE292" s="297"/>
      <c r="FF292" s="300"/>
      <c r="FH292" s="298"/>
      <c r="FI292" s="298"/>
      <c r="FJ292" s="298">
        <f>FJ290</f>
        <v>27.43</v>
      </c>
      <c r="FK292" s="298"/>
      <c r="FL292" s="298"/>
      <c r="FM292" s="298"/>
      <c r="FN292" s="298"/>
      <c r="FO292" s="298">
        <f>FO290</f>
        <v>23.32</v>
      </c>
      <c r="FP292" s="297"/>
      <c r="FQ292" s="297"/>
      <c r="FR292" s="297"/>
      <c r="FS292" s="302"/>
      <c r="FT292" s="297"/>
      <c r="FU292" s="298">
        <f>FU290</f>
        <v>64.37</v>
      </c>
      <c r="FV292" s="298"/>
      <c r="FW292" s="298"/>
      <c r="FX292" s="297"/>
      <c r="FY292" s="298"/>
      <c r="FZ292" s="297"/>
      <c r="GA292" s="297"/>
      <c r="GB292" s="297"/>
      <c r="GC292" s="298">
        <f>GC290</f>
        <v>8.58</v>
      </c>
      <c r="GD292" s="298"/>
      <c r="GE292" s="298"/>
      <c r="GF292" s="298"/>
      <c r="GG292" s="298">
        <f>GG290</f>
        <v>0</v>
      </c>
      <c r="GH292" s="297"/>
      <c r="GI292" s="298"/>
      <c r="GJ292" s="297"/>
      <c r="GK292" s="298"/>
      <c r="GL292" s="297"/>
      <c r="GM292" s="298"/>
      <c r="GN292" s="297"/>
      <c r="GO292" s="298"/>
      <c r="GP292" s="298"/>
      <c r="GQ292" s="298"/>
      <c r="GR292" s="298"/>
      <c r="GS292" s="298"/>
      <c r="GT292" s="298"/>
      <c r="GU292" s="298"/>
      <c r="GV292" s="298"/>
      <c r="GW292" s="298"/>
      <c r="GX292" s="8"/>
      <c r="GY292" s="297"/>
      <c r="GZ292" s="297"/>
      <c r="HA292" s="298"/>
      <c r="HB292" s="298"/>
      <c r="HC292" s="298"/>
      <c r="HD292" s="303">
        <f>SUM(D292:HA292)-GG292</f>
        <v>123.7</v>
      </c>
      <c r="HE292" s="8"/>
      <c r="HF292" s="473"/>
      <c r="HH292" s="301">
        <f>SUM(HD292:HE292)</f>
        <v>123.7</v>
      </c>
    </row>
    <row r="293" spans="1:216" s="301" customFormat="1" x14ac:dyDescent="0.25">
      <c r="A293" s="4"/>
      <c r="B293" s="305"/>
      <c r="D293" s="297"/>
      <c r="E293" s="298"/>
      <c r="F293" s="297"/>
      <c r="G293" s="298"/>
      <c r="H293" s="298"/>
      <c r="I293" s="297"/>
      <c r="J293" s="297"/>
      <c r="K293" s="297"/>
      <c r="L293" s="298"/>
      <c r="M293" s="297"/>
      <c r="N293" s="297"/>
      <c r="O293" s="297"/>
      <c r="P293" s="298"/>
      <c r="Q293" s="297"/>
      <c r="R293" s="298"/>
      <c r="S293" s="297"/>
      <c r="T293" s="298"/>
      <c r="U293" s="298"/>
      <c r="V293" s="297"/>
      <c r="W293" s="299"/>
      <c r="X293" s="299"/>
      <c r="Y293" s="299"/>
      <c r="Z293" s="298"/>
      <c r="AA293" s="297"/>
      <c r="AB293" s="298"/>
      <c r="AC293" s="297"/>
      <c r="AD293" s="300"/>
      <c r="AE293" s="300"/>
      <c r="AF293" s="300"/>
      <c r="AH293" s="297"/>
      <c r="AI293" s="297"/>
      <c r="AJ293" s="298"/>
      <c r="AK293" s="298"/>
      <c r="AL293" s="298"/>
      <c r="AM293" s="298"/>
      <c r="AN293" s="297"/>
      <c r="AO293" s="297"/>
      <c r="AP293" s="298"/>
      <c r="AQ293" s="297"/>
      <c r="AR293" s="297"/>
      <c r="AS293" s="297"/>
      <c r="AT293" s="297"/>
      <c r="AU293" s="297"/>
      <c r="AV293" s="298"/>
      <c r="AW293" s="297"/>
      <c r="AX293" s="298"/>
      <c r="AY293" s="297"/>
      <c r="AZ293" s="298"/>
      <c r="BA293" s="297"/>
      <c r="BB293" s="297"/>
      <c r="BC293" s="297"/>
      <c r="BD293" s="298"/>
      <c r="BE293" s="298"/>
      <c r="BF293" s="298"/>
      <c r="BG293" s="298"/>
      <c r="BH293" s="298"/>
      <c r="BI293" s="298"/>
      <c r="BJ293" s="298"/>
      <c r="BK293" s="298"/>
      <c r="BL293" s="298"/>
      <c r="BM293" s="298"/>
      <c r="BN293" s="298"/>
      <c r="BO293" s="298"/>
      <c r="BP293" s="298"/>
      <c r="BQ293" s="298"/>
      <c r="BR293" s="298"/>
      <c r="BS293" s="297"/>
      <c r="BT293" s="298"/>
      <c r="BU293" s="298"/>
      <c r="BV293" s="297"/>
      <c r="BW293" s="298"/>
      <c r="BX293" s="297"/>
      <c r="BY293" s="297"/>
      <c r="BZ293" s="297"/>
      <c r="CA293" s="297"/>
      <c r="CB293" s="297"/>
      <c r="CC293" s="297"/>
      <c r="CD293" s="297"/>
      <c r="CE293" s="297"/>
      <c r="CF293" s="297"/>
      <c r="CG293" s="297"/>
      <c r="CH293" s="297"/>
      <c r="CI293" s="297"/>
      <c r="CJ293" s="297"/>
      <c r="CK293" s="297"/>
      <c r="CL293" s="297"/>
      <c r="CM293" s="298"/>
      <c r="CN293" s="298"/>
      <c r="CO293" s="298"/>
      <c r="CP293" s="298"/>
      <c r="CQ293" s="298"/>
      <c r="CR293" s="298"/>
      <c r="CS293" s="298"/>
      <c r="CT293" s="297"/>
      <c r="CU293" s="298"/>
      <c r="CV293" s="297"/>
      <c r="CW293" s="297"/>
      <c r="CX293" s="297"/>
      <c r="CY293" s="298"/>
      <c r="CZ293" s="298"/>
      <c r="DD293" s="297"/>
      <c r="DE293" s="298"/>
      <c r="DF293" s="298"/>
      <c r="DG293" s="298"/>
      <c r="DH293" s="298"/>
      <c r="DI293" s="298"/>
      <c r="DJ293" s="297"/>
      <c r="DK293" s="298"/>
      <c r="DL293" s="298"/>
      <c r="DM293" s="298"/>
      <c r="DN293" s="298"/>
      <c r="DO293" s="298"/>
      <c r="DP293" s="297"/>
      <c r="DQ293" s="298"/>
      <c r="DR293" s="297"/>
      <c r="DS293" s="297"/>
      <c r="DT293" s="297"/>
      <c r="DU293" s="297"/>
      <c r="DV293" s="297"/>
      <c r="DW293" s="298"/>
      <c r="DX293" s="297"/>
      <c r="DY293" s="298"/>
      <c r="DZ293" s="297"/>
      <c r="EA293" s="298"/>
      <c r="EB293" s="297"/>
      <c r="EC293" s="298"/>
      <c r="ED293" s="297"/>
      <c r="EE293" s="297"/>
      <c r="EF293" s="298"/>
      <c r="EG293" s="297"/>
      <c r="EH293" s="298"/>
      <c r="EI293" s="297"/>
      <c r="EJ293" s="298"/>
      <c r="EK293" s="297"/>
      <c r="EL293" s="298"/>
      <c r="EM293" s="297"/>
      <c r="EN293" s="298"/>
      <c r="EO293" s="297"/>
      <c r="EP293" s="298"/>
      <c r="EQ293" s="297"/>
      <c r="ER293" s="298"/>
      <c r="ES293" s="297"/>
      <c r="ET293" s="298"/>
      <c r="EU293" s="297"/>
      <c r="EV293" s="298"/>
      <c r="EW293" s="298"/>
      <c r="EX293" s="298"/>
      <c r="EY293" s="298"/>
      <c r="EZ293" s="298"/>
      <c r="FA293" s="298"/>
      <c r="FB293" s="298"/>
      <c r="FC293" s="297"/>
      <c r="FD293" s="297"/>
      <c r="FE293" s="297"/>
      <c r="FF293" s="300"/>
      <c r="FG293" s="301">
        <f>+FD290+FE290</f>
        <v>3.96</v>
      </c>
      <c r="FH293" s="298"/>
      <c r="FI293" s="298"/>
      <c r="FJ293" s="306">
        <f>$FG293/$HD$292*FJ$292</f>
        <v>0.87811479385610347</v>
      </c>
      <c r="FK293" s="306"/>
      <c r="FL293" s="298"/>
      <c r="FM293" s="298"/>
      <c r="FN293" s="298"/>
      <c r="FO293" s="306">
        <f>$FG293/$HD$292*FO$292</f>
        <v>0.74654163298302345</v>
      </c>
      <c r="FP293" s="297"/>
      <c r="FQ293" s="297"/>
      <c r="FR293" s="297"/>
      <c r="FS293" s="302"/>
      <c r="FT293" s="297"/>
      <c r="FU293" s="306">
        <f>$FG293/$HD$292*FU$292</f>
        <v>2.0606725949878739</v>
      </c>
      <c r="FV293" s="306"/>
      <c r="FW293" s="298"/>
      <c r="FX293" s="297"/>
      <c r="FY293" s="298"/>
      <c r="FZ293" s="297"/>
      <c r="GA293" s="297"/>
      <c r="GB293" s="297"/>
      <c r="GC293" s="306">
        <f>$FG293/$HD$292*GC$292</f>
        <v>0.27467097817299918</v>
      </c>
      <c r="GD293" s="298"/>
      <c r="GE293" s="298"/>
      <c r="GF293" s="298"/>
      <c r="GG293" s="306">
        <f>$FG293/$HD$292*GG$292</f>
        <v>0</v>
      </c>
      <c r="GH293" s="297"/>
      <c r="GI293" s="298"/>
      <c r="GJ293" s="297"/>
      <c r="GK293" s="298"/>
      <c r="GL293" s="297"/>
      <c r="GM293" s="298"/>
      <c r="GN293" s="297"/>
      <c r="GO293" s="298"/>
      <c r="GP293" s="298"/>
      <c r="GQ293" s="298"/>
      <c r="GR293" s="298"/>
      <c r="GS293" s="298"/>
      <c r="GT293" s="298"/>
      <c r="GU293" s="298"/>
      <c r="GV293" s="298"/>
      <c r="GW293" s="298"/>
      <c r="GX293" s="8"/>
      <c r="GY293" s="297"/>
      <c r="GZ293" s="297"/>
      <c r="HA293" s="298"/>
      <c r="HB293" s="298"/>
      <c r="HC293" s="298"/>
      <c r="HD293" s="303"/>
      <c r="HE293" s="8"/>
      <c r="HF293" s="473"/>
    </row>
    <row r="295" spans="1:216" ht="13" x14ac:dyDescent="0.3">
      <c r="C295" s="221"/>
    </row>
    <row r="296" spans="1:216" x14ac:dyDescent="0.25">
      <c r="C296" s="31"/>
    </row>
    <row r="297" spans="1:216" x14ac:dyDescent="0.25">
      <c r="C297" s="31"/>
    </row>
    <row r="298" spans="1:216" x14ac:dyDescent="0.25">
      <c r="C298" s="190"/>
    </row>
    <row r="300" spans="1:216" x14ac:dyDescent="0.25">
      <c r="C300" s="222"/>
    </row>
    <row r="301" spans="1:216" x14ac:dyDescent="0.25">
      <c r="C301" s="222"/>
    </row>
    <row r="302" spans="1:216" x14ac:dyDescent="0.25">
      <c r="C302" s="222"/>
    </row>
    <row r="303" spans="1:216" x14ac:dyDescent="0.25">
      <c r="C303" s="207"/>
    </row>
    <row r="304" spans="1:216" x14ac:dyDescent="0.25">
      <c r="C304" s="207"/>
    </row>
    <row r="305" spans="2:212" x14ac:dyDescent="0.25">
      <c r="C305" s="207"/>
    </row>
    <row r="306" spans="2:212" x14ac:dyDescent="0.25">
      <c r="C306" s="207"/>
    </row>
    <row r="307" spans="2:212" x14ac:dyDescent="0.25">
      <c r="C307" s="207"/>
    </row>
    <row r="309" spans="2:212" ht="13" x14ac:dyDescent="0.3">
      <c r="C309" s="221" t="s">
        <v>802</v>
      </c>
      <c r="E309" s="8">
        <v>0</v>
      </c>
      <c r="Z309" s="8">
        <v>0</v>
      </c>
      <c r="AJ309" s="8">
        <v>0</v>
      </c>
      <c r="AO309" s="6">
        <v>0</v>
      </c>
      <c r="AR309" s="6">
        <v>0</v>
      </c>
      <c r="AW309" s="6">
        <v>0</v>
      </c>
      <c r="BJ309" s="8">
        <v>0</v>
      </c>
      <c r="BV309" s="6">
        <v>0</v>
      </c>
      <c r="CH309" s="6">
        <v>0</v>
      </c>
      <c r="CM309" s="8">
        <v>0</v>
      </c>
      <c r="CS309" s="8">
        <v>0</v>
      </c>
      <c r="DE309" s="8">
        <v>0</v>
      </c>
      <c r="DK309" s="8">
        <v>0</v>
      </c>
      <c r="FD309" s="6">
        <v>0</v>
      </c>
      <c r="FL309" s="8">
        <v>0</v>
      </c>
      <c r="FP309" s="6">
        <v>0</v>
      </c>
      <c r="FQ309" s="6">
        <v>0</v>
      </c>
      <c r="FR309" s="6">
        <v>0</v>
      </c>
      <c r="FW309" s="8">
        <v>0</v>
      </c>
      <c r="GD309" s="8">
        <v>0</v>
      </c>
      <c r="GH309" s="6">
        <v>0</v>
      </c>
      <c r="GY309" s="6">
        <v>0</v>
      </c>
      <c r="GZ309" s="6">
        <v>0</v>
      </c>
      <c r="HD309" s="7">
        <f>SUM(D309:HB309)</f>
        <v>0</v>
      </c>
    </row>
    <row r="310" spans="2:212" ht="13" x14ac:dyDescent="0.3">
      <c r="C310" s="31" t="s">
        <v>803</v>
      </c>
      <c r="E310" s="8">
        <f t="shared" ref="E310:V310" si="770">SUM(E88:E103)</f>
        <v>56434258</v>
      </c>
      <c r="F310" s="8">
        <f t="shared" si="770"/>
        <v>0</v>
      </c>
      <c r="G310" s="8">
        <f t="shared" si="770"/>
        <v>0</v>
      </c>
      <c r="H310" s="8">
        <f t="shared" si="770"/>
        <v>0</v>
      </c>
      <c r="I310" s="8">
        <f t="shared" si="770"/>
        <v>19080089</v>
      </c>
      <c r="J310" s="8">
        <f t="shared" si="770"/>
        <v>0</v>
      </c>
      <c r="K310" s="8">
        <f t="shared" si="770"/>
        <v>0</v>
      </c>
      <c r="L310" s="8">
        <f t="shared" si="770"/>
        <v>26780892</v>
      </c>
      <c r="M310" s="8">
        <f t="shared" si="770"/>
        <v>0</v>
      </c>
      <c r="N310" s="8">
        <f t="shared" si="770"/>
        <v>0</v>
      </c>
      <c r="O310" s="8">
        <f t="shared" si="770"/>
        <v>36593254</v>
      </c>
      <c r="P310" s="8">
        <f t="shared" si="770"/>
        <v>28277723</v>
      </c>
      <c r="Q310" s="8">
        <f t="shared" si="770"/>
        <v>72129160</v>
      </c>
      <c r="R310" s="8">
        <f t="shared" si="770"/>
        <v>19517109</v>
      </c>
      <c r="S310" s="8">
        <f t="shared" si="770"/>
        <v>16273896</v>
      </c>
      <c r="T310" s="8">
        <f t="shared" si="770"/>
        <v>0</v>
      </c>
      <c r="U310" s="8">
        <f t="shared" si="770"/>
        <v>0</v>
      </c>
      <c r="V310" s="8">
        <f t="shared" si="770"/>
        <v>39556038</v>
      </c>
      <c r="Z310" s="8">
        <f>SUM(Z88:Z103)</f>
        <v>31591518</v>
      </c>
      <c r="AA310" s="8">
        <f>SUM(AA88:AA103)</f>
        <v>0</v>
      </c>
      <c r="AB310" s="8">
        <f>SUM(AB88:AB103)</f>
        <v>0</v>
      </c>
      <c r="AC310" s="8">
        <f>SUM(AC88:AC103)</f>
        <v>0</v>
      </c>
      <c r="AJ310" s="8">
        <f>SUM(AJ88:AJ103)</f>
        <v>0</v>
      </c>
      <c r="AN310" s="8">
        <f>SUM(AN88:AN103)</f>
        <v>0</v>
      </c>
      <c r="AO310" s="8">
        <f>SUM(AO88:AO103)</f>
        <v>0</v>
      </c>
      <c r="AP310" s="8">
        <f>SUM(AP88:AP103)</f>
        <v>0</v>
      </c>
      <c r="AQ310" s="8">
        <f>SUM(AQ88:AQ103)</f>
        <v>0</v>
      </c>
      <c r="AR310" s="8">
        <f>SUM(AR88:AR103)</f>
        <v>72216954</v>
      </c>
      <c r="AV310" s="8">
        <f t="shared" ref="AV310:BD310" si="771">SUM(AV88:AV103)</f>
        <v>0</v>
      </c>
      <c r="AW310" s="8">
        <f t="shared" si="771"/>
        <v>7844252</v>
      </c>
      <c r="AX310" s="8">
        <f t="shared" si="771"/>
        <v>54931275</v>
      </c>
      <c r="AY310" s="8">
        <f t="shared" si="771"/>
        <v>23106877</v>
      </c>
      <c r="AZ310" s="8">
        <f t="shared" si="771"/>
        <v>26492016</v>
      </c>
      <c r="BA310" s="8">
        <f t="shared" si="771"/>
        <v>0</v>
      </c>
      <c r="BB310" s="8">
        <f t="shared" si="771"/>
        <v>13377916</v>
      </c>
      <c r="BC310" s="8">
        <f t="shared" si="771"/>
        <v>0</v>
      </c>
      <c r="BD310" s="8">
        <f t="shared" si="771"/>
        <v>0</v>
      </c>
      <c r="BH310" s="8">
        <f>SUM(BH88:BH103)</f>
        <v>0</v>
      </c>
      <c r="BI310" s="8">
        <f>SUM(BI88:BI103)</f>
        <v>36133220</v>
      </c>
      <c r="BJ310" s="8">
        <f>SUM(BJ88:BJ103)</f>
        <v>0</v>
      </c>
      <c r="BK310" s="8">
        <f>SUM(BK88:BK103)</f>
        <v>0</v>
      </c>
      <c r="BQ310" s="8">
        <f t="shared" ref="BQ310:BX310" si="772">SUM(BQ88:BQ103)</f>
        <v>0</v>
      </c>
      <c r="BR310" s="8">
        <f t="shared" si="772"/>
        <v>0</v>
      </c>
      <c r="BS310" s="8">
        <f t="shared" si="772"/>
        <v>0</v>
      </c>
      <c r="BT310" s="8">
        <f t="shared" si="772"/>
        <v>0</v>
      </c>
      <c r="BU310" s="8">
        <f t="shared" si="772"/>
        <v>0</v>
      </c>
      <c r="BV310" s="8">
        <f t="shared" si="772"/>
        <v>25292013</v>
      </c>
      <c r="BW310" s="8">
        <f t="shared" si="772"/>
        <v>0</v>
      </c>
      <c r="BX310" s="8">
        <f t="shared" si="772"/>
        <v>294286</v>
      </c>
      <c r="BY310" s="8"/>
      <c r="BZ310" s="8">
        <f>SUM(BZ88:BZ103)</f>
        <v>0</v>
      </c>
      <c r="CA310" s="8">
        <f>SUM(CA88:CA103)</f>
        <v>114054624</v>
      </c>
      <c r="CE310" s="8">
        <f>SUM(CE88:CE103)</f>
        <v>7160640</v>
      </c>
      <c r="CF310" s="8">
        <f>SUM(CF88:CF103)</f>
        <v>-3580320</v>
      </c>
      <c r="CG310" s="8">
        <f>SUM(CG88:CG103)</f>
        <v>0</v>
      </c>
      <c r="CH310" s="8">
        <f>SUM(CH88:CH103)</f>
        <v>29851795</v>
      </c>
      <c r="CL310" s="8">
        <f>SUM(CL88:CL103)</f>
        <v>3580320</v>
      </c>
      <c r="CM310" s="8">
        <f>SUM(CM88:CM103)</f>
        <v>24063831</v>
      </c>
      <c r="CS310" s="8">
        <f>SUM(CS88:CS103)</f>
        <v>18581717</v>
      </c>
      <c r="CT310" s="8">
        <f>SUM(CT88:CT103)</f>
        <v>0</v>
      </c>
      <c r="CU310" s="8">
        <f>SUM(CU88:CU103)</f>
        <v>98726662</v>
      </c>
      <c r="CV310" s="8">
        <f>SUM(CV88:CV103)</f>
        <v>20081799</v>
      </c>
      <c r="CW310" s="8">
        <f>SUM(CW88:CW103)</f>
        <v>-54767196</v>
      </c>
      <c r="CY310" s="8">
        <f>SUM(CY88:CY103)</f>
        <v>54767196</v>
      </c>
      <c r="CZ310" s="8">
        <f>SUM(CZ88:CZ103)</f>
        <v>0</v>
      </c>
      <c r="DD310" s="8">
        <f>SUM(DD88:DD103)</f>
        <v>0</v>
      </c>
      <c r="DE310" s="8">
        <f>SUM(DE88:DE103)</f>
        <v>56390649</v>
      </c>
      <c r="DJ310" s="8">
        <f>SUM(DJ88:DJ103)</f>
        <v>33340138</v>
      </c>
      <c r="DK310" s="8">
        <f>SUM(DK88:DK103)</f>
        <v>0</v>
      </c>
      <c r="DM310" s="8">
        <f t="shared" ref="DM310:DU310" si="773">SUM(DM88:DM103)</f>
        <v>0</v>
      </c>
      <c r="DN310" s="8">
        <f t="shared" si="773"/>
        <v>0</v>
      </c>
      <c r="DO310" s="8">
        <f t="shared" si="773"/>
        <v>0</v>
      </c>
      <c r="DP310" s="8">
        <f t="shared" si="773"/>
        <v>0</v>
      </c>
      <c r="DQ310" s="8">
        <f t="shared" si="773"/>
        <v>0</v>
      </c>
      <c r="DR310" s="8">
        <f t="shared" si="773"/>
        <v>0</v>
      </c>
      <c r="DS310" s="8">
        <f t="shared" si="773"/>
        <v>0</v>
      </c>
      <c r="DT310" s="8">
        <f t="shared" si="773"/>
        <v>0</v>
      </c>
      <c r="DU310" s="8">
        <f t="shared" si="773"/>
        <v>0</v>
      </c>
      <c r="DV310" s="8"/>
      <c r="DX310" s="8"/>
      <c r="DZ310" s="8"/>
      <c r="EB310" s="8"/>
      <c r="ED310" s="8"/>
      <c r="EE310" s="8">
        <f t="shared" ref="EE310:EV310" si="774">SUM(EE88:EE103)</f>
        <v>0</v>
      </c>
      <c r="EF310" s="8">
        <f t="shared" si="774"/>
        <v>0</v>
      </c>
      <c r="EG310" s="8">
        <f t="shared" si="774"/>
        <v>0</v>
      </c>
      <c r="EH310" s="8">
        <f t="shared" si="774"/>
        <v>0</v>
      </c>
      <c r="EI310" s="8">
        <f t="shared" si="774"/>
        <v>0</v>
      </c>
      <c r="EJ310" s="8">
        <f t="shared" si="774"/>
        <v>0</v>
      </c>
      <c r="EK310" s="8">
        <f t="shared" si="774"/>
        <v>0</v>
      </c>
      <c r="EL310" s="8">
        <f t="shared" si="774"/>
        <v>0</v>
      </c>
      <c r="EM310" s="8">
        <f t="shared" si="774"/>
        <v>0</v>
      </c>
      <c r="EN310" s="8">
        <f t="shared" si="774"/>
        <v>0</v>
      </c>
      <c r="EO310" s="8">
        <f t="shared" si="774"/>
        <v>0</v>
      </c>
      <c r="EP310" s="8">
        <f t="shared" si="774"/>
        <v>0</v>
      </c>
      <c r="EQ310" s="8">
        <f t="shared" si="774"/>
        <v>0</v>
      </c>
      <c r="ER310" s="8">
        <f t="shared" si="774"/>
        <v>0</v>
      </c>
      <c r="ES310" s="8">
        <f t="shared" si="774"/>
        <v>0</v>
      </c>
      <c r="ET310" s="8">
        <f t="shared" si="774"/>
        <v>0</v>
      </c>
      <c r="EU310" s="8">
        <f t="shared" si="774"/>
        <v>0</v>
      </c>
      <c r="EV310" s="8">
        <f t="shared" si="774"/>
        <v>0</v>
      </c>
      <c r="FC310" s="8">
        <f>SUM(FC88:FC103)</f>
        <v>0</v>
      </c>
      <c r="FD310" s="8">
        <f>SUM(FD88:FD103)</f>
        <v>29933510</v>
      </c>
      <c r="FE310" s="8">
        <f>SUM(FE88:FE103)</f>
        <v>0</v>
      </c>
      <c r="FH310" s="8">
        <f>SUM(FH88:FH103)</f>
        <v>0</v>
      </c>
      <c r="FL310" s="8">
        <f>SUM(FL88:FL103)</f>
        <v>0</v>
      </c>
      <c r="FP310" s="8">
        <f>SUM(FP88:FP103)</f>
        <v>53732646</v>
      </c>
      <c r="FQ310" s="8">
        <f>SUM(FQ88:FQ103)</f>
        <v>40200233</v>
      </c>
      <c r="FR310" s="8">
        <f>SUM(FR88:FR103)</f>
        <v>0</v>
      </c>
      <c r="FW310" s="8">
        <f>SUM(FW88:FW103)</f>
        <v>261875622</v>
      </c>
      <c r="FX310" s="8">
        <f>SUM(FX88:FX103)</f>
        <v>20187901</v>
      </c>
      <c r="FY310" s="8">
        <f>SUM(FY88:FY103)</f>
        <v>14123324</v>
      </c>
      <c r="FZ310" s="8">
        <f>SUM(FZ88:FZ103)</f>
        <v>0</v>
      </c>
      <c r="GD310" s="8">
        <f>SUM(GD88:GD103)</f>
        <v>35408448</v>
      </c>
      <c r="GH310" s="8">
        <f t="shared" ref="GH310:GQ310" si="775">SUM(GH88:GH103)</f>
        <v>0</v>
      </c>
      <c r="GI310" s="8">
        <f t="shared" si="775"/>
        <v>0</v>
      </c>
      <c r="GJ310" s="8">
        <f t="shared" si="775"/>
        <v>0</v>
      </c>
      <c r="GK310" s="8">
        <f t="shared" si="775"/>
        <v>0</v>
      </c>
      <c r="GL310" s="8">
        <f t="shared" si="775"/>
        <v>0</v>
      </c>
      <c r="GM310" s="8">
        <f t="shared" si="775"/>
        <v>0</v>
      </c>
      <c r="GN310" s="8">
        <f t="shared" si="775"/>
        <v>0</v>
      </c>
      <c r="GO310" s="8">
        <f t="shared" si="775"/>
        <v>0</v>
      </c>
      <c r="GP310" s="8">
        <f t="shared" si="775"/>
        <v>0</v>
      </c>
      <c r="GQ310" s="8">
        <f t="shared" si="775"/>
        <v>0</v>
      </c>
      <c r="GY310" s="8">
        <f>SUM(GY88:GY103)</f>
        <v>23093475</v>
      </c>
      <c r="GZ310" s="8">
        <f>SUM(GZ88:GZ103)</f>
        <v>0</v>
      </c>
      <c r="HA310" s="8">
        <f>SUM(HA88:HA103)</f>
        <v>43612786</v>
      </c>
      <c r="HD310" s="7">
        <f>SUM(D310:HB310)</f>
        <v>1530342546</v>
      </c>
    </row>
    <row r="311" spans="2:212" ht="13" x14ac:dyDescent="0.3">
      <c r="C311" s="31" t="s">
        <v>697</v>
      </c>
      <c r="E311" s="8">
        <f>-SUM(E310:V310)+E309</f>
        <v>-314642419</v>
      </c>
      <c r="Z311" s="8">
        <f>+Z309-Z310-AA310-AB310-AC310</f>
        <v>-31591518</v>
      </c>
      <c r="AE311" s="234"/>
      <c r="AJ311" s="8">
        <f>+AJ309-AJ310</f>
        <v>0</v>
      </c>
      <c r="AO311" s="6">
        <f>+AO309-AO310-AN310-AP310-AQ310</f>
        <v>0</v>
      </c>
      <c r="AR311" s="6">
        <f>+AR309-AR310</f>
        <v>-72216954</v>
      </c>
      <c r="AW311" s="6">
        <f>-SUM(AV310:BD310)+AW309</f>
        <v>-125752336</v>
      </c>
      <c r="BJ311" s="8">
        <f>+BJ309-BJ310-BK310-BI310-BH310</f>
        <v>-36133220</v>
      </c>
      <c r="BV311" s="6">
        <f>-SUM(BQ310:CA310)+BV309</f>
        <v>-139640923</v>
      </c>
      <c r="CH311" s="6">
        <f>+CH309-CH310-CG310-CE310-CF310</f>
        <v>-33432115</v>
      </c>
      <c r="CM311" s="6">
        <f>+CM309-CM310-CL310</f>
        <v>-27644151</v>
      </c>
      <c r="CS311" s="8">
        <f>-SUM(CS310:CY310)+CS309</f>
        <v>-137390178</v>
      </c>
      <c r="DE311" s="8">
        <f>+DE309-SUM(DN310:EV310)-DE310</f>
        <v>-56390649</v>
      </c>
      <c r="DK311" s="8">
        <f>+DK309-DK310-DJ310</f>
        <v>-33340138</v>
      </c>
      <c r="FD311" s="6">
        <f>+FD309-FC310-FD310-FE310</f>
        <v>-29933510</v>
      </c>
      <c r="FL311" s="8">
        <f>+FL309-FL310</f>
        <v>0</v>
      </c>
      <c r="FP311" s="8">
        <f>+FP309-FP310</f>
        <v>-53732646</v>
      </c>
      <c r="FQ311" s="8">
        <f t="shared" ref="FQ311:FR311" si="776">+FQ309-FQ310</f>
        <v>-40200233</v>
      </c>
      <c r="FR311" s="8">
        <f t="shared" si="776"/>
        <v>0</v>
      </c>
      <c r="FW311" s="8">
        <f>FW309-SUM(FW310:FZ310)</f>
        <v>-296186847</v>
      </c>
      <c r="GD311" s="8">
        <f>+GD309-GD310</f>
        <v>-35408448</v>
      </c>
      <c r="GH311" s="6">
        <f>GH309-SUM(GH310:GQ310)</f>
        <v>0</v>
      </c>
      <c r="GY311" s="6">
        <f>+GY309-GY310-HA310</f>
        <v>-66706261</v>
      </c>
      <c r="GZ311" s="6">
        <f>+GZ309-GZ310-HB310</f>
        <v>0</v>
      </c>
      <c r="HD311" s="7">
        <f>SUM(D311:HB311)</f>
        <v>-1530342546</v>
      </c>
    </row>
    <row r="312" spans="2:212" ht="13" x14ac:dyDescent="0.3">
      <c r="C312" s="190" t="s">
        <v>804</v>
      </c>
      <c r="AE312" s="234"/>
    </row>
    <row r="313" spans="2:212" ht="13" x14ac:dyDescent="0.3">
      <c r="AE313" s="234"/>
    </row>
    <row r="314" spans="2:212" ht="13" x14ac:dyDescent="0.3">
      <c r="B314" s="4" t="s">
        <v>1015</v>
      </c>
      <c r="C314" s="222" t="s">
        <v>1016</v>
      </c>
      <c r="E314" s="8">
        <f>34572684+9000000+6107772</f>
        <v>49680456</v>
      </c>
      <c r="I314" s="6">
        <v>12060000</v>
      </c>
      <c r="K314" s="6">
        <v>12108000</v>
      </c>
      <c r="N314" s="6">
        <v>7200000</v>
      </c>
      <c r="O314" s="6">
        <v>31200000</v>
      </c>
      <c r="P314" s="8">
        <v>15092832</v>
      </c>
      <c r="Q314" s="6">
        <v>63192000</v>
      </c>
      <c r="R314" s="8">
        <v>14064000</v>
      </c>
      <c r="S314" s="6">
        <v>12720000</v>
      </c>
      <c r="V314" s="6">
        <v>5280000</v>
      </c>
      <c r="AE314" s="234"/>
      <c r="HD314" s="7">
        <f>SUM(D314:HB314)</f>
        <v>222597288</v>
      </c>
    </row>
    <row r="315" spans="2:212" ht="13" x14ac:dyDescent="0.3">
      <c r="B315" s="4" t="s">
        <v>1465</v>
      </c>
      <c r="C315" s="222" t="s">
        <v>1017</v>
      </c>
      <c r="E315" s="8">
        <f>+E314/2-E310</f>
        <v>-31594030</v>
      </c>
      <c r="F315" s="8">
        <f t="shared" ref="F315:Y315" si="777">+F314/2-F310</f>
        <v>0</v>
      </c>
      <c r="G315" s="8">
        <f t="shared" si="777"/>
        <v>0</v>
      </c>
      <c r="H315" s="8">
        <f t="shared" si="777"/>
        <v>0</v>
      </c>
      <c r="I315" s="8">
        <f t="shared" si="777"/>
        <v>-13050089</v>
      </c>
      <c r="J315" s="8">
        <f t="shared" si="777"/>
        <v>0</v>
      </c>
      <c r="K315" s="8">
        <f t="shared" si="777"/>
        <v>6054000</v>
      </c>
      <c r="L315" s="8">
        <f t="shared" si="777"/>
        <v>-26780892</v>
      </c>
      <c r="M315" s="8">
        <f t="shared" si="777"/>
        <v>0</v>
      </c>
      <c r="N315" s="8">
        <f t="shared" si="777"/>
        <v>3600000</v>
      </c>
      <c r="O315" s="8">
        <f t="shared" si="777"/>
        <v>-20993254</v>
      </c>
      <c r="P315" s="8">
        <f t="shared" si="777"/>
        <v>-20731307</v>
      </c>
      <c r="Q315" s="8">
        <f t="shared" si="777"/>
        <v>-40533160</v>
      </c>
      <c r="R315" s="8">
        <f t="shared" si="777"/>
        <v>-12485109</v>
      </c>
      <c r="S315" s="8">
        <f t="shared" si="777"/>
        <v>-9913896</v>
      </c>
      <c r="T315" s="8">
        <f t="shared" si="777"/>
        <v>0</v>
      </c>
      <c r="U315" s="8">
        <f t="shared" si="777"/>
        <v>0</v>
      </c>
      <c r="V315" s="8">
        <f t="shared" si="777"/>
        <v>-36916038</v>
      </c>
      <c r="W315" s="8">
        <f t="shared" si="777"/>
        <v>0</v>
      </c>
      <c r="X315" s="8">
        <f t="shared" si="777"/>
        <v>0</v>
      </c>
      <c r="Y315" s="8">
        <f t="shared" si="777"/>
        <v>0</v>
      </c>
      <c r="AA315" s="8"/>
      <c r="AC315" s="8"/>
      <c r="AD315" s="8"/>
      <c r="AE315" s="8"/>
      <c r="AF315" s="8"/>
      <c r="AG315" s="8"/>
      <c r="AH315" s="8"/>
      <c r="AI315" s="8"/>
      <c r="AN315" s="8"/>
      <c r="AO315" s="8"/>
      <c r="AQ315" s="8"/>
      <c r="AR315" s="8"/>
      <c r="AS315" s="8"/>
      <c r="AT315" s="8"/>
      <c r="AU315" s="8"/>
      <c r="AW315" s="8"/>
      <c r="AY315" s="8"/>
      <c r="BA315" s="8"/>
      <c r="BB315" s="8"/>
      <c r="BC315" s="8"/>
      <c r="BS315" s="8"/>
      <c r="BV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T315" s="8"/>
      <c r="CV315" s="8"/>
      <c r="CW315" s="8"/>
      <c r="CX315" s="8"/>
      <c r="DA315" s="8"/>
      <c r="DB315" s="8"/>
      <c r="DC315" s="8"/>
      <c r="DD315" s="8"/>
      <c r="DJ315" s="8"/>
      <c r="DP315" s="8"/>
      <c r="DR315" s="8"/>
      <c r="DS315" s="8"/>
      <c r="DT315" s="8"/>
      <c r="DU315" s="8"/>
      <c r="DV315" s="8"/>
      <c r="DX315" s="8"/>
      <c r="DZ315" s="8"/>
      <c r="EB315" s="8"/>
      <c r="ED315" s="8"/>
      <c r="EE315" s="8"/>
      <c r="EG315" s="8"/>
      <c r="EI315" s="8"/>
      <c r="EK315" s="8"/>
      <c r="EM315" s="8"/>
      <c r="EO315" s="8"/>
      <c r="EQ315" s="8"/>
      <c r="ES315" s="8"/>
      <c r="EU315" s="8"/>
      <c r="FC315" s="8"/>
      <c r="FD315" s="8"/>
      <c r="FE315" s="8"/>
      <c r="FF315" s="8"/>
      <c r="FG315" s="8"/>
      <c r="FP315" s="8"/>
      <c r="FQ315" s="8"/>
      <c r="FR315" s="8"/>
      <c r="FS315" s="8"/>
      <c r="FT315" s="8"/>
      <c r="FU315" s="8"/>
      <c r="FV315" s="8"/>
      <c r="FX315" s="8"/>
      <c r="FZ315" s="8"/>
      <c r="GA315" s="8"/>
      <c r="GB315" s="8"/>
      <c r="GC315" s="8"/>
      <c r="GH315" s="8"/>
      <c r="GJ315" s="8"/>
      <c r="GL315" s="8"/>
      <c r="GN315" s="8"/>
      <c r="GY315" s="8"/>
      <c r="GZ315" s="8"/>
      <c r="HD315" s="7">
        <f>SUM(D315:HB315)</f>
        <v>-203343775</v>
      </c>
    </row>
    <row r="316" spans="2:212" ht="13" x14ac:dyDescent="0.3">
      <c r="C316" s="222"/>
      <c r="AE316" s="234"/>
    </row>
    <row r="317" spans="2:212" ht="13" x14ac:dyDescent="0.3">
      <c r="C317" s="223" t="s">
        <v>1829</v>
      </c>
      <c r="AE317" s="234"/>
      <c r="FP317" s="6">
        <f>Összesítés!D81</f>
        <v>0</v>
      </c>
      <c r="FZ317" s="6">
        <f>Összesítés!D82</f>
        <v>22478987</v>
      </c>
      <c r="GE317" s="8">
        <f>Összesítés!D79</f>
        <v>26712101</v>
      </c>
    </row>
    <row r="318" spans="2:212" ht="13" x14ac:dyDescent="0.3">
      <c r="C318" s="223" t="s">
        <v>1830</v>
      </c>
      <c r="AE318" s="234"/>
    </row>
    <row r="319" spans="2:212" ht="13" x14ac:dyDescent="0.3">
      <c r="C319" s="223"/>
      <c r="AE319" s="234"/>
      <c r="FZ319" s="6">
        <f>Összesítés!D89</f>
        <v>26760406</v>
      </c>
    </row>
    <row r="320" spans="2:212" ht="13" x14ac:dyDescent="0.3">
      <c r="C320" s="223"/>
      <c r="AE320" s="234"/>
    </row>
    <row r="321" spans="3:210" ht="13" x14ac:dyDescent="0.3">
      <c r="C321" s="207"/>
      <c r="AE321" s="234"/>
    </row>
    <row r="322" spans="3:210" ht="13" x14ac:dyDescent="0.3">
      <c r="AE322" s="234"/>
    </row>
    <row r="323" spans="3:210" ht="13" x14ac:dyDescent="0.3">
      <c r="C323" s="224" t="s">
        <v>805</v>
      </c>
      <c r="AE323" s="234"/>
      <c r="BV323" s="6" t="s">
        <v>1844</v>
      </c>
      <c r="CA323" s="6" t="s">
        <v>1844</v>
      </c>
    </row>
    <row r="324" spans="3:210" ht="13" x14ac:dyDescent="0.3">
      <c r="C324" s="225" t="s">
        <v>806</v>
      </c>
      <c r="AE324" s="234"/>
    </row>
    <row r="325" spans="3:210" ht="13" x14ac:dyDescent="0.3">
      <c r="C325" s="226" t="s">
        <v>807</v>
      </c>
      <c r="AE325" s="235">
        <f>(SUM(AE88:AE98)+AE100+AE101+AE102+AE103+AE107+AE109+AE277)/1000</f>
        <v>31942.749</v>
      </c>
      <c r="AH325" s="235">
        <f>(SUM(AH88:AH98)+AH100+AH101+AH102+AH103+AH107+AH109+AH277)/1000</f>
        <v>0</v>
      </c>
      <c r="AI325" s="102"/>
      <c r="AK325" s="235">
        <f>(SUM(AK88:AK98)+AK100+AK101+AK102+AK103+AK107+AK109+AK277)/1000</f>
        <v>80589.897820767394</v>
      </c>
      <c r="AN325" s="235">
        <f>(SUM(AN88:AN98)+AN100+AN101+AN102+AN103+AN107+AN109+AN277)/1000</f>
        <v>0</v>
      </c>
      <c r="AS325" s="235">
        <f>(SUM(AS88:AS98)+AS100+AS101+AS102+AS103+AS107+AS109+AS277)/1000</f>
        <v>77293.580751811111</v>
      </c>
      <c r="BE325" s="235">
        <f>(SUM(BE88:BE98)+BE100+BE101+BE102+BE103+BE107+BE109+BE277)/1000</f>
        <v>135573.87959404345</v>
      </c>
      <c r="BL325" s="235">
        <f>(SUM(BL88:BL98)+BL100+BL101+BL102+BL103+BL107+BL109+BL277)/1000</f>
        <v>35175.542589750468</v>
      </c>
      <c r="CB325" s="235">
        <f>(SUM(CB88:CB98)+CB100+CB101+CB102+CB103+CB107+CB109+CB277)/1000</f>
        <v>142257.2359562651</v>
      </c>
      <c r="CI325" s="235">
        <f>(SUM(CI88:CI98)+CI100+CI101+CI102+CI103+CI107+CI109+CI277)/1000</f>
        <v>35340.855121545479</v>
      </c>
      <c r="CN325" s="235">
        <f>(SUM(CN88:CN98)+CN100+CN101+CN102+CN103+CN107+CN109+CN277)/1000</f>
        <v>28749.445165817015</v>
      </c>
      <c r="CX325" s="235">
        <f>(SUM(CX88:CX98)+CX100+CX101+CX102+CX103+CX107+CX109+CX277)/1000</f>
        <v>85021.726999999999</v>
      </c>
      <c r="CY325" s="235">
        <f>(SUM(CY88:CY98)+CY100+CY101+CY102+CY103+CY107+CY109+CY277)/1000</f>
        <v>54767.196000000004</v>
      </c>
      <c r="CZ325" s="235">
        <f>(SUM(CZ88:CZ98)+CZ100+CZ101+CZ102+CZ103+CZ107+CZ109+CZ277)/1000</f>
        <v>0</v>
      </c>
      <c r="DA325">
        <f>+(CX325+CY325+CZ325)*1000</f>
        <v>139788923</v>
      </c>
      <c r="DL325" s="235">
        <f>(SUM(DL88:DL98)+DL100+DL101+DL102+DL103+DL107+DL109+DL277)/1000</f>
        <v>23598.580999999998</v>
      </c>
      <c r="DM325" s="235">
        <f>(SUM(DM88:DM98)+DM100+DM101+DM102+DM103+DM107+DM109+DM277)/1000</f>
        <v>0</v>
      </c>
      <c r="DO325" s="235">
        <f>(SUM(DO88:DO98)+DO100+DO101+DO102+DO103+DO107+DO109+DO277)/1000</f>
        <v>0</v>
      </c>
      <c r="DP325" s="235">
        <f>(SUM(DP88:DP98)+DP100+DP101+DP102+DP103+DP107+DP109+DP277)/1000</f>
        <v>0</v>
      </c>
      <c r="DQ325" s="235">
        <f>(SUM(DQ88:DQ98)+DQ100+DQ101+DQ102+DQ103+DQ107+DQ109+DQ277)/1000</f>
        <v>0</v>
      </c>
      <c r="DS325" s="235">
        <f>(SUM(DS88:DS98)+DS100+DS101+DS102+DS103+DS107+DS109+DS277)/1000</f>
        <v>0</v>
      </c>
      <c r="DT325" s="235">
        <f>(SUM(DT88:DT98)+DT100+DT101+DT102+DT103+DT107+DT109+DT277)/1000</f>
        <v>0</v>
      </c>
      <c r="EY325" s="679">
        <f>(SUM(EY88:EY98)+EY100+EY101+EY102+EY103+EY107+EY109+EY277)/1000</f>
        <v>58358.887999999999</v>
      </c>
      <c r="FH325" s="235">
        <f>(SUM(FH88:FH98)+FH100+FH101+FH102+FH103+FH107+FH109+FH277)/1000</f>
        <v>0</v>
      </c>
      <c r="FM325" s="235">
        <f>(SUM(FM88:FM98)+FM100+FM101+FM102+FM103+FM107+FM109+FM277)/1000</f>
        <v>120938.53811560225</v>
      </c>
      <c r="FS325" s="235">
        <f>(SUM(FS88:FS98)+FS100+FS101+FS102+FS103+FS107+FS109+FS277)/1000</f>
        <v>94851.690221503624</v>
      </c>
      <c r="GA325" s="235">
        <f>(SUM(GA88:GA98)+GA100+GA101+GA102+GA103+GA107+GA109+GA277)/1000</f>
        <v>291553.09801535972</v>
      </c>
      <c r="GF325" s="235">
        <f>(SUM(GF88:GF98)+GF100+GF101+GF102+GF103+GF107+GF109+GF277)/1000</f>
        <v>37182.986647534352</v>
      </c>
      <c r="GR325" s="235">
        <f>(SUM(GR88:GR98)+GR100+GR101+GR102+GR103+GR107+GR109+GR277)/1000</f>
        <v>0</v>
      </c>
      <c r="HB325" s="235">
        <f>(SUM(HB88:HB98)+HB100+HB101+HB102+HB103+HB107+HB109+HB277)/1000</f>
        <v>64441.542999999998</v>
      </c>
    </row>
    <row r="326" spans="3:210" ht="26" x14ac:dyDescent="0.3">
      <c r="C326" s="226" t="s">
        <v>808</v>
      </c>
      <c r="AE326" s="235">
        <f>(AE104+AE108+AE111+AE112+AE115+AE116+AE117+AE118+AE120+AE123+AE129+AE278)/1000</f>
        <v>664.1580735</v>
      </c>
      <c r="AH326" s="235">
        <f>(AH104+AH108+AH111+AH112+AH115+AH116+AH117+AH118+AH120+AH123+AH129+AH278)/1000</f>
        <v>0</v>
      </c>
      <c r="AI326" s="102"/>
      <c r="AK326" s="235">
        <f>(AK104+AK108+AK111+AK112+AK115+AK116+AK117+AK118+AK120+AK123+AK129+AK278)/1000</f>
        <v>1141.5001286085592</v>
      </c>
      <c r="AN326" s="235">
        <f>(AN104+AN108+AN111+AN112+AN115+AN116+AN117+AN118+AN120+AN123+AN129+AN278)/1000</f>
        <v>-6.4286147000000007</v>
      </c>
      <c r="AS326" s="235">
        <f>(AS104+AS108+AS111+AS112+AS115+AS116+AS117+AS118+AS120+AS123+AS129+AS278)/1000</f>
        <v>847.73181985481619</v>
      </c>
      <c r="BE326" s="235">
        <f>(BE104+BE108+BE111+BE112+BE115+BE116+BE117+BE118+BE120+BE123+BE129+BE278)/1000</f>
        <v>1315.8951990797157</v>
      </c>
      <c r="BL326" s="235">
        <f>(BL104+BL108+BL111+BL112+BL115+BL116+BL117+BL118+BL120+BL123+BL129+BL278)/1000</f>
        <v>395.97750511644756</v>
      </c>
      <c r="CB326" s="235">
        <f>(CB104+CB108+CB111+CB112+CB115+CB116+CB117+CB118+CB120+CB123+CB129+CB278)/1000</f>
        <v>897.96441854295676</v>
      </c>
      <c r="CI326" s="235">
        <f>(CI104+CI108+CI111+CI112+CI115+CI116+CI117+CI118+CI120+CI123+CI129+CI278)/1000</f>
        <v>335.31838577877653</v>
      </c>
      <c r="CN326" s="235">
        <f>(CN104+CN108+CN111+CN112+CN115+CN116+CN117+CN118+CN120+CN123+CN129+CN278)/1000</f>
        <v>164.21479491872822</v>
      </c>
      <c r="CX326" s="235">
        <f>(CX104+CX108+CX111+CX112+CX115+CX116+CX117+CX118+CX120+CX123+CX129+CX278)/1000</f>
        <v>3086.2882600000003</v>
      </c>
      <c r="CY326" s="235">
        <f>(CY104+CY108+CY111+CY112+CY115+CY116+CY117+CY118+CY120+CY123+CY129+CY278)/1000</f>
        <v>95.883700000000005</v>
      </c>
      <c r="CZ326" s="235">
        <f>(CZ104+CZ108+CZ111+CZ112+CZ115+CZ116+CZ117+CZ118+CZ120+CZ123+CZ129+CZ278)/1000</f>
        <v>0</v>
      </c>
      <c r="DA326">
        <f t="shared" ref="DA326:DA334" si="778">+(CX326+CY326+CZ326)*1000</f>
        <v>3182171.96</v>
      </c>
      <c r="DL326" s="235">
        <f>(DL104+DL108+DL111+DL112+DL115+DL116+DL117+DL118+DL120+DL123+DL129+DL278)/1000</f>
        <v>382.76299999999998</v>
      </c>
      <c r="DM326" s="235">
        <f>(DM104+DM108+DM111+DM112+DM115+DM116+DM117+DM118+DM120+DM123+DM129+DM278)/1000</f>
        <v>0</v>
      </c>
      <c r="DO326" s="235">
        <f>(DO104+DO108+DO111+DO112+DO115+DO116+DO117+DO118+DO120+DO123+DO129+DO278)/1000</f>
        <v>0</v>
      </c>
      <c r="DP326" s="235">
        <f>(DP104+DP108+DP111+DP112+DP115+DP116+DP117+DP118+DP120+DP123+DP129+DP278)/1000</f>
        <v>0</v>
      </c>
      <c r="DQ326" s="235">
        <f>(DQ104+DQ108+DQ111+DQ112+DQ115+DQ116+DQ117+DQ118+DQ120+DQ123+DQ129+DQ278)/1000</f>
        <v>0</v>
      </c>
      <c r="DS326" s="235">
        <f>(DS104+DS108+DS111+DS112+DS115+DS116+DS117+DS118+DS120+DS123+DS129+DS278)/1000</f>
        <v>0</v>
      </c>
      <c r="DT326" s="235">
        <f>(DT104+DT108+DT111+DT112+DT115+DT116+DT117+DT118+DT120+DT123+DT129+DT278)/1000</f>
        <v>0</v>
      </c>
      <c r="EY326" s="679">
        <f>(EY104+EY108+EY111+EY112+EY115+EY116+EY117+EY118+EY120+EY123+EY129+EY278)/1000</f>
        <v>2276.5494200000003</v>
      </c>
      <c r="FH326" s="235">
        <f>(FH104+FH108+FH111+FH112+FH115+FH116+FH117+FH118+FH120+FH123+FH129+FH278)/1000</f>
        <v>0</v>
      </c>
      <c r="FM326" s="235">
        <f>(FM104+FM108+FM111+FM112+FM115+FM116+FM117+FM118+FM120+FM123+FM129+FM278)/1000</f>
        <v>372.779568297494</v>
      </c>
      <c r="FS326" s="235">
        <f>(FS104+FS108+FS111+FS112+FS115+FS116+FS117+FS118+FS120+FS123+FS129+FS278)/1000</f>
        <v>798.72739419240088</v>
      </c>
      <c r="GA326" s="235">
        <f>(GA104+GA108+GA111+GA112+GA115+GA116+GA117+GA118+GA120+GA123+GA129+GA278)/1000</f>
        <v>3707.7245881374297</v>
      </c>
      <c r="GF326" s="235">
        <f>(GF104+GF108+GF111+GF112+GF115+GF116+GF117+GF118+GF120+GF123+GF129+GF278)/1000</f>
        <v>420.9265393726759</v>
      </c>
      <c r="GR326" s="235">
        <f>(GR104+GR108+GR111+GR112+GR115+GR116+GR117+GR118+GR120+GR123+GR129+GR278)/1000</f>
        <v>0</v>
      </c>
      <c r="HB326" s="235">
        <f>(HB104+HB108+HB111+HB112+HB115+HB116+HB117+HB118+HB120+HB123+HB129+HB278)/1000</f>
        <v>562.49643999999989</v>
      </c>
    </row>
    <row r="327" spans="3:210" ht="26" x14ac:dyDescent="0.3">
      <c r="C327" s="226" t="s">
        <v>809</v>
      </c>
      <c r="AE327" s="235">
        <f>AE99/1000</f>
        <v>237.3</v>
      </c>
      <c r="AH327" s="235">
        <f>AH99/1000</f>
        <v>0</v>
      </c>
      <c r="AI327" s="102"/>
      <c r="AK327" s="235">
        <f>AK99/1000</f>
        <v>75.661792326267772</v>
      </c>
      <c r="AN327" s="235">
        <f>AN99/1000</f>
        <v>0</v>
      </c>
      <c r="AS327" s="235">
        <f>AS99/1000</f>
        <v>30.052481888918699</v>
      </c>
      <c r="BE327" s="235">
        <f>BE99/1000</f>
        <v>48.814059565334041</v>
      </c>
      <c r="BL327" s="235">
        <f>BL99/1000</f>
        <v>3252.7341024953043</v>
      </c>
      <c r="CB327" s="235">
        <f>CB99/1000</f>
        <v>11492.710437349073</v>
      </c>
      <c r="CI327" s="235">
        <f>CI99/1000</f>
        <v>12.988784545210622</v>
      </c>
      <c r="CN327" s="235">
        <f>CN99/1000</f>
        <v>437.90934182988997</v>
      </c>
      <c r="CX327" s="235">
        <f>CX99/1000</f>
        <v>100</v>
      </c>
      <c r="CY327" s="235">
        <f>CY99/1000</f>
        <v>0</v>
      </c>
      <c r="CZ327" s="235">
        <f>CZ99/1000</f>
        <v>0</v>
      </c>
      <c r="DA327">
        <f t="shared" si="778"/>
        <v>100000</v>
      </c>
      <c r="DL327" s="235">
        <f>DL99/1000</f>
        <v>5006.12</v>
      </c>
      <c r="DM327" s="235">
        <f>DM99/1000</f>
        <v>0</v>
      </c>
      <c r="DO327" s="235">
        <f>DO99/1000</f>
        <v>0</v>
      </c>
      <c r="DP327" s="235">
        <f>DP99/1000</f>
        <v>0</v>
      </c>
      <c r="DQ327" s="235">
        <f>DQ99/1000</f>
        <v>0</v>
      </c>
      <c r="DS327" s="235">
        <f>DS99/1000</f>
        <v>0</v>
      </c>
      <c r="DT327" s="235">
        <f>DT99/1000</f>
        <v>0</v>
      </c>
      <c r="EY327" s="235">
        <f>EY99/1000</f>
        <v>0</v>
      </c>
      <c r="FH327" s="235">
        <f>FH99/1000</f>
        <v>0</v>
      </c>
      <c r="FM327" s="235">
        <f>FM99/1000</f>
        <v>23520.6</v>
      </c>
      <c r="FS327" s="235">
        <f>FS99/1000</f>
        <v>5327.5</v>
      </c>
      <c r="GA327" s="235">
        <f>GA99/1000</f>
        <v>25006</v>
      </c>
      <c r="GF327" s="235">
        <f>GF99/1000</f>
        <v>720</v>
      </c>
      <c r="GR327" s="235">
        <f>GR99/1000</f>
        <v>0</v>
      </c>
      <c r="HB327" s="235">
        <f>HB99/1000</f>
        <v>3040.7</v>
      </c>
    </row>
    <row r="328" spans="3:210" ht="26" x14ac:dyDescent="0.3">
      <c r="C328" s="227" t="s">
        <v>810</v>
      </c>
      <c r="AE328" s="235">
        <f>(AE126+AE127+AE130+AE131+AE133+AE134+AE137+AE138+AE139+AE140+AE279)/1000</f>
        <v>4222.277</v>
      </c>
      <c r="AH328" s="235">
        <f>(AH126+AH127+AH130+AH131+AH133+AH134+AH137+AH138+AH139+AH140+AH279)/1000</f>
        <v>0</v>
      </c>
      <c r="AI328" s="102"/>
      <c r="AK328" s="235">
        <f>(AK126+AK127+AK130+AK131+AK133+AK134+AK137+AK138+AK139+AK140+AK279)/1000</f>
        <v>7775.8236650567933</v>
      </c>
      <c r="AN328" s="235">
        <f>(AN126+AN127+AN130+AN131+AN133+AN134+AN137+AN138+AN139+AN140+AN279)/1000</f>
        <v>0</v>
      </c>
      <c r="AS328" s="235">
        <f>(AS126+AS127+AS130+AS131+AS133+AS134+AS137+AS138+AS139+AS140+AS279)/1000</f>
        <v>9812.8585696270475</v>
      </c>
      <c r="BE328" s="235">
        <f>(BE126+BE127+BE130+BE131+BE133+BE134+BE137+BE138+BE139+BE140+BE279)/1000</f>
        <v>16189.534171004383</v>
      </c>
      <c r="BL328" s="235">
        <f>(BL126+BL127+BL130+BL131+BL133+BL134+BL137+BL138+BL139+BL140+BL279)/1000</f>
        <v>4873.377783740274</v>
      </c>
      <c r="CB328" s="235">
        <f>(CB126+CB127+CB130+CB131+CB133+CB134+CB137+CB138+CB139+CB140+CB279)/1000</f>
        <v>16575.965429746891</v>
      </c>
      <c r="CI328" s="235">
        <f>(CI126+CI127+CI130+CI131+CI133+CI134+CI137+CI138+CI139+CI140+CI279)/1000</f>
        <v>4485.1903394150786</v>
      </c>
      <c r="CN328" s="235">
        <f>(CN126+CN127+CN130+CN131+CN133+CN134+CN137+CN138+CN139+CN140+CN279)/1000</f>
        <v>3837.974041409534</v>
      </c>
      <c r="CX328" s="235">
        <f>(CX126+CX127+CX130+CX131+CX133+CX134+CX137+CX138+CX139+CX140+CX279)/1000</f>
        <v>10881.472</v>
      </c>
      <c r="CY328" s="235">
        <f>(CY126+CY127+CY130+CY131+CY133+CY134+CY137+CY138+CY139+CY140+CY279)/1000</f>
        <v>6548.4269999999997</v>
      </c>
      <c r="CZ328" s="235">
        <f>(CZ126+CZ127+CZ130+CZ131+CZ133+CZ134+CZ137+CZ138+CZ139+CZ140+CZ279)/1000</f>
        <v>0</v>
      </c>
      <c r="DA328">
        <f t="shared" si="778"/>
        <v>17429898.999999996</v>
      </c>
      <c r="DL328" s="235">
        <f>(DL126+DL127+DL130+DL131+DL133+DL134+DL137+DL138+DL139+DL140+DL279)/1000</f>
        <v>2403.3159999999998</v>
      </c>
      <c r="DM328" s="235">
        <f>(DM126+DM127+DM130+DM131+DM133+DM134+DM137+DM138+DM139+DM140+DM279)/1000</f>
        <v>0</v>
      </c>
      <c r="DO328" s="235">
        <f>(DO126+DO127+DO130+DO131+DO133+DO134+DO137+DO138+DO139+DO140+DO279)/1000</f>
        <v>0</v>
      </c>
      <c r="DP328" s="235">
        <f>(DP126+DP127+DP130+DP131+DP133+DP134+DP137+DP138+DP139+DP140+DP279)/1000</f>
        <v>0</v>
      </c>
      <c r="DQ328" s="235">
        <f>(DQ126+DQ127+DQ130+DQ131+DQ133+DQ134+DQ137+DQ138+DQ139+DQ140+DQ279)/1000</f>
        <v>0</v>
      </c>
      <c r="DS328" s="235">
        <f>(DS126+DS127+DS130+DS131+DS133+DS134+DS137+DS138+DS139+DS140+DS279)/1000</f>
        <v>0</v>
      </c>
      <c r="DT328" s="235">
        <f>(DT126+DT127+DT130+DT131+DT133+DT134+DT137+DT138+DT139+DT140+DT279)/1000</f>
        <v>0</v>
      </c>
      <c r="EY328" s="679">
        <f>(EY126+EY127+EY130+EY131+EY133+EY134+EY137+EY138+EY139+EY140+EY279)/1000</f>
        <v>7479.0870000000004</v>
      </c>
      <c r="FH328" s="235">
        <f>(FH126+FH127+FH130+FH131+FH133+FH134+FH137+FH138+FH139+FH140+FH279)/1000</f>
        <v>0</v>
      </c>
      <c r="FM328" s="235">
        <f>(FM126+FM127+FM130+FM131+FM133+FM134+FM137+FM138+FM139+FM140+FM141+FM279)/1000</f>
        <v>14601.22140848828</v>
      </c>
      <c r="FS328" s="235">
        <f>(FS126+FS127+FS130+FS131+FS133+FS134+FS137+FS138+FS139+FS140+FS279)/1000</f>
        <v>11536.326238641877</v>
      </c>
      <c r="GA328" s="235">
        <f>(GA126+GA127+GA130+GA131+GA133+GA134+GA137+GA138+GA139+GA140+GA141+GA279)/1000</f>
        <v>32330.853699029911</v>
      </c>
      <c r="GF328" s="235">
        <f>(GF126+GF127+GF130+GF131+GF133+GF134+GF137+GF138+GF139+GF140+GF279)/1000</f>
        <v>4292.8216538399356</v>
      </c>
      <c r="GR328" s="235">
        <f>(GR126+GR127+GR130+GR131+GR133+GR134+GR137+GR138+GR139+GR140+GR279)/1000</f>
        <v>0</v>
      </c>
      <c r="HB328" s="235">
        <f>(HB126+HB127+HB130+HB131+HB133+HB134+HB137+HB138+HB139+HB140+HB279)/1000</f>
        <v>7515.0510000000004</v>
      </c>
    </row>
    <row r="329" spans="3:210" ht="13" x14ac:dyDescent="0.3">
      <c r="C329" s="225" t="s">
        <v>811</v>
      </c>
      <c r="AE329" s="235"/>
      <c r="AH329" s="235"/>
      <c r="AI329" s="102"/>
      <c r="AK329" s="235"/>
      <c r="AN329" s="235"/>
      <c r="AS329" s="235"/>
      <c r="BE329" s="235"/>
      <c r="BL329" s="235"/>
      <c r="CB329" s="235"/>
      <c r="CI329" s="235"/>
      <c r="CN329" s="235"/>
      <c r="CX329" s="235"/>
      <c r="CY329" s="235"/>
      <c r="CZ329" s="235"/>
      <c r="DA329">
        <f t="shared" si="778"/>
        <v>0</v>
      </c>
      <c r="DL329" s="235"/>
      <c r="DM329" s="235"/>
      <c r="DO329" s="235"/>
      <c r="DP329" s="235"/>
      <c r="DQ329" s="235"/>
      <c r="DS329" s="235"/>
      <c r="DT329" s="235"/>
      <c r="EY329" s="235"/>
      <c r="FH329" s="235"/>
      <c r="FM329" s="235"/>
      <c r="FS329" s="235"/>
      <c r="GA329" s="235"/>
      <c r="GF329" s="235"/>
      <c r="GR329" s="235"/>
      <c r="HB329" s="235"/>
    </row>
    <row r="330" spans="3:210" ht="13" x14ac:dyDescent="0.3">
      <c r="C330" s="226" t="s">
        <v>1842</v>
      </c>
      <c r="AE330" s="235">
        <f>SUM(AE142:AE146)/1000+SUM(AE271:AE274)/1000+SUM(AE215:AE221)/1000</f>
        <v>1945.0094200000001</v>
      </c>
      <c r="AH330" s="235">
        <f>SUM(AH142:AH146)/1000+SUM(AH271:AH274)/1000+SUM(AH215:AH221)/1000</f>
        <v>0</v>
      </c>
      <c r="AI330" s="102"/>
      <c r="AK330" s="235">
        <f>SUM(AK142:AK146)/1000+SUM(AK271:AK274)/1000+SUM(AK215:AK221)/1000</f>
        <v>641.27649434755381</v>
      </c>
      <c r="AN330" s="235">
        <f>SUM(AN142:AN146)/1000+SUM(AN271:AN274)/1000+SUM(AN215:AN221)/1000</f>
        <v>0</v>
      </c>
      <c r="AS330" s="235">
        <f>SUM(AS142:AS146)/1000+SUM(AS271:AS274)/1000+SUM(AS215:AS221)/1000</f>
        <v>641.51863113496108</v>
      </c>
      <c r="BE330" s="235">
        <f>SUM(BE142:BE146)/1000+SUM(BE271:BE274)/1000+SUM(BE215:BE221)/1000</f>
        <v>1433.3003189339056</v>
      </c>
      <c r="BL330" s="235">
        <f>SUM(BL142:BL146)/1000+SUM(BL271:BL274)/1000+SUM(BL215:BL221)/1000</f>
        <v>104.37399624362754</v>
      </c>
      <c r="CB330" s="235">
        <f>SUM(CB142:CB146)/1000+SUM(CB271:CB274)/1000+SUM(CB215:CB221)/1000</f>
        <v>2505.7441925927901</v>
      </c>
      <c r="CI330" s="235">
        <f>SUM(CI142:CI146)/1000+SUM(CI271:CI274)/1000+SUM(CI215:CI221)/1000</f>
        <v>343.06147616850018</v>
      </c>
      <c r="CN330" s="235">
        <f>SUM(CN142:CN146)/1000+SUM(CN271:CN274)/1000+SUM(CN215:CN221)/1000</f>
        <v>213.02693057866028</v>
      </c>
      <c r="CX330" s="235">
        <f>SUM(CX142:CX146)/1000+SUM(CX271:CX274)/1000+SUM(CX215:CX221)/1000</f>
        <v>1989.3929800000003</v>
      </c>
      <c r="CY330" s="235">
        <f>SUM(CY142:CY146)/1000+SUM(CY271:CY274)/1000+SUM(CY215:CY221)/1000</f>
        <v>260.459</v>
      </c>
      <c r="CZ330" s="235">
        <f>SUM(CZ142:CZ146)/1000+SUM(CZ271:CZ274)/1000+SUM(CZ215:CZ221)/1000</f>
        <v>0</v>
      </c>
      <c r="DA330">
        <f t="shared" si="778"/>
        <v>2249851.9800000004</v>
      </c>
      <c r="DL330" s="235">
        <f>SUM(DL142:DL146)/1000+SUM(DL271:DL274)/1000+SUM(DL215:DL221)/1000</f>
        <v>258.548</v>
      </c>
      <c r="DM330" s="235">
        <f>SUM(DM142:DM146)/1000+SUM(DM271:DM274)/1000+SUM(DM215:DM221)/1000</f>
        <v>0</v>
      </c>
      <c r="DO330" s="235">
        <f>SUM(DO142:DO146)/1000+SUM(DO271:DO274)/1000+SUM(DO215:DO221)/1000</f>
        <v>0</v>
      </c>
      <c r="DP330" s="235">
        <f>SUM(DP142:DP146)/1000+SUM(DP271:DP274)/1000+SUM(DP215:DP221)/1000</f>
        <v>0</v>
      </c>
      <c r="DQ330" s="235">
        <f>SUM(DQ142:DQ146)/1000+SUM(DQ271:DQ274)/1000+SUM(DQ215:DQ221)/1000</f>
        <v>0</v>
      </c>
      <c r="DS330" s="235">
        <f>SUM(DS142:DS146)/1000+SUM(DS271:DS274)/1000+SUM(DS215:DS221)/1000</f>
        <v>0</v>
      </c>
      <c r="DT330" s="235">
        <f>SUM(DT142:DT146)/1000+SUM(DT271:DT274)/1000+SUM(DT215:DT221)/1000</f>
        <v>0</v>
      </c>
      <c r="EY330" s="235">
        <f>SUM(EY142:EY146)/1000+SUM(EY271:EY274)/1000+SUM(EY215:EY221)/1000</f>
        <v>583.89508999999998</v>
      </c>
      <c r="FH330" s="235">
        <f>SUM(FH142:FH146)/1000+SUM(FH271:FH274)/1000+SUM(FH215:FH221)/1000</f>
        <v>0</v>
      </c>
      <c r="FM330" s="235">
        <f>SUM(FM142:FM146)/1000+SUM(FM271:FM274)/1000+SUM(FM215:FM221)/1000</f>
        <v>441.27092619401776</v>
      </c>
      <c r="FS330" s="235">
        <f>SUM(FS142:FS146)/1000+SUM(FS271:FS274)/1000+SUM(FS215:FS221)/1000</f>
        <v>1004.5762271689575</v>
      </c>
      <c r="GA330" s="235">
        <f>SUM(GA142:GA146)/1000+SUM(GA271:GA274)/1000+SUM(GA215:GA221)/1000</f>
        <v>5642.6970262635377</v>
      </c>
      <c r="GF330" s="235">
        <f>SUM(GF142:GF146)/1000+SUM(GF271:GF274)/1000+SUM(GF215:GF221)/1000</f>
        <v>5307.2500603734852</v>
      </c>
      <c r="GR330" s="235">
        <f>SUM(GR142:GR146)/1000+SUM(GR271:GR274)/1000+SUM(GR215:GR221)/1000</f>
        <v>0</v>
      </c>
      <c r="HB330" s="235">
        <f>SUM(HB142:HB146)/1000+SUM(HB271:HB274)/1000+SUM(HB215:HB221)/1000</f>
        <v>152.55080000000009</v>
      </c>
    </row>
    <row r="331" spans="3:210" ht="13" x14ac:dyDescent="0.3">
      <c r="C331" s="226" t="s">
        <v>812</v>
      </c>
      <c r="AE331" s="235">
        <f>(SUM(AE18:AE20)+AE24)/1000</f>
        <v>428.81744650000002</v>
      </c>
      <c r="AH331" s="235">
        <f>(SUM(AH18:AH20)+AH24)/1000</f>
        <v>0</v>
      </c>
      <c r="AI331" s="102"/>
      <c r="AK331" s="235">
        <f>(SUM(AK18:AK20)+AK24)/1000</f>
        <v>1178.6478399246669</v>
      </c>
      <c r="AN331" s="235">
        <f>(SUM(AN18:AN20)+AN24)/1000</f>
        <v>-85.036691299999987</v>
      </c>
      <c r="AS331" s="235">
        <f>(SUM(AS18:AS20)+AS24)/1000</f>
        <v>1935.6673662498256</v>
      </c>
      <c r="BE331" s="235">
        <f>(SUM(BE18:BE20)+BE24)/1000</f>
        <v>2588.1916559094625</v>
      </c>
      <c r="BL331" s="235">
        <f>(SUM(BL18:BL20)+BL24)/1000</f>
        <v>890.3369334024685</v>
      </c>
      <c r="CB331" s="235">
        <f>(SUM(CB18:CB20)+CB24)/1000</f>
        <v>1516.0788480412484</v>
      </c>
      <c r="CI331" s="235">
        <f>(SUM(CI18:CI20)+CI24)/1000</f>
        <v>1312.3466279105178</v>
      </c>
      <c r="CN331" s="235">
        <f>(SUM(CN18:CN20)+CN24)/1000</f>
        <v>793.10721866181018</v>
      </c>
      <c r="CX331" s="235">
        <f>(SUM(CX18:CX20)+CX24)/1000</f>
        <v>4952.7741899999983</v>
      </c>
      <c r="CY331" s="235">
        <f>(SUM(CY18:CY20)+CY24)/1000</f>
        <v>1300.4176999999995</v>
      </c>
      <c r="CZ331" s="235">
        <f>(SUM(CZ18:CZ20)+CZ24)/1000</f>
        <v>118.65026</v>
      </c>
      <c r="DA331">
        <f t="shared" si="778"/>
        <v>6371842.1499999985</v>
      </c>
      <c r="DL331" s="235">
        <f>(SUM(DL18:DL20)+DL24)/1000</f>
        <v>0</v>
      </c>
      <c r="DM331" s="235">
        <f>(SUM(DM18:DM20)+DM24)/1000</f>
        <v>0</v>
      </c>
      <c r="DO331" s="235">
        <f>(SUM(DO18:DO20)+DO24)/1000</f>
        <v>0</v>
      </c>
      <c r="DP331" s="235">
        <f>(SUM(DP18:DP20)+DP24)/1000</f>
        <v>0</v>
      </c>
      <c r="DQ331" s="235">
        <f>(SUM(DQ18:DQ20)+DQ24)/1000</f>
        <v>0</v>
      </c>
      <c r="DS331" s="235">
        <f>(SUM(DS18:DS20)+DS24)/1000</f>
        <v>0</v>
      </c>
      <c r="DT331" s="235">
        <f>(SUM(DT18:DT20)+DT24)/1000</f>
        <v>0</v>
      </c>
      <c r="EY331" s="235">
        <f>(SUM(EY18:EY20)+EY24)/1000</f>
        <v>1140.0282399999999</v>
      </c>
      <c r="FH331" s="235">
        <f>(SUM(FH18:FH20)+FH24)/1000</f>
        <v>0</v>
      </c>
      <c r="FM331" s="235">
        <f>(SUM(FM18:FM20)+FM24)/1000</f>
        <v>337.29059347453517</v>
      </c>
      <c r="FS331" s="235">
        <f>(SUM(FS18:FS20)+FS24)/1000</f>
        <v>1551.2262440840741</v>
      </c>
      <c r="GA331" s="235">
        <f>(SUM(GA18:GA20)+GA24)/1000</f>
        <v>4317.6992532029108</v>
      </c>
      <c r="GF331" s="235">
        <f>(SUM(GF18:GF20)+GF24)/1000</f>
        <v>14488.269149238478</v>
      </c>
      <c r="GR331" s="235">
        <f>(SUM(GR18:GR20)+GR24)/1000</f>
        <v>0</v>
      </c>
      <c r="HB331" s="235">
        <f>(SUM(HB18:HB20)+HB24)/1000</f>
        <v>31220.424800000001</v>
      </c>
    </row>
    <row r="332" spans="3:210" ht="13" x14ac:dyDescent="0.3">
      <c r="C332" s="226" t="s">
        <v>813</v>
      </c>
      <c r="AE332" s="235">
        <f>(SUM(AE25:AE87)+AE22+AE23+SUM(AE152:AE213)+SUM(AE222:AE225)+AE280)/1000-AE333</f>
        <v>9691.0680560000019</v>
      </c>
      <c r="AH332" s="235">
        <f>(SUM(AH25:AH87)+AH22+AH23+SUM(AH152:AH213)+SUM(AH222:AH225)+AH280)/1000-AH333</f>
        <v>0</v>
      </c>
      <c r="AI332" s="102"/>
      <c r="AK332" s="235">
        <f>(SUM(AK25:AK87)+AK22+AK23+SUM(AK152:AK213)+SUM(AK222:AK225)+AK280)/1000-AK333</f>
        <v>5381.6315087204366</v>
      </c>
      <c r="AN332" s="235">
        <f>(SUM(AN25:AN87)+AN22+AN23+SUM(AN152:AN213)+SUM(AN222:AN225)+AN280)/1000-AN333</f>
        <v>-826.78849519999994</v>
      </c>
      <c r="AS332" s="235">
        <f>(SUM(AS25:AS87)+AS22+AS23+SUM(AS152:AS213)+SUM(AS222:AS225)+AS280)/1000-AS333</f>
        <v>6760.1550387744574</v>
      </c>
      <c r="BE332" s="235">
        <f>(SUM(BE25:BE87)+BE22+BE23+SUM(BE152:BE213)+SUM(BE222:BE225)+BE280)/1000-BE333</f>
        <v>67338.254648555114</v>
      </c>
      <c r="BL332" s="235">
        <f>(SUM(BL25:BL87)+BL22+BL23+SUM(BL152:BL213)+SUM(BL222:BL225)+BL280)/1000-BL333</f>
        <v>5752.8536340230758</v>
      </c>
      <c r="CB332" s="235">
        <f>(SUM(CB25:CB87)+CB22+CB23+SUM(CB152:CB213)+SUM(CB222:CB225)+CB280)/1000-CB333-BV332-CA332</f>
        <v>55402.774368379789</v>
      </c>
      <c r="CI332" s="235">
        <f>(SUM(CI25:CI87)+CI22+CI23+SUM(CI152:CI213)+SUM(CI222:CI225)+CI280)/1000-CI333</f>
        <v>20482.636141663537</v>
      </c>
      <c r="CN332" s="235">
        <f>(SUM(CN25:CN87)+CN22+CN23+SUM(CN152:CN213)+SUM(CN222:CN225)+CN280)/1000-CN333</f>
        <v>25332.154410283583</v>
      </c>
      <c r="CX332" s="235">
        <f>(SUM(CX25:CX87)+CX22+CX23+SUM(CX147:CX213)+SUM(CX222:CX225)+CX280)/1000-CX333</f>
        <v>293443.99005000002</v>
      </c>
      <c r="CY332" s="235">
        <f>(SUM(CY25:CY87)+CY22+CY23+SUM(CY147:CY213)+SUM(CY222:CY225)+CY280)/1000-CY333</f>
        <v>69253.167210000029</v>
      </c>
      <c r="CZ332" s="235">
        <f>(SUM(CZ25:CZ87)+CZ22+CZ23+SUM(CZ147:CZ213)+SUM(CZ222:CZ225)+CZ280)/1000-CZ333</f>
        <v>3701.1092199999998</v>
      </c>
      <c r="DA332">
        <f t="shared" si="778"/>
        <v>366398266.48000008</v>
      </c>
      <c r="DL332" s="235">
        <f>(SUM(DL25:DL87)+DL22+DL23+SUM(DL152:DL213)+SUM(DL222:DL225)+DL280)/1000-DL333</f>
        <v>1152.5749599999999</v>
      </c>
      <c r="DM332" s="235">
        <f>(SUM(DM25:DM87)+DM22+DM23+SUM(DM152:DM213)+SUM(DM222:DM225)+DM280)/1000-DM333</f>
        <v>0</v>
      </c>
      <c r="DO332" s="235">
        <f>(SUM(DO25:DO87)+DO22+DO23+SUM(DO152:DO213)+SUM(DO222:DO225)+DO280)/1000-DO333</f>
        <v>0</v>
      </c>
      <c r="DP332" s="235">
        <f>(SUM(DP25:DP87)+DP22+DP23+SUM(DP152:DP213)+SUM(DP222:DP225)+DP280)/1000-DP333</f>
        <v>508</v>
      </c>
      <c r="DQ332" s="235">
        <f>(SUM(DQ25:DQ87)+DQ22+DQ23+SUM(DQ152:DQ213)+SUM(DQ222:DQ225)+DQ280)/1000-DQ333</f>
        <v>0</v>
      </c>
      <c r="DS332" s="235">
        <f>(SUM(DS25:DS87)+DS22+DS23+SUM(DS152:DS213)+SUM(DS222:DS225)+DS280)/1000-DS333</f>
        <v>0</v>
      </c>
      <c r="DT332" s="235">
        <f>(SUM(DT25:DT87)+DT22+DT23+SUM(DT152:DT213)+SUM(DT222:DT225)+DT280)/1000-DT333</f>
        <v>0</v>
      </c>
      <c r="EW332" s="295">
        <v>0</v>
      </c>
      <c r="EX332" s="295">
        <v>0</v>
      </c>
      <c r="EY332" s="235">
        <f>(SUM(EY25:EY87)+EY22+EY23+SUM(EY152:EY213)+SUM(EY222:EY225)+EY280)/1000-EY333</f>
        <v>2134.0737399999998</v>
      </c>
      <c r="FH332" s="235">
        <f>(SUM(FH25:FH87)+FH22+FH23+SUM(FH152:FH213)+SUM(FH222:FH225)+FH280)/1000-FH333</f>
        <v>0</v>
      </c>
      <c r="FM332" s="235">
        <f>(SUM(FM25:FM87)+FM22+FM23+SUM(FM152:FM214)+SUM(FM222:FM225)+FM280)/1000-FM333</f>
        <v>1032.2604634122874</v>
      </c>
      <c r="FP332" s="6">
        <f>FP148/1000</f>
        <v>16052.773999999999</v>
      </c>
      <c r="FR332" s="6">
        <f>FR148/1000</f>
        <v>2615.5059999999999</v>
      </c>
      <c r="FS332" s="235">
        <f>(SUM(FS25:FS87)+SUM(FS147:FS151)+FS22+FS23+SUM(FS152:FS213)+SUM(FS222:FS225)+FS280)/1000-FS333-FP332-FR332</f>
        <v>68789.877208734033</v>
      </c>
      <c r="GA332" s="235">
        <f>(SUM(GA25:GA87)+GA22+GA23+SUM(GA152:GA214)+SUM(GA222:GA225)+GA280)/1000-GA333</f>
        <v>62942.534471810024</v>
      </c>
      <c r="GD332" s="8">
        <f>GD148/1000</f>
        <v>24628.125</v>
      </c>
      <c r="GE332" s="8">
        <f>GE148/1000+GE151/1000</f>
        <v>545.45600000000002</v>
      </c>
      <c r="GF332" s="235">
        <f>(SUM(GF25:GF87)+SUM(GF147:GF151)+GF22+GF23+SUM(GF152:GF213)+SUM(GF222:GF225)+GF280)/1000-GF333-GD332-GE332</f>
        <v>445017.96533604356</v>
      </c>
      <c r="GR332" s="235">
        <f>(SUM(GR25:GR87)+GR22+GR23+SUM(GR152:GR213)+SUM(GR222:GR225)+GR280)/1000-GR333</f>
        <v>0</v>
      </c>
      <c r="HB332" s="235">
        <f>(SUM(HB25:HB87)+HB22+HB23+SUM(HB152:HB213)+SUM(HB222:HB225)+HB280)/1000-HB333</f>
        <v>10804.059730000001</v>
      </c>
    </row>
    <row r="333" spans="3:210" ht="13" x14ac:dyDescent="0.3">
      <c r="C333" s="226" t="s">
        <v>841</v>
      </c>
      <c r="AE333" s="235">
        <f>SUM(AE64:AE67)/1000</f>
        <v>116.840622</v>
      </c>
      <c r="AH333" s="235">
        <f>SUM(AH64:AH67)/1000</f>
        <v>0</v>
      </c>
      <c r="AI333" s="102"/>
      <c r="AK333" s="235">
        <f>SUM(AK64:AK67)/1000</f>
        <v>132.82832679678029</v>
      </c>
      <c r="AN333" s="235">
        <f>SUM(AN64:AN67)/1000</f>
        <v>-7.9706399999999997E-2</v>
      </c>
      <c r="AS333" s="235">
        <f>SUM(AS64:AS67)/1000</f>
        <v>264.21118153925414</v>
      </c>
      <c r="BE333" s="235">
        <f>SUM(BE64:BE67)/1000</f>
        <v>134.99643527534209</v>
      </c>
      <c r="BL333" s="235">
        <f>SUM(BL64:BL67)/1000</f>
        <v>77.280319567480532</v>
      </c>
      <c r="CB333" s="235">
        <f>SUM(CB64:CB67)/1000</f>
        <v>390.71227392616021</v>
      </c>
      <c r="CI333" s="235">
        <f>SUM(CI64:CI67)/1000</f>
        <v>64.03120067883016</v>
      </c>
      <c r="CN333" s="235">
        <f>SUM(CN64:CN67)/1000</f>
        <v>42.195905016152409</v>
      </c>
      <c r="CX333" s="235">
        <f>SUM(CX64:CX67)/1000</f>
        <v>2852.6813299999999</v>
      </c>
      <c r="CY333" s="235">
        <f>SUM(CY64:CY67)/1000</f>
        <v>53.482999999999997</v>
      </c>
      <c r="CZ333" s="235">
        <f>SUM(CZ64:CZ67)/1000</f>
        <v>0</v>
      </c>
      <c r="DA333">
        <f t="shared" si="778"/>
        <v>2906164.33</v>
      </c>
      <c r="DL333" s="235">
        <f>SUM(DL64:DL67)/1000</f>
        <v>42.790480000000002</v>
      </c>
      <c r="DM333" s="235">
        <f>SUM(DM64:DM67)/1000</f>
        <v>0</v>
      </c>
      <c r="DO333" s="235">
        <f>SUM(DO64:DO67)/1000</f>
        <v>0</v>
      </c>
      <c r="DP333" s="235">
        <f>SUM(DP64:DP67)/1000</f>
        <v>0</v>
      </c>
      <c r="DQ333" s="235">
        <f>SUM(DQ64:DQ67)/1000</f>
        <v>0</v>
      </c>
      <c r="DS333" s="235">
        <f>SUM(DS64:DS67)/1000</f>
        <v>0</v>
      </c>
      <c r="DT333" s="235">
        <f>SUM(DT64:DT67)/1000</f>
        <v>0</v>
      </c>
      <c r="EW333" s="295">
        <v>0</v>
      </c>
      <c r="EX333" s="295">
        <v>0</v>
      </c>
      <c r="EY333" s="235">
        <f>SUM(EY64:EY67)/1000</f>
        <v>95.800539999999998</v>
      </c>
      <c r="FH333" s="235">
        <f>SUM(FH64:FH67)/1000</f>
        <v>0</v>
      </c>
      <c r="FM333" s="235">
        <f>SUM(FM64:FM67)/1000</f>
        <v>84.032676148746958</v>
      </c>
      <c r="FS333" s="235">
        <f>SUM(FS64:FS67)/1000</f>
        <v>169.97233509620045</v>
      </c>
      <c r="GA333" s="235">
        <f>SUM(GA64:GA67)/1000</f>
        <v>463.06342706871447</v>
      </c>
      <c r="GF333" s="235">
        <f>SUM(GF64:GF67)/1000</f>
        <v>72.424211686337927</v>
      </c>
      <c r="GR333" s="235">
        <f>SUM(GR64:GR67)/1000</f>
        <v>0</v>
      </c>
      <c r="HB333" s="235">
        <f>SUM(HB64:HB67)/1000</f>
        <v>35.551630000000003</v>
      </c>
    </row>
    <row r="334" spans="3:210" ht="52" x14ac:dyDescent="0.3">
      <c r="C334" s="226" t="s">
        <v>814</v>
      </c>
      <c r="AE334" s="235">
        <f>(SUM(AE6:AE17)+AE21)/1000</f>
        <v>1895.8480300000001</v>
      </c>
      <c r="AH334" s="235">
        <f>(SUM(AH6:AH17)+AH21)/1000</f>
        <v>0</v>
      </c>
      <c r="AI334" s="102"/>
      <c r="AK334" s="235">
        <f>(SUM(AK6:AK17)+AK21)/1000</f>
        <v>2753.9771070923889</v>
      </c>
      <c r="AN334" s="235">
        <f>(SUM(AN6:AN17)+AN21)/1000</f>
        <v>0</v>
      </c>
      <c r="AS334" s="235">
        <f>(SUM(AS6:AS17)+AS21)/1000</f>
        <v>1428.3816649208479</v>
      </c>
      <c r="BE334" s="235">
        <f>(SUM(BE6:BE17)+BE21)/1000</f>
        <v>2069.9847607047673</v>
      </c>
      <c r="BL334" s="235">
        <f>(SUM(BL6:BL17)+BL21)/1000</f>
        <v>567.46987496646102</v>
      </c>
      <c r="CB334" s="235">
        <f>(SUM(CB6:CB17)+CB21)/1000</f>
        <v>2232.0094615410067</v>
      </c>
      <c r="CI334" s="235">
        <f>(SUM(CI6:CI17)+CI21)/1000</f>
        <v>355.0795924657902</v>
      </c>
      <c r="CN334" s="235">
        <f>(SUM(CN6:CN17)+CN21)/1000</f>
        <v>336.02330830873802</v>
      </c>
      <c r="CX334" s="235">
        <f>SUM(CX6:CX17)/1000+CX21/1000</f>
        <v>6255.150200000001</v>
      </c>
      <c r="CY334" s="235">
        <f>SUM(CY6:CY17)/1000+CY21/1000</f>
        <v>1224.0230400000003</v>
      </c>
      <c r="CZ334" s="235">
        <f>SUM(CZ6:CZ17)/1000+CZ21/1000</f>
        <v>12.841040000000001</v>
      </c>
      <c r="DA334">
        <f t="shared" si="778"/>
        <v>7492014.2800000012</v>
      </c>
      <c r="DL334" s="235">
        <f>SUM(DL6:DL17)/1000</f>
        <v>5181.3990000000003</v>
      </c>
      <c r="DM334" s="235">
        <f>SUM(DM6:DM17)/1000</f>
        <v>6.1420000000000003</v>
      </c>
      <c r="DO334" s="235">
        <f>SUM(DO6:DO17)/1000</f>
        <v>0</v>
      </c>
      <c r="DP334" s="235">
        <f>SUM(DP6:DP17)/1000</f>
        <v>0</v>
      </c>
      <c r="DQ334" s="235">
        <f>SUM(DQ6:DQ17)/1000</f>
        <v>0</v>
      </c>
      <c r="DS334" s="235">
        <f>SUM(DS6:DS17)/1000</f>
        <v>0</v>
      </c>
      <c r="DT334" s="235">
        <f>SUM(DT6:DT17)/1000</f>
        <v>0</v>
      </c>
      <c r="EY334" s="679">
        <f>(SUM(EY6:EY17))/1000+EY21/1000</f>
        <v>3595.2427299999999</v>
      </c>
      <c r="FH334" s="235">
        <f>SUM(FH6:FH17)/1000</f>
        <v>0</v>
      </c>
      <c r="FM334" s="235">
        <f>SUM(FM6:FM17)/1000+FM21/1000</f>
        <v>688.45550991754249</v>
      </c>
      <c r="FS334" s="235">
        <f>SUM(FS6:FS17)/1000+FS21/1000</f>
        <v>18689.698032653192</v>
      </c>
      <c r="GA334" s="235">
        <f>SUM(GA6:GA17)/1000+GA21/1000</f>
        <v>36788.732285037993</v>
      </c>
      <c r="GF334" s="235">
        <f>SUM(GF6:GF17)/1000+GF21/1000</f>
        <v>8690.2007523912653</v>
      </c>
      <c r="GR334" s="235">
        <f>SUM(GR6:GR17)/1000-GR333</f>
        <v>0</v>
      </c>
      <c r="HB334" s="235">
        <f>SUM(HB6:HB17)/1000</f>
        <v>1862.925</v>
      </c>
    </row>
    <row r="335" spans="3:210" ht="13" x14ac:dyDescent="0.3">
      <c r="C335" s="225" t="s">
        <v>815</v>
      </c>
      <c r="AE335" s="235"/>
      <c r="AH335" s="235"/>
      <c r="AI335" s="102"/>
      <c r="AK335" s="235"/>
      <c r="AN335" s="235"/>
      <c r="AS335" s="235"/>
      <c r="BE335" s="235"/>
      <c r="BL335" s="235"/>
      <c r="CB335" s="235"/>
      <c r="CI335" s="235"/>
      <c r="CN335" s="235"/>
      <c r="CX335" s="235"/>
      <c r="CY335" s="235"/>
      <c r="CZ335" s="235"/>
      <c r="DL335" s="235"/>
      <c r="DM335" s="235"/>
      <c r="DO335" s="235"/>
      <c r="DP335" s="235"/>
      <c r="DQ335" s="235"/>
      <c r="DS335" s="235"/>
      <c r="DT335" s="235"/>
      <c r="EY335" s="235"/>
      <c r="FH335" s="235"/>
      <c r="FM335" s="235"/>
      <c r="FS335" s="235"/>
      <c r="GA335" s="235"/>
      <c r="GF335" s="235"/>
      <c r="GR335" s="235"/>
      <c r="HB335" s="235"/>
    </row>
    <row r="336" spans="3:210" ht="13" x14ac:dyDescent="0.3">
      <c r="C336" s="228" t="s">
        <v>816</v>
      </c>
      <c r="AE336" s="235"/>
      <c r="AH336" s="235"/>
      <c r="AI336" s="102"/>
      <c r="AK336" s="235"/>
      <c r="AN336" s="235"/>
      <c r="AS336" s="235"/>
      <c r="BE336" s="235"/>
      <c r="BL336" s="235"/>
      <c r="CB336" s="235"/>
      <c r="CI336" s="235"/>
      <c r="CN336" s="235"/>
      <c r="CX336" s="235"/>
      <c r="CY336" s="235"/>
      <c r="CZ336" s="235"/>
      <c r="DL336" s="235"/>
      <c r="DM336" s="235"/>
      <c r="DO336" s="235"/>
      <c r="DP336" s="235"/>
      <c r="DQ336" s="235"/>
      <c r="DS336" s="235"/>
      <c r="DT336" s="235"/>
      <c r="EY336" s="235"/>
      <c r="FH336" s="235"/>
      <c r="FM336" s="235"/>
      <c r="FS336" s="235"/>
      <c r="GA336" s="235"/>
      <c r="GF336" s="235"/>
      <c r="GR336" s="235"/>
      <c r="HB336" s="235"/>
    </row>
    <row r="337" spans="3:210" ht="13" x14ac:dyDescent="0.3">
      <c r="C337" s="226" t="s">
        <v>817</v>
      </c>
      <c r="AE337" s="235">
        <v>0</v>
      </c>
      <c r="AH337" s="235">
        <v>0</v>
      </c>
      <c r="AI337" s="102"/>
      <c r="AK337" s="235">
        <v>0</v>
      </c>
      <c r="AN337" s="235">
        <v>0</v>
      </c>
      <c r="AS337" s="235">
        <v>0</v>
      </c>
      <c r="BE337" s="235">
        <v>0</v>
      </c>
      <c r="BL337" s="235">
        <v>0</v>
      </c>
      <c r="CB337" s="235">
        <v>0</v>
      </c>
      <c r="CI337" s="235">
        <v>0</v>
      </c>
      <c r="CN337" s="235">
        <v>0</v>
      </c>
      <c r="CX337" s="235">
        <v>0</v>
      </c>
      <c r="CY337" s="235">
        <v>0</v>
      </c>
      <c r="CZ337" s="235">
        <v>0</v>
      </c>
      <c r="DA337">
        <f>+(CX337+CY337+CZ337)*1000</f>
        <v>0</v>
      </c>
      <c r="DL337" s="235">
        <v>0</v>
      </c>
      <c r="DM337" s="235">
        <v>0</v>
      </c>
      <c r="DO337" s="235">
        <v>0</v>
      </c>
      <c r="DP337" s="235">
        <v>0</v>
      </c>
      <c r="DQ337" s="235">
        <v>0</v>
      </c>
      <c r="DS337" s="235">
        <v>0</v>
      </c>
      <c r="DT337" s="235">
        <v>0</v>
      </c>
      <c r="EY337" s="679">
        <v>0</v>
      </c>
      <c r="FH337" s="235">
        <v>0</v>
      </c>
      <c r="FM337" s="235">
        <v>0</v>
      </c>
      <c r="FS337" s="235">
        <v>0</v>
      </c>
      <c r="GA337" s="235">
        <v>0</v>
      </c>
      <c r="GF337" s="235">
        <v>0</v>
      </c>
      <c r="GR337" s="235">
        <v>0</v>
      </c>
      <c r="HB337" s="235">
        <v>0</v>
      </c>
    </row>
    <row r="338" spans="3:210" ht="13" x14ac:dyDescent="0.3">
      <c r="C338" s="223" t="s">
        <v>1829</v>
      </c>
      <c r="AE338" s="235">
        <f>AD317/1000</f>
        <v>0</v>
      </c>
      <c r="AH338" s="235">
        <f>AG317/1000</f>
        <v>0</v>
      </c>
      <c r="AI338" s="102"/>
      <c r="AK338" s="235">
        <f>AJ317/1000</f>
        <v>0</v>
      </c>
      <c r="AN338" s="235">
        <f>AM317/1000</f>
        <v>0</v>
      </c>
      <c r="AS338" s="235">
        <f>AR317/1000</f>
        <v>0</v>
      </c>
      <c r="BE338" s="235">
        <f>BD317/1000</f>
        <v>0</v>
      </c>
      <c r="BL338" s="235">
        <f>BK317/1000</f>
        <v>0</v>
      </c>
      <c r="CB338" s="235">
        <f>CA317/1000</f>
        <v>0</v>
      </c>
      <c r="CI338" s="235">
        <f>CH317/1000</f>
        <v>0</v>
      </c>
      <c r="CN338" s="235">
        <f>CM317/1000</f>
        <v>0</v>
      </c>
      <c r="CX338" s="235">
        <f>CW317/1000</f>
        <v>0</v>
      </c>
      <c r="CY338" s="235">
        <f>CX317/1000</f>
        <v>0</v>
      </c>
      <c r="CZ338" s="235">
        <f>CY317/1000</f>
        <v>0</v>
      </c>
      <c r="DL338" s="235">
        <f>DK317/1000</f>
        <v>0</v>
      </c>
      <c r="DM338" s="235">
        <f>DL317/1000</f>
        <v>0</v>
      </c>
      <c r="DO338" s="235">
        <f>DN317/1000</f>
        <v>0</v>
      </c>
      <c r="DP338" s="235">
        <f>DO317/1000</f>
        <v>0</v>
      </c>
      <c r="DQ338" s="235">
        <f>DP317/1000</f>
        <v>0</v>
      </c>
      <c r="DS338" s="235">
        <f>DR317/1000</f>
        <v>0</v>
      </c>
      <c r="DT338" s="235">
        <f>DS317/1000</f>
        <v>0</v>
      </c>
      <c r="EY338" s="235">
        <v>0</v>
      </c>
      <c r="FH338" s="235">
        <f>FG317/1000</f>
        <v>0</v>
      </c>
      <c r="FM338" s="235">
        <f>FL317/1000</f>
        <v>0</v>
      </c>
      <c r="FS338" s="235">
        <f>FP317/1000</f>
        <v>0</v>
      </c>
      <c r="GA338" s="235">
        <f>FZ317/1000</f>
        <v>22478.987000000001</v>
      </c>
      <c r="GF338" s="235">
        <f>GE317/1000</f>
        <v>26712.100999999999</v>
      </c>
      <c r="GR338" s="235">
        <f>GQ317/1000</f>
        <v>0</v>
      </c>
      <c r="HB338" s="235">
        <f>HA317/1000</f>
        <v>0</v>
      </c>
    </row>
    <row r="339" spans="3:210" ht="13" x14ac:dyDescent="0.3">
      <c r="C339" s="226" t="s">
        <v>818</v>
      </c>
      <c r="AE339" s="235"/>
      <c r="AH339" s="235"/>
      <c r="AI339" s="102"/>
      <c r="AK339" s="235"/>
      <c r="AN339" s="235"/>
      <c r="AS339" s="235"/>
      <c r="BE339" s="235"/>
      <c r="BL339" s="235"/>
      <c r="CB339" s="235"/>
      <c r="CI339" s="235"/>
      <c r="CN339" s="235"/>
      <c r="CX339" s="235"/>
      <c r="CY339" s="235"/>
      <c r="CZ339" s="235"/>
      <c r="DL339" s="235"/>
      <c r="DM339" s="235"/>
      <c r="DO339" s="235"/>
      <c r="DP339" s="235"/>
      <c r="DQ339" s="235"/>
      <c r="DS339" s="235"/>
      <c r="DT339" s="235"/>
      <c r="EY339" s="235"/>
      <c r="FH339" s="235"/>
      <c r="FM339" s="235"/>
      <c r="FS339" s="235"/>
      <c r="GA339" s="235"/>
      <c r="GF339" s="235"/>
      <c r="GR339" s="235"/>
      <c r="HB339" s="235"/>
    </row>
    <row r="340" spans="3:210" ht="26" x14ac:dyDescent="0.3">
      <c r="C340" s="229" t="s">
        <v>819</v>
      </c>
      <c r="AE340" s="235"/>
      <c r="AH340" s="235"/>
      <c r="AI340" s="102"/>
      <c r="AK340" s="235"/>
      <c r="AN340" s="235"/>
      <c r="AS340" s="235"/>
      <c r="BE340" s="235"/>
      <c r="BL340" s="235"/>
      <c r="CB340" s="235"/>
      <c r="CI340" s="235"/>
      <c r="CN340" s="235"/>
      <c r="CX340" s="235"/>
      <c r="CY340" s="235"/>
      <c r="CZ340" s="235"/>
      <c r="DL340" s="235"/>
      <c r="DM340" s="235"/>
      <c r="DO340" s="235"/>
      <c r="DP340" s="235"/>
      <c r="DQ340" s="235"/>
      <c r="DS340" s="235"/>
      <c r="DT340" s="235"/>
      <c r="EY340" s="235"/>
      <c r="FH340" s="235"/>
      <c r="FM340" s="235"/>
      <c r="FS340" s="235"/>
      <c r="GA340" s="235"/>
      <c r="GF340" s="235"/>
      <c r="GR340" s="235"/>
      <c r="HB340" s="235"/>
    </row>
    <row r="341" spans="3:210" ht="13" x14ac:dyDescent="0.3">
      <c r="C341" s="229" t="s">
        <v>820</v>
      </c>
      <c r="AE341" s="235"/>
      <c r="AH341" s="235"/>
      <c r="AI341" s="102"/>
      <c r="AK341" s="235"/>
      <c r="AN341" s="235"/>
      <c r="AS341" s="235"/>
      <c r="BE341" s="235"/>
      <c r="BL341" s="235"/>
      <c r="CB341" s="235"/>
      <c r="CI341" s="235"/>
      <c r="CN341" s="235"/>
      <c r="CX341" s="235"/>
      <c r="CY341" s="235"/>
      <c r="CZ341" s="235"/>
      <c r="DL341" s="235"/>
      <c r="DM341" s="235"/>
      <c r="DO341" s="235"/>
      <c r="DP341" s="235"/>
      <c r="DQ341" s="235"/>
      <c r="DS341" s="235"/>
      <c r="DT341" s="235"/>
      <c r="EY341" s="235"/>
      <c r="FH341" s="235"/>
      <c r="FM341" s="235"/>
      <c r="FS341" s="235"/>
      <c r="GA341" s="235"/>
      <c r="GF341" s="235"/>
      <c r="GR341" s="235"/>
      <c r="HB341" s="235"/>
    </row>
    <row r="342" spans="3:210" ht="13" x14ac:dyDescent="0.3">
      <c r="C342" s="224" t="s">
        <v>821</v>
      </c>
      <c r="AE342" s="235"/>
      <c r="AH342" s="235"/>
      <c r="AI342" s="102"/>
      <c r="AK342" s="235"/>
      <c r="AN342" s="235"/>
      <c r="AS342" s="235"/>
      <c r="BE342" s="235"/>
      <c r="BL342" s="235"/>
      <c r="CB342" s="235"/>
      <c r="CI342" s="235"/>
      <c r="CN342" s="235"/>
      <c r="CX342" s="235"/>
      <c r="CY342" s="235"/>
      <c r="CZ342" s="235"/>
      <c r="DL342" s="235"/>
      <c r="DM342" s="235"/>
      <c r="DO342" s="235"/>
      <c r="DP342" s="235"/>
      <c r="DQ342" s="235"/>
      <c r="DS342" s="235"/>
      <c r="DT342" s="235"/>
      <c r="EY342" s="235"/>
      <c r="FH342" s="235"/>
      <c r="FM342" s="235"/>
      <c r="FS342" s="235"/>
      <c r="GA342" s="235"/>
      <c r="GF342" s="235"/>
      <c r="GR342" s="235"/>
      <c r="HB342" s="235"/>
    </row>
    <row r="343" spans="3:210" ht="13" x14ac:dyDescent="0.3">
      <c r="C343" s="224" t="s">
        <v>822</v>
      </c>
      <c r="AE343" s="235"/>
      <c r="AH343" s="235"/>
      <c r="AI343" s="102"/>
      <c r="AK343" s="235"/>
      <c r="AN343" s="235"/>
      <c r="AS343" s="235"/>
      <c r="BE343" s="235"/>
      <c r="BL343" s="235"/>
      <c r="CB343" s="235"/>
      <c r="CI343" s="235"/>
      <c r="CN343" s="235"/>
      <c r="CX343" s="235"/>
      <c r="CY343" s="235"/>
      <c r="CZ343" s="235"/>
      <c r="DL343" s="235"/>
      <c r="DM343" s="235"/>
      <c r="DO343" s="235"/>
      <c r="DP343" s="235"/>
      <c r="DQ343" s="235"/>
      <c r="DS343" s="235"/>
      <c r="DT343" s="235"/>
      <c r="EY343" s="235"/>
      <c r="FH343" s="235"/>
      <c r="FM343" s="235"/>
      <c r="FS343" s="235"/>
      <c r="GA343" s="235"/>
      <c r="GF343" s="235"/>
      <c r="GR343" s="235"/>
      <c r="HB343" s="235"/>
    </row>
    <row r="344" spans="3:210" ht="13" x14ac:dyDescent="0.3">
      <c r="C344" s="230" t="s">
        <v>823</v>
      </c>
      <c r="AE344" s="235">
        <f>(SUM(AE226:AE276)+SUM(AE147:AE151)-AE271-AE272-AE273-AE274)/1000-AE347</f>
        <v>-3.851</v>
      </c>
      <c r="AH344" s="235">
        <f>(SUM(AH226:AH276)+SUM(AH147:AH151)-AH271-AH272-AH273-AH274)/1000-AH347</f>
        <v>0</v>
      </c>
      <c r="AI344" s="102"/>
      <c r="AK344" s="235">
        <f>(SUM(AK226:AK276)+SUM(AK147:AK151)-AK271-AK272-AK273-AK274)/1000-AK347</f>
        <v>-2.9778700474018422</v>
      </c>
      <c r="AN344" s="235">
        <f>(SUM(AN226:AN276)+SUM(AN147:AN151)-AN271-AN272-AN273-AN274)/1000-AN347</f>
        <v>0</v>
      </c>
      <c r="AS344" s="235">
        <f>(SUM(AS226:AS276)+SUM(AS147:AS151)-AS271-AS272-AS273-AS274)/1000-AS347</f>
        <v>-102224.63658378321</v>
      </c>
      <c r="BE344" s="235">
        <f>(SUM(BE226:BE276)+SUM(BE147:BE151)-BE271-BE272-BE273-BE274)/1000-BE347</f>
        <v>-8.142174224130228</v>
      </c>
      <c r="BL344" s="235">
        <f>(SUM(BL226:BL276)+SUM(BL147:BL151)-BL271-BL272-BL273-BL274)/1000-BL347</f>
        <v>-90.206654145425276</v>
      </c>
      <c r="BV344" s="6">
        <f>BV251/1000+BV148/1000</f>
        <v>-1531.1855099999993</v>
      </c>
      <c r="CA344" s="6">
        <f>CA251/1000+CA148/1000</f>
        <v>955.05887000000439</v>
      </c>
      <c r="CB344" s="235">
        <f>(SUM(CB226:CB276)+SUM(CB147:CB151)-CB271-CB272-CB273-CB274)/1000-CB347-BV344-CA344</f>
        <v>-8317.7969041981905</v>
      </c>
      <c r="CI344" s="235">
        <f>(SUM(CI226:CI276)+SUM(CI147:CI151)-CI271-CI272-CI273-CI274)/1000-CI347</f>
        <v>-1193.1928372283342</v>
      </c>
      <c r="CN344" s="235">
        <f>(SUM(CN226:CN276)+SUM(CN147:CN151)-CN271-CN272-CN273-CN274)/1000-CN347</f>
        <v>-1039.9145463733119</v>
      </c>
      <c r="CX344" s="235">
        <f>(SUM(CX226:CX276) -(CX271+CX272+CX273+CX274))/1000-CX347-CX241/1000-CX242/1000+CT242/1000</f>
        <v>-633.17999999993481</v>
      </c>
      <c r="CY344" s="235">
        <f t="shared" ref="CY344:CZ344" si="779">(SUM(CY226:CY276) -(CY271+CY272+CY273+CY274))/1000-CY347-CY241/1000-CY242/1000+CU242/1000</f>
        <v>0</v>
      </c>
      <c r="CZ344" s="235">
        <f t="shared" si="779"/>
        <v>0</v>
      </c>
      <c r="DA344">
        <f>+(CX344+CY344+CZ344)*1000</f>
        <v>-633179.99999993481</v>
      </c>
      <c r="DL344" s="235">
        <f t="shared" ref="DL344:DM344" si="780">(SUM(DL226:DL276)+SUM(DL147:DL151)-DL271-DL272-DL273-DL274)/1000-DL347</f>
        <v>-39185.197</v>
      </c>
      <c r="DM344" s="235">
        <f t="shared" si="780"/>
        <v>7.6999999984400343E-4</v>
      </c>
      <c r="DO344" s="235">
        <f t="shared" ref="DO344:DQ344" si="781">(SUM(DO226:DO276)+SUM(DO147:DO151)-DO271-DO272-DO273-DO274)/1000-DO347</f>
        <v>0</v>
      </c>
      <c r="DP344" s="235">
        <f t="shared" si="781"/>
        <v>0</v>
      </c>
      <c r="DQ344" s="235">
        <f t="shared" si="781"/>
        <v>0</v>
      </c>
      <c r="DS344" s="235">
        <f t="shared" ref="DS344:DT344" si="782">(SUM(DS226:DS276)+SUM(DS147:DS151)-DS271-DS272-DS273-DS274)/1000-DS347</f>
        <v>0</v>
      </c>
      <c r="DT344" s="235">
        <f t="shared" si="782"/>
        <v>0</v>
      </c>
      <c r="EW344" s="295">
        <f>(SUM(EW249:EW254)+EW258)/1000</f>
        <v>0</v>
      </c>
      <c r="EX344" s="295">
        <f>(SUM(EX249:EX254)+EX258)/1000</f>
        <v>0</v>
      </c>
      <c r="EY344" s="235">
        <f>(SUM(EY226:EY276)+SUM(EY147:EY151)-EY271-EY272-EY273-EY274)/1000-EY347</f>
        <v>-157.66778000000002</v>
      </c>
      <c r="FH344" s="235">
        <f>(SUM(FH226:FH276)+SUM(FH147:FH151)-FH271-FH272-FH273-FH274)/1000-FH347</f>
        <v>0</v>
      </c>
      <c r="FM344" s="235">
        <f>(SUM(FM226:FM276)+SUM(FM147:FM151)-FM271-FM272-FM273-FM274)/1000-FM347</f>
        <v>-3.2320000000000011</v>
      </c>
      <c r="FP344" s="6">
        <f>FP251/1000</f>
        <v>-18110.236000000001</v>
      </c>
      <c r="FR344" s="6">
        <f>FR251/1000</f>
        <v>-2314.9609999999998</v>
      </c>
      <c r="FS344" s="235">
        <f>(SUM(FS226:FS276)-FS271-FS272-FS273-FS274)/1000-FS347-FP344-FR344</f>
        <v>-47.499999999999545</v>
      </c>
      <c r="GA344" s="235">
        <f>(SUM(GA226:GA276)+SUM(GA147:GA151)-GA271-GA272-GA273-GA274)/1000-GA347</f>
        <v>-2934.9959999999987</v>
      </c>
      <c r="GD344" s="6">
        <f>GD251/1000</f>
        <v>-24834.646000000001</v>
      </c>
      <c r="GE344" s="6">
        <f>GE251/1000</f>
        <v>-1574.8030000000001</v>
      </c>
      <c r="GF344" s="235">
        <f>(SUM(GF226:GF276)-GF271-GF272-GF273-GF274)/1000-GF347-GD344-GE344</f>
        <v>-17442.638550000003</v>
      </c>
      <c r="GR344" s="235">
        <f>(SUM(GR226:GR276)+SUM(GR147:GR151)-GR271-GR272-GR273-GR274)/1000-GR347</f>
        <v>0</v>
      </c>
      <c r="HB344" s="235">
        <f>(SUM(HB226:HB276)+SUM(HB147:HB151)-HB271-HB272-HB273-HB274)/1000-HB347</f>
        <v>-150768.30249999999</v>
      </c>
    </row>
    <row r="345" spans="3:210" ht="13" x14ac:dyDescent="0.3">
      <c r="C345" s="229" t="s">
        <v>824</v>
      </c>
      <c r="AE345" s="235"/>
      <c r="AH345" s="235"/>
      <c r="AI345" s="102"/>
      <c r="AK345" s="235"/>
      <c r="AN345" s="235"/>
      <c r="AS345" s="235"/>
      <c r="BE345" s="235"/>
      <c r="BL345" s="235"/>
      <c r="CB345" s="235"/>
      <c r="CI345" s="235"/>
      <c r="CN345" s="235"/>
      <c r="CX345" s="235"/>
      <c r="CY345" s="235"/>
      <c r="CZ345" s="235"/>
      <c r="DL345" s="235"/>
      <c r="DM345" s="235"/>
      <c r="DO345" s="235"/>
      <c r="DP345" s="235"/>
      <c r="DQ345" s="235"/>
      <c r="DS345" s="235"/>
      <c r="DT345" s="235"/>
      <c r="EY345" s="235"/>
      <c r="FH345" s="235"/>
      <c r="FM345" s="235"/>
      <c r="FS345" s="235"/>
      <c r="GA345" s="235"/>
      <c r="GF345" s="235"/>
      <c r="GR345" s="235"/>
      <c r="HB345" s="235"/>
    </row>
    <row r="346" spans="3:210" ht="13" x14ac:dyDescent="0.3">
      <c r="C346" s="224" t="s">
        <v>825</v>
      </c>
      <c r="AE346" s="235"/>
      <c r="AH346" s="235"/>
      <c r="AI346" s="102"/>
      <c r="AK346" s="235"/>
      <c r="AN346" s="235"/>
      <c r="AS346" s="235"/>
      <c r="BE346" s="235"/>
      <c r="BL346" s="235"/>
      <c r="CB346" s="235"/>
      <c r="CI346" s="235"/>
      <c r="CN346" s="235"/>
      <c r="CX346" s="235"/>
      <c r="CY346" s="235"/>
      <c r="CZ346" s="235"/>
      <c r="DL346" s="235"/>
      <c r="DM346" s="235"/>
      <c r="DO346" s="235"/>
      <c r="DP346" s="235"/>
      <c r="DQ346" s="235"/>
      <c r="DS346" s="235"/>
      <c r="DT346" s="235"/>
      <c r="EY346" s="235"/>
      <c r="FH346" s="235"/>
      <c r="FM346" s="235"/>
      <c r="FS346" s="235"/>
      <c r="GA346" s="235"/>
      <c r="GF346" s="235"/>
      <c r="GR346" s="235"/>
      <c r="HB346" s="235"/>
    </row>
    <row r="347" spans="3:210" ht="13" x14ac:dyDescent="0.3">
      <c r="C347" s="230" t="s">
        <v>826</v>
      </c>
      <c r="AE347" s="235">
        <f>AE259/1000</f>
        <v>0</v>
      </c>
      <c r="AH347" s="235">
        <f>AH259/1000</f>
        <v>0</v>
      </c>
      <c r="AI347" s="102"/>
      <c r="AK347" s="235">
        <f>AK259/1000</f>
        <v>0</v>
      </c>
      <c r="AN347" s="235">
        <f>AN259/1000</f>
        <v>0</v>
      </c>
      <c r="AS347" s="235">
        <f>AS259/1000</f>
        <v>0</v>
      </c>
      <c r="BE347" s="235">
        <f>BE259/1000</f>
        <v>0</v>
      </c>
      <c r="BL347" s="235">
        <f>BL259/1000</f>
        <v>0</v>
      </c>
      <c r="CB347" s="235">
        <f>CB259/1000</f>
        <v>0</v>
      </c>
      <c r="CI347" s="235">
        <f>CI259/1000</f>
        <v>-11.811</v>
      </c>
      <c r="CN347" s="235">
        <f>CN259/1000</f>
        <v>0</v>
      </c>
      <c r="CX347" s="235">
        <f>CX259/1000</f>
        <v>0</v>
      </c>
      <c r="CY347" s="235">
        <f>CY259/1000</f>
        <v>0</v>
      </c>
      <c r="CZ347" s="235">
        <f>CZ259/1000</f>
        <v>0</v>
      </c>
      <c r="DA347">
        <f>+(CX347+CY347+CZ347)*1000</f>
        <v>0</v>
      </c>
      <c r="DL347" s="235">
        <f>DL259/1000</f>
        <v>0</v>
      </c>
      <c r="DM347" s="235">
        <f>DM259/1000</f>
        <v>0</v>
      </c>
      <c r="DO347" s="235">
        <f>DO259/1000</f>
        <v>0</v>
      </c>
      <c r="DP347" s="235">
        <f>DP259/1000</f>
        <v>0</v>
      </c>
      <c r="DQ347" s="235">
        <f>DQ259/1000</f>
        <v>0</v>
      </c>
      <c r="DS347" s="235">
        <f>DS259/1000</f>
        <v>0</v>
      </c>
      <c r="DT347" s="235">
        <f>DT259/1000</f>
        <v>0</v>
      </c>
      <c r="EY347" s="235">
        <f>EY259/1000</f>
        <v>0</v>
      </c>
      <c r="FH347" s="235">
        <f>FH259/1000</f>
        <v>0</v>
      </c>
      <c r="FM347" s="235">
        <f>FM259/1000</f>
        <v>-9.6031609539207761</v>
      </c>
      <c r="FS347" s="235">
        <f>FS259/1000</f>
        <v>-8.164262247372676</v>
      </c>
      <c r="GA347" s="235">
        <f>GA259/1000</f>
        <v>-22.535744462409056</v>
      </c>
      <c r="GF347" s="235">
        <f>GF259/1000</f>
        <v>-3.0038323362974944</v>
      </c>
      <c r="GR347" s="235">
        <f>GR259/1000</f>
        <v>0</v>
      </c>
      <c r="HB347" s="235">
        <f>HB259/1000</f>
        <v>0</v>
      </c>
    </row>
    <row r="348" spans="3:210" ht="26" x14ac:dyDescent="0.3">
      <c r="C348" s="229" t="s">
        <v>827</v>
      </c>
      <c r="AE348" s="235"/>
      <c r="AH348" s="235"/>
      <c r="AI348" s="102"/>
      <c r="AK348" s="235"/>
      <c r="AN348" s="235"/>
      <c r="AS348" s="235"/>
      <c r="BE348" s="235"/>
      <c r="BL348" s="235"/>
      <c r="CB348" s="235"/>
      <c r="CI348" s="235"/>
      <c r="CN348" s="235"/>
      <c r="CX348" s="235"/>
      <c r="CY348" s="235"/>
      <c r="CZ348" s="235"/>
      <c r="DL348" s="235"/>
      <c r="DM348" s="235"/>
      <c r="DO348" s="235"/>
      <c r="DP348" s="235"/>
      <c r="DQ348" s="235"/>
      <c r="DS348" s="235"/>
      <c r="DT348" s="235"/>
      <c r="EY348" s="235"/>
      <c r="FH348" s="235"/>
      <c r="FM348" s="235"/>
      <c r="FS348" s="235"/>
      <c r="GA348" s="235"/>
      <c r="GF348" s="235"/>
      <c r="GR348" s="235"/>
      <c r="HB348" s="235"/>
    </row>
    <row r="349" spans="3:210" ht="13" x14ac:dyDescent="0.3">
      <c r="C349" s="229" t="s">
        <v>828</v>
      </c>
      <c r="AE349" s="235"/>
      <c r="AH349" s="235"/>
      <c r="AI349" s="102"/>
      <c r="AK349" s="235"/>
      <c r="AN349" s="235"/>
      <c r="AS349" s="235"/>
      <c r="BE349" s="235"/>
      <c r="BL349" s="235"/>
      <c r="CB349" s="235"/>
      <c r="CI349" s="235"/>
      <c r="CN349" s="235"/>
      <c r="CX349" s="235"/>
      <c r="CY349" s="235"/>
      <c r="CZ349" s="235"/>
      <c r="DL349" s="235"/>
      <c r="DM349" s="235"/>
      <c r="DO349" s="235"/>
      <c r="DP349" s="235"/>
      <c r="DQ349" s="235"/>
      <c r="DS349" s="235"/>
      <c r="DT349" s="235"/>
      <c r="EY349" s="235"/>
      <c r="FH349" s="235"/>
      <c r="FM349" s="235"/>
      <c r="FS349" s="235"/>
      <c r="GA349" s="235"/>
      <c r="GF349" s="235"/>
      <c r="GR349" s="235"/>
      <c r="HB349" s="235"/>
    </row>
    <row r="350" spans="3:210" ht="13" x14ac:dyDescent="0.3">
      <c r="C350" s="231" t="s">
        <v>703</v>
      </c>
      <c r="AE350" s="235"/>
      <c r="AH350" s="235"/>
      <c r="AI350" s="102"/>
      <c r="AK350" s="235"/>
      <c r="AN350" s="235"/>
      <c r="AS350" s="235"/>
      <c r="BE350" s="235"/>
      <c r="BL350" s="235"/>
      <c r="CB350" s="235"/>
      <c r="CI350" s="235"/>
      <c r="CN350" s="235"/>
      <c r="CX350" s="235"/>
      <c r="CY350" s="235"/>
      <c r="CZ350" s="235"/>
      <c r="DL350" s="235"/>
      <c r="DM350" s="235"/>
      <c r="DO350" s="235"/>
      <c r="DP350" s="235"/>
      <c r="DQ350" s="235"/>
      <c r="DS350" s="235"/>
      <c r="DT350" s="235"/>
      <c r="EY350" s="235"/>
      <c r="FH350" s="235"/>
      <c r="FM350" s="235"/>
      <c r="FS350" s="235"/>
      <c r="GA350" s="235"/>
      <c r="GF350" s="235"/>
      <c r="GR350" s="235"/>
      <c r="HB350" s="235"/>
    </row>
    <row r="351" spans="3:210" ht="26" x14ac:dyDescent="0.3">
      <c r="C351" s="232" t="s">
        <v>713</v>
      </c>
      <c r="AE351" s="235">
        <f>W286/1000</f>
        <v>0</v>
      </c>
      <c r="AH351" s="235">
        <f>Z286/1000</f>
        <v>0</v>
      </c>
      <c r="AI351" s="102"/>
      <c r="AK351" s="235">
        <f>AB286/1000</f>
        <v>0</v>
      </c>
      <c r="AN351" s="235">
        <f>AE286/1000</f>
        <v>0</v>
      </c>
      <c r="AS351" s="235">
        <f>AK286/1000</f>
        <v>0</v>
      </c>
      <c r="BE351" s="235">
        <f>AV286/1000</f>
        <v>0</v>
      </c>
      <c r="BL351" s="235">
        <f>BD286/1000</f>
        <v>0</v>
      </c>
      <c r="CB351" s="235">
        <f>BM286/1000</f>
        <v>43994.337013176606</v>
      </c>
      <c r="CI351" s="235">
        <f>CA286/1000</f>
        <v>0</v>
      </c>
      <c r="CN351" s="235">
        <f>CE286/1000</f>
        <v>0</v>
      </c>
      <c r="CX351" s="235">
        <f>CP286/1000</f>
        <v>0</v>
      </c>
      <c r="CY351" s="235">
        <f>CQ286/1000</f>
        <v>0</v>
      </c>
      <c r="CZ351" s="235">
        <v>0</v>
      </c>
      <c r="DA351">
        <f>+(CX351+CY351+CZ351)*1000</f>
        <v>0</v>
      </c>
      <c r="DL351" s="235">
        <f>DB286/1000</f>
        <v>0</v>
      </c>
      <c r="DM351" s="235">
        <f>DC286/1000</f>
        <v>45303.654831190237</v>
      </c>
      <c r="DO351" s="235">
        <f>DE286/1000</f>
        <v>0</v>
      </c>
      <c r="DP351" s="235">
        <f>DG286/1000</f>
        <v>0</v>
      </c>
      <c r="DQ351" s="235">
        <f>DH286/1000</f>
        <v>0</v>
      </c>
      <c r="DS351" s="235">
        <f>DK286/1000</f>
        <v>0</v>
      </c>
      <c r="DT351" s="235">
        <f>DL286/1000</f>
        <v>0</v>
      </c>
      <c r="EY351" s="235">
        <f>EQ286/1000</f>
        <v>0</v>
      </c>
      <c r="FH351" s="235">
        <f>EZ286/1000</f>
        <v>0</v>
      </c>
      <c r="FM351" s="235">
        <f>FD286/1000</f>
        <v>0</v>
      </c>
      <c r="FS351" s="235">
        <f>FH286/1000</f>
        <v>0</v>
      </c>
      <c r="GA351" s="235">
        <f>FP286/1000</f>
        <v>0</v>
      </c>
      <c r="GF351" s="235">
        <f>FX286/1000</f>
        <v>0</v>
      </c>
      <c r="GR351" s="235">
        <f>GH286/1000</f>
        <v>0</v>
      </c>
      <c r="HB351" s="235">
        <f>GS286/1000</f>
        <v>0</v>
      </c>
    </row>
    <row r="352" spans="3:210" ht="13" x14ac:dyDescent="0.3">
      <c r="C352" s="145" t="s">
        <v>714</v>
      </c>
      <c r="AE352" s="235"/>
      <c r="AH352" s="235"/>
      <c r="AI352" s="102"/>
      <c r="AK352" s="235"/>
      <c r="AN352" s="235"/>
      <c r="AS352" s="235"/>
      <c r="BE352" s="235"/>
      <c r="BL352" s="235"/>
      <c r="CB352" s="235"/>
      <c r="CI352" s="235"/>
      <c r="CN352" s="235"/>
      <c r="CX352" s="235"/>
      <c r="CY352" s="235"/>
      <c r="CZ352" s="235"/>
      <c r="DL352" s="235"/>
      <c r="DM352" s="235"/>
      <c r="DO352" s="235"/>
      <c r="DP352" s="235"/>
      <c r="DQ352" s="235"/>
      <c r="DS352" s="235"/>
      <c r="DT352" s="235"/>
      <c r="EY352" s="235"/>
      <c r="FH352" s="235"/>
      <c r="FM352" s="235"/>
      <c r="FS352" s="235"/>
      <c r="GA352" s="235"/>
      <c r="GF352" s="235"/>
      <c r="GR352" s="235"/>
      <c r="HB352" s="235"/>
    </row>
    <row r="353" spans="2:210" ht="13" x14ac:dyDescent="0.3">
      <c r="AE353" s="235"/>
      <c r="AH353" s="235"/>
      <c r="AI353" s="102"/>
      <c r="AK353" s="235"/>
      <c r="AN353" s="235"/>
      <c r="AS353" s="235"/>
      <c r="BE353" s="235"/>
      <c r="BL353" s="235"/>
      <c r="CB353" s="235"/>
      <c r="CI353" s="235"/>
      <c r="CN353" s="235"/>
      <c r="CX353" s="235"/>
      <c r="CY353" s="235"/>
      <c r="CZ353" s="235"/>
      <c r="DL353" s="235"/>
      <c r="DM353" s="235"/>
      <c r="DO353" s="235"/>
      <c r="DP353" s="235"/>
      <c r="DQ353" s="235"/>
      <c r="DS353" s="235"/>
      <c r="DT353" s="235"/>
      <c r="EY353" s="235"/>
      <c r="FH353" s="235"/>
      <c r="FM353" s="235"/>
      <c r="FS353" s="235"/>
      <c r="GA353" s="235"/>
      <c r="GF353" s="235"/>
      <c r="GR353" s="235"/>
      <c r="HB353" s="235"/>
    </row>
    <row r="354" spans="2:210" ht="13" x14ac:dyDescent="0.3">
      <c r="C354" s="233" t="s">
        <v>829</v>
      </c>
      <c r="AE354" s="235">
        <f>(AE105+AE106+AE110+AE113+AE114+AE119+AE121+AE122+AE124)/1000</f>
        <v>941.66700000000003</v>
      </c>
      <c r="AH354" s="235">
        <f>(AH105+AH106+AH110+AH113+AH114+AH119+AH121+AH122+AH124)/1000</f>
        <v>0</v>
      </c>
      <c r="AI354" s="102"/>
      <c r="AK354" s="235">
        <f>(AK105+AK106+AK110+AK113+AK114+AK119+AK121+AK122+AK124)/1000</f>
        <v>2596.9603139254086</v>
      </c>
      <c r="AN354" s="235">
        <f>(AN105+AN106+AN110+AN113+AN114+AN119+AN121+AN122+AN124)/1000</f>
        <v>0</v>
      </c>
      <c r="AS354" s="235">
        <f>(AS105+AS106+AS110+AS113+AS114+AS119+AS121+AS122+AS124)/1000</f>
        <v>3508.4879227260526</v>
      </c>
      <c r="BE354" s="235">
        <f>(BE105+BE106+BE110+BE113+BE114+BE119+BE121+BE122+BE124)/1000</f>
        <v>3903.3376541454254</v>
      </c>
      <c r="BL354" s="235">
        <f>(BL105+BL106+BL110+BL113+BL114+BL119+BL121+BL122+BL124)/1000</f>
        <v>1987.3541706466326</v>
      </c>
      <c r="CB354" s="235">
        <f>(CB105+CB106+CB110+CB113+CB114+CB119+CB121+CB122+CB124)/1000</f>
        <v>6509.3801993560501</v>
      </c>
      <c r="CI354" s="235">
        <f>(CI105+CI106+CI110+CI113+CI114+CI119+CI121+CI122+CI124)/1000</f>
        <v>1680.5353140595653</v>
      </c>
      <c r="CN354" s="235">
        <f>(CN105+CN106+CN110+CN113+CN114+CN119+CN121+CN122+CN124)/1000</f>
        <v>1103.2014251408639</v>
      </c>
      <c r="CX354" s="235">
        <f>(CX105+CX106+CX110+CX113+CX114+CX119+CX121+CX122+CX124)/1000</f>
        <v>2269.348</v>
      </c>
      <c r="CY354" s="235">
        <f>(CY105+CY106+CY110+CY113+CY114+CY119+CY121+CY122+CY124)/1000</f>
        <v>1713.115</v>
      </c>
      <c r="CZ354" s="235">
        <f>(CZ105+CZ106+CZ110+CZ113+CZ114+CZ119+CZ121+CZ122+CZ124)/1000</f>
        <v>0</v>
      </c>
      <c r="DA354">
        <f>+(CX354+CY354+CZ354)*1000</f>
        <v>3982462.9999999995</v>
      </c>
      <c r="DL354" s="235">
        <f>(DL105+DL106+DL110+DL113+DL114+DL119+DL121+DL122+DL124)/1000</f>
        <v>1091.8330000000001</v>
      </c>
      <c r="DM354" s="235">
        <f>(DM105+DM106+DM110+DM113+DM114+DM119+DM121+DM122+DM124)/1000</f>
        <v>0</v>
      </c>
      <c r="DO354" s="235">
        <f>(DO105+DO106+DO110+DO113+DO114+DO119+DO121+DO122+DO124)/1000</f>
        <v>0</v>
      </c>
      <c r="DP354" s="235">
        <f>(DP105+DP106+DP110+DP113+DP114+DP119+DP121+DP122+DP124)/1000</f>
        <v>0</v>
      </c>
      <c r="DQ354" s="235">
        <f>(DQ105+DQ106+DQ110+DQ113+DQ114+DQ119+DQ121+DQ122+DQ124)/1000</f>
        <v>0</v>
      </c>
      <c r="DS354" s="235">
        <f>(DS105+DS106+DS110+DS113+DS114+DS119+DS121+DS122+DS124)/1000</f>
        <v>0</v>
      </c>
      <c r="DT354" s="235">
        <f>(DT105+DT106+DT110+DT113+DT114+DT119+DT121+DT122+DT124)/1000</f>
        <v>0</v>
      </c>
      <c r="EY354" s="679">
        <f>(EY105+EY106+EY110+EY113+EY114+EY119+EY121+EY122+EY124)/1000</f>
        <v>1964.837</v>
      </c>
      <c r="FH354" s="235">
        <f>(FH105+FH106+FH110+FH113+FH114+FH119+FH121+FH122+FH124)/1000</f>
        <v>0</v>
      </c>
      <c r="FM354" s="235">
        <f>(FM105+FM106+FM110+FM113+FM114+FM119+FM121+FM122+FM124)/1000</f>
        <v>4048.1372870654809</v>
      </c>
      <c r="FS354" s="235">
        <f>(FS105+FS106+FS110+FS113+FS114+FS119+FS121+FS122+FS124)/1000</f>
        <v>3090.9843220695229</v>
      </c>
      <c r="GA354" s="235">
        <f>(GA105+GA106+GA110+GA113+GA114+GA119+GA121+GA122+GA124)/1000</f>
        <v>9914.4102157639445</v>
      </c>
      <c r="GF354" s="235">
        <f>(GF105+GF106+GF110+GF113+GF114+GF119+GF121+GF122+GF124)/1000</f>
        <v>1426.1011751010508</v>
      </c>
      <c r="GR354" s="235">
        <f>(GR105+GR106+GR110+GR113+GR114+GR119+GR121+GR122+GR124)/1000</f>
        <v>0</v>
      </c>
      <c r="HB354" s="235">
        <f>(HB105+HB106+HB110+HB113+HB114+HB119+HB121+HB122+HB124)/1000</f>
        <v>2190.413</v>
      </c>
    </row>
    <row r="355" spans="2:210" ht="13" x14ac:dyDescent="0.3">
      <c r="C355" s="233"/>
      <c r="AE355" s="235"/>
      <c r="AH355" s="235"/>
      <c r="AI355" s="102"/>
      <c r="AK355" s="235"/>
      <c r="AN355" s="235"/>
      <c r="AS355" s="235"/>
      <c r="BE355" s="235"/>
      <c r="BL355" s="235"/>
      <c r="CB355" s="235"/>
      <c r="CI355" s="235"/>
      <c r="CN355" s="235"/>
      <c r="CX355" s="235"/>
      <c r="CY355" s="235"/>
      <c r="CZ355" s="235"/>
      <c r="DL355" s="235"/>
      <c r="DM355" s="235"/>
      <c r="DO355" s="235"/>
      <c r="DP355" s="235"/>
      <c r="DQ355" s="235"/>
      <c r="DS355" s="235"/>
      <c r="DT355" s="235"/>
      <c r="EY355" s="235"/>
      <c r="FH355" s="235"/>
      <c r="FM355" s="235"/>
      <c r="FS355" s="235"/>
      <c r="GA355" s="235"/>
      <c r="GF355" s="235"/>
      <c r="GR355" s="235"/>
      <c r="HB355" s="235"/>
    </row>
    <row r="356" spans="2:210" ht="13" x14ac:dyDescent="0.3">
      <c r="C356" s="233" t="s">
        <v>830</v>
      </c>
      <c r="AE356" s="235">
        <f>(AE125+AE128+AE135+AE136)/1000</f>
        <v>136.53800000000001</v>
      </c>
      <c r="AH356" s="235">
        <f>(AH125+AH128+AH135+AH136)/1000</f>
        <v>0</v>
      </c>
      <c r="AI356" s="102"/>
      <c r="AK356" s="235">
        <f>(AK125+AK128+AK135+AK136)/1000</f>
        <v>360.59138601198458</v>
      </c>
      <c r="AN356" s="235">
        <f>(AN125+AN128+AN135+AN136)/1000</f>
        <v>0</v>
      </c>
      <c r="AS356" s="235">
        <f>(AS125+AS128+AS135+AS136)/1000</f>
        <v>313.37563831499864</v>
      </c>
      <c r="BE356" s="235">
        <f>(BE125+BE128+BE135+BE136)/1000</f>
        <v>519.1847006528933</v>
      </c>
      <c r="BL356" s="235">
        <f>(BL125+BL128+BL135+BL136)/1000</f>
        <v>129.33196538771131</v>
      </c>
      <c r="CB356" s="235">
        <f>(CB125+CB128+CB135+CB136)/1000</f>
        <v>544.76219698595833</v>
      </c>
      <c r="CI356" s="235">
        <f>(CI125+CI128+CI135+CI136)/1000</f>
        <v>163.63300469546553</v>
      </c>
      <c r="CN356" s="235">
        <f>(CN125+CN128+CN135+CN136)/1000</f>
        <v>111.45360795098829</v>
      </c>
      <c r="CX356" s="235">
        <f>(CX125+CX128+CX135+CX136)/1000</f>
        <v>597.41600000000005</v>
      </c>
      <c r="CY356" s="235">
        <f>(CY125+CY128+CY135+CY136)/1000</f>
        <v>0</v>
      </c>
      <c r="CZ356" s="235">
        <f>(CZ125+CZ128+CZ135+CZ136)/1000</f>
        <v>0</v>
      </c>
      <c r="DA356">
        <f>+(CX356+CY356+CZ356)*1000</f>
        <v>597416</v>
      </c>
      <c r="DL356" s="235">
        <f>(DL125+DL128+DL135+DL136)/1000</f>
        <v>151.767</v>
      </c>
      <c r="DM356" s="235">
        <f>(DM125+DM128+DM135+DM136)/1000</f>
        <v>0</v>
      </c>
      <c r="DO356" s="235">
        <f>(DO125+DO128+DO135+DO136)/1000</f>
        <v>0</v>
      </c>
      <c r="DP356" s="235">
        <f>(DP125+DP128+DP135+DP136)/1000</f>
        <v>0</v>
      </c>
      <c r="DQ356" s="235">
        <f>(DQ125+DQ128+DQ135+DQ136)/1000</f>
        <v>0</v>
      </c>
      <c r="DS356" s="235">
        <f>(DS125+DS128+DS135+DS136)/1000</f>
        <v>0</v>
      </c>
      <c r="DT356" s="235">
        <f>(DT125+DT128+DT135+DT136)/1000</f>
        <v>0</v>
      </c>
      <c r="EY356" s="679">
        <f>(EY125+EY128+EY135+EY136)/1000</f>
        <v>241.34649999999999</v>
      </c>
      <c r="FH356" s="235">
        <f>(FH125+FH128+FH135+FH136)/1000</f>
        <v>0</v>
      </c>
      <c r="FM356" s="235">
        <f>(FM125+FM128+FM135+FM136)/1000</f>
        <v>608.14583419563462</v>
      </c>
      <c r="FS356" s="235">
        <f>(FS125+FS128+FS135+FS136)/1000</f>
        <v>457.6866585286985</v>
      </c>
      <c r="GA356" s="235">
        <f>(GA125+GA128+GA135+GA136)/1000</f>
        <v>1427.2761989490705</v>
      </c>
      <c r="GF356" s="235">
        <f>(GF125+GF128+GF135+GF136)/1000</f>
        <v>207.92930832659661</v>
      </c>
      <c r="GR356" s="235">
        <f>(GR125+GR128+GR135+GR136)/1000</f>
        <v>0</v>
      </c>
      <c r="HB356" s="235">
        <f>(HB125+HB128+HB135+HB136)/1000</f>
        <v>321.82400000000001</v>
      </c>
    </row>
    <row r="357" spans="2:210" ht="13" x14ac:dyDescent="0.3">
      <c r="AE357" s="235"/>
      <c r="AH357" s="235"/>
      <c r="AI357" s="102"/>
      <c r="AK357" s="235"/>
      <c r="AN357" s="235"/>
      <c r="AS357" s="235"/>
      <c r="BE357" s="235"/>
      <c r="BL357" s="235"/>
      <c r="CB357" s="235"/>
      <c r="CI357" s="235"/>
      <c r="CN357" s="235"/>
      <c r="CX357" s="235"/>
      <c r="CY357" s="235"/>
      <c r="CZ357" s="235"/>
      <c r="DL357" s="235"/>
      <c r="DM357" s="235"/>
      <c r="DO357" s="235"/>
      <c r="DP357" s="235"/>
      <c r="DQ357" s="235"/>
      <c r="DS357" s="235"/>
      <c r="DT357" s="235"/>
      <c r="EY357" s="235"/>
      <c r="FH357" s="235"/>
      <c r="FM357" s="235"/>
      <c r="FS357" s="235"/>
      <c r="GA357" s="235"/>
      <c r="GF357" s="235"/>
      <c r="GR357" s="235"/>
      <c r="HB357" s="235"/>
    </row>
    <row r="358" spans="2:210" ht="13" x14ac:dyDescent="0.3">
      <c r="C358" s="1" t="s">
        <v>831</v>
      </c>
      <c r="AE358" s="235">
        <f>SUM(AE325:AE356)</f>
        <v>52218.42164800001</v>
      </c>
      <c r="AH358" s="235">
        <f>SUM(AH325:AH356)</f>
        <v>0</v>
      </c>
      <c r="AI358" s="102"/>
      <c r="AK358" s="235">
        <f>SUM(AK325:AK356)</f>
        <v>102625.81851353084</v>
      </c>
      <c r="AN358" s="235">
        <f>SUM(AN325:AN356)</f>
        <v>-918.33350759999985</v>
      </c>
      <c r="AS358" s="235">
        <f>SUM(AS325:AS356)</f>
        <v>611.38448305909174</v>
      </c>
      <c r="BE358" s="235">
        <f>SUM(BE325:BE356)</f>
        <v>231107.23102364567</v>
      </c>
      <c r="BL358" s="235">
        <f>SUM(BL325:BL356)</f>
        <v>53116.426221194532</v>
      </c>
      <c r="BV358" s="235">
        <f>SUM(BV325:BV356)</f>
        <v>-1531.1855099999993</v>
      </c>
      <c r="CA358" s="235">
        <f>SUM(CA325:CA356)</f>
        <v>955.05887000000439</v>
      </c>
      <c r="CB358" s="235">
        <f>SUM(CB325:CB356)</f>
        <v>276001.87789170543</v>
      </c>
      <c r="CI358" s="235">
        <f>SUM(CI325:CI356)</f>
        <v>63370.672151698411</v>
      </c>
      <c r="CN358" s="235">
        <f>SUM(CN325:CN356)</f>
        <v>60080.791603542639</v>
      </c>
      <c r="CX358" s="235">
        <f>SUM(CX325:CX356)</f>
        <v>410817.06001000007</v>
      </c>
      <c r="CY358" s="235">
        <f>SUM(CY325:CY356)</f>
        <v>135216.17165000003</v>
      </c>
      <c r="CZ358" s="235">
        <f>SUM(CZ325:CZ356)</f>
        <v>3832.6005199999995</v>
      </c>
      <c r="DA358">
        <f>+(CX358+CY358+CZ358)*1000</f>
        <v>549865832.18000007</v>
      </c>
      <c r="DL358" s="235">
        <f>SUM(DL325:DL356)</f>
        <v>84.495439999993039</v>
      </c>
      <c r="DM358" s="235">
        <f>SUM(DM325:DM356)</f>
        <v>45309.797601190236</v>
      </c>
      <c r="DO358" s="235">
        <f>SUM(DO325:DO356)</f>
        <v>0</v>
      </c>
      <c r="DP358" s="235">
        <f>SUM(DP325:DP356)</f>
        <v>508</v>
      </c>
      <c r="DQ358" s="235">
        <f>SUM(DQ325:DQ356)</f>
        <v>0</v>
      </c>
      <c r="DS358" s="235">
        <f>SUM(DS325:DS356)</f>
        <v>0</v>
      </c>
      <c r="DT358" s="235">
        <f>SUM(DT325:DT356)</f>
        <v>0</v>
      </c>
      <c r="EY358" s="235">
        <f>SUM(EY325:EY356)</f>
        <v>77712.080480000004</v>
      </c>
      <c r="FH358" s="235">
        <f>SUM(FH325:FH356)</f>
        <v>0</v>
      </c>
      <c r="FM358" s="235">
        <f>SUM(FM325:FM356)</f>
        <v>166659.89722184234</v>
      </c>
      <c r="FP358" s="235">
        <f>SUM(FP325:FP356)</f>
        <v>-2057.4620000000014</v>
      </c>
      <c r="FR358" s="235">
        <f>SUM(FR325:FR356)</f>
        <v>300.54500000000007</v>
      </c>
      <c r="FS358" s="235">
        <f>SUM(FS325:FS356)</f>
        <v>206212.60062042522</v>
      </c>
      <c r="GA358" s="235">
        <f>SUM(GA325:GA356)</f>
        <v>493615.54443616082</v>
      </c>
      <c r="GD358" s="235">
        <f t="shared" ref="GD358:GE358" si="783">SUM(GD325:GD356)</f>
        <v>-206.52100000000064</v>
      </c>
      <c r="GE358" s="235">
        <f t="shared" si="783"/>
        <v>-1029.3470000000002</v>
      </c>
      <c r="GF358" s="235">
        <f>SUM(GF325:GF356)</f>
        <v>527093.33345157141</v>
      </c>
      <c r="GR358" s="235">
        <f>SUM(GR325:GR356)</f>
        <v>0</v>
      </c>
      <c r="HB358" s="235">
        <f>SUM(HB325:HB356)</f>
        <v>-28620.76309999996</v>
      </c>
    </row>
    <row r="359" spans="2:210" ht="13" x14ac:dyDescent="0.3">
      <c r="AE359" s="235"/>
      <c r="AH359" s="235"/>
      <c r="AI359" s="102"/>
      <c r="AK359" s="235"/>
      <c r="AN359" s="235"/>
      <c r="AS359" s="235"/>
      <c r="BE359" s="235"/>
      <c r="BL359" s="235"/>
      <c r="BV359" s="235"/>
      <c r="CA359" s="235"/>
      <c r="CB359" s="235"/>
      <c r="CI359" s="235"/>
      <c r="CN359" s="235"/>
      <c r="CX359" s="235"/>
      <c r="CY359" s="235"/>
      <c r="CZ359" s="235"/>
      <c r="DL359" s="235"/>
      <c r="DM359" s="235"/>
      <c r="DO359" s="235"/>
      <c r="DP359" s="235"/>
      <c r="DQ359" s="235"/>
      <c r="DS359" s="235"/>
      <c r="DT359" s="235"/>
      <c r="EY359" s="235"/>
      <c r="FH359" s="235"/>
      <c r="FM359" s="235"/>
      <c r="FP359" s="235"/>
      <c r="FR359" s="235"/>
      <c r="FS359" s="235"/>
      <c r="GA359" s="235"/>
      <c r="GD359" s="235"/>
      <c r="GE359" s="235"/>
      <c r="GF359" s="235"/>
      <c r="GR359" s="235"/>
      <c r="HB359" s="235"/>
    </row>
    <row r="360" spans="2:210" ht="13" x14ac:dyDescent="0.3">
      <c r="C360" s="1" t="s">
        <v>1843</v>
      </c>
      <c r="AE360" s="235">
        <f>AE358-AE338</f>
        <v>52218.42164800001</v>
      </c>
      <c r="AH360" s="235">
        <f>AH358-AH338</f>
        <v>0</v>
      </c>
      <c r="AI360" s="102"/>
      <c r="AK360" s="235">
        <f>AK358-AK338</f>
        <v>102625.81851353084</v>
      </c>
      <c r="AN360" s="235">
        <f>AN358-AN338</f>
        <v>-918.33350759999985</v>
      </c>
      <c r="AS360" s="235">
        <f>AS358-AS338</f>
        <v>611.38448305909174</v>
      </c>
      <c r="BE360" s="235">
        <f>BE358-BE338</f>
        <v>231107.23102364567</v>
      </c>
      <c r="BL360" s="235">
        <f>BL358-BL338</f>
        <v>53116.426221194532</v>
      </c>
      <c r="BV360" s="235">
        <f>BV358-BV338</f>
        <v>-1531.1855099999993</v>
      </c>
      <c r="CA360" s="235">
        <f>CA358-CA338</f>
        <v>955.05887000000439</v>
      </c>
      <c r="CB360" s="235">
        <f>CB358-CB338</f>
        <v>276001.87789170543</v>
      </c>
      <c r="CI360" s="235">
        <f>CI358-CI338</f>
        <v>63370.672151698411</v>
      </c>
      <c r="CN360" s="235">
        <f>CN358-CN338</f>
        <v>60080.791603542639</v>
      </c>
      <c r="CX360" s="235">
        <f>CX358-CX338</f>
        <v>410817.06001000007</v>
      </c>
      <c r="CY360" s="235">
        <f>CY358-CY338</f>
        <v>135216.17165000003</v>
      </c>
      <c r="CZ360" s="235">
        <f>CZ358-CZ338</f>
        <v>3832.6005199999995</v>
      </c>
      <c r="DA360">
        <f>+(CX360+CY360+CZ360)*1000</f>
        <v>549865832.18000007</v>
      </c>
      <c r="DL360" s="235">
        <f>DL358-DL338</f>
        <v>84.495439999993039</v>
      </c>
      <c r="DM360" s="235">
        <f>DM358-DM338</f>
        <v>45309.797601190236</v>
      </c>
      <c r="DO360" s="235">
        <f>DO358-DO338</f>
        <v>0</v>
      </c>
      <c r="DP360" s="235">
        <f>DP358-DP338</f>
        <v>508</v>
      </c>
      <c r="DQ360" s="235">
        <f>DQ358-DQ338</f>
        <v>0</v>
      </c>
      <c r="DS360" s="235">
        <f>DS358-DS338</f>
        <v>0</v>
      </c>
      <c r="DT360" s="235">
        <f>DT358-DT338</f>
        <v>0</v>
      </c>
      <c r="EY360" s="235">
        <f>EY358-EY338</f>
        <v>77712.080480000004</v>
      </c>
      <c r="FH360" s="235">
        <f>FH358-FH338</f>
        <v>0</v>
      </c>
      <c r="FM360" s="235">
        <f>FM358-FM338</f>
        <v>166659.89722184234</v>
      </c>
      <c r="FP360" s="235">
        <f>FP358-FP338</f>
        <v>-2057.4620000000014</v>
      </c>
      <c r="FR360" s="235">
        <f>FR358-FR338</f>
        <v>300.54500000000007</v>
      </c>
      <c r="FS360" s="235">
        <f>FS358-FS338</f>
        <v>206212.60062042522</v>
      </c>
      <c r="GA360" s="235">
        <f>GA358-GA338</f>
        <v>471136.5574361608</v>
      </c>
      <c r="GD360" s="235">
        <f t="shared" ref="GD360:GE360" si="784">GD358-GD338</f>
        <v>-206.52100000000064</v>
      </c>
      <c r="GE360" s="235">
        <f t="shared" si="784"/>
        <v>-1029.3470000000002</v>
      </c>
      <c r="GF360" s="235">
        <f>GF358-GF338</f>
        <v>500381.23245157138</v>
      </c>
      <c r="GR360" s="235">
        <f>GR358-GR338</f>
        <v>0</v>
      </c>
      <c r="HB360" s="235">
        <f>HB358-HB338</f>
        <v>-28620.76309999996</v>
      </c>
    </row>
    <row r="361" spans="2:210" ht="13" x14ac:dyDescent="0.3">
      <c r="AE361" s="235"/>
      <c r="AH361" s="235"/>
      <c r="AI361" s="102"/>
      <c r="AK361" s="235"/>
      <c r="AN361" s="235"/>
      <c r="AS361" s="235"/>
      <c r="BE361" s="235"/>
      <c r="BL361" s="235"/>
      <c r="BV361" s="235"/>
      <c r="CA361" s="235"/>
      <c r="CB361" s="235"/>
      <c r="CI361" s="235"/>
      <c r="CN361" s="235"/>
      <c r="CX361" s="235"/>
      <c r="CY361" s="235"/>
      <c r="CZ361" s="235"/>
      <c r="DL361" s="235"/>
      <c r="DM361" s="235"/>
      <c r="DO361" s="235"/>
      <c r="DP361" s="235"/>
      <c r="DQ361" s="235"/>
      <c r="DS361" s="235"/>
      <c r="DT361" s="235"/>
      <c r="EY361" s="235"/>
      <c r="FH361" s="235"/>
      <c r="FM361" s="235"/>
      <c r="FP361" s="235"/>
      <c r="FR361" s="235"/>
      <c r="FS361" s="235"/>
      <c r="GA361" s="235"/>
      <c r="GD361" s="235"/>
      <c r="GE361" s="235"/>
      <c r="GF361" s="235"/>
      <c r="GR361" s="235"/>
      <c r="HB361" s="235"/>
    </row>
    <row r="362" spans="2:210" ht="13" x14ac:dyDescent="0.3">
      <c r="C362" s="1" t="s">
        <v>832</v>
      </c>
      <c r="AE362" s="235">
        <f>AE360-AE354-AE356</f>
        <v>51140.216648000009</v>
      </c>
      <c r="AH362" s="235">
        <f>AH360-AH354-AH356</f>
        <v>0</v>
      </c>
      <c r="AI362" s="102"/>
      <c r="AK362" s="235">
        <f>AK360-AK354-AK356</f>
        <v>99668.266813593451</v>
      </c>
      <c r="AN362" s="235">
        <f>AN360-AN354-AN356</f>
        <v>-918.33350759999985</v>
      </c>
      <c r="AS362" s="235">
        <f>AS360-AS354-AS356</f>
        <v>-3210.4790779819596</v>
      </c>
      <c r="BE362" s="235">
        <f>BE360-BE354-BE356</f>
        <v>226684.70866884734</v>
      </c>
      <c r="BL362" s="235">
        <f>BL360-BL354-BL356</f>
        <v>50999.740085160185</v>
      </c>
      <c r="BV362" s="235">
        <f>BV360-BV354-BV356</f>
        <v>-1531.1855099999993</v>
      </c>
      <c r="CA362" s="235">
        <f>CA360-CA354-CA356</f>
        <v>955.05887000000439</v>
      </c>
      <c r="CB362" s="235">
        <f>CB360-CB354-CB356</f>
        <v>268947.73549536342</v>
      </c>
      <c r="CI362" s="235">
        <f>CI360-CI354-CI356</f>
        <v>61526.503832943374</v>
      </c>
      <c r="CN362" s="235">
        <f>CN360-CN354-CN356</f>
        <v>58866.136570450792</v>
      </c>
      <c r="CX362" s="235">
        <f>CX360-CX354-CX356</f>
        <v>407950.29601000005</v>
      </c>
      <c r="CY362" s="235">
        <f>CY360-CY354-CY356</f>
        <v>133503.05665000004</v>
      </c>
      <c r="CZ362" s="235">
        <f>CZ360-CZ354-CZ356</f>
        <v>3832.6005199999995</v>
      </c>
      <c r="DA362">
        <f>+(CX362+CY362+CZ362)*1000</f>
        <v>545285953.18000007</v>
      </c>
      <c r="DL362" s="235">
        <f>DL360-DL354-DL356</f>
        <v>-1159.104560000007</v>
      </c>
      <c r="DM362" s="235">
        <f>DM360-DM354-DM356</f>
        <v>45309.797601190236</v>
      </c>
      <c r="DO362" s="235">
        <f>DO360-DO354-DO356</f>
        <v>0</v>
      </c>
      <c r="DP362" s="235">
        <f>DP360-DP354-DP356</f>
        <v>508</v>
      </c>
      <c r="DQ362" s="235">
        <f>DQ360-DQ354-DQ356</f>
        <v>0</v>
      </c>
      <c r="DS362" s="235">
        <f>DS360-DS354-DS356</f>
        <v>0</v>
      </c>
      <c r="DT362" s="235">
        <f>DT360-DT354-DT356</f>
        <v>0</v>
      </c>
      <c r="EY362" s="235">
        <f>EY360-EY354-EY356</f>
        <v>75505.896980000005</v>
      </c>
      <c r="FH362" s="235">
        <f>FH360-FH354-FH356</f>
        <v>0</v>
      </c>
      <c r="FM362" s="235">
        <f>FM360-FM354-FM356</f>
        <v>162003.61410058124</v>
      </c>
      <c r="FP362" s="235">
        <f>FP360-FP354-FP356</f>
        <v>-2057.4620000000014</v>
      </c>
      <c r="FR362" s="235">
        <f>FR360-FR354-FR356</f>
        <v>300.54500000000007</v>
      </c>
      <c r="FS362" s="235">
        <f>FS360-FS354-FS356</f>
        <v>202663.92963982699</v>
      </c>
      <c r="GA362" s="235">
        <f>GA360-GA354-GA356</f>
        <v>459794.87102144776</v>
      </c>
      <c r="GD362" s="235">
        <f t="shared" ref="GD362:GE362" si="785">GD360-GD354-GD356</f>
        <v>-206.52100000000064</v>
      </c>
      <c r="GE362" s="235">
        <f t="shared" si="785"/>
        <v>-1029.3470000000002</v>
      </c>
      <c r="GF362" s="235">
        <f>GF360-GF354-GF356</f>
        <v>498747.20196814369</v>
      </c>
      <c r="GR362" s="235">
        <f>GR360-GR354-GR356</f>
        <v>0</v>
      </c>
      <c r="HB362" s="235">
        <f>HB360-HB354-HB356</f>
        <v>-31133.000099999961</v>
      </c>
    </row>
    <row r="363" spans="2:210" ht="13" x14ac:dyDescent="0.3">
      <c r="AE363" s="235"/>
      <c r="AH363" s="235"/>
      <c r="AI363" s="102"/>
      <c r="AK363" s="235"/>
      <c r="AN363" s="235"/>
      <c r="AS363" s="235"/>
      <c r="BE363" s="235"/>
      <c r="BL363" s="235"/>
      <c r="BV363" s="235"/>
      <c r="CA363" s="235"/>
      <c r="CB363" s="235"/>
      <c r="CI363" s="235"/>
      <c r="CN363" s="235"/>
      <c r="CX363" s="235"/>
      <c r="CY363" s="235"/>
      <c r="CZ363" s="235"/>
      <c r="DL363" s="235"/>
      <c r="DM363" s="235"/>
      <c r="DO363" s="235"/>
      <c r="DP363" s="235"/>
      <c r="DQ363" s="235"/>
      <c r="DS363" s="235"/>
      <c r="DT363" s="235"/>
      <c r="EY363" s="235"/>
      <c r="FH363" s="235"/>
      <c r="FM363" s="235"/>
      <c r="FP363" s="235"/>
      <c r="FR363" s="235"/>
      <c r="FS363" s="235"/>
      <c r="GA363" s="235"/>
      <c r="GD363" s="235"/>
      <c r="GE363" s="235"/>
      <c r="GF363" s="235"/>
      <c r="GR363" s="235"/>
      <c r="HB363" s="235"/>
    </row>
    <row r="364" spans="2:210" ht="13" x14ac:dyDescent="0.3">
      <c r="C364" s="1" t="s">
        <v>833</v>
      </c>
      <c r="AE364" s="235">
        <f>AE360-AE351</f>
        <v>52218.42164800001</v>
      </c>
      <c r="AH364" s="235">
        <f>AH360-AH351</f>
        <v>0</v>
      </c>
      <c r="AI364" s="102"/>
      <c r="AK364" s="235">
        <f>AK360-AK351</f>
        <v>102625.81851353084</v>
      </c>
      <c r="AN364" s="235">
        <f>AN360-AN351</f>
        <v>-918.33350759999985</v>
      </c>
      <c r="AS364" s="235">
        <f>AS360-AS351</f>
        <v>611.38448305909174</v>
      </c>
      <c r="BE364" s="235">
        <f>BE360-BE351</f>
        <v>231107.23102364567</v>
      </c>
      <c r="BL364" s="235">
        <f>BL360-BL351</f>
        <v>53116.426221194532</v>
      </c>
      <c r="BV364" s="235">
        <f>BV360-BV351</f>
        <v>-1531.1855099999993</v>
      </c>
      <c r="CA364" s="235">
        <f>CA360-CA351</f>
        <v>955.05887000000439</v>
      </c>
      <c r="CB364" s="235">
        <f>CB360-CB351</f>
        <v>232007.54087852882</v>
      </c>
      <c r="CI364" s="235">
        <f>CI360-CI351</f>
        <v>63370.672151698411</v>
      </c>
      <c r="CN364" s="235">
        <f>CN360-CN351</f>
        <v>60080.791603542639</v>
      </c>
      <c r="CX364" s="235">
        <f>CX360-CX351</f>
        <v>410817.06001000007</v>
      </c>
      <c r="CY364" s="235">
        <f>CY360-CY351</f>
        <v>135216.17165000003</v>
      </c>
      <c r="CZ364" s="235">
        <f>CZ360-CZ351</f>
        <v>3832.6005199999995</v>
      </c>
      <c r="DA364">
        <f>+(CX364+CY364+CZ364)*1000</f>
        <v>549865832.18000007</v>
      </c>
      <c r="DL364" s="235">
        <f>DL360-DL351</f>
        <v>84.495439999993039</v>
      </c>
      <c r="DM364" s="235">
        <f>DM360-DM351</f>
        <v>6.1427699999985634</v>
      </c>
      <c r="DO364" s="235">
        <f>DO360-DO351</f>
        <v>0</v>
      </c>
      <c r="DP364" s="235">
        <f>DP360-DP351</f>
        <v>508</v>
      </c>
      <c r="DQ364" s="235">
        <f>DQ360-DQ351</f>
        <v>0</v>
      </c>
      <c r="DS364" s="235">
        <f>DS360-DS351</f>
        <v>0</v>
      </c>
      <c r="DT364" s="235">
        <f>DT360-DT351</f>
        <v>0</v>
      </c>
      <c r="EY364" s="235">
        <f>EY360-EY351</f>
        <v>77712.080480000004</v>
      </c>
      <c r="FH364" s="235">
        <f>FH360-FH351</f>
        <v>0</v>
      </c>
      <c r="FM364" s="235">
        <f>FM360-FM351</f>
        <v>166659.89722184234</v>
      </c>
      <c r="FP364" s="235">
        <f>FP360-FP351</f>
        <v>-2057.4620000000014</v>
      </c>
      <c r="FR364" s="235">
        <f>FR360-FR351</f>
        <v>300.54500000000007</v>
      </c>
      <c r="FS364" s="235">
        <f>FS360-FS351</f>
        <v>206212.60062042522</v>
      </c>
      <c r="GA364" s="235">
        <f>GA360-GA351</f>
        <v>471136.5574361608</v>
      </c>
      <c r="GD364" s="235">
        <f t="shared" ref="GD364:GE364" si="786">GD360-GD351</f>
        <v>-206.52100000000064</v>
      </c>
      <c r="GE364" s="235">
        <f t="shared" si="786"/>
        <v>-1029.3470000000002</v>
      </c>
      <c r="GF364" s="235">
        <f>GF360-GF351</f>
        <v>500381.23245157138</v>
      </c>
      <c r="GR364" s="235">
        <f>GR360-GR351</f>
        <v>0</v>
      </c>
      <c r="HB364" s="235">
        <f>HB360-HB351</f>
        <v>-28620.76309999996</v>
      </c>
    </row>
    <row r="365" spans="2:210" x14ac:dyDescent="0.25">
      <c r="CB365" s="6">
        <f>(+BV364+CA364+CB364)*1000</f>
        <v>231431414.23852882</v>
      </c>
      <c r="FS365" s="103">
        <f>(FP364+FR364+FS364)*1000</f>
        <v>204455683.62042522</v>
      </c>
      <c r="GF365" s="8">
        <f>(+GD364+GE364+GF364)*1000</f>
        <v>499145364.45157135</v>
      </c>
    </row>
    <row r="367" spans="2:210" x14ac:dyDescent="0.25">
      <c r="B367" s="327" t="s">
        <v>958</v>
      </c>
      <c r="C367" s="209"/>
    </row>
    <row r="368" spans="2:210" x14ac:dyDescent="0.25">
      <c r="B368" s="331" t="s">
        <v>949</v>
      </c>
      <c r="C368" s="331" t="s">
        <v>950</v>
      </c>
      <c r="D368" s="331" t="s">
        <v>951</v>
      </c>
      <c r="E368" s="328"/>
      <c r="F368" s="328"/>
      <c r="G368" s="328"/>
      <c r="H368" s="328"/>
    </row>
    <row r="369" spans="2:8" x14ac:dyDescent="0.25">
      <c r="B369" s="328"/>
      <c r="C369" s="328" t="s">
        <v>952</v>
      </c>
      <c r="D369" s="328"/>
      <c r="E369" s="329">
        <v>4419901</v>
      </c>
      <c r="F369" s="329">
        <v>3130159</v>
      </c>
      <c r="G369" s="329">
        <v>0</v>
      </c>
      <c r="H369" s="329">
        <v>1289742</v>
      </c>
    </row>
    <row r="370" spans="2:8" x14ac:dyDescent="0.25">
      <c r="B370" s="330">
        <v>43831</v>
      </c>
      <c r="C370" s="328" t="s">
        <v>1587</v>
      </c>
      <c r="D370" s="328"/>
      <c r="E370" s="329">
        <v>-4419901</v>
      </c>
      <c r="F370" s="329">
        <v>-3130159</v>
      </c>
      <c r="G370" s="329"/>
      <c r="H370" s="329">
        <v>0</v>
      </c>
    </row>
    <row r="371" spans="2:8" x14ac:dyDescent="0.25">
      <c r="B371" s="330"/>
      <c r="C371" s="328"/>
      <c r="D371" s="328"/>
      <c r="E371" s="329"/>
      <c r="F371" s="329"/>
      <c r="G371" s="329"/>
      <c r="H371" s="329"/>
    </row>
    <row r="372" spans="2:8" x14ac:dyDescent="0.25">
      <c r="B372" s="330"/>
      <c r="C372" s="328"/>
      <c r="D372" s="328"/>
      <c r="E372" s="329"/>
      <c r="F372" s="329"/>
      <c r="G372" s="329"/>
      <c r="H372" s="329"/>
    </row>
    <row r="373" spans="2:8" x14ac:dyDescent="0.25">
      <c r="B373" s="330"/>
      <c r="C373" s="328"/>
      <c r="D373" s="328"/>
      <c r="E373" s="329"/>
      <c r="F373" s="329"/>
      <c r="G373" s="329"/>
      <c r="H373" s="329"/>
    </row>
    <row r="374" spans="2:8" x14ac:dyDescent="0.25">
      <c r="B374" s="330"/>
      <c r="C374" s="328"/>
      <c r="D374" s="328"/>
      <c r="E374" s="329"/>
      <c r="F374" s="329"/>
      <c r="G374" s="329"/>
      <c r="H374" s="329"/>
    </row>
    <row r="375" spans="2:8" x14ac:dyDescent="0.25">
      <c r="B375" s="330"/>
      <c r="C375" s="328"/>
      <c r="D375" s="328"/>
      <c r="E375" s="329"/>
      <c r="F375" s="329"/>
      <c r="G375" s="329"/>
      <c r="H375" s="329"/>
    </row>
    <row r="376" spans="2:8" x14ac:dyDescent="0.25">
      <c r="B376" s="330"/>
      <c r="C376" s="328"/>
      <c r="D376" s="328"/>
      <c r="E376" s="329"/>
      <c r="F376" s="329"/>
      <c r="G376" s="329"/>
      <c r="H376" s="329"/>
    </row>
    <row r="377" spans="2:8" x14ac:dyDescent="0.25">
      <c r="B377" s="330"/>
      <c r="C377" s="328"/>
      <c r="D377" s="328"/>
      <c r="E377" s="329"/>
      <c r="F377" s="329"/>
      <c r="G377" s="329"/>
      <c r="H377" s="329"/>
    </row>
    <row r="378" spans="2:8" x14ac:dyDescent="0.25">
      <c r="B378" s="330"/>
      <c r="C378" s="328"/>
      <c r="D378" s="328"/>
      <c r="E378" s="329"/>
      <c r="F378" s="329"/>
      <c r="G378" s="329"/>
      <c r="H378" s="329"/>
    </row>
    <row r="379" spans="2:8" x14ac:dyDescent="0.25">
      <c r="B379" s="330"/>
      <c r="C379" s="328"/>
      <c r="D379" s="328"/>
      <c r="E379" s="329"/>
      <c r="F379" s="329"/>
      <c r="G379" s="329"/>
      <c r="H379" s="329"/>
    </row>
    <row r="380" spans="2:8" x14ac:dyDescent="0.25">
      <c r="B380" s="330"/>
      <c r="C380" s="328"/>
      <c r="D380" s="328"/>
      <c r="E380" s="329"/>
      <c r="F380" s="329"/>
      <c r="G380" s="329"/>
      <c r="H380" s="329"/>
    </row>
    <row r="381" spans="2:8" x14ac:dyDescent="0.25">
      <c r="B381" s="330"/>
      <c r="C381" s="328"/>
      <c r="D381" s="328"/>
      <c r="E381" s="329"/>
      <c r="F381" s="329"/>
      <c r="G381" s="329"/>
      <c r="H381" s="329"/>
    </row>
    <row r="382" spans="2:8" x14ac:dyDescent="0.25">
      <c r="B382" s="330"/>
      <c r="C382" s="328"/>
      <c r="D382" s="328"/>
      <c r="E382" s="329"/>
      <c r="F382" s="329"/>
      <c r="G382" s="329"/>
      <c r="H382" s="329"/>
    </row>
    <row r="383" spans="2:8" x14ac:dyDescent="0.25">
      <c r="B383" s="331"/>
      <c r="C383" s="331" t="s">
        <v>952</v>
      </c>
      <c r="D383" s="328"/>
      <c r="E383" s="333">
        <f>SUM(E369:E382)</f>
        <v>0</v>
      </c>
      <c r="F383" s="333">
        <f>F369</f>
        <v>3130159</v>
      </c>
      <c r="G383" s="333">
        <v>0</v>
      </c>
      <c r="H383" s="333">
        <f>H369</f>
        <v>1289742</v>
      </c>
    </row>
    <row r="384" spans="2:8" x14ac:dyDescent="0.25">
      <c r="B384" s="331"/>
      <c r="C384" s="331"/>
      <c r="D384" s="328"/>
      <c r="E384" s="332"/>
      <c r="F384" s="334">
        <f>SUM(F370:F381)</f>
        <v>-3130159</v>
      </c>
      <c r="G384" s="332"/>
      <c r="H384" s="334">
        <f>SUM(H370:H381)</f>
        <v>0</v>
      </c>
    </row>
    <row r="385" spans="2:8" x14ac:dyDescent="0.25">
      <c r="B385" s="331"/>
      <c r="C385" s="331" t="s">
        <v>953</v>
      </c>
      <c r="D385" s="328"/>
      <c r="E385" s="332"/>
      <c r="F385" s="334">
        <v>0</v>
      </c>
      <c r="G385" s="332"/>
      <c r="H385" s="334">
        <v>0</v>
      </c>
    </row>
    <row r="386" spans="2:8" x14ac:dyDescent="0.25">
      <c r="B386" s="331"/>
      <c r="C386" s="331" t="s">
        <v>954</v>
      </c>
      <c r="D386" s="328"/>
      <c r="E386" s="332">
        <f>E383-E385</f>
        <v>0</v>
      </c>
      <c r="F386" s="332">
        <f>F383+F385+F384</f>
        <v>0</v>
      </c>
      <c r="G386" s="332">
        <f>G383-G385</f>
        <v>0</v>
      </c>
      <c r="H386" s="332">
        <v>0</v>
      </c>
    </row>
    <row r="387" spans="2:8" x14ac:dyDescent="0.25">
      <c r="B387" s="328"/>
      <c r="C387" s="328"/>
      <c r="D387" s="328"/>
      <c r="E387" s="328"/>
      <c r="F387" s="328"/>
      <c r="G387" s="328"/>
      <c r="H387" s="328"/>
    </row>
    <row r="388" spans="2:8" x14ac:dyDescent="0.25">
      <c r="B388" s="328"/>
      <c r="C388" s="328"/>
      <c r="D388" s="328"/>
      <c r="E388" s="328"/>
      <c r="F388" s="328"/>
      <c r="G388" s="328"/>
      <c r="H388" s="328"/>
    </row>
    <row r="389" spans="2:8" x14ac:dyDescent="0.25">
      <c r="B389" s="331" t="s">
        <v>955</v>
      </c>
      <c r="C389" s="331" t="s">
        <v>956</v>
      </c>
      <c r="D389" s="331" t="s">
        <v>957</v>
      </c>
      <c r="E389" s="328"/>
      <c r="F389" s="328"/>
      <c r="G389" s="328"/>
      <c r="H389" s="328"/>
    </row>
    <row r="390" spans="2:8" x14ac:dyDescent="0.25">
      <c r="B390" s="328"/>
      <c r="C390" s="328" t="s">
        <v>952</v>
      </c>
      <c r="D390" s="328"/>
      <c r="E390" s="329">
        <v>5450199</v>
      </c>
      <c r="F390" s="329">
        <v>5450199</v>
      </c>
      <c r="G390" s="329">
        <v>0</v>
      </c>
      <c r="H390" s="329">
        <f>+E390-F390</f>
        <v>0</v>
      </c>
    </row>
    <row r="391" spans="2:8" x14ac:dyDescent="0.25">
      <c r="B391" s="330"/>
      <c r="C391" s="328"/>
      <c r="D391" s="328"/>
      <c r="E391" s="329"/>
      <c r="F391" s="329"/>
      <c r="G391" s="329"/>
      <c r="H391" s="329">
        <f>+H390+E391-F391</f>
        <v>0</v>
      </c>
    </row>
    <row r="392" spans="2:8" x14ac:dyDescent="0.25">
      <c r="B392" s="330"/>
      <c r="C392" s="328"/>
      <c r="D392" s="328"/>
      <c r="E392" s="329"/>
      <c r="F392" s="329"/>
      <c r="G392" s="329"/>
      <c r="H392" s="329">
        <f t="shared" ref="H392:H402" si="787">+H391+E392-F392</f>
        <v>0</v>
      </c>
    </row>
    <row r="393" spans="2:8" x14ac:dyDescent="0.25">
      <c r="B393" s="330"/>
      <c r="C393" s="328"/>
      <c r="D393" s="328"/>
      <c r="E393" s="329"/>
      <c r="F393" s="329"/>
      <c r="G393" s="329"/>
      <c r="H393" s="329">
        <f t="shared" si="787"/>
        <v>0</v>
      </c>
    </row>
    <row r="394" spans="2:8" x14ac:dyDescent="0.25">
      <c r="B394" s="330"/>
      <c r="C394" s="328"/>
      <c r="D394" s="328"/>
      <c r="E394" s="329"/>
      <c r="F394" s="329"/>
      <c r="G394" s="329"/>
      <c r="H394" s="329">
        <f t="shared" si="787"/>
        <v>0</v>
      </c>
    </row>
    <row r="395" spans="2:8" x14ac:dyDescent="0.25">
      <c r="B395" s="330"/>
      <c r="C395" s="328"/>
      <c r="D395" s="328"/>
      <c r="E395" s="329"/>
      <c r="F395" s="329"/>
      <c r="G395" s="329"/>
      <c r="H395" s="329">
        <f t="shared" si="787"/>
        <v>0</v>
      </c>
    </row>
    <row r="396" spans="2:8" x14ac:dyDescent="0.25">
      <c r="B396" s="330"/>
      <c r="C396" s="328"/>
      <c r="D396" s="328"/>
      <c r="E396" s="329"/>
      <c r="F396" s="329"/>
      <c r="G396" s="329"/>
      <c r="H396" s="329">
        <f t="shared" si="787"/>
        <v>0</v>
      </c>
    </row>
    <row r="397" spans="2:8" x14ac:dyDescent="0.25">
      <c r="B397" s="662"/>
      <c r="C397" s="664"/>
      <c r="D397" s="664"/>
      <c r="E397" s="663"/>
      <c r="F397" s="663"/>
      <c r="G397" s="329"/>
      <c r="H397" s="329">
        <f t="shared" si="787"/>
        <v>0</v>
      </c>
    </row>
    <row r="398" spans="2:8" x14ac:dyDescent="0.25">
      <c r="B398" s="662"/>
      <c r="C398" s="664"/>
      <c r="D398" s="664"/>
      <c r="E398" s="663"/>
      <c r="F398" s="663"/>
      <c r="G398" s="329"/>
      <c r="H398" s="329">
        <f t="shared" si="787"/>
        <v>0</v>
      </c>
    </row>
    <row r="399" spans="2:8" x14ac:dyDescent="0.25">
      <c r="B399" s="662"/>
      <c r="C399" s="664"/>
      <c r="D399" s="664"/>
      <c r="E399" s="663"/>
      <c r="F399" s="663"/>
      <c r="G399" s="329"/>
      <c r="H399" s="329">
        <f t="shared" si="787"/>
        <v>0</v>
      </c>
    </row>
    <row r="400" spans="2:8" x14ac:dyDescent="0.25">
      <c r="B400" s="662"/>
      <c r="C400" s="664"/>
      <c r="D400" s="664"/>
      <c r="E400" s="663"/>
      <c r="F400" s="663"/>
      <c r="G400" s="329"/>
      <c r="H400" s="329">
        <f t="shared" si="787"/>
        <v>0</v>
      </c>
    </row>
    <row r="401" spans="2:8" x14ac:dyDescent="0.25">
      <c r="B401" s="330"/>
      <c r="C401" s="328"/>
      <c r="D401" s="328"/>
      <c r="E401" s="329"/>
      <c r="F401" s="329"/>
      <c r="G401" s="329"/>
      <c r="H401" s="329">
        <f t="shared" si="787"/>
        <v>0</v>
      </c>
    </row>
    <row r="402" spans="2:8" x14ac:dyDescent="0.25">
      <c r="B402" s="330"/>
      <c r="C402" s="328"/>
      <c r="D402" s="328"/>
      <c r="E402" s="329"/>
      <c r="F402" s="329"/>
      <c r="G402" s="329"/>
      <c r="H402" s="329">
        <f t="shared" si="787"/>
        <v>0</v>
      </c>
    </row>
    <row r="403" spans="2:8" x14ac:dyDescent="0.25">
      <c r="B403" s="330"/>
      <c r="C403" s="328"/>
      <c r="D403" s="328"/>
      <c r="E403" s="329"/>
      <c r="F403" s="329"/>
      <c r="G403" s="329"/>
      <c r="H403" s="329"/>
    </row>
    <row r="404" spans="2:8" x14ac:dyDescent="0.25">
      <c r="B404" s="331"/>
      <c r="C404" s="331" t="s">
        <v>952</v>
      </c>
      <c r="D404" s="328"/>
      <c r="E404" s="333">
        <f>SUM(E390:E403)</f>
        <v>5450199</v>
      </c>
      <c r="F404" s="333">
        <f>F390</f>
        <v>5450199</v>
      </c>
      <c r="G404" s="333">
        <v>0</v>
      </c>
      <c r="H404" s="333">
        <f>H390</f>
        <v>0</v>
      </c>
    </row>
    <row r="405" spans="2:8" x14ac:dyDescent="0.25">
      <c r="B405" s="331"/>
      <c r="C405" s="331" t="s">
        <v>953</v>
      </c>
      <c r="D405" s="328"/>
      <c r="E405" s="332"/>
      <c r="F405" s="334">
        <f>SUM(F391:F403)</f>
        <v>0</v>
      </c>
      <c r="G405" s="332"/>
      <c r="H405" s="332">
        <f>-F405</f>
        <v>0</v>
      </c>
    </row>
    <row r="406" spans="2:8" x14ac:dyDescent="0.25">
      <c r="B406" s="331"/>
      <c r="C406" s="331" t="s">
        <v>954</v>
      </c>
      <c r="D406" s="328"/>
      <c r="E406" s="332">
        <f>E404-E405</f>
        <v>5450199</v>
      </c>
      <c r="F406" s="332">
        <f>F404+F405</f>
        <v>5450199</v>
      </c>
      <c r="G406" s="332">
        <f>G404-G405</f>
        <v>0</v>
      </c>
      <c r="H406" s="332">
        <f>H404+H405</f>
        <v>0</v>
      </c>
    </row>
  </sheetData>
  <phoneticPr fontId="0" type="noConversion"/>
  <pageMargins left="0.55118110236220463" right="0.55118110236220463" top="0.55118110236220463" bottom="0.55118110236220463" header="0.31496062992125989" footer="0.31496062992125989"/>
  <pageSetup paperSize="9" scale="10" fitToHeight="0" orientation="portrait" r:id="rId1"/>
  <headerFooter alignWithMargins="0">
    <oddHeader>&amp;L&amp;B&amp;14Témaelszámolás&amp;R&amp;P/&amp;N</oddHeader>
    <oddFooter>&amp;L&amp;8sERPa v3.0.0 - ©ProgEn&amp;R&amp;8&amp;D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P355"/>
  <sheetViews>
    <sheetView workbookViewId="0">
      <pane xSplit="3" ySplit="5" topLeftCell="CW265" activePane="bottomRight" state="frozen"/>
      <selection pane="topRight" activeCell="C1" sqref="C1"/>
      <selection pane="bottomLeft" activeCell="A6" sqref="A6"/>
      <selection pane="bottomRight" activeCell="DG6" sqref="DG6:DG280"/>
    </sheetView>
  </sheetViews>
  <sheetFormatPr defaultColWidth="8.81640625" defaultRowHeight="12.5" x14ac:dyDescent="0.25"/>
  <cols>
    <col min="1" max="1" width="11.54296875" style="1" customWidth="1"/>
    <col min="2" max="2" width="12.81640625" style="4" customWidth="1"/>
    <col min="3" max="3" width="38.54296875" style="1" customWidth="1"/>
    <col min="4" max="4" width="10.26953125" style="6" bestFit="1" customWidth="1"/>
    <col min="5" max="5" width="13.54296875" style="8" bestFit="1" customWidth="1"/>
    <col min="6" max="6" width="12.453125" style="6" bestFit="1" customWidth="1"/>
    <col min="7" max="7" width="12.453125" style="8" bestFit="1" customWidth="1"/>
    <col min="8" max="8" width="10.453125" style="6" bestFit="1" customWidth="1"/>
    <col min="9" max="9" width="13.7265625" style="8" bestFit="1" customWidth="1"/>
    <col min="10" max="10" width="12.54296875" style="6" bestFit="1" customWidth="1"/>
    <col min="11" max="11" width="14.7265625" style="8" bestFit="1" customWidth="1"/>
    <col min="12" max="12" width="13.7265625" style="6" bestFit="1" customWidth="1"/>
    <col min="13" max="13" width="13.7265625" style="8" bestFit="1" customWidth="1"/>
    <col min="14" max="14" width="12.453125" style="6" bestFit="1" customWidth="1"/>
    <col min="15" max="15" width="12.26953125" style="8" bestFit="1" customWidth="1"/>
    <col min="16" max="16" width="12.453125" style="6" bestFit="1" customWidth="1"/>
    <col min="17" max="17" width="12.453125" style="8" bestFit="1" customWidth="1"/>
    <col min="18" max="18" width="12.453125" style="8" customWidth="1"/>
    <col min="19" max="19" width="12.453125" style="6" bestFit="1" customWidth="1"/>
    <col min="20" max="20" width="12.453125" style="8" bestFit="1" customWidth="1"/>
    <col min="21" max="21" width="12.26953125" style="6" bestFit="1" customWidth="1"/>
    <col min="22" max="22" width="12.26953125" style="8" bestFit="1" customWidth="1"/>
    <col min="23" max="23" width="12.26953125" style="6" bestFit="1" customWidth="1"/>
    <col min="24" max="24" width="12.26953125" style="8" bestFit="1" customWidth="1"/>
    <col min="25" max="25" width="12.26953125" style="6" bestFit="1" customWidth="1"/>
    <col min="26" max="26" width="12.26953125" style="8" bestFit="1" customWidth="1"/>
    <col min="27" max="27" width="12.453125" style="6" bestFit="1" customWidth="1"/>
    <col min="28" max="28" width="12.54296875" style="8" bestFit="1" customWidth="1"/>
    <col min="29" max="29" width="12.54296875" style="6" bestFit="1" customWidth="1"/>
    <col min="30" max="30" width="12.453125" style="8" bestFit="1" customWidth="1"/>
    <col min="31" max="31" width="12.453125" style="6" bestFit="1" customWidth="1"/>
    <col min="32" max="32" width="12.26953125" style="8" bestFit="1" customWidth="1"/>
    <col min="33" max="33" width="12.453125" style="6" bestFit="1" customWidth="1"/>
    <col min="34" max="34" width="12.453125" style="8" bestFit="1" customWidth="1"/>
    <col min="35" max="35" width="12.453125" style="6" bestFit="1" customWidth="1"/>
    <col min="36" max="36" width="12.453125" style="8" bestFit="1" customWidth="1"/>
    <col min="37" max="37" width="12.453125" style="6" bestFit="1" customWidth="1"/>
    <col min="38" max="38" width="12.453125" style="8" bestFit="1" customWidth="1"/>
    <col min="39" max="39" width="12.26953125" style="6" bestFit="1" customWidth="1"/>
    <col min="40" max="40" width="12.26953125" style="8" bestFit="1" customWidth="1"/>
    <col min="41" max="41" width="11.26953125" style="6" bestFit="1" customWidth="1"/>
    <col min="42" max="42" width="12.453125" style="6" customWidth="1"/>
    <col min="43" max="43" width="11.26953125" style="8" bestFit="1" customWidth="1"/>
    <col min="44" max="44" width="11.54296875" style="6" bestFit="1" customWidth="1"/>
    <col min="45" max="45" width="11.54296875" style="8" bestFit="1" customWidth="1"/>
    <col min="46" max="46" width="13.54296875" style="6" bestFit="1" customWidth="1"/>
    <col min="47" max="47" width="12.453125" style="8" bestFit="1" customWidth="1"/>
    <col min="48" max="48" width="12.453125" style="6" bestFit="1" customWidth="1"/>
    <col min="49" max="49" width="12.453125" style="8" bestFit="1" customWidth="1"/>
    <col min="50" max="50" width="12.453125" style="6" bestFit="1" customWidth="1"/>
    <col min="51" max="51" width="12.453125" style="6" customWidth="1"/>
    <col min="52" max="52" width="10.26953125" style="8" bestFit="1" customWidth="1"/>
    <col min="53" max="53" width="13.54296875" style="8" bestFit="1" customWidth="1"/>
    <col min="54" max="54" width="12.453125" style="8" bestFit="1" customWidth="1"/>
    <col min="55" max="55" width="12.26953125" style="6" bestFit="1" customWidth="1"/>
    <col min="56" max="56" width="13.54296875" style="8" bestFit="1" customWidth="1"/>
    <col min="57" max="57" width="12.453125" style="6" bestFit="1" customWidth="1"/>
    <col min="58" max="58" width="13.7265625" style="8" bestFit="1" customWidth="1"/>
    <col min="59" max="59" width="13.54296875" style="6" bestFit="1" customWidth="1"/>
    <col min="60" max="60" width="13.453125" style="8" bestFit="1" customWidth="1"/>
    <col min="61" max="61" width="12.54296875" style="6" bestFit="1" customWidth="1"/>
    <col min="62" max="62" width="13.54296875" style="8" bestFit="1" customWidth="1"/>
    <col min="63" max="63" width="13.54296875" style="8" customWidth="1"/>
    <col min="64" max="64" width="13.453125" style="6" bestFit="1" customWidth="1"/>
    <col min="65" max="65" width="13.7265625" style="8" bestFit="1" customWidth="1"/>
    <col min="66" max="66" width="12.54296875" style="6" bestFit="1" customWidth="1"/>
    <col min="67" max="67" width="12.54296875" style="6" customWidth="1"/>
    <col min="68" max="68" width="11.26953125" style="8" bestFit="1" customWidth="1"/>
    <col min="69" max="69" width="11.453125" style="6" bestFit="1" customWidth="1"/>
    <col min="70" max="70" width="11.453125" style="8" bestFit="1" customWidth="1"/>
    <col min="71" max="71" width="11.453125" style="8" customWidth="1"/>
    <col min="72" max="72" width="11.453125" style="6" bestFit="1" customWidth="1"/>
    <col min="73" max="77" width="11.453125" style="6" customWidth="1"/>
    <col min="78" max="78" width="12.54296875" style="6" bestFit="1" customWidth="1"/>
    <col min="79" max="79" width="12.453125" style="8" bestFit="1" customWidth="1"/>
    <col min="80" max="80" width="10.453125" style="6" bestFit="1" customWidth="1"/>
    <col min="81" max="87" width="10.453125" style="6" customWidth="1"/>
    <col min="88" max="88" width="14.7265625" style="8" bestFit="1" customWidth="1"/>
    <col min="89" max="89" width="11.453125" style="6" bestFit="1" customWidth="1"/>
    <col min="90" max="90" width="11.453125" style="8" bestFit="1" customWidth="1"/>
    <col min="91" max="91" width="13.453125" style="6" bestFit="1" customWidth="1"/>
    <col min="92" max="92" width="13.453125" style="6" customWidth="1"/>
    <col min="93" max="93" width="13.26953125" style="8" customWidth="1"/>
    <col min="94" max="95" width="12.26953125" style="8" customWidth="1"/>
    <col min="96" max="96" width="13.453125" style="6" bestFit="1" customWidth="1"/>
    <col min="97" max="97" width="12.26953125" style="8" bestFit="1" customWidth="1"/>
    <col min="98" max="98" width="16.1796875" style="6" bestFit="1" customWidth="1"/>
    <col min="99" max="99" width="11.26953125" style="8" bestFit="1" customWidth="1"/>
    <col min="100" max="100" width="13.453125" style="6" bestFit="1" customWidth="1"/>
    <col min="101" max="101" width="12.26953125" style="8" bestFit="1" customWidth="1"/>
    <col min="102" max="102" width="10.453125" style="6" bestFit="1" customWidth="1"/>
    <col min="103" max="103" width="10.54296875" style="8" bestFit="1" customWidth="1"/>
    <col min="104" max="104" width="11.26953125" style="6" bestFit="1" customWidth="1"/>
    <col min="105" max="106" width="11.26953125" style="6" customWidth="1"/>
    <col min="107" max="107" width="12.26953125" style="8" bestFit="1" customWidth="1"/>
    <col min="108" max="108" width="12.26953125" style="8" customWidth="1"/>
    <col min="109" max="109" width="12.26953125" style="6" bestFit="1" customWidth="1"/>
    <col min="110" max="111" width="14.453125" style="8" bestFit="1" customWidth="1"/>
    <col min="112" max="112" width="11.54296875" style="1" bestFit="1" customWidth="1"/>
    <col min="113" max="16384" width="8.81640625" style="1"/>
  </cols>
  <sheetData>
    <row r="1" spans="1:120" x14ac:dyDescent="0.25">
      <c r="A1"/>
      <c r="B1" s="4" t="s">
        <v>1831</v>
      </c>
      <c r="N1" s="8"/>
      <c r="O1" s="6"/>
      <c r="P1" s="8"/>
      <c r="Q1" s="6"/>
      <c r="AA1" s="8"/>
      <c r="AB1" s="6"/>
      <c r="AC1" s="8"/>
      <c r="AD1" s="6"/>
      <c r="AE1" s="8"/>
      <c r="AF1" s="6"/>
      <c r="AG1" s="8"/>
      <c r="AH1" s="6"/>
      <c r="AI1" s="8"/>
      <c r="AJ1" s="6"/>
      <c r="AK1" s="8"/>
      <c r="AL1" s="6"/>
      <c r="AM1" s="8"/>
      <c r="AO1" s="8"/>
      <c r="AR1" s="8"/>
      <c r="AS1" s="6"/>
      <c r="AT1" s="8"/>
      <c r="AW1" s="6"/>
      <c r="AX1" s="8"/>
      <c r="BA1" s="6"/>
      <c r="BF1" s="6"/>
      <c r="BQ1" s="8"/>
      <c r="BR1" s="6"/>
      <c r="BZ1" s="8"/>
      <c r="CB1" s="8"/>
      <c r="CC1" s="8"/>
      <c r="CD1" s="8"/>
      <c r="CE1" s="8"/>
      <c r="CF1" s="8"/>
      <c r="CG1" s="8"/>
      <c r="CH1" s="8"/>
      <c r="CI1" s="8"/>
      <c r="CJ1" s="6"/>
      <c r="CL1" s="6"/>
      <c r="CM1" s="8"/>
      <c r="CN1" s="8"/>
      <c r="CO1" s="6"/>
      <c r="CQ1" s="6"/>
      <c r="CR1" s="8"/>
      <c r="CS1" s="6"/>
      <c r="CT1" s="8"/>
      <c r="CU1" s="6"/>
      <c r="CV1" s="8"/>
      <c r="CW1" s="6"/>
      <c r="CY1" s="6"/>
      <c r="DD1" s="6"/>
      <c r="DE1" s="8"/>
      <c r="DF1" s="9"/>
      <c r="DG1" s="9"/>
      <c r="DH1"/>
      <c r="DI1"/>
      <c r="DJ1"/>
      <c r="DK1"/>
      <c r="DL1"/>
      <c r="DM1"/>
      <c r="DN1"/>
      <c r="DO1"/>
      <c r="DP1"/>
    </row>
    <row r="2" spans="1:120" s="194" customFormat="1" ht="43.15" customHeight="1" x14ac:dyDescent="0.25">
      <c r="B2"/>
      <c r="C2"/>
      <c r="D2" s="674"/>
      <c r="E2" s="200" t="s">
        <v>472</v>
      </c>
      <c r="F2" s="647" t="s">
        <v>473</v>
      </c>
      <c r="G2" s="669" t="s">
        <v>474</v>
      </c>
      <c r="H2" s="647" t="s">
        <v>475</v>
      </c>
      <c r="I2" s="647" t="s">
        <v>476</v>
      </c>
      <c r="J2" s="669" t="s">
        <v>477</v>
      </c>
      <c r="K2" s="647" t="s">
        <v>478</v>
      </c>
      <c r="L2" s="647" t="s">
        <v>479</v>
      </c>
      <c r="M2" s="494" t="s">
        <v>671</v>
      </c>
      <c r="N2" s="672" t="s">
        <v>576</v>
      </c>
      <c r="O2" s="647" t="s">
        <v>480</v>
      </c>
      <c r="P2" s="494" t="s">
        <v>1140</v>
      </c>
      <c r="Q2" s="494" t="s">
        <v>1141</v>
      </c>
      <c r="R2" s="494"/>
      <c r="S2" s="670" t="s">
        <v>481</v>
      </c>
      <c r="T2" s="669" t="s">
        <v>482</v>
      </c>
      <c r="U2" s="494"/>
      <c r="V2" s="494"/>
      <c r="W2" s="647" t="s">
        <v>483</v>
      </c>
      <c r="X2" s="669" t="s">
        <v>484</v>
      </c>
      <c r="Y2" s="24" t="s">
        <v>485</v>
      </c>
      <c r="Z2" s="669"/>
      <c r="AA2" s="494"/>
      <c r="AB2" s="647" t="s">
        <v>487</v>
      </c>
      <c r="AC2" s="647"/>
      <c r="AD2" s="647" t="s">
        <v>490</v>
      </c>
      <c r="AE2" s="647" t="s">
        <v>491</v>
      </c>
      <c r="AF2" s="672" t="s">
        <v>578</v>
      </c>
      <c r="AG2" s="672" t="s">
        <v>579</v>
      </c>
      <c r="AH2" s="494"/>
      <c r="AI2" s="647" t="s">
        <v>492</v>
      </c>
      <c r="AJ2" s="647" t="s">
        <v>493</v>
      </c>
      <c r="AK2" s="647" t="s">
        <v>494</v>
      </c>
      <c r="AL2" s="647" t="s">
        <v>495</v>
      </c>
      <c r="AM2" s="647" t="s">
        <v>496</v>
      </c>
      <c r="AN2" s="672" t="s">
        <v>580</v>
      </c>
      <c r="AO2" s="672" t="s">
        <v>581</v>
      </c>
      <c r="AP2" s="672" t="s">
        <v>1718</v>
      </c>
      <c r="AQ2" s="647" t="s">
        <v>487</v>
      </c>
      <c r="AR2" s="647" t="s">
        <v>497</v>
      </c>
      <c r="AS2" s="647" t="s">
        <v>495</v>
      </c>
      <c r="AT2" s="647" t="s">
        <v>489</v>
      </c>
      <c r="AU2" s="647" t="s">
        <v>1466</v>
      </c>
      <c r="AV2" s="647" t="s">
        <v>488</v>
      </c>
      <c r="AW2" s="647" t="s">
        <v>498</v>
      </c>
      <c r="AX2" s="672" t="s">
        <v>582</v>
      </c>
      <c r="AY2" s="22" t="s">
        <v>1771</v>
      </c>
      <c r="AZ2" s="494"/>
      <c r="BA2" s="494"/>
      <c r="BC2" s="494"/>
      <c r="BD2" s="647" t="s">
        <v>499</v>
      </c>
      <c r="BE2" s="647" t="s">
        <v>500</v>
      </c>
      <c r="BF2" s="647" t="s">
        <v>501</v>
      </c>
      <c r="BG2" s="647" t="s">
        <v>476</v>
      </c>
      <c r="BH2" s="647" t="s">
        <v>502</v>
      </c>
      <c r="BI2" s="647" t="s">
        <v>503</v>
      </c>
      <c r="BJ2" s="647" t="s">
        <v>504</v>
      </c>
      <c r="BK2" s="647" t="s">
        <v>1841</v>
      </c>
      <c r="BL2" s="647" t="s">
        <v>505</v>
      </c>
      <c r="BM2" s="647" t="s">
        <v>506</v>
      </c>
      <c r="BN2" s="647" t="s">
        <v>324</v>
      </c>
      <c r="BO2" s="647"/>
      <c r="BP2" s="647" t="s">
        <v>508</v>
      </c>
      <c r="BQ2" s="25" t="s">
        <v>509</v>
      </c>
      <c r="BR2" s="672" t="s">
        <v>584</v>
      </c>
      <c r="BS2" s="672"/>
      <c r="BT2" s="494" t="s">
        <v>796</v>
      </c>
      <c r="BU2" s="494"/>
      <c r="BV2" s="494" t="s">
        <v>513</v>
      </c>
      <c r="BW2" s="494"/>
      <c r="BX2" s="494"/>
      <c r="BY2" s="494"/>
      <c r="BZ2" s="670" t="s">
        <v>519</v>
      </c>
      <c r="CA2" s="647" t="s">
        <v>520</v>
      </c>
      <c r="CB2" s="647" t="s">
        <v>521</v>
      </c>
      <c r="CC2" s="669"/>
      <c r="CD2" s="669"/>
      <c r="CE2" s="669"/>
      <c r="CF2" s="669"/>
      <c r="CG2" s="669"/>
      <c r="CH2" s="669"/>
      <c r="CI2" s="669"/>
      <c r="CJ2" s="669" t="s">
        <v>538</v>
      </c>
      <c r="CK2" s="669" t="s">
        <v>539</v>
      </c>
      <c r="CL2" s="647" t="s">
        <v>540</v>
      </c>
      <c r="CM2" s="647" t="s">
        <v>541</v>
      </c>
      <c r="CN2" s="647" t="s">
        <v>1720</v>
      </c>
      <c r="CO2" s="647" t="s">
        <v>542</v>
      </c>
      <c r="CP2" s="195" t="s">
        <v>1768</v>
      </c>
      <c r="CQ2" s="195" t="s">
        <v>1769</v>
      </c>
      <c r="CR2" s="647" t="s">
        <v>543</v>
      </c>
      <c r="CS2" s="647" t="s">
        <v>544</v>
      </c>
      <c r="CT2" s="672" t="s">
        <v>585</v>
      </c>
      <c r="CU2" s="647" t="s">
        <v>545</v>
      </c>
      <c r="CV2" s="647" t="s">
        <v>546</v>
      </c>
      <c r="CW2" s="648" t="s">
        <v>1721</v>
      </c>
      <c r="CX2" s="672" t="s">
        <v>586</v>
      </c>
      <c r="CY2" s="26"/>
      <c r="CZ2" s="26"/>
      <c r="DA2" s="26"/>
      <c r="DB2" s="26"/>
      <c r="DC2" s="21" t="s">
        <v>552</v>
      </c>
      <c r="DD2" s="21" t="s">
        <v>552</v>
      </c>
      <c r="DE2" s="21" t="s">
        <v>553</v>
      </c>
      <c r="DH2"/>
      <c r="DI2"/>
      <c r="DJ2"/>
      <c r="DK2"/>
      <c r="DL2"/>
      <c r="DM2"/>
      <c r="DN2"/>
      <c r="DO2"/>
    </row>
    <row r="3" spans="1:120" x14ac:dyDescent="0.25">
      <c r="A3"/>
      <c r="B3"/>
      <c r="C3"/>
      <c r="D3" s="666"/>
      <c r="E3" s="671" t="s">
        <v>371</v>
      </c>
      <c r="F3" s="668" t="s">
        <v>372</v>
      </c>
      <c r="G3" s="671" t="s">
        <v>373</v>
      </c>
      <c r="H3" s="668" t="s">
        <v>374</v>
      </c>
      <c r="I3" s="668" t="s">
        <v>375</v>
      </c>
      <c r="J3" s="668" t="s">
        <v>376</v>
      </c>
      <c r="K3" s="668" t="s">
        <v>377</v>
      </c>
      <c r="L3" s="668" t="s">
        <v>378</v>
      </c>
      <c r="M3" s="668" t="s">
        <v>897</v>
      </c>
      <c r="N3" s="668" t="s">
        <v>379</v>
      </c>
      <c r="O3" s="668" t="s">
        <v>380</v>
      </c>
      <c r="P3" s="12" t="s">
        <v>891</v>
      </c>
      <c r="Q3" s="13" t="s">
        <v>892</v>
      </c>
      <c r="R3" s="12" t="s">
        <v>1498</v>
      </c>
      <c r="S3" s="667" t="s">
        <v>381</v>
      </c>
      <c r="T3" s="668" t="s">
        <v>382</v>
      </c>
      <c r="U3" s="12" t="s">
        <v>893</v>
      </c>
      <c r="V3" s="13" t="s">
        <v>894</v>
      </c>
      <c r="W3" s="668" t="s">
        <v>383</v>
      </c>
      <c r="X3" s="668" t="s">
        <v>384</v>
      </c>
      <c r="Y3" s="668" t="s">
        <v>385</v>
      </c>
      <c r="Z3" s="13" t="s">
        <v>790</v>
      </c>
      <c r="AA3" s="12" t="s">
        <v>791</v>
      </c>
      <c r="AB3" s="668" t="s">
        <v>387</v>
      </c>
      <c r="AC3" s="12" t="s">
        <v>390</v>
      </c>
      <c r="AD3" s="668" t="s">
        <v>391</v>
      </c>
      <c r="AE3" s="668" t="s">
        <v>392</v>
      </c>
      <c r="AF3" s="668" t="s">
        <v>393</v>
      </c>
      <c r="AG3" s="667" t="s">
        <v>394</v>
      </c>
      <c r="AH3" s="13" t="s">
        <v>896</v>
      </c>
      <c r="AI3" s="668" t="s">
        <v>395</v>
      </c>
      <c r="AJ3" s="668" t="s">
        <v>396</v>
      </c>
      <c r="AK3" s="668" t="s">
        <v>397</v>
      </c>
      <c r="AL3" s="668" t="s">
        <v>398</v>
      </c>
      <c r="AM3" s="668" t="s">
        <v>399</v>
      </c>
      <c r="AN3" s="667" t="s">
        <v>400</v>
      </c>
      <c r="AO3" s="668" t="s">
        <v>401</v>
      </c>
      <c r="AP3" s="12" t="s">
        <v>1717</v>
      </c>
      <c r="AQ3" s="668" t="s">
        <v>402</v>
      </c>
      <c r="AR3" s="668" t="s">
        <v>403</v>
      </c>
      <c r="AS3" s="12" t="s">
        <v>404</v>
      </c>
      <c r="AT3" s="668" t="s">
        <v>406</v>
      </c>
      <c r="AU3" s="667" t="s">
        <v>1464</v>
      </c>
      <c r="AV3" s="668" t="s">
        <v>408</v>
      </c>
      <c r="AW3" s="668" t="s">
        <v>409</v>
      </c>
      <c r="AX3" s="667" t="s">
        <v>410</v>
      </c>
      <c r="AY3" s="12" t="s">
        <v>1765</v>
      </c>
      <c r="AZ3" s="13" t="s">
        <v>1727</v>
      </c>
      <c r="BA3" s="12" t="s">
        <v>1505</v>
      </c>
      <c r="BB3" s="13" t="s">
        <v>1588</v>
      </c>
      <c r="BC3" s="13" t="s">
        <v>898</v>
      </c>
      <c r="BD3" s="668" t="s">
        <v>411</v>
      </c>
      <c r="BE3" s="668" t="s">
        <v>412</v>
      </c>
      <c r="BF3" s="668" t="s">
        <v>413</v>
      </c>
      <c r="BG3" s="668" t="s">
        <v>414</v>
      </c>
      <c r="BH3" s="668" t="s">
        <v>415</v>
      </c>
      <c r="BI3" s="668" t="s">
        <v>416</v>
      </c>
      <c r="BJ3" s="668" t="s">
        <v>417</v>
      </c>
      <c r="BK3" s="12" t="s">
        <v>1840</v>
      </c>
      <c r="BL3" s="668" t="s">
        <v>418</v>
      </c>
      <c r="BM3" s="668" t="s">
        <v>419</v>
      </c>
      <c r="BN3" s="668" t="s">
        <v>420</v>
      </c>
      <c r="BO3" s="12" t="s">
        <v>421</v>
      </c>
      <c r="BP3" s="668" t="s">
        <v>422</v>
      </c>
      <c r="BQ3" s="668" t="s">
        <v>423</v>
      </c>
      <c r="BR3" s="668" t="s">
        <v>425</v>
      </c>
      <c r="BS3" s="12" t="s">
        <v>793</v>
      </c>
      <c r="BT3" s="668" t="s">
        <v>799</v>
      </c>
      <c r="BU3" s="12" t="s">
        <v>427</v>
      </c>
      <c r="BV3" s="13" t="s">
        <v>429</v>
      </c>
      <c r="BW3" s="12"/>
      <c r="BX3" s="12"/>
      <c r="BY3" s="12"/>
      <c r="BZ3" s="667" t="s">
        <v>435</v>
      </c>
      <c r="CA3" s="668" t="s">
        <v>436</v>
      </c>
      <c r="CB3" s="668" t="s">
        <v>437</v>
      </c>
      <c r="CC3" s="671"/>
      <c r="CD3" s="671"/>
      <c r="CE3" s="671"/>
      <c r="CF3" s="671"/>
      <c r="CG3" s="671"/>
      <c r="CH3" s="671"/>
      <c r="CI3" s="671"/>
      <c r="CJ3" s="671" t="s">
        <v>454</v>
      </c>
      <c r="CK3" s="671" t="s">
        <v>455</v>
      </c>
      <c r="CL3" s="668" t="s">
        <v>456</v>
      </c>
      <c r="CM3" s="668" t="s">
        <v>457</v>
      </c>
      <c r="CN3" s="12" t="s">
        <v>1719</v>
      </c>
      <c r="CO3" s="668" t="s">
        <v>458</v>
      </c>
      <c r="CP3" s="12" t="s">
        <v>1766</v>
      </c>
      <c r="CQ3" s="13" t="s">
        <v>1767</v>
      </c>
      <c r="CR3" s="668" t="s">
        <v>459</v>
      </c>
      <c r="CS3" s="668" t="s">
        <v>460</v>
      </c>
      <c r="CT3" s="668" t="s">
        <v>461</v>
      </c>
      <c r="CU3" s="668" t="s">
        <v>462</v>
      </c>
      <c r="CV3" s="668" t="s">
        <v>463</v>
      </c>
      <c r="CW3" s="13" t="s">
        <v>1722</v>
      </c>
      <c r="CX3" s="668" t="s">
        <v>469</v>
      </c>
      <c r="CY3" s="667"/>
      <c r="CZ3" s="13" t="s">
        <v>920</v>
      </c>
      <c r="DA3" s="673" t="s">
        <v>1149</v>
      </c>
      <c r="DB3" s="13" t="s">
        <v>1481</v>
      </c>
      <c r="DC3" s="28" t="s">
        <v>470</v>
      </c>
      <c r="DD3" s="13" t="s">
        <v>1770</v>
      </c>
      <c r="DE3" s="28" t="s">
        <v>471</v>
      </c>
      <c r="DF3" s="1"/>
      <c r="DG3" s="1"/>
      <c r="DH3"/>
      <c r="DI3"/>
      <c r="DJ3"/>
      <c r="DK3"/>
      <c r="DL3"/>
      <c r="DM3"/>
      <c r="DN3"/>
      <c r="DO3"/>
    </row>
    <row r="4" spans="1:120" s="11" customFormat="1" x14ac:dyDescent="0.25">
      <c r="A4" s="10" t="s">
        <v>366</v>
      </c>
      <c r="B4" s="10" t="s">
        <v>366</v>
      </c>
      <c r="C4" s="11" t="s">
        <v>54</v>
      </c>
      <c r="D4" s="12" t="s">
        <v>369</v>
      </c>
      <c r="E4" s="13" t="s">
        <v>371</v>
      </c>
      <c r="F4" s="12" t="s">
        <v>372</v>
      </c>
      <c r="G4" s="13" t="s">
        <v>373</v>
      </c>
      <c r="H4" s="12" t="s">
        <v>374</v>
      </c>
      <c r="I4" s="13" t="s">
        <v>375</v>
      </c>
      <c r="J4" s="12" t="s">
        <v>376</v>
      </c>
      <c r="K4" s="13" t="s">
        <v>377</v>
      </c>
      <c r="L4" s="12" t="s">
        <v>378</v>
      </c>
      <c r="M4" s="13" t="s">
        <v>897</v>
      </c>
      <c r="N4" s="13"/>
      <c r="O4" s="12" t="s">
        <v>380</v>
      </c>
      <c r="P4" s="13" t="s">
        <v>891</v>
      </c>
      <c r="Q4" s="12" t="s">
        <v>892</v>
      </c>
      <c r="R4" s="13" t="s">
        <v>1498</v>
      </c>
      <c r="S4" s="12" t="s">
        <v>381</v>
      </c>
      <c r="T4" s="13" t="s">
        <v>382</v>
      </c>
      <c r="U4" s="12" t="s">
        <v>893</v>
      </c>
      <c r="V4" s="13" t="s">
        <v>894</v>
      </c>
      <c r="W4" s="12" t="s">
        <v>383</v>
      </c>
      <c r="X4" s="13" t="s">
        <v>384</v>
      </c>
      <c r="Y4" s="12" t="s">
        <v>385</v>
      </c>
      <c r="Z4" s="13" t="s">
        <v>790</v>
      </c>
      <c r="AA4" s="13"/>
      <c r="AB4" s="12" t="s">
        <v>387</v>
      </c>
      <c r="AC4" s="13" t="s">
        <v>390</v>
      </c>
      <c r="AD4" s="12" t="s">
        <v>391</v>
      </c>
      <c r="AE4" s="13" t="s">
        <v>392</v>
      </c>
      <c r="AF4" s="12" t="s">
        <v>393</v>
      </c>
      <c r="AG4" s="13" t="s">
        <v>394</v>
      </c>
      <c r="AH4" s="12" t="s">
        <v>896</v>
      </c>
      <c r="AI4" s="13" t="s">
        <v>395</v>
      </c>
      <c r="AJ4" s="12" t="s">
        <v>396</v>
      </c>
      <c r="AK4" s="13" t="s">
        <v>397</v>
      </c>
      <c r="AL4" s="12" t="s">
        <v>398</v>
      </c>
      <c r="AM4" s="13" t="s">
        <v>399</v>
      </c>
      <c r="AN4" s="13"/>
      <c r="AO4" s="13"/>
      <c r="AP4" s="12" t="s">
        <v>1717</v>
      </c>
      <c r="AQ4" s="13" t="s">
        <v>402</v>
      </c>
      <c r="AR4" s="13"/>
      <c r="AS4" s="12" t="s">
        <v>404</v>
      </c>
      <c r="AT4" s="13" t="s">
        <v>406</v>
      </c>
      <c r="AU4" s="13"/>
      <c r="AV4" s="12" t="s">
        <v>408</v>
      </c>
      <c r="AW4" s="12"/>
      <c r="AX4" s="13" t="s">
        <v>410</v>
      </c>
      <c r="AY4" s="12" t="s">
        <v>1765</v>
      </c>
      <c r="AZ4" s="13" t="s">
        <v>1727</v>
      </c>
      <c r="BA4" s="12" t="s">
        <v>1505</v>
      </c>
      <c r="BB4" s="13" t="s">
        <v>1588</v>
      </c>
      <c r="BC4" s="12" t="s">
        <v>898</v>
      </c>
      <c r="BD4" s="13" t="s">
        <v>411</v>
      </c>
      <c r="BE4" s="12" t="s">
        <v>412</v>
      </c>
      <c r="BF4" s="12"/>
      <c r="BG4" s="12"/>
      <c r="BH4" s="13" t="s">
        <v>415</v>
      </c>
      <c r="BI4" s="12" t="s">
        <v>416</v>
      </c>
      <c r="BJ4" s="13" t="s">
        <v>417</v>
      </c>
      <c r="BK4" s="12" t="s">
        <v>1840</v>
      </c>
      <c r="BL4" s="12" t="s">
        <v>418</v>
      </c>
      <c r="BM4" s="13" t="s">
        <v>419</v>
      </c>
      <c r="BN4" s="12" t="s">
        <v>420</v>
      </c>
      <c r="BO4" s="12"/>
      <c r="BP4" s="13" t="s">
        <v>422</v>
      </c>
      <c r="BQ4" s="13"/>
      <c r="BR4" s="12" t="s">
        <v>425</v>
      </c>
      <c r="BS4" s="13" t="s">
        <v>793</v>
      </c>
      <c r="BT4" s="12" t="s">
        <v>799</v>
      </c>
      <c r="BU4" s="12"/>
      <c r="BV4" s="12"/>
      <c r="BW4" s="12"/>
      <c r="BX4" s="12"/>
      <c r="BY4" s="12"/>
      <c r="BZ4" s="13" t="s">
        <v>435</v>
      </c>
      <c r="CA4" s="13"/>
      <c r="CB4" s="13"/>
      <c r="CC4" s="13"/>
      <c r="CD4" s="13"/>
      <c r="CE4" s="13"/>
      <c r="CF4" s="13"/>
      <c r="CG4" s="13"/>
      <c r="CH4" s="13"/>
      <c r="CI4" s="13"/>
      <c r="CJ4" s="12" t="s">
        <v>454</v>
      </c>
      <c r="CK4" s="12"/>
      <c r="CL4" s="12"/>
      <c r="CM4" s="13" t="s">
        <v>457</v>
      </c>
      <c r="CN4" s="13"/>
      <c r="CO4" s="12" t="s">
        <v>458</v>
      </c>
      <c r="CP4" s="12" t="s">
        <v>1766</v>
      </c>
      <c r="CQ4" s="13" t="s">
        <v>1767</v>
      </c>
      <c r="CR4" s="13" t="s">
        <v>459</v>
      </c>
      <c r="CS4" s="12" t="s">
        <v>460</v>
      </c>
      <c r="CT4" s="13" t="s">
        <v>461</v>
      </c>
      <c r="CU4" s="12" t="s">
        <v>462</v>
      </c>
      <c r="CV4" s="13" t="s">
        <v>463</v>
      </c>
      <c r="CW4" s="12" t="s">
        <v>1722</v>
      </c>
      <c r="CX4" s="12"/>
      <c r="CY4" s="12"/>
      <c r="CZ4" s="12"/>
      <c r="DA4" s="12"/>
      <c r="DB4" s="12"/>
      <c r="DC4" s="13" t="s">
        <v>470</v>
      </c>
      <c r="DD4" s="12" t="s">
        <v>1770</v>
      </c>
      <c r="DE4" s="13" t="s">
        <v>471</v>
      </c>
      <c r="DF4" s="14" t="s">
        <v>365</v>
      </c>
      <c r="DG4" s="14" t="s">
        <v>365</v>
      </c>
    </row>
    <row r="5" spans="1:120" s="16" customFormat="1" ht="13" thickBot="1" x14ac:dyDescent="0.3">
      <c r="A5" s="15" t="s">
        <v>367</v>
      </c>
      <c r="B5" s="15" t="s">
        <v>367</v>
      </c>
      <c r="C5" s="16" t="s">
        <v>368</v>
      </c>
      <c r="D5" s="17" t="s">
        <v>370</v>
      </c>
      <c r="E5" s="18" t="s">
        <v>370</v>
      </c>
      <c r="F5" s="17" t="s">
        <v>370</v>
      </c>
      <c r="G5" s="18" t="s">
        <v>370</v>
      </c>
      <c r="H5" s="17" t="s">
        <v>370</v>
      </c>
      <c r="I5" s="18" t="s">
        <v>370</v>
      </c>
      <c r="J5" s="17" t="s">
        <v>370</v>
      </c>
      <c r="K5" s="18" t="s">
        <v>370</v>
      </c>
      <c r="L5" s="17" t="s">
        <v>370</v>
      </c>
      <c r="M5" s="18" t="s">
        <v>370</v>
      </c>
      <c r="N5" s="18"/>
      <c r="O5" s="17" t="s">
        <v>370</v>
      </c>
      <c r="P5" s="18" t="s">
        <v>370</v>
      </c>
      <c r="Q5" s="17" t="s">
        <v>370</v>
      </c>
      <c r="R5" s="18" t="s">
        <v>370</v>
      </c>
      <c r="S5" s="17" t="s">
        <v>370</v>
      </c>
      <c r="T5" s="18" t="s">
        <v>370</v>
      </c>
      <c r="U5" s="17" t="s">
        <v>370</v>
      </c>
      <c r="V5" s="18" t="s">
        <v>370</v>
      </c>
      <c r="W5" s="17" t="s">
        <v>370</v>
      </c>
      <c r="X5" s="18" t="s">
        <v>370</v>
      </c>
      <c r="Y5" s="17" t="s">
        <v>370</v>
      </c>
      <c r="Z5" s="18" t="s">
        <v>370</v>
      </c>
      <c r="AA5" s="18"/>
      <c r="AB5" s="17" t="s">
        <v>370</v>
      </c>
      <c r="AC5" s="18" t="s">
        <v>370</v>
      </c>
      <c r="AD5" s="17" t="s">
        <v>370</v>
      </c>
      <c r="AE5" s="18" t="s">
        <v>370</v>
      </c>
      <c r="AF5" s="17" t="s">
        <v>370</v>
      </c>
      <c r="AG5" s="18" t="s">
        <v>370</v>
      </c>
      <c r="AH5" s="17" t="s">
        <v>370</v>
      </c>
      <c r="AI5" s="18" t="s">
        <v>370</v>
      </c>
      <c r="AJ5" s="17" t="s">
        <v>370</v>
      </c>
      <c r="AK5" s="18" t="s">
        <v>370</v>
      </c>
      <c r="AL5" s="17" t="s">
        <v>370</v>
      </c>
      <c r="AM5" s="18" t="s">
        <v>370</v>
      </c>
      <c r="AN5" s="18"/>
      <c r="AO5" s="18"/>
      <c r="AP5" s="17" t="s">
        <v>370</v>
      </c>
      <c r="AQ5" s="18" t="s">
        <v>370</v>
      </c>
      <c r="AR5" s="18"/>
      <c r="AS5" s="17" t="s">
        <v>370</v>
      </c>
      <c r="AT5" s="18" t="s">
        <v>370</v>
      </c>
      <c r="AU5" s="18"/>
      <c r="AV5" s="17" t="s">
        <v>370</v>
      </c>
      <c r="AW5" s="17"/>
      <c r="AX5" s="18" t="s">
        <v>370</v>
      </c>
      <c r="AY5" s="17" t="s">
        <v>370</v>
      </c>
      <c r="AZ5" s="18" t="s">
        <v>370</v>
      </c>
      <c r="BA5" s="17" t="s">
        <v>370</v>
      </c>
      <c r="BB5" s="18" t="s">
        <v>370</v>
      </c>
      <c r="BC5" s="17" t="s">
        <v>370</v>
      </c>
      <c r="BD5" s="18" t="s">
        <v>370</v>
      </c>
      <c r="BE5" s="17" t="s">
        <v>370</v>
      </c>
      <c r="BF5" s="17"/>
      <c r="BG5" s="17"/>
      <c r="BH5" s="18" t="s">
        <v>370</v>
      </c>
      <c r="BI5" s="17" t="s">
        <v>370</v>
      </c>
      <c r="BJ5" s="18" t="s">
        <v>370</v>
      </c>
      <c r="BK5" s="18"/>
      <c r="BL5" s="17" t="s">
        <v>370</v>
      </c>
      <c r="BM5" s="18" t="s">
        <v>370</v>
      </c>
      <c r="BN5" s="17" t="s">
        <v>370</v>
      </c>
      <c r="BO5" s="17"/>
      <c r="BP5" s="18" t="s">
        <v>370</v>
      </c>
      <c r="BQ5" s="18"/>
      <c r="BR5" s="17" t="s">
        <v>370</v>
      </c>
      <c r="BS5" s="18" t="s">
        <v>370</v>
      </c>
      <c r="BT5" s="17" t="s">
        <v>370</v>
      </c>
      <c r="BU5" s="17"/>
      <c r="BV5" s="17"/>
      <c r="BW5" s="17"/>
      <c r="BX5" s="17"/>
      <c r="BY5" s="17"/>
      <c r="BZ5" s="18" t="s">
        <v>370</v>
      </c>
      <c r="CA5" s="18"/>
      <c r="CB5" s="18"/>
      <c r="CC5" s="18"/>
      <c r="CD5" s="18"/>
      <c r="CE5" s="18"/>
      <c r="CF5" s="18"/>
      <c r="CG5" s="18"/>
      <c r="CH5" s="18"/>
      <c r="CI5" s="18"/>
      <c r="CJ5" s="17" t="s">
        <v>370</v>
      </c>
      <c r="CK5" s="17"/>
      <c r="CL5" s="17"/>
      <c r="CM5" s="18" t="s">
        <v>370</v>
      </c>
      <c r="CN5" s="18"/>
      <c r="CO5" s="17" t="s">
        <v>370</v>
      </c>
      <c r="CP5" s="18" t="s">
        <v>370</v>
      </c>
      <c r="CQ5" s="17" t="s">
        <v>370</v>
      </c>
      <c r="CR5" s="18" t="s">
        <v>370</v>
      </c>
      <c r="CS5" s="17" t="s">
        <v>370</v>
      </c>
      <c r="CT5" s="18" t="s">
        <v>370</v>
      </c>
      <c r="CU5" s="17" t="s">
        <v>370</v>
      </c>
      <c r="CV5" s="18" t="s">
        <v>370</v>
      </c>
      <c r="CW5" s="17" t="s">
        <v>370</v>
      </c>
      <c r="CX5" s="17"/>
      <c r="CY5" s="17"/>
      <c r="CZ5" s="17"/>
      <c r="DA5" s="17"/>
      <c r="DB5" s="17"/>
      <c r="DC5" s="18" t="s">
        <v>370</v>
      </c>
      <c r="DD5" s="17" t="s">
        <v>370</v>
      </c>
      <c r="DE5" s="18" t="s">
        <v>370</v>
      </c>
      <c r="DF5" s="19" t="s">
        <v>370</v>
      </c>
      <c r="DG5" s="19" t="s">
        <v>370</v>
      </c>
    </row>
    <row r="6" spans="1:120" ht="13" thickTop="1" x14ac:dyDescent="0.25">
      <c r="A6" s="4" t="s">
        <v>55</v>
      </c>
      <c r="B6" s="4" t="s">
        <v>55</v>
      </c>
      <c r="C6" s="1" t="s">
        <v>56</v>
      </c>
      <c r="N6" s="8"/>
      <c r="O6" s="6"/>
      <c r="P6" s="8"/>
      <c r="Q6" s="6"/>
      <c r="AA6" s="8"/>
      <c r="AB6" s="6"/>
      <c r="AC6" s="8"/>
      <c r="AD6" s="6"/>
      <c r="AE6" s="8"/>
      <c r="AF6" s="6"/>
      <c r="AG6" s="8"/>
      <c r="AH6" s="6"/>
      <c r="AI6" s="8"/>
      <c r="AJ6" s="6"/>
      <c r="AK6" s="8"/>
      <c r="AL6" s="6"/>
      <c r="AM6" s="8"/>
      <c r="AO6" s="8"/>
      <c r="AR6" s="8"/>
      <c r="AS6" s="6"/>
      <c r="AT6" s="8"/>
      <c r="AW6" s="6"/>
      <c r="AX6" s="8"/>
      <c r="BA6" s="6"/>
      <c r="BF6" s="6"/>
      <c r="BK6" s="6"/>
      <c r="BL6" s="8"/>
      <c r="BM6" s="6"/>
      <c r="BN6" s="8"/>
      <c r="BO6" s="8"/>
      <c r="BP6" s="6"/>
      <c r="BS6" s="6"/>
      <c r="BT6" s="8"/>
      <c r="BU6" s="8"/>
      <c r="BV6" s="8"/>
      <c r="BW6" s="8"/>
      <c r="BX6" s="8"/>
      <c r="BY6" s="8"/>
      <c r="CA6" s="6"/>
      <c r="CK6" s="8"/>
      <c r="CO6" s="8">
        <v>98030</v>
      </c>
      <c r="CP6" s="6"/>
      <c r="CX6" s="8"/>
      <c r="CZ6" s="8"/>
      <c r="DA6" s="8"/>
      <c r="DB6" s="8"/>
      <c r="DC6" s="6"/>
      <c r="DF6" s="9">
        <f>SUM(D6:DE6)</f>
        <v>98030</v>
      </c>
      <c r="DG6" s="9">
        <v>98030</v>
      </c>
      <c r="DH6" s="9">
        <f>+DF6-DG6</f>
        <v>0</v>
      </c>
      <c r="DI6"/>
      <c r="DJ6"/>
      <c r="DK6"/>
      <c r="DL6"/>
      <c r="DM6"/>
      <c r="DN6"/>
      <c r="DO6"/>
      <c r="DP6"/>
    </row>
    <row r="7" spans="1:120" x14ac:dyDescent="0.25">
      <c r="A7" s="4" t="s">
        <v>57</v>
      </c>
      <c r="B7" s="4" t="s">
        <v>57</v>
      </c>
      <c r="C7" s="1" t="s">
        <v>58</v>
      </c>
      <c r="E7" s="8">
        <v>1176126.07</v>
      </c>
      <c r="K7" s="8">
        <v>308352.35000000003</v>
      </c>
      <c r="N7" s="8"/>
      <c r="O7" s="6"/>
      <c r="P7" s="8"/>
      <c r="Q7" s="6"/>
      <c r="W7" s="6">
        <v>493716.4</v>
      </c>
      <c r="AA7" s="8"/>
      <c r="AB7" s="6"/>
      <c r="AC7" s="8"/>
      <c r="AD7" s="6"/>
      <c r="AE7" s="8"/>
      <c r="AF7" s="6"/>
      <c r="AG7" s="8"/>
      <c r="AH7" s="6"/>
      <c r="AI7" s="8"/>
      <c r="AJ7" s="6"/>
      <c r="AK7" s="8"/>
      <c r="AL7" s="6"/>
      <c r="AM7" s="8"/>
      <c r="AO7" s="8"/>
      <c r="AR7" s="8"/>
      <c r="AS7" s="6"/>
      <c r="AT7" s="8"/>
      <c r="AW7" s="6"/>
      <c r="AX7" s="8"/>
      <c r="BA7" s="6"/>
      <c r="BF7" s="6"/>
      <c r="BJ7" s="8">
        <v>169009.53000000006</v>
      </c>
      <c r="BK7" s="6">
        <v>12730.54</v>
      </c>
      <c r="BL7" s="8">
        <v>1101174.6600000004</v>
      </c>
      <c r="BM7" s="6">
        <v>289154.49</v>
      </c>
      <c r="BN7" s="8"/>
      <c r="BO7" s="8"/>
      <c r="BP7" s="6"/>
      <c r="BS7" s="6"/>
      <c r="BT7" s="8"/>
      <c r="BU7" s="8"/>
      <c r="BV7" s="8"/>
      <c r="BW7" s="8"/>
      <c r="BX7" s="8"/>
      <c r="BY7" s="8"/>
      <c r="CA7" s="6"/>
      <c r="CJ7" s="8">
        <v>817594.47000000009</v>
      </c>
      <c r="CK7" s="8"/>
      <c r="CO7" s="8">
        <v>707834.61</v>
      </c>
      <c r="CP7" s="6"/>
      <c r="CR7" s="6">
        <v>9105409.6899999995</v>
      </c>
      <c r="CV7" s="6">
        <v>2278907.0099999998</v>
      </c>
      <c r="CX7" s="8"/>
      <c r="CZ7" s="8"/>
      <c r="DA7" s="8"/>
      <c r="DB7" s="8"/>
      <c r="DC7" s="6"/>
      <c r="DF7" s="9">
        <f t="shared" ref="DF7:DF70" si="0">SUM(D7:DE7)</f>
        <v>16460009.82</v>
      </c>
      <c r="DG7" s="9">
        <v>16460009.819999998</v>
      </c>
      <c r="DH7" s="9">
        <f t="shared" ref="DH7:DH70" si="1">+DF7-DG7</f>
        <v>0</v>
      </c>
      <c r="DI7"/>
      <c r="DJ7"/>
      <c r="DK7"/>
      <c r="DL7"/>
      <c r="DM7"/>
      <c r="DN7"/>
      <c r="DO7"/>
      <c r="DP7"/>
    </row>
    <row r="8" spans="1:120" x14ac:dyDescent="0.25">
      <c r="A8" s="4" t="s">
        <v>59</v>
      </c>
      <c r="B8" s="4" t="s">
        <v>59</v>
      </c>
      <c r="C8" s="1" t="s">
        <v>60</v>
      </c>
      <c r="E8" s="8">
        <v>235812</v>
      </c>
      <c r="G8" s="8">
        <v>5890</v>
      </c>
      <c r="K8" s="8">
        <v>70092</v>
      </c>
      <c r="N8" s="8"/>
      <c r="O8" s="6"/>
      <c r="P8" s="8"/>
      <c r="Q8" s="6"/>
      <c r="AA8" s="8"/>
      <c r="AB8" s="6"/>
      <c r="AC8" s="8"/>
      <c r="AD8" s="6"/>
      <c r="AE8" s="8"/>
      <c r="AF8" s="6"/>
      <c r="AG8" s="8"/>
      <c r="AH8" s="6"/>
      <c r="AI8" s="8"/>
      <c r="AJ8" s="6"/>
      <c r="AK8" s="8"/>
      <c r="AL8" s="6"/>
      <c r="AM8" s="8"/>
      <c r="AO8" s="8"/>
      <c r="AR8" s="8"/>
      <c r="AS8" s="6"/>
      <c r="AT8" s="8"/>
      <c r="AW8" s="6"/>
      <c r="AX8" s="8"/>
      <c r="BA8" s="6"/>
      <c r="BF8" s="6"/>
      <c r="BJ8" s="8">
        <v>4753.4399999999996</v>
      </c>
      <c r="BK8" s="6"/>
      <c r="BL8" s="8">
        <v>26511.59</v>
      </c>
      <c r="BM8" s="6"/>
      <c r="BN8" s="8"/>
      <c r="BO8" s="8"/>
      <c r="BP8" s="6"/>
      <c r="BS8" s="6"/>
      <c r="BT8" s="8"/>
      <c r="BU8" s="8"/>
      <c r="BV8" s="8"/>
      <c r="BW8" s="8"/>
      <c r="BX8" s="8"/>
      <c r="BY8" s="8"/>
      <c r="CA8" s="6"/>
      <c r="CJ8" s="8">
        <v>15082.04</v>
      </c>
      <c r="CK8" s="8"/>
      <c r="CO8" s="8">
        <v>26507</v>
      </c>
      <c r="CP8" s="6"/>
      <c r="CR8" s="6">
        <v>92528.57</v>
      </c>
      <c r="CV8" s="6">
        <v>1811</v>
      </c>
      <c r="CX8" s="8"/>
      <c r="CZ8" s="8"/>
      <c r="DA8" s="8"/>
      <c r="DB8" s="8"/>
      <c r="DC8" s="6"/>
      <c r="DF8" s="9">
        <f t="shared" si="0"/>
        <v>478987.64</v>
      </c>
      <c r="DG8" s="9">
        <v>478987.64</v>
      </c>
      <c r="DH8" s="9">
        <f t="shared" si="1"/>
        <v>0</v>
      </c>
      <c r="DI8"/>
      <c r="DJ8"/>
      <c r="DK8"/>
      <c r="DL8"/>
      <c r="DM8"/>
      <c r="DN8"/>
      <c r="DO8"/>
      <c r="DP8"/>
    </row>
    <row r="9" spans="1:120" x14ac:dyDescent="0.25">
      <c r="A9" s="4" t="s">
        <v>61</v>
      </c>
      <c r="B9" s="4" t="s">
        <v>61</v>
      </c>
      <c r="C9" s="1" t="s">
        <v>62</v>
      </c>
      <c r="E9" s="8">
        <v>110151</v>
      </c>
      <c r="K9" s="8">
        <v>18897</v>
      </c>
      <c r="N9" s="8"/>
      <c r="O9" s="6">
        <v>150038</v>
      </c>
      <c r="P9" s="8"/>
      <c r="Q9" s="6"/>
      <c r="V9" s="8">
        <v>22297</v>
      </c>
      <c r="W9" s="6">
        <v>65047</v>
      </c>
      <c r="AA9" s="8"/>
      <c r="AB9" s="6"/>
      <c r="AC9" s="8"/>
      <c r="AD9" s="6"/>
      <c r="AE9" s="8"/>
      <c r="AF9" s="6"/>
      <c r="AG9" s="8">
        <v>6850</v>
      </c>
      <c r="AH9" s="6"/>
      <c r="AI9" s="8"/>
      <c r="AJ9" s="6"/>
      <c r="AK9" s="8"/>
      <c r="AL9" s="6"/>
      <c r="AM9" s="8"/>
      <c r="AO9" s="8"/>
      <c r="AR9" s="8"/>
      <c r="AS9" s="6"/>
      <c r="AT9" s="8"/>
      <c r="AW9" s="6"/>
      <c r="AX9" s="8"/>
      <c r="BA9" s="6"/>
      <c r="BF9" s="6"/>
      <c r="BJ9" s="8">
        <v>45851</v>
      </c>
      <c r="BK9" s="6"/>
      <c r="BL9" s="8">
        <v>306849</v>
      </c>
      <c r="BM9" s="6"/>
      <c r="BN9" s="8"/>
      <c r="BO9" s="8"/>
      <c r="BP9" s="6"/>
      <c r="BS9" s="6"/>
      <c r="BT9" s="8"/>
      <c r="BU9" s="8"/>
      <c r="BV9" s="8"/>
      <c r="BW9" s="8"/>
      <c r="BX9" s="8"/>
      <c r="BY9" s="8"/>
      <c r="CA9" s="6"/>
      <c r="CK9" s="8"/>
      <c r="CM9" s="6">
        <v>3150</v>
      </c>
      <c r="CO9" s="8">
        <v>12653</v>
      </c>
      <c r="CP9" s="6"/>
      <c r="CX9" s="8"/>
      <c r="CZ9" s="8"/>
      <c r="DA9" s="8"/>
      <c r="DB9" s="8"/>
      <c r="DC9" s="6"/>
      <c r="DF9" s="9">
        <f t="shared" si="0"/>
        <v>741783</v>
      </c>
      <c r="DG9" s="9">
        <v>741783</v>
      </c>
      <c r="DH9" s="9">
        <f t="shared" si="1"/>
        <v>0</v>
      </c>
      <c r="DI9"/>
      <c r="DJ9"/>
      <c r="DK9"/>
      <c r="DL9"/>
      <c r="DM9"/>
      <c r="DN9"/>
      <c r="DO9"/>
      <c r="DP9"/>
    </row>
    <row r="10" spans="1:120" x14ac:dyDescent="0.25">
      <c r="A10" s="4" t="s">
        <v>63</v>
      </c>
      <c r="B10" s="4" t="s">
        <v>63</v>
      </c>
      <c r="C10" s="1" t="s">
        <v>64</v>
      </c>
      <c r="E10" s="8">
        <v>159457</v>
      </c>
      <c r="N10" s="8"/>
      <c r="O10" s="6"/>
      <c r="P10" s="8"/>
      <c r="Q10" s="6"/>
      <c r="AA10" s="8"/>
      <c r="AB10" s="6"/>
      <c r="AC10" s="8"/>
      <c r="AD10" s="6"/>
      <c r="AE10" s="8"/>
      <c r="AF10" s="6"/>
      <c r="AG10" s="8"/>
      <c r="AH10" s="6"/>
      <c r="AI10" s="8"/>
      <c r="AJ10" s="6"/>
      <c r="AK10" s="8"/>
      <c r="AL10" s="6"/>
      <c r="AM10" s="8"/>
      <c r="AO10" s="8"/>
      <c r="AR10" s="8"/>
      <c r="AS10" s="6"/>
      <c r="AT10" s="8"/>
      <c r="AW10" s="6"/>
      <c r="AX10" s="8"/>
      <c r="BA10" s="6"/>
      <c r="BF10" s="6"/>
      <c r="BK10" s="6"/>
      <c r="BL10" s="8"/>
      <c r="BM10" s="6"/>
      <c r="BN10" s="8"/>
      <c r="BO10" s="8"/>
      <c r="BP10" s="6"/>
      <c r="BS10" s="6"/>
      <c r="BT10" s="8"/>
      <c r="BU10" s="8"/>
      <c r="BV10" s="8"/>
      <c r="BW10" s="8"/>
      <c r="BX10" s="8"/>
      <c r="BY10" s="8"/>
      <c r="CA10" s="6"/>
      <c r="CK10" s="8"/>
      <c r="CP10" s="6"/>
      <c r="CX10" s="8"/>
      <c r="CZ10" s="8"/>
      <c r="DA10" s="8"/>
      <c r="DB10" s="8"/>
      <c r="DC10" s="6"/>
      <c r="DF10" s="9">
        <f t="shared" si="0"/>
        <v>159457</v>
      </c>
      <c r="DG10" s="9">
        <v>159457</v>
      </c>
      <c r="DH10" s="9">
        <f t="shared" si="1"/>
        <v>0</v>
      </c>
      <c r="DI10"/>
      <c r="DJ10"/>
      <c r="DK10"/>
      <c r="DL10"/>
      <c r="DM10"/>
      <c r="DN10"/>
      <c r="DO10"/>
      <c r="DP10"/>
    </row>
    <row r="11" spans="1:120" x14ac:dyDescent="0.25">
      <c r="A11" s="4" t="s">
        <v>65</v>
      </c>
      <c r="B11" s="4" t="s">
        <v>65</v>
      </c>
      <c r="C11" s="1" t="s">
        <v>66</v>
      </c>
      <c r="E11" s="8">
        <v>1434962</v>
      </c>
      <c r="G11" s="8">
        <v>34180</v>
      </c>
      <c r="K11" s="8">
        <v>184322</v>
      </c>
      <c r="N11" s="8"/>
      <c r="O11" s="6"/>
      <c r="P11" s="8"/>
      <c r="Q11" s="6"/>
      <c r="R11" s="8">
        <v>57217</v>
      </c>
      <c r="T11" s="8">
        <v>49193.16</v>
      </c>
      <c r="V11" s="8">
        <v>424990</v>
      </c>
      <c r="W11" s="6">
        <v>671576.14000000013</v>
      </c>
      <c r="X11" s="8">
        <v>126286</v>
      </c>
      <c r="Y11" s="6">
        <v>241590.54</v>
      </c>
      <c r="Z11" s="8">
        <v>12424</v>
      </c>
      <c r="AA11" s="8"/>
      <c r="AB11" s="6"/>
      <c r="AC11" s="8"/>
      <c r="AD11" s="6"/>
      <c r="AE11" s="8"/>
      <c r="AF11" s="6"/>
      <c r="AG11" s="8">
        <v>924944</v>
      </c>
      <c r="AH11" s="6">
        <v>246498</v>
      </c>
      <c r="AI11" s="8"/>
      <c r="AJ11" s="6"/>
      <c r="AK11" s="8">
        <v>245341</v>
      </c>
      <c r="AL11" s="6">
        <v>233019</v>
      </c>
      <c r="AM11" s="8">
        <v>213103</v>
      </c>
      <c r="AO11" s="8"/>
      <c r="AR11" s="8"/>
      <c r="AS11" s="6"/>
      <c r="AT11" s="8">
        <v>358695.16</v>
      </c>
      <c r="AV11" s="6">
        <v>507</v>
      </c>
      <c r="AW11" s="6"/>
      <c r="AX11" s="8"/>
      <c r="BA11" s="6">
        <v>538052</v>
      </c>
      <c r="BD11" s="8">
        <v>121736</v>
      </c>
      <c r="BE11" s="6">
        <v>150108</v>
      </c>
      <c r="BF11" s="6"/>
      <c r="BJ11" s="8">
        <v>555972.58000000007</v>
      </c>
      <c r="BK11" s="6">
        <v>110.5</v>
      </c>
      <c r="BL11" s="8">
        <v>1809457.7599999995</v>
      </c>
      <c r="BM11" s="6">
        <v>409096</v>
      </c>
      <c r="BN11" s="8"/>
      <c r="BO11" s="8"/>
      <c r="BP11" s="6"/>
      <c r="BS11" s="6"/>
      <c r="BT11" s="8"/>
      <c r="BU11" s="8"/>
      <c r="BV11" s="8"/>
      <c r="BW11" s="8"/>
      <c r="BX11" s="8"/>
      <c r="BY11" s="8"/>
      <c r="CA11" s="6"/>
      <c r="CJ11" s="8">
        <v>148928</v>
      </c>
      <c r="CK11" s="8"/>
      <c r="CP11" s="6"/>
      <c r="CX11" s="8"/>
      <c r="CZ11" s="8"/>
      <c r="DA11" s="8"/>
      <c r="DB11" s="8"/>
      <c r="DC11" s="6">
        <v>116379</v>
      </c>
      <c r="DF11" s="9">
        <f t="shared" si="0"/>
        <v>9308687.8399999999</v>
      </c>
      <c r="DG11" s="9">
        <v>9308687.8399999999</v>
      </c>
      <c r="DH11" s="9">
        <f t="shared" si="1"/>
        <v>0</v>
      </c>
      <c r="DI11"/>
      <c r="DJ11"/>
      <c r="DK11"/>
      <c r="DL11"/>
      <c r="DM11"/>
      <c r="DN11"/>
      <c r="DO11"/>
      <c r="DP11"/>
    </row>
    <row r="12" spans="1:120" x14ac:dyDescent="0.25">
      <c r="A12" s="4" t="s">
        <v>67</v>
      </c>
      <c r="B12" s="4" t="s">
        <v>67</v>
      </c>
      <c r="C12" s="1" t="s">
        <v>68</v>
      </c>
      <c r="E12" s="8">
        <v>3477917.5</v>
      </c>
      <c r="G12" s="8">
        <v>45869</v>
      </c>
      <c r="K12" s="8">
        <v>839110.5</v>
      </c>
      <c r="N12" s="8"/>
      <c r="O12" s="6">
        <v>83454</v>
      </c>
      <c r="P12" s="8"/>
      <c r="Q12" s="6"/>
      <c r="R12" s="8">
        <v>141908</v>
      </c>
      <c r="T12" s="8">
        <v>33055</v>
      </c>
      <c r="V12" s="8">
        <v>413136</v>
      </c>
      <c r="W12" s="6">
        <v>957004.65999999992</v>
      </c>
      <c r="X12" s="8">
        <v>7087</v>
      </c>
      <c r="AA12" s="8"/>
      <c r="AB12" s="6"/>
      <c r="AC12" s="8"/>
      <c r="AD12" s="6"/>
      <c r="AE12" s="8"/>
      <c r="AF12" s="6"/>
      <c r="AG12" s="8">
        <v>236126</v>
      </c>
      <c r="AH12" s="6">
        <v>219236</v>
      </c>
      <c r="AI12" s="8"/>
      <c r="AJ12" s="6"/>
      <c r="AK12" s="8">
        <v>383966</v>
      </c>
      <c r="AL12" s="6">
        <v>336190</v>
      </c>
      <c r="AM12" s="8">
        <v>235522.85</v>
      </c>
      <c r="AO12" s="8"/>
      <c r="AR12" s="8"/>
      <c r="AS12" s="6"/>
      <c r="AT12" s="8"/>
      <c r="AW12" s="6"/>
      <c r="AX12" s="8"/>
      <c r="BA12" s="6">
        <v>1081224.7</v>
      </c>
      <c r="BB12" s="8">
        <v>1538346.4500000002</v>
      </c>
      <c r="BD12" s="8">
        <v>139681</v>
      </c>
      <c r="BE12" s="6">
        <v>101201</v>
      </c>
      <c r="BF12" s="6"/>
      <c r="BJ12" s="8">
        <v>337057.88</v>
      </c>
      <c r="BK12" s="6"/>
      <c r="BL12" s="8">
        <v>2199063.3199999998</v>
      </c>
      <c r="BM12" s="6">
        <v>710925</v>
      </c>
      <c r="BN12" s="8">
        <v>5181399</v>
      </c>
      <c r="BO12" s="8"/>
      <c r="BP12" s="6"/>
      <c r="BR12" s="8">
        <v>6142</v>
      </c>
      <c r="BS12" s="6"/>
      <c r="BT12" s="8"/>
      <c r="BU12" s="8"/>
      <c r="BV12" s="8"/>
      <c r="BW12" s="8"/>
      <c r="BX12" s="8"/>
      <c r="BY12" s="8"/>
      <c r="CA12" s="6"/>
      <c r="CJ12" s="8">
        <v>1297469.6600000001</v>
      </c>
      <c r="CK12" s="8"/>
      <c r="CO12" s="8">
        <v>3044201.38</v>
      </c>
      <c r="CP12" s="6">
        <v>906801</v>
      </c>
      <c r="CQ12" s="8">
        <v>310550</v>
      </c>
      <c r="CR12" s="6">
        <v>14686511</v>
      </c>
      <c r="CV12" s="6">
        <v>990943.5</v>
      </c>
      <c r="CX12" s="8"/>
      <c r="CZ12" s="8"/>
      <c r="DA12" s="8"/>
      <c r="DB12" s="8"/>
      <c r="DC12" s="6">
        <v>1353063</v>
      </c>
      <c r="DF12" s="9">
        <f t="shared" si="0"/>
        <v>41294162.399999999</v>
      </c>
      <c r="DG12" s="9">
        <v>41294162.399999999</v>
      </c>
      <c r="DH12" s="9">
        <f t="shared" si="1"/>
        <v>0</v>
      </c>
      <c r="DI12"/>
      <c r="DJ12"/>
      <c r="DK12"/>
      <c r="DL12"/>
      <c r="DM12"/>
      <c r="DN12"/>
      <c r="DO12"/>
      <c r="DP12"/>
    </row>
    <row r="13" spans="1:120" x14ac:dyDescent="0.25">
      <c r="A13" s="4" t="s">
        <v>69</v>
      </c>
      <c r="B13" s="4" t="s">
        <v>69</v>
      </c>
      <c r="C13" s="1" t="s">
        <v>70</v>
      </c>
      <c r="E13" s="8">
        <v>21639</v>
      </c>
      <c r="K13" s="8">
        <v>147075.65000000002</v>
      </c>
      <c r="N13" s="8"/>
      <c r="O13" s="6"/>
      <c r="P13" s="8"/>
      <c r="Q13" s="6"/>
      <c r="R13" s="8">
        <v>3213</v>
      </c>
      <c r="V13" s="8">
        <v>516287.36</v>
      </c>
      <c r="W13" s="6">
        <v>147687.47</v>
      </c>
      <c r="AA13" s="8"/>
      <c r="AB13" s="6"/>
      <c r="AC13" s="8"/>
      <c r="AD13" s="6"/>
      <c r="AE13" s="8"/>
      <c r="AF13" s="6"/>
      <c r="AG13" s="8">
        <v>20365</v>
      </c>
      <c r="AH13" s="6"/>
      <c r="AI13" s="8"/>
      <c r="AJ13" s="6"/>
      <c r="AK13" s="8">
        <v>32713.39</v>
      </c>
      <c r="AL13" s="6">
        <v>142</v>
      </c>
      <c r="AM13" s="8"/>
      <c r="AO13" s="8"/>
      <c r="AR13" s="8"/>
      <c r="AS13" s="6"/>
      <c r="AT13" s="8"/>
      <c r="AW13" s="6"/>
      <c r="AX13" s="8"/>
      <c r="BA13" s="6">
        <v>58793.35</v>
      </c>
      <c r="BF13" s="6"/>
      <c r="BJ13" s="8">
        <v>14416.3</v>
      </c>
      <c r="BK13" s="6"/>
      <c r="BL13" s="8">
        <v>96465.700000000012</v>
      </c>
      <c r="BM13" s="6">
        <v>473422.61</v>
      </c>
      <c r="BN13" s="8"/>
      <c r="BO13" s="8"/>
      <c r="BP13" s="6"/>
      <c r="BS13" s="6"/>
      <c r="BT13" s="8"/>
      <c r="BU13" s="8"/>
      <c r="BV13" s="8"/>
      <c r="BW13" s="8"/>
      <c r="BX13" s="8"/>
      <c r="BY13" s="8"/>
      <c r="CA13" s="6"/>
      <c r="CJ13" s="8">
        <v>20532</v>
      </c>
      <c r="CK13" s="8"/>
      <c r="CO13" s="8">
        <v>4559554</v>
      </c>
      <c r="CP13" s="6">
        <v>2740.18</v>
      </c>
      <c r="CQ13" s="8">
        <v>3735911.7399999998</v>
      </c>
      <c r="CR13" s="6">
        <v>745220.0199999999</v>
      </c>
      <c r="CT13" s="6">
        <v>10091</v>
      </c>
      <c r="CV13" s="6">
        <v>137237</v>
      </c>
      <c r="CX13" s="8"/>
      <c r="CZ13" s="8"/>
      <c r="DA13" s="8"/>
      <c r="DB13" s="8"/>
      <c r="DC13" s="6">
        <v>393483</v>
      </c>
      <c r="DF13" s="9">
        <f t="shared" si="0"/>
        <v>11136989.77</v>
      </c>
      <c r="DG13" s="9">
        <v>11136989.77</v>
      </c>
      <c r="DH13" s="9">
        <f t="shared" si="1"/>
        <v>0</v>
      </c>
      <c r="DI13"/>
      <c r="DJ13"/>
      <c r="DK13"/>
      <c r="DL13"/>
      <c r="DM13"/>
      <c r="DN13"/>
      <c r="DO13"/>
      <c r="DP13"/>
    </row>
    <row r="14" spans="1:120" x14ac:dyDescent="0.25">
      <c r="A14" s="4" t="s">
        <v>759</v>
      </c>
      <c r="N14" s="8"/>
      <c r="O14" s="6"/>
      <c r="P14" s="8"/>
      <c r="Q14" s="6"/>
      <c r="AA14" s="8"/>
      <c r="AB14" s="6"/>
      <c r="AC14" s="8"/>
      <c r="AD14" s="6"/>
      <c r="AE14" s="8"/>
      <c r="AF14" s="6"/>
      <c r="AG14" s="8"/>
      <c r="AH14" s="6"/>
      <c r="AI14" s="8"/>
      <c r="AJ14" s="6"/>
      <c r="AK14" s="8"/>
      <c r="AL14" s="6"/>
      <c r="AM14" s="8"/>
      <c r="AO14" s="8"/>
      <c r="AR14" s="8"/>
      <c r="AS14" s="6"/>
      <c r="AT14" s="8"/>
      <c r="AW14" s="6"/>
      <c r="AX14" s="8"/>
      <c r="BA14" s="6"/>
      <c r="BF14" s="6"/>
      <c r="BK14" s="6"/>
      <c r="BL14" s="8"/>
      <c r="BM14" s="6"/>
      <c r="BN14" s="8"/>
      <c r="BO14" s="8"/>
      <c r="BP14" s="6"/>
      <c r="BS14" s="6"/>
      <c r="BT14" s="8"/>
      <c r="BU14" s="8"/>
      <c r="BV14" s="8"/>
      <c r="BW14" s="8"/>
      <c r="BX14" s="8"/>
      <c r="BY14" s="8"/>
      <c r="CA14" s="6"/>
      <c r="CK14" s="8"/>
      <c r="CP14" s="6"/>
      <c r="CX14" s="8"/>
      <c r="CZ14" s="8"/>
      <c r="DA14" s="8"/>
      <c r="DB14" s="8"/>
      <c r="DC14" s="6"/>
      <c r="DF14" s="9">
        <f t="shared" si="0"/>
        <v>0</v>
      </c>
      <c r="DG14" s="9"/>
      <c r="DH14" s="9">
        <f t="shared" si="1"/>
        <v>0</v>
      </c>
      <c r="DI14"/>
      <c r="DJ14"/>
      <c r="DK14"/>
      <c r="DL14"/>
      <c r="DM14"/>
      <c r="DN14"/>
      <c r="DO14"/>
      <c r="DP14"/>
    </row>
    <row r="15" spans="1:120" x14ac:dyDescent="0.25">
      <c r="A15" s="4" t="s">
        <v>71</v>
      </c>
      <c r="B15" s="4" t="s">
        <v>71</v>
      </c>
      <c r="C15" s="1" t="s">
        <v>72</v>
      </c>
      <c r="N15" s="8"/>
      <c r="O15" s="6"/>
      <c r="P15" s="8"/>
      <c r="Q15" s="6"/>
      <c r="AA15" s="8"/>
      <c r="AB15" s="6"/>
      <c r="AC15" s="8"/>
      <c r="AD15" s="6"/>
      <c r="AE15" s="8"/>
      <c r="AF15" s="6"/>
      <c r="AG15" s="8"/>
      <c r="AH15" s="6"/>
      <c r="AI15" s="8"/>
      <c r="AJ15" s="6"/>
      <c r="AK15" s="8"/>
      <c r="AL15" s="6"/>
      <c r="AM15" s="8"/>
      <c r="AO15" s="8"/>
      <c r="AR15" s="8"/>
      <c r="AS15" s="6"/>
      <c r="AT15" s="8"/>
      <c r="AW15" s="6"/>
      <c r="AX15" s="8"/>
      <c r="BA15" s="6">
        <v>172262</v>
      </c>
      <c r="BB15" s="8">
        <v>611150</v>
      </c>
      <c r="BF15" s="6"/>
      <c r="BJ15" s="8">
        <v>96962.310000000012</v>
      </c>
      <c r="BK15" s="6"/>
      <c r="BL15" s="8">
        <v>648902.69000000006</v>
      </c>
      <c r="BM15" s="6">
        <v>971787</v>
      </c>
      <c r="BN15" s="8"/>
      <c r="BO15" s="8"/>
      <c r="BP15" s="6"/>
      <c r="BS15" s="6"/>
      <c r="BT15" s="8"/>
      <c r="BU15" s="8"/>
      <c r="BV15" s="8"/>
      <c r="BW15" s="8"/>
      <c r="BX15" s="8"/>
      <c r="BY15" s="8"/>
      <c r="CA15" s="6"/>
      <c r="CK15" s="8"/>
      <c r="CO15" s="8">
        <v>383236</v>
      </c>
      <c r="CP15" s="6">
        <v>289251</v>
      </c>
      <c r="CR15" s="6">
        <v>2880835</v>
      </c>
      <c r="CV15" s="6">
        <v>342418</v>
      </c>
      <c r="CX15" s="8"/>
      <c r="CZ15" s="8"/>
      <c r="DA15" s="8"/>
      <c r="DB15" s="8"/>
      <c r="DC15" s="6"/>
      <c r="DF15" s="9">
        <f t="shared" si="0"/>
        <v>6396804</v>
      </c>
      <c r="DG15" s="9">
        <v>6396804</v>
      </c>
      <c r="DH15" s="9">
        <f t="shared" si="1"/>
        <v>0</v>
      </c>
      <c r="DI15"/>
      <c r="DJ15"/>
      <c r="DK15"/>
      <c r="DL15"/>
      <c r="DM15"/>
      <c r="DN15"/>
      <c r="DO15"/>
      <c r="DP15"/>
    </row>
    <row r="16" spans="1:120" x14ac:dyDescent="0.25">
      <c r="A16" s="4" t="s">
        <v>73</v>
      </c>
      <c r="B16" s="4" t="s">
        <v>73</v>
      </c>
      <c r="C16" s="1" t="s">
        <v>74</v>
      </c>
      <c r="K16" s="8">
        <v>251440</v>
      </c>
      <c r="N16" s="8"/>
      <c r="O16" s="6"/>
      <c r="P16" s="8"/>
      <c r="Q16" s="6"/>
      <c r="AA16" s="8"/>
      <c r="AB16" s="6"/>
      <c r="AC16" s="8"/>
      <c r="AD16" s="6"/>
      <c r="AE16" s="8"/>
      <c r="AF16" s="6"/>
      <c r="AG16" s="8"/>
      <c r="AH16" s="6"/>
      <c r="AI16" s="8"/>
      <c r="AJ16" s="6"/>
      <c r="AK16" s="8"/>
      <c r="AL16" s="6"/>
      <c r="AM16" s="8"/>
      <c r="AO16" s="8"/>
      <c r="AR16" s="8"/>
      <c r="AS16" s="6"/>
      <c r="AT16" s="8"/>
      <c r="AW16" s="6"/>
      <c r="AX16" s="8"/>
      <c r="BA16" s="6"/>
      <c r="BF16" s="6"/>
      <c r="BK16" s="6"/>
      <c r="BL16" s="8"/>
      <c r="BM16" s="6"/>
      <c r="BN16" s="8"/>
      <c r="BO16" s="8"/>
      <c r="BP16" s="6"/>
      <c r="BS16" s="6"/>
      <c r="BT16" s="8"/>
      <c r="BU16" s="8"/>
      <c r="BV16" s="8"/>
      <c r="BW16" s="8"/>
      <c r="BX16" s="8"/>
      <c r="BY16" s="8"/>
      <c r="CA16" s="6"/>
      <c r="CK16" s="8"/>
      <c r="CP16" s="6"/>
      <c r="CX16" s="8"/>
      <c r="CZ16" s="8"/>
      <c r="DA16" s="8"/>
      <c r="DB16" s="8"/>
      <c r="DC16" s="6"/>
      <c r="DF16" s="9">
        <f t="shared" si="0"/>
        <v>251440</v>
      </c>
      <c r="DG16" s="9">
        <v>251440</v>
      </c>
      <c r="DH16" s="9">
        <f t="shared" si="1"/>
        <v>0</v>
      </c>
      <c r="DI16"/>
      <c r="DJ16"/>
      <c r="DK16"/>
      <c r="DL16"/>
      <c r="DM16"/>
      <c r="DN16"/>
      <c r="DO16"/>
      <c r="DP16"/>
    </row>
    <row r="17" spans="1:112" x14ac:dyDescent="0.25">
      <c r="A17" s="4" t="s">
        <v>75</v>
      </c>
      <c r="N17" s="8"/>
      <c r="O17" s="6"/>
      <c r="P17" s="8"/>
      <c r="Q17" s="6"/>
      <c r="AA17" s="8"/>
      <c r="AB17" s="6"/>
      <c r="AC17" s="8"/>
      <c r="AD17" s="6"/>
      <c r="AE17" s="8"/>
      <c r="AF17" s="6"/>
      <c r="AG17" s="8"/>
      <c r="AH17" s="6"/>
      <c r="AI17" s="8"/>
      <c r="AJ17" s="6"/>
      <c r="AK17" s="8"/>
      <c r="AL17" s="6"/>
      <c r="AM17" s="8"/>
      <c r="AO17" s="8"/>
      <c r="AR17" s="8"/>
      <c r="AS17" s="6"/>
      <c r="AT17" s="8"/>
      <c r="AW17" s="6"/>
      <c r="AX17" s="8"/>
      <c r="BA17" s="6"/>
      <c r="BF17" s="6"/>
      <c r="BK17" s="6"/>
      <c r="BL17" s="8"/>
      <c r="BM17" s="6"/>
      <c r="BN17" s="8"/>
      <c r="BO17" s="8"/>
      <c r="BP17" s="6"/>
      <c r="BS17" s="6"/>
      <c r="BT17" s="8"/>
      <c r="BU17" s="8"/>
      <c r="BV17" s="8"/>
      <c r="BW17" s="8"/>
      <c r="BX17" s="8"/>
      <c r="BY17" s="8"/>
      <c r="CA17" s="6"/>
      <c r="CK17" s="8"/>
      <c r="CP17" s="6"/>
      <c r="CX17" s="8"/>
      <c r="CZ17" s="8"/>
      <c r="DA17" s="8"/>
      <c r="DB17" s="8"/>
      <c r="DC17" s="6"/>
      <c r="DF17" s="9">
        <f t="shared" si="0"/>
        <v>0</v>
      </c>
      <c r="DG17" s="9"/>
      <c r="DH17" s="9">
        <f t="shared" si="1"/>
        <v>0</v>
      </c>
    </row>
    <row r="18" spans="1:112" s="551" customFormat="1" x14ac:dyDescent="0.25">
      <c r="A18" s="675" t="s">
        <v>77</v>
      </c>
      <c r="B18" s="4" t="s">
        <v>77</v>
      </c>
      <c r="C18" s="1" t="s">
        <v>78</v>
      </c>
      <c r="D18" s="6"/>
      <c r="E18" s="8">
        <v>0</v>
      </c>
      <c r="F18" s="6">
        <v>0</v>
      </c>
      <c r="G18" s="8">
        <v>56318</v>
      </c>
      <c r="H18" s="6"/>
      <c r="I18" s="8"/>
      <c r="J18" s="6"/>
      <c r="K18" s="8">
        <v>3633.9900000000002</v>
      </c>
      <c r="L18" s="6"/>
      <c r="M18" s="8"/>
      <c r="N18" s="8"/>
      <c r="O18" s="6">
        <v>3633.99</v>
      </c>
      <c r="P18" s="8"/>
      <c r="Q18" s="6"/>
      <c r="R18" s="8">
        <v>20719.5</v>
      </c>
      <c r="S18" s="6"/>
      <c r="T18" s="8"/>
      <c r="U18" s="6"/>
      <c r="V18" s="8">
        <v>16958.620000000003</v>
      </c>
      <c r="W18" s="6"/>
      <c r="X18" s="8"/>
      <c r="Y18" s="6"/>
      <c r="Z18" s="8"/>
      <c r="AA18" s="8"/>
      <c r="AB18" s="6"/>
      <c r="AC18" s="8"/>
      <c r="AD18" s="6"/>
      <c r="AE18" s="8"/>
      <c r="AF18" s="6"/>
      <c r="AG18" s="8">
        <v>29539.5</v>
      </c>
      <c r="AH18" s="6">
        <v>16958.62</v>
      </c>
      <c r="AI18" s="8"/>
      <c r="AJ18" s="6">
        <v>1211.33</v>
      </c>
      <c r="AK18" s="8">
        <v>13324.63</v>
      </c>
      <c r="AL18" s="6">
        <v>7267.98</v>
      </c>
      <c r="AM18" s="8">
        <v>12113.3</v>
      </c>
      <c r="AN18" s="8"/>
      <c r="AO18" s="8"/>
      <c r="AP18" s="6"/>
      <c r="AQ18" s="8"/>
      <c r="AR18" s="8"/>
      <c r="AS18" s="6"/>
      <c r="AT18" s="8"/>
      <c r="AU18" s="8"/>
      <c r="AV18" s="6">
        <v>5155.5899999999983</v>
      </c>
      <c r="AW18" s="6"/>
      <c r="AX18" s="8">
        <v>21803.94</v>
      </c>
      <c r="AY18" s="6"/>
      <c r="AZ18" s="8"/>
      <c r="BA18" s="6">
        <v>5841.2200000000012</v>
      </c>
      <c r="BB18" s="8">
        <v>20709.780000000002</v>
      </c>
      <c r="BC18" s="6"/>
      <c r="BD18" s="8">
        <v>10901.97</v>
      </c>
      <c r="BE18" s="6">
        <v>13324.63</v>
      </c>
      <c r="BF18" s="6"/>
      <c r="BG18" s="6"/>
      <c r="BH18" s="8"/>
      <c r="BI18" s="6"/>
      <c r="BJ18" s="8">
        <v>7595.739999999998</v>
      </c>
      <c r="BK18" s="6"/>
      <c r="BL18" s="8">
        <v>50833.079999999994</v>
      </c>
      <c r="BM18" s="6">
        <v>32224</v>
      </c>
      <c r="BN18" s="8"/>
      <c r="BO18" s="8"/>
      <c r="BP18" s="6"/>
      <c r="BQ18" s="6"/>
      <c r="BR18" s="8"/>
      <c r="BS18" s="6"/>
      <c r="BT18" s="8"/>
      <c r="BU18" s="8"/>
      <c r="BV18" s="8"/>
      <c r="BW18" s="8"/>
      <c r="BX18" s="8"/>
      <c r="BY18" s="8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8">
        <v>6577.5899999999974</v>
      </c>
      <c r="CK18" s="8"/>
      <c r="CL18" s="8"/>
      <c r="CM18" s="6"/>
      <c r="CN18" s="6"/>
      <c r="CO18" s="8"/>
      <c r="CP18" s="6">
        <v>21483</v>
      </c>
      <c r="CQ18" s="8"/>
      <c r="CR18" s="6">
        <v>607558.5</v>
      </c>
      <c r="CS18" s="8"/>
      <c r="CT18" s="6">
        <v>8156.0000000000009</v>
      </c>
      <c r="CU18" s="8"/>
      <c r="CV18" s="6">
        <v>7410806.6000000006</v>
      </c>
      <c r="CW18" s="8"/>
      <c r="CX18" s="8"/>
      <c r="CY18" s="8"/>
      <c r="CZ18" s="8"/>
      <c r="DA18" s="8"/>
      <c r="DB18" s="8"/>
      <c r="DC18" s="6">
        <v>426006.8</v>
      </c>
      <c r="DD18" s="8"/>
      <c r="DE18" s="6"/>
      <c r="DF18" s="9">
        <f t="shared" si="0"/>
        <v>8830657.9000000022</v>
      </c>
      <c r="DG18" s="9">
        <v>8830657.9000000022</v>
      </c>
      <c r="DH18" s="9">
        <f t="shared" si="1"/>
        <v>0</v>
      </c>
    </row>
    <row r="19" spans="1:112" s="551" customFormat="1" x14ac:dyDescent="0.25">
      <c r="A19" s="675" t="s">
        <v>79</v>
      </c>
      <c r="B19" s="4" t="s">
        <v>79</v>
      </c>
      <c r="C19" s="1" t="s">
        <v>80</v>
      </c>
      <c r="D19" s="6"/>
      <c r="E19" s="8">
        <v>410450.18770000001</v>
      </c>
      <c r="F19" s="6">
        <v>0</v>
      </c>
      <c r="G19" s="8">
        <v>1505767.44</v>
      </c>
      <c r="H19" s="6"/>
      <c r="I19" s="8"/>
      <c r="J19" s="6"/>
      <c r="K19" s="8">
        <v>293178.70550000004</v>
      </c>
      <c r="L19" s="6"/>
      <c r="M19" s="8"/>
      <c r="N19" s="8"/>
      <c r="O19" s="6">
        <v>175907.22329999998</v>
      </c>
      <c r="P19" s="8"/>
      <c r="Q19" s="6"/>
      <c r="R19" s="8">
        <v>1162085.97</v>
      </c>
      <c r="S19" s="6"/>
      <c r="T19" s="8"/>
      <c r="U19" s="6"/>
      <c r="V19" s="8">
        <v>762264.63430000003</v>
      </c>
      <c r="W19" s="6"/>
      <c r="X19" s="8"/>
      <c r="Y19" s="6"/>
      <c r="Z19" s="8"/>
      <c r="AA19" s="8"/>
      <c r="AB19" s="6"/>
      <c r="AC19" s="8">
        <v>117271.4822</v>
      </c>
      <c r="AD19" s="6"/>
      <c r="AE19" s="8"/>
      <c r="AF19" s="6"/>
      <c r="AG19" s="8">
        <v>1526314.6</v>
      </c>
      <c r="AH19" s="6">
        <v>527721.66989999998</v>
      </c>
      <c r="AI19" s="8"/>
      <c r="AJ19" s="6">
        <v>117271.48219999998</v>
      </c>
      <c r="AK19" s="8">
        <v>762264.63430000003</v>
      </c>
      <c r="AL19" s="6">
        <v>293178.70550000004</v>
      </c>
      <c r="AM19" s="8">
        <v>527721.66989999998</v>
      </c>
      <c r="AN19" s="8"/>
      <c r="AO19" s="8"/>
      <c r="AP19" s="6"/>
      <c r="AQ19" s="8"/>
      <c r="AR19" s="8"/>
      <c r="AS19" s="6"/>
      <c r="AT19" s="8"/>
      <c r="AU19" s="8"/>
      <c r="AV19" s="6">
        <v>219810.56000000006</v>
      </c>
      <c r="AW19" s="6"/>
      <c r="AX19" s="8"/>
      <c r="AY19" s="6"/>
      <c r="AZ19" s="8"/>
      <c r="BA19" s="6">
        <v>668486.451</v>
      </c>
      <c r="BB19" s="8">
        <v>706965.4878</v>
      </c>
      <c r="BC19" s="6">
        <v>117271.4822</v>
      </c>
      <c r="BD19" s="8">
        <v>469085.92879999999</v>
      </c>
      <c r="BE19" s="6">
        <v>820900.3753999999</v>
      </c>
      <c r="BF19" s="6"/>
      <c r="BG19" s="6"/>
      <c r="BH19" s="8"/>
      <c r="BI19" s="6"/>
      <c r="BJ19" s="8">
        <v>978127.05999999936</v>
      </c>
      <c r="BK19" s="6">
        <v>107848.63</v>
      </c>
      <c r="BL19" s="8">
        <v>2841727.419999999</v>
      </c>
      <c r="BM19" s="6">
        <v>332213.29999999993</v>
      </c>
      <c r="BN19" s="8"/>
      <c r="BO19" s="8"/>
      <c r="BP19" s="6"/>
      <c r="BQ19" s="6"/>
      <c r="BR19" s="8"/>
      <c r="BS19" s="6"/>
      <c r="BT19" s="8"/>
      <c r="BU19" s="8"/>
      <c r="BV19" s="8"/>
      <c r="BW19" s="8"/>
      <c r="BX19" s="8"/>
      <c r="BY19" s="8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8">
        <v>224129.56000000011</v>
      </c>
      <c r="CK19" s="8"/>
      <c r="CL19" s="8"/>
      <c r="CM19" s="6">
        <v>239703.00000000003</v>
      </c>
      <c r="CN19" s="6"/>
      <c r="CO19" s="8">
        <v>69690</v>
      </c>
      <c r="CP19" s="6">
        <v>1220092.7799999998</v>
      </c>
      <c r="CQ19" s="8"/>
      <c r="CR19" s="6">
        <v>2482251</v>
      </c>
      <c r="CS19" s="8"/>
      <c r="CT19" s="6">
        <v>204604</v>
      </c>
      <c r="CU19" s="8"/>
      <c r="CV19" s="6">
        <v>6482121.0799999982</v>
      </c>
      <c r="CW19" s="8">
        <v>4723</v>
      </c>
      <c r="CX19" s="8"/>
      <c r="CY19" s="8"/>
      <c r="CZ19" s="8"/>
      <c r="DA19" s="8"/>
      <c r="DB19" s="8"/>
      <c r="DC19" s="6">
        <v>24190721</v>
      </c>
      <c r="DD19" s="8"/>
      <c r="DE19" s="6"/>
      <c r="DF19" s="9">
        <f t="shared" si="0"/>
        <v>50561870.519999996</v>
      </c>
      <c r="DG19" s="9">
        <v>50561870.519999996</v>
      </c>
      <c r="DH19" s="9">
        <f t="shared" si="1"/>
        <v>0</v>
      </c>
    </row>
    <row r="20" spans="1:112" x14ac:dyDescent="0.25">
      <c r="A20" s="4" t="s">
        <v>81</v>
      </c>
      <c r="B20" s="4" t="s">
        <v>81</v>
      </c>
      <c r="C20" s="1" t="s">
        <v>82</v>
      </c>
      <c r="E20" s="8">
        <v>170585.52140000003</v>
      </c>
      <c r="F20" s="6">
        <v>0</v>
      </c>
      <c r="G20" s="8">
        <v>1393486.47</v>
      </c>
      <c r="K20" s="8">
        <v>121846.80100000001</v>
      </c>
      <c r="N20" s="8"/>
      <c r="O20" s="6">
        <v>73108.080599999987</v>
      </c>
      <c r="P20" s="8"/>
      <c r="Q20" s="6"/>
      <c r="R20" s="8">
        <v>194299.67000000004</v>
      </c>
      <c r="V20" s="8">
        <v>316801.68260000006</v>
      </c>
      <c r="AA20" s="8"/>
      <c r="AB20" s="6"/>
      <c r="AC20" s="8">
        <v>48738.720399999998</v>
      </c>
      <c r="AD20" s="6"/>
      <c r="AE20" s="8"/>
      <c r="AF20" s="6"/>
      <c r="AG20" s="8">
        <v>194299.66999999993</v>
      </c>
      <c r="AH20" s="6">
        <v>219324.24179999999</v>
      </c>
      <c r="AI20" s="8"/>
      <c r="AJ20" s="6">
        <v>48738.720399999991</v>
      </c>
      <c r="AK20" s="8">
        <v>316801.68260000006</v>
      </c>
      <c r="AL20" s="6">
        <v>121846.80100000001</v>
      </c>
      <c r="AM20" s="8">
        <v>219324.24179999999</v>
      </c>
      <c r="AO20" s="8"/>
      <c r="AR20" s="8"/>
      <c r="AS20" s="6"/>
      <c r="AT20" s="8"/>
      <c r="AV20" s="6">
        <v>200855.44999999998</v>
      </c>
      <c r="AW20" s="6"/>
      <c r="AX20" s="8"/>
      <c r="BA20" s="6">
        <v>274928.65019999997</v>
      </c>
      <c r="BB20" s="8">
        <v>283543.36139999999</v>
      </c>
      <c r="BC20" s="6">
        <v>48738.720399999991</v>
      </c>
      <c r="BD20" s="8">
        <v>194954.88159999999</v>
      </c>
      <c r="BE20" s="6">
        <v>341171.04280000005</v>
      </c>
      <c r="BF20" s="6"/>
      <c r="BJ20" s="8">
        <v>302807.56</v>
      </c>
      <c r="BK20" s="6">
        <v>10801.630000000005</v>
      </c>
      <c r="BL20" s="8">
        <v>1980660.7499999993</v>
      </c>
      <c r="BM20" s="6">
        <v>727980.46</v>
      </c>
      <c r="BN20" s="8"/>
      <c r="BO20" s="8"/>
      <c r="BP20" s="6"/>
      <c r="BS20" s="6"/>
      <c r="BT20" s="8"/>
      <c r="BU20" s="8"/>
      <c r="BV20" s="8"/>
      <c r="BW20" s="8"/>
      <c r="BX20" s="8"/>
      <c r="BY20" s="8"/>
      <c r="CA20" s="6"/>
      <c r="CJ20" s="8">
        <v>200855.44999999998</v>
      </c>
      <c r="CK20" s="8"/>
      <c r="CO20" s="8">
        <v>105953.99999999999</v>
      </c>
      <c r="CP20" s="6"/>
      <c r="CR20" s="6">
        <v>484353.88</v>
      </c>
      <c r="CV20" s="6">
        <v>515390.84</v>
      </c>
      <c r="CX20" s="8"/>
      <c r="CZ20" s="8"/>
      <c r="DA20" s="8"/>
      <c r="DB20" s="8"/>
      <c r="DC20" s="6">
        <v>5670619</v>
      </c>
      <c r="DF20" s="9">
        <f t="shared" si="0"/>
        <v>14782817.979999999</v>
      </c>
      <c r="DG20" s="9">
        <v>14782817.980000006</v>
      </c>
      <c r="DH20" s="9">
        <f t="shared" si="1"/>
        <v>0</v>
      </c>
    </row>
    <row r="21" spans="1:112" x14ac:dyDescent="0.25">
      <c r="A21" s="208" t="s">
        <v>1756</v>
      </c>
      <c r="B21" s="4" t="s">
        <v>1756</v>
      </c>
      <c r="C21" s="1" t="s">
        <v>1757</v>
      </c>
      <c r="E21" s="8">
        <v>281687.96999999997</v>
      </c>
      <c r="G21" s="8">
        <v>1590</v>
      </c>
      <c r="K21" s="8">
        <v>76558.529999999984</v>
      </c>
      <c r="N21" s="8"/>
      <c r="O21" s="6"/>
      <c r="P21" s="8"/>
      <c r="Q21" s="6"/>
      <c r="W21" s="6">
        <v>115338.37000000001</v>
      </c>
      <c r="AA21" s="8"/>
      <c r="AB21" s="6"/>
      <c r="AC21" s="8"/>
      <c r="AD21" s="6"/>
      <c r="AE21" s="8"/>
      <c r="AF21" s="6"/>
      <c r="AG21" s="8"/>
      <c r="AH21" s="6"/>
      <c r="AI21" s="8"/>
      <c r="AJ21" s="6"/>
      <c r="AK21" s="8"/>
      <c r="AL21" s="6"/>
      <c r="AM21" s="8"/>
      <c r="AO21" s="8"/>
      <c r="AR21" s="8"/>
      <c r="AS21" s="6"/>
      <c r="AT21" s="8"/>
      <c r="AW21" s="6"/>
      <c r="AX21" s="8"/>
      <c r="BA21" s="6"/>
      <c r="BF21" s="6"/>
      <c r="BK21" s="6"/>
      <c r="BL21" s="8">
        <v>66725.48</v>
      </c>
      <c r="BM21" s="6">
        <v>740857.63000000012</v>
      </c>
      <c r="BN21" s="8"/>
      <c r="BO21" s="8"/>
      <c r="BP21" s="6"/>
      <c r="BS21" s="6"/>
      <c r="BT21" s="8"/>
      <c r="BU21" s="8"/>
      <c r="BV21" s="8"/>
      <c r="BW21" s="8"/>
      <c r="BX21" s="8"/>
      <c r="BY21" s="8"/>
      <c r="CA21" s="6"/>
      <c r="CJ21" s="8">
        <v>574885.59000000008</v>
      </c>
      <c r="CK21" s="8"/>
      <c r="CM21" s="6">
        <v>47897.999999999985</v>
      </c>
      <c r="CO21" s="8">
        <v>2393153.9</v>
      </c>
      <c r="CP21" s="6">
        <v>590542.77</v>
      </c>
      <c r="CQ21" s="8">
        <v>1086830.5</v>
      </c>
      <c r="CR21" s="6">
        <v>7711838.7699999968</v>
      </c>
      <c r="CT21" s="6">
        <v>60493.590000000004</v>
      </c>
      <c r="CV21" s="6">
        <v>4728033.5899999971</v>
      </c>
      <c r="CW21" s="8">
        <v>11472</v>
      </c>
      <c r="CX21" s="8"/>
      <c r="CZ21" s="8"/>
      <c r="DA21" s="8"/>
      <c r="DB21" s="8"/>
      <c r="DC21" s="6"/>
      <c r="DF21" s="9">
        <f t="shared" si="0"/>
        <v>18487906.689999994</v>
      </c>
      <c r="DG21" s="9">
        <v>18487906.689999994</v>
      </c>
      <c r="DH21" s="9">
        <f t="shared" si="1"/>
        <v>0</v>
      </c>
    </row>
    <row r="22" spans="1:112" x14ac:dyDescent="0.25">
      <c r="A22" s="4" t="s">
        <v>83</v>
      </c>
      <c r="B22" s="4" t="s">
        <v>83</v>
      </c>
      <c r="C22" s="1" t="s">
        <v>84</v>
      </c>
      <c r="E22" s="8">
        <v>50419</v>
      </c>
      <c r="K22" s="8">
        <v>1331</v>
      </c>
      <c r="N22" s="8"/>
      <c r="O22" s="6"/>
      <c r="P22" s="8"/>
      <c r="Q22" s="6"/>
      <c r="W22" s="6">
        <v>1961</v>
      </c>
      <c r="AA22" s="8"/>
      <c r="AB22" s="6"/>
      <c r="AC22" s="8"/>
      <c r="AD22" s="6"/>
      <c r="AE22" s="8"/>
      <c r="AF22" s="6"/>
      <c r="AG22" s="8">
        <v>56560</v>
      </c>
      <c r="AH22" s="6"/>
      <c r="AI22" s="8"/>
      <c r="AJ22" s="6"/>
      <c r="AK22" s="8"/>
      <c r="AL22" s="6"/>
      <c r="AM22" s="8"/>
      <c r="AO22" s="8"/>
      <c r="AR22" s="8"/>
      <c r="AS22" s="6"/>
      <c r="AT22" s="8"/>
      <c r="AW22" s="6"/>
      <c r="AX22" s="8"/>
      <c r="BA22" s="6">
        <v>14874280</v>
      </c>
      <c r="BF22" s="6"/>
      <c r="BK22" s="6"/>
      <c r="BL22" s="8"/>
      <c r="BM22" s="6">
        <v>2190</v>
      </c>
      <c r="BN22" s="8"/>
      <c r="BO22" s="8"/>
      <c r="BP22" s="6"/>
      <c r="BS22" s="6"/>
      <c r="BT22" s="8"/>
      <c r="BU22" s="8"/>
      <c r="BV22" s="8"/>
      <c r="BW22" s="8"/>
      <c r="BX22" s="8"/>
      <c r="BY22" s="8"/>
      <c r="CA22" s="6"/>
      <c r="CK22" s="8"/>
      <c r="CO22" s="8">
        <v>19633.650000000001</v>
      </c>
      <c r="CP22" s="6"/>
      <c r="CR22" s="6">
        <v>110810</v>
      </c>
      <c r="CV22" s="6">
        <v>3889640</v>
      </c>
      <c r="CX22" s="8"/>
      <c r="CZ22" s="8"/>
      <c r="DA22" s="8"/>
      <c r="DB22" s="8"/>
      <c r="DC22" s="6">
        <v>14000</v>
      </c>
      <c r="DF22" s="9">
        <f t="shared" si="0"/>
        <v>19020824.649999999</v>
      </c>
      <c r="DG22" s="9">
        <v>19020824.649999999</v>
      </c>
      <c r="DH22" s="9">
        <f t="shared" si="1"/>
        <v>0</v>
      </c>
    </row>
    <row r="23" spans="1:112" x14ac:dyDescent="0.25">
      <c r="A23" s="4" t="s">
        <v>85</v>
      </c>
      <c r="N23" s="8"/>
      <c r="O23" s="6"/>
      <c r="P23" s="8"/>
      <c r="Q23" s="6"/>
      <c r="AA23" s="8"/>
      <c r="AB23" s="6"/>
      <c r="AC23" s="8"/>
      <c r="AD23" s="6"/>
      <c r="AE23" s="8"/>
      <c r="AF23" s="6"/>
      <c r="AG23" s="8"/>
      <c r="AH23" s="6"/>
      <c r="AI23" s="8"/>
      <c r="AJ23" s="6"/>
      <c r="AK23" s="8"/>
      <c r="AL23" s="6"/>
      <c r="AM23" s="8"/>
      <c r="AO23" s="8"/>
      <c r="AR23" s="8"/>
      <c r="AS23" s="6"/>
      <c r="AT23" s="8"/>
      <c r="AW23" s="6"/>
      <c r="AX23" s="8"/>
      <c r="BA23" s="6"/>
      <c r="BF23" s="6"/>
      <c r="BK23" s="6"/>
      <c r="BL23" s="8"/>
      <c r="BM23" s="6"/>
      <c r="BN23" s="8"/>
      <c r="BO23" s="8"/>
      <c r="BP23" s="6"/>
      <c r="BS23" s="6"/>
      <c r="BT23" s="8"/>
      <c r="BU23" s="8"/>
      <c r="BV23" s="8"/>
      <c r="BW23" s="8"/>
      <c r="BX23" s="8"/>
      <c r="BY23" s="8"/>
      <c r="CA23" s="6"/>
      <c r="CK23" s="8"/>
      <c r="CP23" s="6"/>
      <c r="CX23" s="8"/>
      <c r="CZ23" s="8"/>
      <c r="DA23" s="8"/>
      <c r="DB23" s="8"/>
      <c r="DC23" s="6"/>
      <c r="DF23" s="9">
        <f t="shared" si="0"/>
        <v>0</v>
      </c>
      <c r="DG23" s="9"/>
      <c r="DH23" s="9">
        <f t="shared" si="1"/>
        <v>0</v>
      </c>
    </row>
    <row r="24" spans="1:112" s="551" customFormat="1" x14ac:dyDescent="0.25">
      <c r="A24" s="675" t="s">
        <v>87</v>
      </c>
      <c r="B24" s="4" t="s">
        <v>87</v>
      </c>
      <c r="C24" s="1" t="s">
        <v>88</v>
      </c>
      <c r="D24" s="6"/>
      <c r="E24" s="8">
        <v>14221.130000000001</v>
      </c>
      <c r="F24" s="6">
        <v>-2.9103830456733704E-11</v>
      </c>
      <c r="G24" s="8">
        <v>29675.989999999991</v>
      </c>
      <c r="H24" s="6"/>
      <c r="I24" s="8"/>
      <c r="J24" s="6"/>
      <c r="K24" s="8">
        <v>10157.950000000001</v>
      </c>
      <c r="L24" s="6"/>
      <c r="M24" s="8"/>
      <c r="N24" s="8"/>
      <c r="O24" s="6">
        <v>6094.7699999999995</v>
      </c>
      <c r="P24" s="8"/>
      <c r="Q24" s="6"/>
      <c r="R24" s="8">
        <v>33627</v>
      </c>
      <c r="S24" s="6"/>
      <c r="T24" s="8"/>
      <c r="U24" s="6"/>
      <c r="V24" s="8">
        <v>26410.67</v>
      </c>
      <c r="W24" s="6"/>
      <c r="X24" s="8"/>
      <c r="Y24" s="6"/>
      <c r="Z24" s="8"/>
      <c r="AA24" s="8"/>
      <c r="AB24" s="6"/>
      <c r="AC24" s="8">
        <v>4063.1800000000003</v>
      </c>
      <c r="AD24" s="6"/>
      <c r="AE24" s="8"/>
      <c r="AF24" s="6"/>
      <c r="AG24" s="8">
        <v>46170</v>
      </c>
      <c r="AH24" s="6">
        <v>18284.309999999998</v>
      </c>
      <c r="AI24" s="8"/>
      <c r="AJ24" s="6">
        <v>4063.1800000000003</v>
      </c>
      <c r="AK24" s="8">
        <v>26410.67</v>
      </c>
      <c r="AL24" s="6">
        <v>10157.950000000001</v>
      </c>
      <c r="AM24" s="8">
        <v>18284.309999999998</v>
      </c>
      <c r="AN24" s="8"/>
      <c r="AO24" s="8"/>
      <c r="AP24" s="6"/>
      <c r="AQ24" s="8"/>
      <c r="AR24" s="8"/>
      <c r="AS24" s="6"/>
      <c r="AT24" s="8"/>
      <c r="AU24" s="8"/>
      <c r="AV24" s="6">
        <v>8068.3599999999988</v>
      </c>
      <c r="AW24" s="6"/>
      <c r="AX24" s="8"/>
      <c r="AY24" s="6"/>
      <c r="AZ24" s="8"/>
      <c r="BA24" s="6">
        <v>24912.58</v>
      </c>
      <c r="BB24" s="8">
        <v>30703.14</v>
      </c>
      <c r="BC24" s="6">
        <v>4063.1800000000003</v>
      </c>
      <c r="BD24" s="8">
        <v>16252.720000000001</v>
      </c>
      <c r="BE24" s="6">
        <v>28442.260000000002</v>
      </c>
      <c r="BF24" s="6"/>
      <c r="BG24" s="6"/>
      <c r="BH24" s="8"/>
      <c r="BI24" s="6"/>
      <c r="BJ24" s="8">
        <v>11887.339999999997</v>
      </c>
      <c r="BK24" s="6"/>
      <c r="BL24" s="8">
        <v>79552.939999999959</v>
      </c>
      <c r="BM24" s="6">
        <v>47610.48</v>
      </c>
      <c r="BN24" s="8"/>
      <c r="BO24" s="8"/>
      <c r="BP24" s="6"/>
      <c r="BQ24" s="6"/>
      <c r="BR24" s="8"/>
      <c r="BS24" s="6"/>
      <c r="BT24" s="8"/>
      <c r="BU24" s="8"/>
      <c r="BV24" s="8"/>
      <c r="BW24" s="8"/>
      <c r="BX24" s="8"/>
      <c r="BY24" s="8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8">
        <v>8524.3599999999969</v>
      </c>
      <c r="CK24" s="8"/>
      <c r="CL24" s="8"/>
      <c r="CM24" s="6"/>
      <c r="CN24" s="6"/>
      <c r="CO24" s="8"/>
      <c r="CP24" s="6">
        <v>51041</v>
      </c>
      <c r="CQ24" s="8"/>
      <c r="CR24" s="6">
        <v>301767</v>
      </c>
      <c r="CS24" s="8"/>
      <c r="CT24" s="6"/>
      <c r="CU24" s="8"/>
      <c r="CV24" s="6">
        <v>44702.599999999627</v>
      </c>
      <c r="CW24" s="8"/>
      <c r="CX24" s="8"/>
      <c r="CY24" s="8"/>
      <c r="CZ24" s="8"/>
      <c r="DA24" s="8"/>
      <c r="DB24" s="8"/>
      <c r="DC24" s="6">
        <v>933078.00000000012</v>
      </c>
      <c r="DD24" s="8"/>
      <c r="DE24" s="6"/>
      <c r="DF24" s="9">
        <f t="shared" si="0"/>
        <v>1838227.0699999996</v>
      </c>
      <c r="DG24" s="9">
        <v>1838227.07</v>
      </c>
      <c r="DH24" s="9">
        <f t="shared" si="1"/>
        <v>0</v>
      </c>
    </row>
    <row r="25" spans="1:112" x14ac:dyDescent="0.25">
      <c r="A25" s="4" t="s">
        <v>89</v>
      </c>
      <c r="B25" s="4" t="s">
        <v>89</v>
      </c>
      <c r="C25" s="1" t="s">
        <v>90</v>
      </c>
      <c r="E25" s="8">
        <v>85280</v>
      </c>
      <c r="F25" s="6">
        <v>0</v>
      </c>
      <c r="K25" s="8">
        <v>70800</v>
      </c>
      <c r="N25" s="8"/>
      <c r="O25" s="6"/>
      <c r="P25" s="8"/>
      <c r="Q25" s="6"/>
      <c r="R25" s="8">
        <v>70800</v>
      </c>
      <c r="V25" s="8">
        <v>141600</v>
      </c>
      <c r="X25" s="8">
        <v>236000</v>
      </c>
      <c r="Y25" s="6">
        <v>70800</v>
      </c>
      <c r="Z25" s="8">
        <v>64900</v>
      </c>
      <c r="AA25" s="8"/>
      <c r="AB25" s="6"/>
      <c r="AC25" s="8"/>
      <c r="AD25" s="6"/>
      <c r="AE25" s="8"/>
      <c r="AF25" s="6"/>
      <c r="AG25" s="8">
        <v>277300</v>
      </c>
      <c r="AH25" s="6">
        <v>70800</v>
      </c>
      <c r="AI25" s="8"/>
      <c r="AJ25" s="6">
        <v>301400</v>
      </c>
      <c r="AK25" s="8"/>
      <c r="AL25" s="6">
        <v>70800</v>
      </c>
      <c r="AM25" s="8">
        <v>70800</v>
      </c>
      <c r="AO25" s="8"/>
      <c r="AR25" s="8"/>
      <c r="AS25" s="6"/>
      <c r="AT25" s="8">
        <v>188800</v>
      </c>
      <c r="AV25" s="6">
        <v>64900</v>
      </c>
      <c r="AW25" s="6"/>
      <c r="AX25" s="8"/>
      <c r="BA25" s="6">
        <v>100654</v>
      </c>
      <c r="BB25" s="8">
        <v>105846</v>
      </c>
      <c r="BD25" s="8">
        <v>70800</v>
      </c>
      <c r="BE25" s="6">
        <v>141600</v>
      </c>
      <c r="BF25" s="6"/>
      <c r="BJ25" s="8">
        <v>40028.82</v>
      </c>
      <c r="BK25" s="6">
        <v>3068</v>
      </c>
      <c r="BL25" s="8">
        <v>267165.69</v>
      </c>
      <c r="BM25" s="6">
        <v>70453</v>
      </c>
      <c r="BN25" s="8"/>
      <c r="BO25" s="8"/>
      <c r="BP25" s="6"/>
      <c r="BS25" s="6"/>
      <c r="BT25" s="8"/>
      <c r="BU25" s="8"/>
      <c r="BV25" s="8"/>
      <c r="BW25" s="8"/>
      <c r="BX25" s="8"/>
      <c r="BY25" s="8"/>
      <c r="CA25" s="6"/>
      <c r="CJ25" s="8">
        <v>64900</v>
      </c>
      <c r="CK25" s="8"/>
      <c r="CP25" s="6"/>
      <c r="CR25" s="6">
        <v>18000</v>
      </c>
      <c r="CX25" s="8"/>
      <c r="CZ25" s="8"/>
      <c r="DA25" s="8"/>
      <c r="DB25" s="8"/>
      <c r="DC25" s="6"/>
      <c r="DF25" s="9">
        <f t="shared" si="0"/>
        <v>2667495.5099999998</v>
      </c>
      <c r="DG25" s="9">
        <v>2667495.5099999998</v>
      </c>
      <c r="DH25" s="9">
        <f t="shared" si="1"/>
        <v>0</v>
      </c>
    </row>
    <row r="26" spans="1:112" x14ac:dyDescent="0.25">
      <c r="A26" s="4" t="s">
        <v>91</v>
      </c>
      <c r="B26" s="4" t="s">
        <v>91</v>
      </c>
      <c r="C26" s="1" t="s">
        <v>92</v>
      </c>
      <c r="E26" s="8">
        <v>1410154</v>
      </c>
      <c r="G26" s="8">
        <v>194645</v>
      </c>
      <c r="K26" s="8">
        <v>573429</v>
      </c>
      <c r="N26" s="8"/>
      <c r="O26" s="6"/>
      <c r="P26" s="8"/>
      <c r="Q26" s="6"/>
      <c r="W26" s="6">
        <v>70865</v>
      </c>
      <c r="AA26" s="8"/>
      <c r="AB26" s="6"/>
      <c r="AC26" s="8"/>
      <c r="AD26" s="6"/>
      <c r="AE26" s="8"/>
      <c r="AF26" s="6"/>
      <c r="AG26" s="8"/>
      <c r="AH26" s="6"/>
      <c r="AI26" s="8"/>
      <c r="AJ26" s="6"/>
      <c r="AK26" s="8"/>
      <c r="AL26" s="6"/>
      <c r="AM26" s="8"/>
      <c r="AO26" s="8"/>
      <c r="AR26" s="8"/>
      <c r="AS26" s="6"/>
      <c r="AT26" s="8"/>
      <c r="AW26" s="6"/>
      <c r="AX26" s="8"/>
      <c r="BA26" s="6"/>
      <c r="BF26" s="6"/>
      <c r="BJ26" s="8">
        <v>157111.23000000001</v>
      </c>
      <c r="BK26" s="6"/>
      <c r="BL26" s="8">
        <v>1023931.77</v>
      </c>
      <c r="BM26" s="6">
        <v>150802</v>
      </c>
      <c r="BN26" s="8"/>
      <c r="BO26" s="8"/>
      <c r="BP26" s="6"/>
      <c r="BS26" s="6"/>
      <c r="BT26" s="8"/>
      <c r="BU26" s="8"/>
      <c r="BV26" s="8"/>
      <c r="BW26" s="8"/>
      <c r="BX26" s="8"/>
      <c r="BY26" s="8"/>
      <c r="CA26" s="6"/>
      <c r="CJ26" s="8">
        <v>356712.72</v>
      </c>
      <c r="CK26" s="8"/>
      <c r="CO26" s="8">
        <v>59110.96</v>
      </c>
      <c r="CP26" s="6"/>
      <c r="CR26" s="6">
        <v>586114.88</v>
      </c>
      <c r="CX26" s="8"/>
      <c r="CZ26" s="8"/>
      <c r="DA26" s="8"/>
      <c r="DB26" s="8"/>
      <c r="DC26" s="6"/>
      <c r="DF26" s="9">
        <f t="shared" si="0"/>
        <v>4582876.5599999996</v>
      </c>
      <c r="DG26" s="9">
        <v>4582876.5599999996</v>
      </c>
      <c r="DH26" s="9">
        <f t="shared" si="1"/>
        <v>0</v>
      </c>
    </row>
    <row r="27" spans="1:112" x14ac:dyDescent="0.25">
      <c r="A27" s="4" t="s">
        <v>93</v>
      </c>
      <c r="B27" s="4" t="s">
        <v>93</v>
      </c>
      <c r="C27" s="1" t="s">
        <v>94</v>
      </c>
      <c r="N27" s="8"/>
      <c r="O27" s="6"/>
      <c r="P27" s="8"/>
      <c r="Q27" s="6"/>
      <c r="AA27" s="8"/>
      <c r="AB27" s="6"/>
      <c r="AC27" s="8"/>
      <c r="AD27" s="6"/>
      <c r="AE27" s="8"/>
      <c r="AF27" s="6"/>
      <c r="AG27" s="8"/>
      <c r="AH27" s="6"/>
      <c r="AI27" s="8"/>
      <c r="AJ27" s="6"/>
      <c r="AK27" s="8"/>
      <c r="AL27" s="6"/>
      <c r="AM27" s="8"/>
      <c r="AO27" s="8"/>
      <c r="AR27" s="8"/>
      <c r="AS27" s="6"/>
      <c r="AT27" s="8"/>
      <c r="AW27" s="6"/>
      <c r="AX27" s="8"/>
      <c r="BA27" s="6"/>
      <c r="BF27" s="6"/>
      <c r="BJ27" s="8">
        <v>132213.34</v>
      </c>
      <c r="BK27" s="6"/>
      <c r="BL27" s="8">
        <v>884814.65999999992</v>
      </c>
      <c r="BM27" s="6">
        <v>98913</v>
      </c>
      <c r="BN27" s="8"/>
      <c r="BO27" s="8"/>
      <c r="BP27" s="6"/>
      <c r="BS27" s="6"/>
      <c r="BT27" s="8"/>
      <c r="BU27" s="8"/>
      <c r="BV27" s="8"/>
      <c r="BW27" s="8"/>
      <c r="BX27" s="8"/>
      <c r="BY27" s="8"/>
      <c r="CA27" s="6"/>
      <c r="CJ27" s="8">
        <v>89470.68</v>
      </c>
      <c r="CK27" s="8"/>
      <c r="CO27" s="8">
        <v>445560.95999999996</v>
      </c>
      <c r="CP27" s="6"/>
      <c r="CR27" s="6">
        <v>10901011.67</v>
      </c>
      <c r="CV27" s="6">
        <v>1045779.0499999999</v>
      </c>
      <c r="CW27" s="8">
        <v>15118.08</v>
      </c>
      <c r="CX27" s="8"/>
      <c r="CZ27" s="8"/>
      <c r="DA27" s="8"/>
      <c r="DB27" s="8"/>
      <c r="DC27" s="6"/>
      <c r="DF27" s="9">
        <f t="shared" si="0"/>
        <v>13612881.440000001</v>
      </c>
      <c r="DG27" s="9">
        <v>13612881.439999999</v>
      </c>
      <c r="DH27" s="9">
        <f t="shared" si="1"/>
        <v>0</v>
      </c>
    </row>
    <row r="28" spans="1:112" x14ac:dyDescent="0.25">
      <c r="A28" s="4" t="s">
        <v>95</v>
      </c>
      <c r="B28" s="4" t="s">
        <v>95</v>
      </c>
      <c r="C28" s="1" t="s">
        <v>96</v>
      </c>
      <c r="E28" s="8">
        <v>59030</v>
      </c>
      <c r="G28" s="8">
        <v>46850</v>
      </c>
      <c r="K28" s="8">
        <v>41270</v>
      </c>
      <c r="N28" s="8"/>
      <c r="O28" s="6"/>
      <c r="P28" s="8"/>
      <c r="Q28" s="6"/>
      <c r="AA28" s="8"/>
      <c r="AB28" s="6"/>
      <c r="AC28" s="8"/>
      <c r="AD28" s="6"/>
      <c r="AE28" s="8"/>
      <c r="AF28" s="6"/>
      <c r="AG28" s="8"/>
      <c r="AH28" s="6"/>
      <c r="AI28" s="8"/>
      <c r="AJ28" s="6"/>
      <c r="AK28" s="8"/>
      <c r="AL28" s="6"/>
      <c r="AM28" s="8"/>
      <c r="AO28" s="8"/>
      <c r="AR28" s="8"/>
      <c r="AS28" s="6"/>
      <c r="AT28" s="8"/>
      <c r="AW28" s="6"/>
      <c r="AX28" s="8"/>
      <c r="BA28" s="6"/>
      <c r="BF28" s="6"/>
      <c r="BJ28" s="8">
        <v>5683</v>
      </c>
      <c r="BK28" s="6"/>
      <c r="BL28" s="8">
        <v>38032</v>
      </c>
      <c r="BM28" s="6"/>
      <c r="BN28" s="8"/>
      <c r="BO28" s="8"/>
      <c r="BP28" s="6"/>
      <c r="BS28" s="6"/>
      <c r="BT28" s="8"/>
      <c r="BU28" s="8"/>
      <c r="BV28" s="8"/>
      <c r="BW28" s="8"/>
      <c r="BX28" s="8"/>
      <c r="BY28" s="8"/>
      <c r="CA28" s="6"/>
      <c r="CJ28" s="8">
        <v>3044.02</v>
      </c>
      <c r="CK28" s="8"/>
      <c r="CP28" s="6"/>
      <c r="CX28" s="8"/>
      <c r="CZ28" s="8"/>
      <c r="DA28" s="8"/>
      <c r="DB28" s="8"/>
      <c r="DC28" s="6"/>
      <c r="DF28" s="9">
        <f t="shared" si="0"/>
        <v>193909.02</v>
      </c>
      <c r="DG28" s="9">
        <v>193909.02</v>
      </c>
      <c r="DH28" s="9">
        <f t="shared" si="1"/>
        <v>0</v>
      </c>
    </row>
    <row r="29" spans="1:112" x14ac:dyDescent="0.25">
      <c r="A29" s="1" t="s">
        <v>1462</v>
      </c>
      <c r="N29" s="8"/>
      <c r="O29" s="6"/>
      <c r="P29" s="8"/>
      <c r="Q29" s="6"/>
      <c r="AA29" s="8"/>
      <c r="AB29" s="6"/>
      <c r="AC29" s="8"/>
      <c r="AD29" s="6"/>
      <c r="AE29" s="8"/>
      <c r="AF29" s="6"/>
      <c r="AG29" s="8"/>
      <c r="AH29" s="6"/>
      <c r="AI29" s="8"/>
      <c r="AJ29" s="6"/>
      <c r="AK29" s="8"/>
      <c r="AL29" s="6"/>
      <c r="AM29" s="8"/>
      <c r="AO29" s="8"/>
      <c r="AR29" s="8"/>
      <c r="AS29" s="6"/>
      <c r="AT29" s="8"/>
      <c r="AW29" s="6"/>
      <c r="AX29" s="8"/>
      <c r="BA29" s="6"/>
      <c r="BF29" s="6"/>
      <c r="BK29" s="6"/>
      <c r="BL29" s="8"/>
      <c r="BM29" s="6"/>
      <c r="BN29" s="8"/>
      <c r="BO29" s="8"/>
      <c r="BP29" s="6"/>
      <c r="BS29" s="6"/>
      <c r="BT29" s="8"/>
      <c r="BU29" s="8"/>
      <c r="BV29" s="8"/>
      <c r="BW29" s="8"/>
      <c r="BX29" s="8"/>
      <c r="BY29" s="8"/>
      <c r="CA29" s="6"/>
      <c r="CK29" s="8"/>
      <c r="CP29" s="6"/>
      <c r="CX29" s="8"/>
      <c r="CZ29" s="8"/>
      <c r="DA29" s="8"/>
      <c r="DB29" s="8"/>
      <c r="DC29" s="6"/>
      <c r="DF29" s="9">
        <f t="shared" si="0"/>
        <v>0</v>
      </c>
      <c r="DG29" s="9"/>
      <c r="DH29" s="9">
        <f t="shared" si="1"/>
        <v>0</v>
      </c>
    </row>
    <row r="30" spans="1:112" x14ac:dyDescent="0.25">
      <c r="A30" s="4" t="s">
        <v>97</v>
      </c>
      <c r="B30" s="4" t="s">
        <v>97</v>
      </c>
      <c r="C30" s="1" t="s">
        <v>98</v>
      </c>
      <c r="N30" s="8"/>
      <c r="O30" s="6"/>
      <c r="P30" s="8"/>
      <c r="Q30" s="6"/>
      <c r="W30" s="6">
        <v>147040</v>
      </c>
      <c r="AA30" s="8"/>
      <c r="AB30" s="6"/>
      <c r="AC30" s="8"/>
      <c r="AD30" s="6"/>
      <c r="AE30" s="8"/>
      <c r="AF30" s="6"/>
      <c r="AG30" s="8"/>
      <c r="AH30" s="6"/>
      <c r="AI30" s="8"/>
      <c r="AJ30" s="6"/>
      <c r="AK30" s="8"/>
      <c r="AL30" s="6"/>
      <c r="AM30" s="8"/>
      <c r="AO30" s="8"/>
      <c r="AR30" s="8"/>
      <c r="AS30" s="6"/>
      <c r="AT30" s="8"/>
      <c r="AW30" s="6"/>
      <c r="AX30" s="8"/>
      <c r="BA30" s="6"/>
      <c r="BF30" s="6"/>
      <c r="BK30" s="6"/>
      <c r="BL30" s="8"/>
      <c r="BM30" s="6"/>
      <c r="BN30" s="8"/>
      <c r="BO30" s="8"/>
      <c r="BP30" s="6"/>
      <c r="BS30" s="6"/>
      <c r="BT30" s="8"/>
      <c r="BU30" s="8"/>
      <c r="BV30" s="8"/>
      <c r="BW30" s="8"/>
      <c r="BX30" s="8"/>
      <c r="BY30" s="8"/>
      <c r="CA30" s="6"/>
      <c r="CK30" s="8"/>
      <c r="CP30" s="6"/>
      <c r="CX30" s="8"/>
      <c r="CZ30" s="8"/>
      <c r="DA30" s="8"/>
      <c r="DB30" s="8"/>
      <c r="DC30" s="6"/>
      <c r="DF30" s="9">
        <f t="shared" si="0"/>
        <v>147040</v>
      </c>
      <c r="DG30" s="9">
        <v>147040</v>
      </c>
      <c r="DH30" s="9">
        <f t="shared" si="1"/>
        <v>0</v>
      </c>
    </row>
    <row r="31" spans="1:112" x14ac:dyDescent="0.25">
      <c r="A31" s="4" t="s">
        <v>761</v>
      </c>
      <c r="B31" s="4" t="s">
        <v>761</v>
      </c>
      <c r="C31" s="1" t="s">
        <v>1832</v>
      </c>
      <c r="K31" s="8">
        <v>0</v>
      </c>
      <c r="N31" s="8"/>
      <c r="O31" s="6"/>
      <c r="P31" s="8"/>
      <c r="Q31" s="6"/>
      <c r="AA31" s="8"/>
      <c r="AB31" s="6"/>
      <c r="AC31" s="8"/>
      <c r="AD31" s="6"/>
      <c r="AE31" s="8"/>
      <c r="AF31" s="6"/>
      <c r="AG31" s="8"/>
      <c r="AH31" s="6"/>
      <c r="AI31" s="8"/>
      <c r="AJ31" s="6"/>
      <c r="AK31" s="8"/>
      <c r="AL31" s="6"/>
      <c r="AM31" s="8"/>
      <c r="AO31" s="8"/>
      <c r="AR31" s="8"/>
      <c r="AS31" s="6"/>
      <c r="AT31" s="8"/>
      <c r="AW31" s="6"/>
      <c r="AX31" s="8"/>
      <c r="BA31" s="6">
        <v>7844330</v>
      </c>
      <c r="BF31" s="6"/>
      <c r="BK31" s="6"/>
      <c r="BL31" s="8"/>
      <c r="BM31" s="6">
        <v>47244</v>
      </c>
      <c r="BN31" s="8"/>
      <c r="BO31" s="8"/>
      <c r="BP31" s="6"/>
      <c r="BS31" s="6"/>
      <c r="BT31" s="8"/>
      <c r="BU31" s="8"/>
      <c r="BV31" s="8"/>
      <c r="BW31" s="8"/>
      <c r="BX31" s="8"/>
      <c r="BY31" s="8"/>
      <c r="CA31" s="6"/>
      <c r="CK31" s="8"/>
      <c r="CO31" s="8">
        <v>93625</v>
      </c>
      <c r="CP31" s="6"/>
      <c r="CX31" s="8"/>
      <c r="CZ31" s="8"/>
      <c r="DA31" s="8"/>
      <c r="DB31" s="8"/>
      <c r="DC31" s="6"/>
      <c r="DF31" s="9">
        <f t="shared" si="0"/>
        <v>7985199</v>
      </c>
      <c r="DG31" s="9">
        <v>7985199</v>
      </c>
      <c r="DH31" s="9">
        <f t="shared" si="1"/>
        <v>0</v>
      </c>
    </row>
    <row r="32" spans="1:112" x14ac:dyDescent="0.25">
      <c r="A32" s="4" t="s">
        <v>99</v>
      </c>
      <c r="B32" s="4" t="s">
        <v>99</v>
      </c>
      <c r="C32" s="1" t="s">
        <v>100</v>
      </c>
      <c r="G32" s="8">
        <v>16000</v>
      </c>
      <c r="K32" s="8">
        <v>86000</v>
      </c>
      <c r="N32" s="8"/>
      <c r="O32" s="6"/>
      <c r="P32" s="8"/>
      <c r="Q32" s="6"/>
      <c r="V32" s="8">
        <v>32000</v>
      </c>
      <c r="AA32" s="8"/>
      <c r="AB32" s="6"/>
      <c r="AC32" s="8"/>
      <c r="AD32" s="6"/>
      <c r="AE32" s="8"/>
      <c r="AF32" s="6"/>
      <c r="AG32" s="8"/>
      <c r="AH32" s="6"/>
      <c r="AI32" s="8"/>
      <c r="AJ32" s="6"/>
      <c r="AK32" s="8"/>
      <c r="AL32" s="6">
        <v>16000</v>
      </c>
      <c r="AM32" s="8">
        <v>16000</v>
      </c>
      <c r="AO32" s="8"/>
      <c r="AR32" s="8"/>
      <c r="AS32" s="6"/>
      <c r="AT32" s="8"/>
      <c r="AW32" s="6"/>
      <c r="AX32" s="8"/>
      <c r="BA32" s="6"/>
      <c r="BF32" s="6"/>
      <c r="BJ32" s="8">
        <v>2600</v>
      </c>
      <c r="BK32" s="6"/>
      <c r="BL32" s="8">
        <v>17400</v>
      </c>
      <c r="BM32" s="6"/>
      <c r="BN32" s="8"/>
      <c r="BO32" s="8"/>
      <c r="BP32" s="6"/>
      <c r="BS32" s="6"/>
      <c r="BT32" s="8"/>
      <c r="BU32" s="8"/>
      <c r="BV32" s="8"/>
      <c r="BW32" s="8"/>
      <c r="BX32" s="8"/>
      <c r="BY32" s="8"/>
      <c r="CA32" s="6"/>
      <c r="CK32" s="8"/>
      <c r="CP32" s="6"/>
      <c r="CR32" s="6">
        <v>10000</v>
      </c>
      <c r="CX32" s="8"/>
      <c r="CZ32" s="8"/>
      <c r="DA32" s="8"/>
      <c r="DB32" s="8"/>
      <c r="DC32" s="6"/>
      <c r="DF32" s="9">
        <f t="shared" si="0"/>
        <v>196000</v>
      </c>
      <c r="DG32" s="9">
        <v>196000</v>
      </c>
      <c r="DH32" s="9">
        <f t="shared" si="1"/>
        <v>0</v>
      </c>
    </row>
    <row r="33" spans="1:112" x14ac:dyDescent="0.25">
      <c r="A33" s="4" t="s">
        <v>101</v>
      </c>
      <c r="B33" s="4" t="s">
        <v>101</v>
      </c>
      <c r="C33" s="1" t="s">
        <v>102</v>
      </c>
      <c r="N33" s="8"/>
      <c r="O33" s="6"/>
      <c r="P33" s="8"/>
      <c r="Q33" s="6"/>
      <c r="W33" s="6">
        <v>3600</v>
      </c>
      <c r="AA33" s="8"/>
      <c r="AB33" s="6"/>
      <c r="AC33" s="8"/>
      <c r="AD33" s="6"/>
      <c r="AE33" s="8"/>
      <c r="AF33" s="6"/>
      <c r="AG33" s="8"/>
      <c r="AH33" s="6"/>
      <c r="AI33" s="8"/>
      <c r="AJ33" s="6"/>
      <c r="AK33" s="8"/>
      <c r="AL33" s="6"/>
      <c r="AM33" s="8"/>
      <c r="AO33" s="8"/>
      <c r="AR33" s="8"/>
      <c r="AS33" s="6"/>
      <c r="AT33" s="8"/>
      <c r="AW33" s="6"/>
      <c r="AX33" s="8"/>
      <c r="BA33" s="6"/>
      <c r="BF33" s="6"/>
      <c r="BK33" s="6"/>
      <c r="BL33" s="8"/>
      <c r="BM33" s="6"/>
      <c r="BN33" s="8"/>
      <c r="BO33" s="8"/>
      <c r="BP33" s="6"/>
      <c r="BS33" s="6"/>
      <c r="BT33" s="8"/>
      <c r="BU33" s="8"/>
      <c r="BV33" s="8"/>
      <c r="BW33" s="8"/>
      <c r="BX33" s="8"/>
      <c r="BY33" s="8"/>
      <c r="CA33" s="6"/>
      <c r="CK33" s="8"/>
      <c r="CP33" s="6"/>
      <c r="CX33" s="8"/>
      <c r="CZ33" s="8"/>
      <c r="DA33" s="8"/>
      <c r="DB33" s="8"/>
      <c r="DC33" s="6"/>
      <c r="DF33" s="9">
        <f t="shared" si="0"/>
        <v>3600</v>
      </c>
      <c r="DG33" s="9">
        <v>3600</v>
      </c>
      <c r="DH33" s="9">
        <f t="shared" si="1"/>
        <v>0</v>
      </c>
    </row>
    <row r="34" spans="1:112" x14ac:dyDescent="0.25">
      <c r="A34" s="4" t="s">
        <v>762</v>
      </c>
      <c r="B34" s="4" t="s">
        <v>762</v>
      </c>
      <c r="C34" s="1" t="s">
        <v>763</v>
      </c>
      <c r="E34" s="8">
        <v>35000</v>
      </c>
      <c r="G34" s="8">
        <v>13540</v>
      </c>
      <c r="K34" s="8">
        <v>2400</v>
      </c>
      <c r="N34" s="8"/>
      <c r="O34" s="6"/>
      <c r="P34" s="8"/>
      <c r="Q34" s="6"/>
      <c r="R34" s="8">
        <v>1040</v>
      </c>
      <c r="AA34" s="8"/>
      <c r="AB34" s="6"/>
      <c r="AC34" s="8"/>
      <c r="AD34" s="6"/>
      <c r="AE34" s="8"/>
      <c r="AF34" s="6"/>
      <c r="AG34" s="8">
        <v>4400</v>
      </c>
      <c r="AH34" s="6"/>
      <c r="AI34" s="8"/>
      <c r="AJ34" s="6"/>
      <c r="AK34" s="8"/>
      <c r="AL34" s="6"/>
      <c r="AM34" s="8"/>
      <c r="AO34" s="8"/>
      <c r="AR34" s="8"/>
      <c r="AS34" s="6"/>
      <c r="AT34" s="8"/>
      <c r="AW34" s="6"/>
      <c r="AX34" s="8"/>
      <c r="BA34" s="6"/>
      <c r="BF34" s="6"/>
      <c r="BJ34" s="8">
        <v>521.29999999999995</v>
      </c>
      <c r="BK34" s="6"/>
      <c r="BL34" s="8">
        <v>3488.7</v>
      </c>
      <c r="BM34" s="6">
        <v>5580</v>
      </c>
      <c r="BN34" s="8"/>
      <c r="BO34" s="8"/>
      <c r="BP34" s="6"/>
      <c r="BS34" s="6"/>
      <c r="BT34" s="8"/>
      <c r="BU34" s="8"/>
      <c r="BV34" s="8"/>
      <c r="BW34" s="8"/>
      <c r="BX34" s="8"/>
      <c r="BY34" s="8"/>
      <c r="CA34" s="6"/>
      <c r="CK34" s="8"/>
      <c r="CO34" s="8">
        <v>6900</v>
      </c>
      <c r="CP34" s="6"/>
      <c r="CR34" s="6">
        <v>11530</v>
      </c>
      <c r="CX34" s="8"/>
      <c r="CZ34" s="8"/>
      <c r="DA34" s="8"/>
      <c r="DB34" s="8"/>
      <c r="DC34" s="6">
        <v>1409915</v>
      </c>
      <c r="DF34" s="9">
        <f t="shared" si="0"/>
        <v>1494315</v>
      </c>
      <c r="DG34" s="9">
        <v>1494315</v>
      </c>
      <c r="DH34" s="9">
        <f t="shared" si="1"/>
        <v>0</v>
      </c>
    </row>
    <row r="35" spans="1:112" x14ac:dyDescent="0.25">
      <c r="A35" s="4" t="s">
        <v>1675</v>
      </c>
      <c r="B35" s="4" t="s">
        <v>1675</v>
      </c>
      <c r="C35" s="1" t="s">
        <v>1676</v>
      </c>
      <c r="N35" s="8"/>
      <c r="O35" s="6"/>
      <c r="P35" s="8"/>
      <c r="Q35" s="6"/>
      <c r="AA35" s="8"/>
      <c r="AB35" s="6"/>
      <c r="AC35" s="8"/>
      <c r="AD35" s="6"/>
      <c r="AE35" s="8"/>
      <c r="AF35" s="6"/>
      <c r="AG35" s="8"/>
      <c r="AH35" s="6"/>
      <c r="AI35" s="8"/>
      <c r="AJ35" s="6"/>
      <c r="AK35" s="8"/>
      <c r="AL35" s="6"/>
      <c r="AM35" s="8"/>
      <c r="AO35" s="8"/>
      <c r="AR35" s="8"/>
      <c r="AS35" s="6"/>
      <c r="AT35" s="8"/>
      <c r="AW35" s="6"/>
      <c r="AX35" s="8"/>
      <c r="BA35" s="6"/>
      <c r="BF35" s="6"/>
      <c r="BK35" s="6"/>
      <c r="BL35" s="8"/>
      <c r="BM35" s="6"/>
      <c r="BN35" s="8"/>
      <c r="BO35" s="8"/>
      <c r="BP35" s="6"/>
      <c r="BS35" s="6"/>
      <c r="BT35" s="8"/>
      <c r="BU35" s="8"/>
      <c r="BV35" s="8"/>
      <c r="BW35" s="8"/>
      <c r="BX35" s="8"/>
      <c r="BY35" s="8"/>
      <c r="CA35" s="6"/>
      <c r="CK35" s="8"/>
      <c r="CO35" s="8">
        <v>10150</v>
      </c>
      <c r="CP35" s="6"/>
      <c r="CR35" s="6">
        <v>211493</v>
      </c>
      <c r="CV35" s="6">
        <v>137418</v>
      </c>
      <c r="CX35" s="8"/>
      <c r="CZ35" s="8"/>
      <c r="DA35" s="8"/>
      <c r="DB35" s="8"/>
      <c r="DC35" s="6">
        <v>46441</v>
      </c>
      <c r="DF35" s="9">
        <f t="shared" si="0"/>
        <v>405502</v>
      </c>
      <c r="DG35" s="9">
        <v>405502</v>
      </c>
      <c r="DH35" s="9">
        <f t="shared" si="1"/>
        <v>0</v>
      </c>
    </row>
    <row r="36" spans="1:112" x14ac:dyDescent="0.25">
      <c r="A36" s="4" t="s">
        <v>103</v>
      </c>
      <c r="B36" s="4" t="s">
        <v>103</v>
      </c>
      <c r="C36" s="1" t="s">
        <v>104</v>
      </c>
      <c r="E36" s="8">
        <v>34749.75</v>
      </c>
      <c r="F36" s="6">
        <v>-1.1641532182693481E-10</v>
      </c>
      <c r="G36" s="8">
        <v>198375</v>
      </c>
      <c r="K36" s="8">
        <v>24821.25</v>
      </c>
      <c r="N36" s="8"/>
      <c r="O36" s="6">
        <v>14892.75</v>
      </c>
      <c r="P36" s="8"/>
      <c r="Q36" s="6"/>
      <c r="R36" s="8">
        <v>26450</v>
      </c>
      <c r="V36" s="8">
        <v>64535.25</v>
      </c>
      <c r="AA36" s="8"/>
      <c r="AB36" s="6"/>
      <c r="AC36" s="8">
        <v>9928.5</v>
      </c>
      <c r="AD36" s="6"/>
      <c r="AE36" s="8"/>
      <c r="AF36" s="6"/>
      <c r="AG36" s="8">
        <v>66125</v>
      </c>
      <c r="AH36" s="6">
        <v>44678.25</v>
      </c>
      <c r="AI36" s="8"/>
      <c r="AJ36" s="6">
        <v>9928.5</v>
      </c>
      <c r="AK36" s="8">
        <v>64535.25</v>
      </c>
      <c r="AL36" s="6">
        <v>24821.25</v>
      </c>
      <c r="AM36" s="8">
        <v>44678.25</v>
      </c>
      <c r="AO36" s="8"/>
      <c r="AR36" s="8"/>
      <c r="AS36" s="6"/>
      <c r="AT36" s="8"/>
      <c r="AW36" s="6"/>
      <c r="AX36" s="8"/>
      <c r="BA36" s="6">
        <v>57171</v>
      </c>
      <c r="BB36" s="8">
        <v>61893</v>
      </c>
      <c r="BC36" s="6">
        <v>9928.5</v>
      </c>
      <c r="BD36" s="8">
        <v>39714</v>
      </c>
      <c r="BE36" s="6">
        <v>69499.5</v>
      </c>
      <c r="BF36" s="6"/>
      <c r="BJ36" s="8">
        <v>27508</v>
      </c>
      <c r="BK36" s="6"/>
      <c r="BL36" s="8">
        <v>184092</v>
      </c>
      <c r="BM36" s="6">
        <v>26450</v>
      </c>
      <c r="BN36" s="8"/>
      <c r="BO36" s="8"/>
      <c r="BP36" s="6"/>
      <c r="BS36" s="6"/>
      <c r="BT36" s="8"/>
      <c r="BU36" s="8"/>
      <c r="BV36" s="8"/>
      <c r="BW36" s="8"/>
      <c r="BX36" s="8"/>
      <c r="BY36" s="8"/>
      <c r="CA36" s="6"/>
      <c r="CK36" s="8"/>
      <c r="CO36" s="8">
        <v>54800</v>
      </c>
      <c r="CP36" s="6"/>
      <c r="CR36" s="6">
        <v>39675</v>
      </c>
      <c r="CX36" s="8"/>
      <c r="CZ36" s="8"/>
      <c r="DA36" s="8"/>
      <c r="DB36" s="8"/>
      <c r="DC36" s="6">
        <v>52900</v>
      </c>
      <c r="DF36" s="9">
        <f t="shared" si="0"/>
        <v>1252150</v>
      </c>
      <c r="DG36" s="9">
        <v>1252150</v>
      </c>
      <c r="DH36" s="9">
        <f t="shared" si="1"/>
        <v>0</v>
      </c>
    </row>
    <row r="37" spans="1:112" x14ac:dyDescent="0.25">
      <c r="A37" s="4" t="s">
        <v>105</v>
      </c>
      <c r="B37" s="4" t="s">
        <v>105</v>
      </c>
      <c r="C37" s="1" t="s">
        <v>106</v>
      </c>
      <c r="N37" s="8"/>
      <c r="O37" s="6"/>
      <c r="P37" s="8"/>
      <c r="Q37" s="6"/>
      <c r="AA37" s="8"/>
      <c r="AB37" s="6"/>
      <c r="AC37" s="8"/>
      <c r="AD37" s="6"/>
      <c r="AE37" s="8"/>
      <c r="AF37" s="6"/>
      <c r="AG37" s="8"/>
      <c r="AH37" s="6"/>
      <c r="AI37" s="8"/>
      <c r="AJ37" s="6"/>
      <c r="AK37" s="8"/>
      <c r="AL37" s="6"/>
      <c r="AM37" s="8"/>
      <c r="AO37" s="8"/>
      <c r="AR37" s="8"/>
      <c r="AS37" s="6"/>
      <c r="AT37" s="8"/>
      <c r="AW37" s="6"/>
      <c r="AX37" s="8"/>
      <c r="BA37" s="6"/>
      <c r="BF37" s="6"/>
      <c r="BK37" s="6"/>
      <c r="BL37" s="8"/>
      <c r="BM37" s="6"/>
      <c r="BN37" s="8"/>
      <c r="BO37" s="8"/>
      <c r="BP37" s="6"/>
      <c r="BS37" s="6"/>
      <c r="BT37" s="8"/>
      <c r="BU37" s="8"/>
      <c r="BV37" s="8"/>
      <c r="BW37" s="8"/>
      <c r="BX37" s="8"/>
      <c r="BY37" s="8"/>
      <c r="CA37" s="6"/>
      <c r="CK37" s="8"/>
      <c r="CO37" s="8">
        <v>9961010</v>
      </c>
      <c r="CP37" s="6"/>
      <c r="CV37" s="6">
        <v>353485131.55000001</v>
      </c>
      <c r="CX37" s="8"/>
      <c r="CZ37" s="8"/>
      <c r="DA37" s="8"/>
      <c r="DB37" s="8"/>
      <c r="DC37" s="6"/>
      <c r="DF37" s="9">
        <f t="shared" si="0"/>
        <v>363446141.55000001</v>
      </c>
      <c r="DG37" s="9">
        <v>363446141.55000001</v>
      </c>
      <c r="DH37" s="9">
        <f t="shared" si="1"/>
        <v>0</v>
      </c>
    </row>
    <row r="38" spans="1:112" x14ac:dyDescent="0.25">
      <c r="A38" s="4" t="s">
        <v>107</v>
      </c>
      <c r="B38" s="4" t="s">
        <v>107</v>
      </c>
      <c r="C38" s="1" t="s">
        <v>108</v>
      </c>
      <c r="E38" s="8">
        <v>101417</v>
      </c>
      <c r="G38" s="8">
        <v>213360</v>
      </c>
      <c r="N38" s="8"/>
      <c r="O38" s="6"/>
      <c r="P38" s="8"/>
      <c r="Q38" s="6"/>
      <c r="AA38" s="8"/>
      <c r="AB38" s="6"/>
      <c r="AC38" s="8"/>
      <c r="AD38" s="6"/>
      <c r="AE38" s="8"/>
      <c r="AF38" s="6"/>
      <c r="AG38" s="8"/>
      <c r="AH38" s="6"/>
      <c r="AI38" s="8"/>
      <c r="AJ38" s="6"/>
      <c r="AK38" s="8"/>
      <c r="AL38" s="6"/>
      <c r="AM38" s="8"/>
      <c r="AO38" s="8"/>
      <c r="AR38" s="8"/>
      <c r="AS38" s="6"/>
      <c r="AT38" s="8"/>
      <c r="AW38" s="6"/>
      <c r="AX38" s="8"/>
      <c r="BA38" s="6"/>
      <c r="BF38" s="6"/>
      <c r="BK38" s="6"/>
      <c r="BL38" s="8"/>
      <c r="BM38" s="6"/>
      <c r="BN38" s="8">
        <v>64400</v>
      </c>
      <c r="BO38" s="8"/>
      <c r="BP38" s="6">
        <v>400000</v>
      </c>
      <c r="BS38" s="6"/>
      <c r="BT38" s="8"/>
      <c r="BU38" s="8"/>
      <c r="BV38" s="8"/>
      <c r="BW38" s="8"/>
      <c r="BX38" s="8"/>
      <c r="BY38" s="8"/>
      <c r="CA38" s="6"/>
      <c r="CK38" s="8"/>
      <c r="CO38" s="8">
        <v>33785975</v>
      </c>
      <c r="CP38" s="6"/>
      <c r="CV38" s="6">
        <v>43104</v>
      </c>
      <c r="CX38" s="8"/>
      <c r="CZ38" s="8"/>
      <c r="DA38" s="8"/>
      <c r="DB38" s="8"/>
      <c r="DC38" s="6">
        <v>126870</v>
      </c>
      <c r="DF38" s="9">
        <f t="shared" si="0"/>
        <v>34735126</v>
      </c>
      <c r="DG38" s="9">
        <v>34735126</v>
      </c>
      <c r="DH38" s="9">
        <f t="shared" si="1"/>
        <v>0</v>
      </c>
    </row>
    <row r="39" spans="1:112" x14ac:dyDescent="0.25">
      <c r="A39" s="4" t="s">
        <v>850</v>
      </c>
      <c r="B39" s="4" t="s">
        <v>850</v>
      </c>
      <c r="C39" s="1" t="s">
        <v>909</v>
      </c>
      <c r="N39" s="8"/>
      <c r="O39" s="6"/>
      <c r="P39" s="8"/>
      <c r="Q39" s="6"/>
      <c r="AA39" s="8"/>
      <c r="AB39" s="6"/>
      <c r="AC39" s="8"/>
      <c r="AD39" s="6"/>
      <c r="AE39" s="8"/>
      <c r="AF39" s="6"/>
      <c r="AG39" s="8"/>
      <c r="AH39" s="6"/>
      <c r="AI39" s="8"/>
      <c r="AJ39" s="6"/>
      <c r="AK39" s="8"/>
      <c r="AL39" s="6"/>
      <c r="AM39" s="8"/>
      <c r="AO39" s="8"/>
      <c r="AR39" s="8"/>
      <c r="AS39" s="6"/>
      <c r="AT39" s="8"/>
      <c r="AW39" s="6"/>
      <c r="AX39" s="8"/>
      <c r="BA39" s="6"/>
      <c r="BF39" s="6"/>
      <c r="BJ39" s="8">
        <v>2740000</v>
      </c>
      <c r="BK39" s="6">
        <v>1120000</v>
      </c>
      <c r="BL39" s="8">
        <v>1284000</v>
      </c>
      <c r="BM39" s="6"/>
      <c r="BN39" s="8"/>
      <c r="BO39" s="8"/>
      <c r="BP39" s="6"/>
      <c r="BS39" s="6"/>
      <c r="BT39" s="8"/>
      <c r="BU39" s="8"/>
      <c r="BV39" s="8"/>
      <c r="BW39" s="8"/>
      <c r="BX39" s="8"/>
      <c r="BY39" s="8"/>
      <c r="CA39" s="6"/>
      <c r="CK39" s="8"/>
      <c r="CP39" s="6"/>
      <c r="CX39" s="8"/>
      <c r="CZ39" s="8"/>
      <c r="DA39" s="8"/>
      <c r="DB39" s="8"/>
      <c r="DC39" s="6"/>
      <c r="DF39" s="9">
        <f t="shared" si="0"/>
        <v>5144000</v>
      </c>
      <c r="DG39" s="9">
        <v>5144000</v>
      </c>
      <c r="DH39" s="9">
        <f t="shared" si="1"/>
        <v>0</v>
      </c>
    </row>
    <row r="40" spans="1:112" x14ac:dyDescent="0.25">
      <c r="A40" s="4" t="s">
        <v>851</v>
      </c>
      <c r="B40" s="4" t="s">
        <v>851</v>
      </c>
      <c r="C40" s="1" t="s">
        <v>910</v>
      </c>
      <c r="N40" s="8"/>
      <c r="O40" s="6"/>
      <c r="P40" s="8"/>
      <c r="Q40" s="6"/>
      <c r="AA40" s="8"/>
      <c r="AB40" s="6"/>
      <c r="AC40" s="8"/>
      <c r="AD40" s="6"/>
      <c r="AE40" s="8"/>
      <c r="AF40" s="6"/>
      <c r="AG40" s="8"/>
      <c r="AH40" s="6"/>
      <c r="AI40" s="8"/>
      <c r="AJ40" s="6"/>
      <c r="AK40" s="8"/>
      <c r="AL40" s="6"/>
      <c r="AM40" s="8"/>
      <c r="AO40" s="8"/>
      <c r="AR40" s="8"/>
      <c r="AS40" s="6"/>
      <c r="AT40" s="8"/>
      <c r="AW40" s="6"/>
      <c r="AX40" s="8"/>
      <c r="BA40" s="6"/>
      <c r="BF40" s="6"/>
      <c r="BJ40" s="8">
        <v>6531597.2599999998</v>
      </c>
      <c r="BK40" s="6">
        <v>226554.4</v>
      </c>
      <c r="BL40" s="8">
        <v>22725563.34</v>
      </c>
      <c r="BM40" s="6"/>
      <c r="BN40" s="8"/>
      <c r="BO40" s="8"/>
      <c r="BP40" s="6"/>
      <c r="BS40" s="6"/>
      <c r="BT40" s="8"/>
      <c r="BU40" s="8"/>
      <c r="BV40" s="8"/>
      <c r="BW40" s="8"/>
      <c r="BX40" s="8"/>
      <c r="BY40" s="8"/>
      <c r="CA40" s="6"/>
      <c r="CK40" s="8"/>
      <c r="CP40" s="6"/>
      <c r="CX40" s="8"/>
      <c r="CZ40" s="8"/>
      <c r="DA40" s="8"/>
      <c r="DB40" s="8"/>
      <c r="DC40" s="6"/>
      <c r="DF40" s="9">
        <f t="shared" si="0"/>
        <v>29483715</v>
      </c>
      <c r="DG40" s="9">
        <v>29483715</v>
      </c>
      <c r="DH40" s="9">
        <f t="shared" si="1"/>
        <v>0</v>
      </c>
    </row>
    <row r="41" spans="1:112" x14ac:dyDescent="0.25">
      <c r="A41" s="4" t="s">
        <v>852</v>
      </c>
      <c r="B41" s="4" t="s">
        <v>852</v>
      </c>
      <c r="C41" s="1" t="s">
        <v>911</v>
      </c>
      <c r="N41" s="8"/>
      <c r="O41" s="6"/>
      <c r="P41" s="8"/>
      <c r="Q41" s="6"/>
      <c r="AA41" s="8"/>
      <c r="AB41" s="6"/>
      <c r="AC41" s="8"/>
      <c r="AD41" s="6"/>
      <c r="AE41" s="8"/>
      <c r="AF41" s="6"/>
      <c r="AG41" s="8"/>
      <c r="AH41" s="6"/>
      <c r="AI41" s="8"/>
      <c r="AJ41" s="6"/>
      <c r="AK41" s="8"/>
      <c r="AL41" s="6"/>
      <c r="AM41" s="8"/>
      <c r="AO41" s="8"/>
      <c r="AR41" s="8"/>
      <c r="AS41" s="6"/>
      <c r="AT41" s="8"/>
      <c r="AW41" s="6"/>
      <c r="AX41" s="8"/>
      <c r="BA41" s="6"/>
      <c r="BF41" s="6"/>
      <c r="BJ41" s="8">
        <v>14631080</v>
      </c>
      <c r="BK41" s="6">
        <v>1543076</v>
      </c>
      <c r="BL41" s="8">
        <v>72656044</v>
      </c>
      <c r="BM41" s="6"/>
      <c r="BN41" s="8"/>
      <c r="BO41" s="8"/>
      <c r="BP41" s="6"/>
      <c r="BS41" s="6"/>
      <c r="BT41" s="8"/>
      <c r="BU41" s="8"/>
      <c r="BV41" s="8"/>
      <c r="BW41" s="8"/>
      <c r="BX41" s="8"/>
      <c r="BY41" s="8"/>
      <c r="CA41" s="6"/>
      <c r="CK41" s="8"/>
      <c r="CP41" s="6"/>
      <c r="CX41" s="8"/>
      <c r="CZ41" s="8"/>
      <c r="DA41" s="8"/>
      <c r="DB41" s="8"/>
      <c r="DC41" s="6"/>
      <c r="DF41" s="9">
        <f t="shared" si="0"/>
        <v>88830200</v>
      </c>
      <c r="DG41" s="9">
        <v>88830200</v>
      </c>
      <c r="DH41" s="9">
        <f t="shared" si="1"/>
        <v>0</v>
      </c>
    </row>
    <row r="42" spans="1:112" x14ac:dyDescent="0.25">
      <c r="A42" s="4" t="s">
        <v>853</v>
      </c>
      <c r="B42" s="4" t="s">
        <v>853</v>
      </c>
      <c r="C42" s="1" t="s">
        <v>912</v>
      </c>
      <c r="N42" s="8"/>
      <c r="O42" s="6"/>
      <c r="P42" s="8"/>
      <c r="Q42" s="6"/>
      <c r="AA42" s="8"/>
      <c r="AB42" s="6"/>
      <c r="AC42" s="8"/>
      <c r="AD42" s="6"/>
      <c r="AE42" s="8"/>
      <c r="AF42" s="6"/>
      <c r="AG42" s="8"/>
      <c r="AH42" s="6"/>
      <c r="AI42" s="8"/>
      <c r="AJ42" s="6"/>
      <c r="AK42" s="8"/>
      <c r="AL42" s="6"/>
      <c r="AM42" s="8"/>
      <c r="AO42" s="8"/>
      <c r="AR42" s="8"/>
      <c r="AS42" s="6"/>
      <c r="AT42" s="8"/>
      <c r="AW42" s="6"/>
      <c r="AX42" s="8"/>
      <c r="BA42" s="6"/>
      <c r="BF42" s="6"/>
      <c r="BJ42" s="8">
        <v>8776330.8099999987</v>
      </c>
      <c r="BK42" s="6"/>
      <c r="BL42" s="8">
        <v>58733906.189999998</v>
      </c>
      <c r="BM42" s="6"/>
      <c r="BN42" s="8"/>
      <c r="BO42" s="8"/>
      <c r="BP42" s="6"/>
      <c r="BS42" s="6"/>
      <c r="BT42" s="8"/>
      <c r="BU42" s="8"/>
      <c r="BV42" s="8"/>
      <c r="BW42" s="8"/>
      <c r="BX42" s="8"/>
      <c r="BY42" s="8"/>
      <c r="CA42" s="6"/>
      <c r="CK42" s="8"/>
      <c r="CP42" s="6"/>
      <c r="CX42" s="8"/>
      <c r="CZ42" s="8"/>
      <c r="DA42" s="8"/>
      <c r="DB42" s="8"/>
      <c r="DC42" s="6"/>
      <c r="DF42" s="9">
        <f t="shared" si="0"/>
        <v>67510237</v>
      </c>
      <c r="DG42" s="9">
        <v>67510237</v>
      </c>
      <c r="DH42" s="9">
        <f t="shared" si="1"/>
        <v>0</v>
      </c>
    </row>
    <row r="43" spans="1:112" x14ac:dyDescent="0.25">
      <c r="A43" s="4" t="s">
        <v>854</v>
      </c>
      <c r="B43" s="4" t="s">
        <v>854</v>
      </c>
      <c r="C43" s="1" t="s">
        <v>921</v>
      </c>
      <c r="N43" s="8"/>
      <c r="O43" s="6"/>
      <c r="P43" s="8"/>
      <c r="Q43" s="6"/>
      <c r="AA43" s="8"/>
      <c r="AB43" s="6"/>
      <c r="AC43" s="8"/>
      <c r="AD43" s="6"/>
      <c r="AE43" s="8"/>
      <c r="AF43" s="6"/>
      <c r="AG43" s="8"/>
      <c r="AH43" s="6"/>
      <c r="AI43" s="8"/>
      <c r="AJ43" s="6"/>
      <c r="AK43" s="8"/>
      <c r="AL43" s="6"/>
      <c r="AM43" s="8"/>
      <c r="AO43" s="8"/>
      <c r="AR43" s="8"/>
      <c r="AS43" s="6"/>
      <c r="AT43" s="8"/>
      <c r="AW43" s="6"/>
      <c r="AX43" s="8"/>
      <c r="BA43" s="6"/>
      <c r="BF43" s="6"/>
      <c r="BJ43" s="8">
        <v>6380314</v>
      </c>
      <c r="BK43" s="6"/>
      <c r="BL43" s="8">
        <v>-5695314</v>
      </c>
      <c r="BM43" s="6"/>
      <c r="BN43" s="8"/>
      <c r="BO43" s="8"/>
      <c r="BP43" s="6"/>
      <c r="BS43" s="6"/>
      <c r="BT43" s="8"/>
      <c r="BU43" s="8"/>
      <c r="BV43" s="8"/>
      <c r="BW43" s="8"/>
      <c r="BX43" s="8"/>
      <c r="BY43" s="8"/>
      <c r="CA43" s="6"/>
      <c r="CK43" s="8"/>
      <c r="CP43" s="6"/>
      <c r="CX43" s="8"/>
      <c r="CZ43" s="8"/>
      <c r="DA43" s="8"/>
      <c r="DB43" s="8"/>
      <c r="DC43" s="6"/>
      <c r="DF43" s="9">
        <f t="shared" si="0"/>
        <v>685000</v>
      </c>
      <c r="DG43" s="9">
        <v>685000</v>
      </c>
      <c r="DH43" s="9">
        <f t="shared" si="1"/>
        <v>0</v>
      </c>
    </row>
    <row r="44" spans="1:112" x14ac:dyDescent="0.25">
      <c r="A44" s="4" t="s">
        <v>110</v>
      </c>
      <c r="B44" s="4" t="s">
        <v>110</v>
      </c>
      <c r="C44" s="1" t="s">
        <v>111</v>
      </c>
      <c r="E44" s="8">
        <v>13586138</v>
      </c>
      <c r="K44" s="8">
        <v>3090000</v>
      </c>
      <c r="N44" s="8"/>
      <c r="O44" s="6">
        <v>216000</v>
      </c>
      <c r="P44" s="8"/>
      <c r="Q44" s="6"/>
      <c r="W44" s="6">
        <v>29800</v>
      </c>
      <c r="Y44" s="6">
        <v>1428000</v>
      </c>
      <c r="AA44" s="8"/>
      <c r="AB44" s="6"/>
      <c r="AC44" s="8"/>
      <c r="AD44" s="6"/>
      <c r="AE44" s="8"/>
      <c r="AF44" s="6"/>
      <c r="AG44" s="8">
        <v>756360</v>
      </c>
      <c r="AH44" s="6"/>
      <c r="AI44" s="8"/>
      <c r="AJ44" s="6"/>
      <c r="AK44" s="8"/>
      <c r="AL44" s="6"/>
      <c r="AM44" s="8"/>
      <c r="AO44" s="8"/>
      <c r="AR44" s="8"/>
      <c r="AS44" s="6"/>
      <c r="AT44" s="8"/>
      <c r="AW44" s="6"/>
      <c r="AX44" s="8"/>
      <c r="BA44" s="6">
        <v>2809037</v>
      </c>
      <c r="BF44" s="6"/>
      <c r="BK44" s="6"/>
      <c r="BL44" s="8"/>
      <c r="BM44" s="6">
        <v>54000</v>
      </c>
      <c r="BN44" s="8"/>
      <c r="BO44" s="8"/>
      <c r="BP44" s="6"/>
      <c r="BS44" s="6"/>
      <c r="BT44" s="8"/>
      <c r="BU44" s="8"/>
      <c r="BV44" s="8"/>
      <c r="BW44" s="8"/>
      <c r="BX44" s="8"/>
      <c r="BY44" s="8"/>
      <c r="CA44" s="6"/>
      <c r="CJ44" s="8">
        <v>1824000</v>
      </c>
      <c r="CK44" s="8"/>
      <c r="CP44" s="6"/>
      <c r="CX44" s="8"/>
      <c r="CZ44" s="8"/>
      <c r="DA44" s="8"/>
      <c r="DB44" s="8"/>
      <c r="DC44" s="6"/>
      <c r="DF44" s="9">
        <f t="shared" si="0"/>
        <v>23793335</v>
      </c>
      <c r="DG44" s="9">
        <v>23793335</v>
      </c>
      <c r="DH44" s="9">
        <f t="shared" si="1"/>
        <v>0</v>
      </c>
    </row>
    <row r="45" spans="1:112" x14ac:dyDescent="0.25">
      <c r="A45" s="4" t="s">
        <v>112</v>
      </c>
      <c r="B45" s="4" t="s">
        <v>112</v>
      </c>
      <c r="C45" s="1" t="s">
        <v>113</v>
      </c>
      <c r="E45" s="8">
        <v>2409648</v>
      </c>
      <c r="K45" s="8">
        <v>310000</v>
      </c>
      <c r="N45" s="8"/>
      <c r="O45" s="6">
        <v>95000</v>
      </c>
      <c r="P45" s="8"/>
      <c r="Q45" s="6"/>
      <c r="T45" s="8">
        <v>430000</v>
      </c>
      <c r="V45" s="8">
        <v>369816</v>
      </c>
      <c r="W45" s="6">
        <v>699310</v>
      </c>
      <c r="X45" s="8">
        <v>120000</v>
      </c>
      <c r="Y45" s="6">
        <v>129900</v>
      </c>
      <c r="AA45" s="8"/>
      <c r="AB45" s="6"/>
      <c r="AC45" s="8"/>
      <c r="AD45" s="6"/>
      <c r="AE45" s="8"/>
      <c r="AF45" s="6"/>
      <c r="AG45" s="8">
        <v>399299</v>
      </c>
      <c r="AH45" s="6">
        <v>285000</v>
      </c>
      <c r="AI45" s="8"/>
      <c r="AJ45" s="6"/>
      <c r="AK45" s="8">
        <v>190000</v>
      </c>
      <c r="AL45" s="6">
        <v>285000</v>
      </c>
      <c r="AM45" s="8">
        <v>405000</v>
      </c>
      <c r="AO45" s="8"/>
      <c r="AP45" s="6">
        <v>500000</v>
      </c>
      <c r="AR45" s="8"/>
      <c r="AS45" s="6">
        <v>190000</v>
      </c>
      <c r="AT45" s="8"/>
      <c r="AV45" s="6">
        <v>405000</v>
      </c>
      <c r="AW45" s="6"/>
      <c r="AX45" s="8"/>
      <c r="BA45" s="6">
        <v>923816</v>
      </c>
      <c r="BB45" s="8">
        <v>84816</v>
      </c>
      <c r="BD45" s="8">
        <v>987850</v>
      </c>
      <c r="BE45" s="6">
        <v>542586</v>
      </c>
      <c r="BF45" s="6"/>
      <c r="BJ45" s="8">
        <v>82290</v>
      </c>
      <c r="BK45" s="6">
        <v>3770</v>
      </c>
      <c r="BL45" s="8">
        <v>566930.37</v>
      </c>
      <c r="BM45" s="6">
        <v>87000</v>
      </c>
      <c r="BN45" s="8"/>
      <c r="BO45" s="8"/>
      <c r="BP45" s="6"/>
      <c r="BS45" s="6">
        <v>102847.48999999999</v>
      </c>
      <c r="BT45" s="8"/>
      <c r="BU45" s="8"/>
      <c r="BV45" s="8"/>
      <c r="BW45" s="8"/>
      <c r="BX45" s="8"/>
      <c r="BY45" s="8"/>
      <c r="CA45" s="6"/>
      <c r="CJ45" s="8">
        <v>219000</v>
      </c>
      <c r="CK45" s="8"/>
      <c r="CO45" s="8">
        <v>58000</v>
      </c>
      <c r="CP45" s="6"/>
      <c r="CR45" s="6">
        <v>70000</v>
      </c>
      <c r="CX45" s="8"/>
      <c r="CZ45" s="8"/>
      <c r="DA45" s="8"/>
      <c r="DB45" s="8"/>
      <c r="DC45" s="6"/>
      <c r="DE45" s="6">
        <v>58000</v>
      </c>
      <c r="DF45" s="9">
        <f t="shared" si="0"/>
        <v>11009878.859999999</v>
      </c>
      <c r="DG45" s="9">
        <v>11009878.859999999</v>
      </c>
      <c r="DH45" s="9">
        <f t="shared" si="1"/>
        <v>0</v>
      </c>
    </row>
    <row r="46" spans="1:112" x14ac:dyDescent="0.25">
      <c r="A46" s="4" t="s">
        <v>114</v>
      </c>
      <c r="B46" s="4" t="s">
        <v>114</v>
      </c>
      <c r="C46" s="1" t="s">
        <v>115</v>
      </c>
      <c r="E46" s="8">
        <v>265000</v>
      </c>
      <c r="N46" s="8"/>
      <c r="O46" s="6">
        <v>200000</v>
      </c>
      <c r="P46" s="8"/>
      <c r="Q46" s="6"/>
      <c r="R46" s="8">
        <v>370000</v>
      </c>
      <c r="S46" s="6">
        <v>120000</v>
      </c>
      <c r="W46" s="6">
        <v>190830</v>
      </c>
      <c r="AA46" s="8"/>
      <c r="AB46" s="6"/>
      <c r="AC46" s="8"/>
      <c r="AD46" s="6"/>
      <c r="AE46" s="8"/>
      <c r="AF46" s="6"/>
      <c r="AG46" s="8">
        <v>601050.70000000007</v>
      </c>
      <c r="AH46" s="6">
        <v>59900</v>
      </c>
      <c r="AI46" s="8"/>
      <c r="AJ46" s="6"/>
      <c r="AK46" s="8">
        <v>138076.96</v>
      </c>
      <c r="AL46" s="6">
        <v>110461.52</v>
      </c>
      <c r="AM46" s="8">
        <v>130449.78000000001</v>
      </c>
      <c r="AO46" s="8"/>
      <c r="AP46" s="6">
        <v>55230.76</v>
      </c>
      <c r="AR46" s="8"/>
      <c r="AS46" s="6"/>
      <c r="AT46" s="8"/>
      <c r="AV46" s="6">
        <v>10000</v>
      </c>
      <c r="AW46" s="6"/>
      <c r="AX46" s="8"/>
      <c r="BA46" s="6">
        <v>310322.50000000006</v>
      </c>
      <c r="BB46" s="8">
        <v>23933.3</v>
      </c>
      <c r="BD46" s="8">
        <v>102571.40999999992</v>
      </c>
      <c r="BE46" s="6">
        <v>76928.58</v>
      </c>
      <c r="BF46" s="6"/>
      <c r="BI46" s="6">
        <v>71799.899999999994</v>
      </c>
      <c r="BJ46" s="8">
        <v>11852.69</v>
      </c>
      <c r="BK46" s="6"/>
      <c r="BL46" s="8">
        <v>79321.899999999994</v>
      </c>
      <c r="BM46" s="6">
        <v>48000</v>
      </c>
      <c r="BN46" s="8"/>
      <c r="BO46" s="8"/>
      <c r="BP46" s="6"/>
      <c r="BS46" s="6"/>
      <c r="BT46" s="8"/>
      <c r="BU46" s="8"/>
      <c r="BV46" s="8"/>
      <c r="BW46" s="8"/>
      <c r="BX46" s="8"/>
      <c r="BY46" s="8"/>
      <c r="CA46" s="6"/>
      <c r="CJ46" s="8">
        <v>32000</v>
      </c>
      <c r="CK46" s="8"/>
      <c r="CO46" s="8">
        <v>93300</v>
      </c>
      <c r="CP46" s="6"/>
      <c r="CX46" s="8"/>
      <c r="CZ46" s="8"/>
      <c r="DA46" s="8"/>
      <c r="DB46" s="8"/>
      <c r="DC46" s="6"/>
      <c r="DF46" s="9">
        <f t="shared" si="0"/>
        <v>3101029.9999999995</v>
      </c>
      <c r="DG46" s="9">
        <v>3101030</v>
      </c>
      <c r="DH46" s="9">
        <f t="shared" si="1"/>
        <v>0</v>
      </c>
    </row>
    <row r="47" spans="1:112" x14ac:dyDescent="0.25">
      <c r="A47" s="325" t="s">
        <v>988</v>
      </c>
      <c r="N47" s="8"/>
      <c r="O47" s="6"/>
      <c r="P47" s="8"/>
      <c r="Q47" s="6"/>
      <c r="AA47" s="8"/>
      <c r="AB47" s="6"/>
      <c r="AC47" s="8"/>
      <c r="AD47" s="6"/>
      <c r="AE47" s="8"/>
      <c r="AF47" s="6"/>
      <c r="AG47" s="8"/>
      <c r="AH47" s="6"/>
      <c r="AI47" s="8"/>
      <c r="AJ47" s="6"/>
      <c r="AK47" s="8"/>
      <c r="AL47" s="6"/>
      <c r="AM47" s="8"/>
      <c r="AO47" s="8"/>
      <c r="AR47" s="8"/>
      <c r="AS47" s="6"/>
      <c r="AT47" s="8"/>
      <c r="AW47" s="6"/>
      <c r="AX47" s="8"/>
      <c r="BA47" s="6"/>
      <c r="BF47" s="6"/>
      <c r="BK47" s="6"/>
      <c r="BL47" s="8"/>
      <c r="BM47" s="6"/>
      <c r="BN47" s="8"/>
      <c r="BO47" s="8"/>
      <c r="BP47" s="6"/>
      <c r="BS47" s="6"/>
      <c r="BT47" s="8"/>
      <c r="BU47" s="8"/>
      <c r="BV47" s="8"/>
      <c r="BW47" s="8"/>
      <c r="BX47" s="8"/>
      <c r="BY47" s="8"/>
      <c r="CA47" s="6"/>
      <c r="CK47" s="8"/>
      <c r="CP47" s="6"/>
      <c r="CX47" s="8"/>
      <c r="CZ47" s="8"/>
      <c r="DA47" s="8"/>
      <c r="DB47" s="8"/>
      <c r="DC47" s="6"/>
      <c r="DF47" s="9">
        <f t="shared" si="0"/>
        <v>0</v>
      </c>
      <c r="DG47" s="9"/>
      <c r="DH47" s="9">
        <f t="shared" si="1"/>
        <v>0</v>
      </c>
    </row>
    <row r="48" spans="1:112" x14ac:dyDescent="0.25">
      <c r="A48" s="4" t="s">
        <v>116</v>
      </c>
      <c r="B48" s="4" t="s">
        <v>116</v>
      </c>
      <c r="C48" s="1" t="s">
        <v>117</v>
      </c>
      <c r="N48" s="8"/>
      <c r="O48" s="6"/>
      <c r="P48" s="8"/>
      <c r="Q48" s="6"/>
      <c r="AA48" s="8"/>
      <c r="AB48" s="6"/>
      <c r="AC48" s="8"/>
      <c r="AD48" s="6"/>
      <c r="AE48" s="8"/>
      <c r="AF48" s="6"/>
      <c r="AG48" s="8"/>
      <c r="AH48" s="6"/>
      <c r="AI48" s="8"/>
      <c r="AJ48" s="6"/>
      <c r="AK48" s="8"/>
      <c r="AL48" s="6"/>
      <c r="AM48" s="8"/>
      <c r="AO48" s="8"/>
      <c r="AR48" s="8"/>
      <c r="AS48" s="6"/>
      <c r="AT48" s="8"/>
      <c r="AW48" s="6"/>
      <c r="AX48" s="8"/>
      <c r="BA48" s="6">
        <v>1047296</v>
      </c>
      <c r="BF48" s="6"/>
      <c r="BK48" s="6"/>
      <c r="BL48" s="8"/>
      <c r="BM48" s="6"/>
      <c r="BN48" s="8"/>
      <c r="BO48" s="8"/>
      <c r="BP48" s="6"/>
      <c r="BS48" s="6"/>
      <c r="BT48" s="8"/>
      <c r="BU48" s="8"/>
      <c r="BV48" s="8"/>
      <c r="BW48" s="8"/>
      <c r="BX48" s="8"/>
      <c r="BY48" s="8"/>
      <c r="CA48" s="6"/>
      <c r="CK48" s="8"/>
      <c r="CP48" s="6"/>
      <c r="CX48" s="8"/>
      <c r="CZ48" s="8"/>
      <c r="DA48" s="8"/>
      <c r="DB48" s="8"/>
      <c r="DC48" s="6"/>
      <c r="DF48" s="9">
        <f t="shared" si="0"/>
        <v>1047296</v>
      </c>
      <c r="DG48" s="9">
        <v>1047296</v>
      </c>
      <c r="DH48" s="9">
        <f t="shared" si="1"/>
        <v>0</v>
      </c>
    </row>
    <row r="49" spans="1:112" x14ac:dyDescent="0.25">
      <c r="A49" s="4" t="s">
        <v>118</v>
      </c>
      <c r="B49" s="4" t="s">
        <v>118</v>
      </c>
      <c r="C49" s="1" t="s">
        <v>119</v>
      </c>
      <c r="E49" s="8">
        <v>9600000</v>
      </c>
      <c r="N49" s="8"/>
      <c r="O49" s="6"/>
      <c r="P49" s="8"/>
      <c r="Q49" s="6"/>
      <c r="AA49" s="8"/>
      <c r="AB49" s="6"/>
      <c r="AC49" s="8"/>
      <c r="AD49" s="6"/>
      <c r="AE49" s="8"/>
      <c r="AF49" s="6"/>
      <c r="AG49" s="8"/>
      <c r="AH49" s="6"/>
      <c r="AI49" s="8"/>
      <c r="AJ49" s="6"/>
      <c r="AK49" s="8"/>
      <c r="AL49" s="6"/>
      <c r="AM49" s="8"/>
      <c r="AO49" s="8"/>
      <c r="AR49" s="8"/>
      <c r="AS49" s="6"/>
      <c r="AT49" s="8"/>
      <c r="AW49" s="6"/>
      <c r="AX49" s="8"/>
      <c r="BA49" s="6"/>
      <c r="BF49" s="6"/>
      <c r="BK49" s="6"/>
      <c r="BL49" s="8"/>
      <c r="BM49" s="6"/>
      <c r="BN49" s="8"/>
      <c r="BO49" s="8"/>
      <c r="BP49" s="6"/>
      <c r="BS49" s="6"/>
      <c r="BT49" s="8"/>
      <c r="BU49" s="8"/>
      <c r="BV49" s="8"/>
      <c r="BW49" s="8"/>
      <c r="BX49" s="8"/>
      <c r="BY49" s="8"/>
      <c r="CA49" s="6"/>
      <c r="CK49" s="8"/>
      <c r="CP49" s="6"/>
      <c r="CX49" s="8"/>
      <c r="CZ49" s="8"/>
      <c r="DA49" s="8"/>
      <c r="DB49" s="8"/>
      <c r="DC49" s="6"/>
      <c r="DF49" s="9">
        <f t="shared" si="0"/>
        <v>9600000</v>
      </c>
      <c r="DG49" s="9">
        <v>9600000</v>
      </c>
      <c r="DH49" s="9">
        <f t="shared" si="1"/>
        <v>0</v>
      </c>
    </row>
    <row r="50" spans="1:112" x14ac:dyDescent="0.25">
      <c r="A50" s="4" t="s">
        <v>120</v>
      </c>
      <c r="B50" s="4" t="s">
        <v>120</v>
      </c>
      <c r="C50" s="1" t="s">
        <v>121</v>
      </c>
      <c r="N50" s="8"/>
      <c r="O50" s="6"/>
      <c r="P50" s="8"/>
      <c r="Q50" s="6"/>
      <c r="AA50" s="8"/>
      <c r="AB50" s="6"/>
      <c r="AC50" s="8"/>
      <c r="AD50" s="6"/>
      <c r="AE50" s="8"/>
      <c r="AF50" s="6"/>
      <c r="AG50" s="8"/>
      <c r="AH50" s="6"/>
      <c r="AI50" s="8"/>
      <c r="AJ50" s="6"/>
      <c r="AK50" s="8"/>
      <c r="AL50" s="6"/>
      <c r="AM50" s="8">
        <v>3498310.9599999995</v>
      </c>
      <c r="AO50" s="8"/>
      <c r="AR50" s="8"/>
      <c r="AS50" s="6"/>
      <c r="AT50" s="8"/>
      <c r="AW50" s="6"/>
      <c r="AX50" s="8"/>
      <c r="BA50" s="6"/>
      <c r="BD50" s="8">
        <v>172618.02000000002</v>
      </c>
      <c r="BE50" s="6">
        <v>613592.02</v>
      </c>
      <c r="BF50" s="6"/>
      <c r="BK50" s="6"/>
      <c r="BL50" s="8"/>
      <c r="BM50" s="6"/>
      <c r="BN50" s="8"/>
      <c r="BO50" s="8"/>
      <c r="BP50" s="6"/>
      <c r="BS50" s="6"/>
      <c r="BT50" s="8"/>
      <c r="BU50" s="8"/>
      <c r="BV50" s="8"/>
      <c r="BW50" s="8"/>
      <c r="BX50" s="8"/>
      <c r="BY50" s="8"/>
      <c r="CA50" s="6"/>
      <c r="CK50" s="8"/>
      <c r="CP50" s="6"/>
      <c r="CX50" s="8"/>
      <c r="CZ50" s="8"/>
      <c r="DA50" s="8"/>
      <c r="DB50" s="8"/>
      <c r="DC50" s="6"/>
      <c r="DF50" s="9">
        <f t="shared" si="0"/>
        <v>4284521</v>
      </c>
      <c r="DG50" s="9">
        <v>4284521</v>
      </c>
      <c r="DH50" s="9">
        <f t="shared" si="1"/>
        <v>0</v>
      </c>
    </row>
    <row r="51" spans="1:112" x14ac:dyDescent="0.25">
      <c r="A51" s="4" t="s">
        <v>122</v>
      </c>
      <c r="N51" s="8"/>
      <c r="O51" s="6"/>
      <c r="P51" s="8"/>
      <c r="Q51" s="6"/>
      <c r="AA51" s="8"/>
      <c r="AB51" s="6"/>
      <c r="AC51" s="8"/>
      <c r="AD51" s="6"/>
      <c r="AE51" s="8"/>
      <c r="AF51" s="6"/>
      <c r="AG51" s="8"/>
      <c r="AH51" s="6"/>
      <c r="AI51" s="8"/>
      <c r="AJ51" s="6"/>
      <c r="AK51" s="8"/>
      <c r="AL51" s="6"/>
      <c r="AM51" s="8"/>
      <c r="AO51" s="8"/>
      <c r="AR51" s="8"/>
      <c r="AS51" s="6"/>
      <c r="AT51" s="8"/>
      <c r="AW51" s="6"/>
      <c r="AX51" s="8"/>
      <c r="BA51" s="6"/>
      <c r="BF51" s="6"/>
      <c r="BK51" s="6"/>
      <c r="BL51" s="8"/>
      <c r="BM51" s="6"/>
      <c r="BN51" s="8"/>
      <c r="BO51" s="8"/>
      <c r="BP51" s="6"/>
      <c r="BS51" s="6"/>
      <c r="BT51" s="8"/>
      <c r="BU51" s="8"/>
      <c r="BV51" s="8"/>
      <c r="BW51" s="8"/>
      <c r="BX51" s="8"/>
      <c r="BY51" s="8"/>
      <c r="CA51" s="6"/>
      <c r="CK51" s="8"/>
      <c r="CP51" s="6"/>
      <c r="CX51" s="8"/>
      <c r="CZ51" s="8"/>
      <c r="DA51" s="8"/>
      <c r="DB51" s="8"/>
      <c r="DC51" s="6"/>
      <c r="DF51" s="9">
        <f t="shared" si="0"/>
        <v>0</v>
      </c>
      <c r="DG51" s="9"/>
      <c r="DH51" s="9">
        <f t="shared" si="1"/>
        <v>0</v>
      </c>
    </row>
    <row r="52" spans="1:112" x14ac:dyDescent="0.25">
      <c r="A52" s="4" t="s">
        <v>124</v>
      </c>
      <c r="N52" s="8"/>
      <c r="O52" s="6"/>
      <c r="P52" s="8"/>
      <c r="Q52" s="6"/>
      <c r="AA52" s="8"/>
      <c r="AB52" s="6"/>
      <c r="AC52" s="8"/>
      <c r="AD52" s="6"/>
      <c r="AE52" s="8"/>
      <c r="AF52" s="6"/>
      <c r="AG52" s="8"/>
      <c r="AH52" s="6"/>
      <c r="AI52" s="8"/>
      <c r="AJ52" s="6"/>
      <c r="AK52" s="8"/>
      <c r="AL52" s="6"/>
      <c r="AM52" s="8"/>
      <c r="AO52" s="8"/>
      <c r="AR52" s="8"/>
      <c r="AS52" s="6"/>
      <c r="AT52" s="8"/>
      <c r="AW52" s="6"/>
      <c r="AX52" s="8"/>
      <c r="BA52" s="6"/>
      <c r="BF52" s="6"/>
      <c r="BK52" s="6"/>
      <c r="BL52" s="8"/>
      <c r="BM52" s="6"/>
      <c r="BN52" s="8"/>
      <c r="BO52" s="8"/>
      <c r="BP52" s="6"/>
      <c r="BS52" s="6"/>
      <c r="BT52" s="8"/>
      <c r="BU52" s="8"/>
      <c r="BV52" s="8"/>
      <c r="BW52" s="8"/>
      <c r="BX52" s="8"/>
      <c r="BY52" s="8"/>
      <c r="CA52" s="6"/>
      <c r="CK52" s="8"/>
      <c r="CP52" s="6"/>
      <c r="CX52" s="8"/>
      <c r="CZ52" s="8"/>
      <c r="DA52" s="8"/>
      <c r="DB52" s="8"/>
      <c r="DC52" s="6"/>
      <c r="DF52" s="9">
        <f t="shared" si="0"/>
        <v>0</v>
      </c>
      <c r="DG52" s="9"/>
      <c r="DH52" s="9">
        <f t="shared" si="1"/>
        <v>0</v>
      </c>
    </row>
    <row r="53" spans="1:112" x14ac:dyDescent="0.25">
      <c r="A53" s="4" t="s">
        <v>126</v>
      </c>
      <c r="B53" s="4" t="s">
        <v>126</v>
      </c>
      <c r="C53" s="1" t="s">
        <v>127</v>
      </c>
      <c r="N53" s="8"/>
      <c r="O53" s="6"/>
      <c r="P53" s="8"/>
      <c r="Q53" s="6"/>
      <c r="AA53" s="8"/>
      <c r="AB53" s="6"/>
      <c r="AC53" s="8"/>
      <c r="AD53" s="6"/>
      <c r="AE53" s="8"/>
      <c r="AF53" s="6"/>
      <c r="AG53" s="8"/>
      <c r="AH53" s="6"/>
      <c r="AI53" s="8"/>
      <c r="AJ53" s="6"/>
      <c r="AK53" s="8">
        <v>2854000</v>
      </c>
      <c r="AL53" s="6"/>
      <c r="AM53" s="8"/>
      <c r="AO53" s="8"/>
      <c r="AR53" s="8"/>
      <c r="AS53" s="6"/>
      <c r="AT53" s="8"/>
      <c r="AW53" s="6"/>
      <c r="AX53" s="8"/>
      <c r="BA53" s="6"/>
      <c r="BD53" s="8">
        <v>2271883</v>
      </c>
      <c r="BE53" s="6">
        <v>450000</v>
      </c>
      <c r="BF53" s="6"/>
      <c r="BK53" s="6"/>
      <c r="BL53" s="8"/>
      <c r="BM53" s="6"/>
      <c r="BN53" s="8"/>
      <c r="BO53" s="8"/>
      <c r="BP53" s="6"/>
      <c r="BS53" s="6"/>
      <c r="BT53" s="8"/>
      <c r="BU53" s="8"/>
      <c r="BV53" s="8"/>
      <c r="BW53" s="8"/>
      <c r="BX53" s="8"/>
      <c r="BY53" s="8"/>
      <c r="CA53" s="6"/>
      <c r="CK53" s="8"/>
      <c r="CP53" s="6"/>
      <c r="CX53" s="8"/>
      <c r="CZ53" s="8"/>
      <c r="DA53" s="8"/>
      <c r="DB53" s="8"/>
      <c r="DC53" s="6"/>
      <c r="DF53" s="9">
        <f t="shared" si="0"/>
        <v>5575883</v>
      </c>
      <c r="DG53" s="9">
        <v>5575883</v>
      </c>
      <c r="DH53" s="9">
        <f t="shared" si="1"/>
        <v>0</v>
      </c>
    </row>
    <row r="54" spans="1:112" x14ac:dyDescent="0.25">
      <c r="A54" s="4" t="s">
        <v>128</v>
      </c>
      <c r="B54" s="4" t="s">
        <v>128</v>
      </c>
      <c r="C54" s="1" t="s">
        <v>129</v>
      </c>
      <c r="N54" s="8"/>
      <c r="O54" s="6"/>
      <c r="P54" s="8"/>
      <c r="Q54" s="6"/>
      <c r="AA54" s="8"/>
      <c r="AB54" s="6"/>
      <c r="AC54" s="8"/>
      <c r="AD54" s="6"/>
      <c r="AE54" s="8"/>
      <c r="AF54" s="6"/>
      <c r="AG54" s="8"/>
      <c r="AH54" s="6"/>
      <c r="AI54" s="8"/>
      <c r="AJ54" s="6"/>
      <c r="AK54" s="8">
        <v>0</v>
      </c>
      <c r="AL54" s="6"/>
      <c r="AM54" s="8"/>
      <c r="AO54" s="8"/>
      <c r="AR54" s="8"/>
      <c r="AS54" s="6"/>
      <c r="AT54" s="8"/>
      <c r="AW54" s="6"/>
      <c r="AX54" s="8"/>
      <c r="BA54" s="6"/>
      <c r="BD54" s="8">
        <v>7352494</v>
      </c>
      <c r="BE54" s="6">
        <v>5209400</v>
      </c>
      <c r="BF54" s="6"/>
      <c r="BK54" s="6"/>
      <c r="BL54" s="8"/>
      <c r="BM54" s="6"/>
      <c r="BN54" s="8"/>
      <c r="BO54" s="8"/>
      <c r="BP54" s="6"/>
      <c r="BS54" s="6"/>
      <c r="BT54" s="8"/>
      <c r="BU54" s="8"/>
      <c r="BV54" s="8"/>
      <c r="BW54" s="8"/>
      <c r="BX54" s="8"/>
      <c r="BY54" s="8"/>
      <c r="CA54" s="6"/>
      <c r="CK54" s="8"/>
      <c r="CP54" s="6"/>
      <c r="CX54" s="8"/>
      <c r="CZ54" s="8"/>
      <c r="DA54" s="8"/>
      <c r="DB54" s="8"/>
      <c r="DC54" s="6"/>
      <c r="DF54" s="9">
        <f t="shared" si="0"/>
        <v>12561894</v>
      </c>
      <c r="DG54" s="9">
        <v>12561894</v>
      </c>
      <c r="DH54" s="9">
        <f t="shared" si="1"/>
        <v>0</v>
      </c>
    </row>
    <row r="55" spans="1:112" x14ac:dyDescent="0.25">
      <c r="A55" s="4" t="s">
        <v>130</v>
      </c>
      <c r="B55" s="4" t="s">
        <v>130</v>
      </c>
      <c r="C55" s="1" t="s">
        <v>131</v>
      </c>
      <c r="E55" s="8">
        <v>13757859</v>
      </c>
      <c r="N55" s="8"/>
      <c r="O55" s="6"/>
      <c r="P55" s="8">
        <v>6240000</v>
      </c>
      <c r="Q55" s="6"/>
      <c r="AA55" s="8"/>
      <c r="AB55" s="6"/>
      <c r="AC55" s="8"/>
      <c r="AD55" s="6"/>
      <c r="AE55" s="8"/>
      <c r="AF55" s="6"/>
      <c r="AG55" s="8"/>
      <c r="AH55" s="6"/>
      <c r="AI55" s="8"/>
      <c r="AJ55" s="6"/>
      <c r="AK55" s="8"/>
      <c r="AL55" s="6"/>
      <c r="AM55" s="8"/>
      <c r="AO55" s="8"/>
      <c r="AR55" s="8"/>
      <c r="AS55" s="6"/>
      <c r="AT55" s="8"/>
      <c r="AV55" s="6">
        <v>4655000</v>
      </c>
      <c r="AW55" s="6"/>
      <c r="AX55" s="8"/>
      <c r="AY55" s="6">
        <v>6190000</v>
      </c>
      <c r="BA55" s="6"/>
      <c r="BF55" s="6"/>
      <c r="BJ55" s="8">
        <v>286000</v>
      </c>
      <c r="BK55" s="6"/>
      <c r="BL55" s="8">
        <v>1914000</v>
      </c>
      <c r="BM55" s="6"/>
      <c r="BN55" s="8"/>
      <c r="BO55" s="8"/>
      <c r="BP55" s="6"/>
      <c r="BS55" s="6"/>
      <c r="BT55" s="8"/>
      <c r="BU55" s="8"/>
      <c r="BV55" s="8"/>
      <c r="BW55" s="8"/>
      <c r="BX55" s="8"/>
      <c r="BY55" s="8"/>
      <c r="CA55" s="6"/>
      <c r="CK55" s="8"/>
      <c r="CO55" s="8">
        <v>8580000</v>
      </c>
      <c r="CP55" s="6"/>
      <c r="CX55" s="8"/>
      <c r="CZ55" s="8"/>
      <c r="DA55" s="8"/>
      <c r="DB55" s="8"/>
      <c r="DC55" s="6"/>
      <c r="DF55" s="9">
        <f t="shared" si="0"/>
        <v>41622859</v>
      </c>
      <c r="DG55" s="9">
        <v>41622859</v>
      </c>
      <c r="DH55" s="9">
        <f t="shared" si="1"/>
        <v>0</v>
      </c>
    </row>
    <row r="56" spans="1:112" x14ac:dyDescent="0.25">
      <c r="A56" s="4" t="s">
        <v>132</v>
      </c>
      <c r="B56" s="4" t="s">
        <v>132</v>
      </c>
      <c r="C56" s="1" t="s">
        <v>133</v>
      </c>
      <c r="E56" s="8">
        <v>470000</v>
      </c>
      <c r="N56" s="8"/>
      <c r="O56" s="6"/>
      <c r="P56" s="8"/>
      <c r="Q56" s="6"/>
      <c r="W56" s="6">
        <v>199000</v>
      </c>
      <c r="AA56" s="8"/>
      <c r="AB56" s="6"/>
      <c r="AC56" s="8"/>
      <c r="AD56" s="6"/>
      <c r="AE56" s="8"/>
      <c r="AF56" s="6"/>
      <c r="AG56" s="8"/>
      <c r="AH56" s="6"/>
      <c r="AI56" s="8"/>
      <c r="AJ56" s="6"/>
      <c r="AK56" s="8"/>
      <c r="AL56" s="6"/>
      <c r="AM56" s="8"/>
      <c r="AO56" s="8"/>
      <c r="AR56" s="8"/>
      <c r="AS56" s="6"/>
      <c r="AT56" s="8"/>
      <c r="AV56" s="6">
        <v>37500</v>
      </c>
      <c r="AW56" s="6"/>
      <c r="AX56" s="8"/>
      <c r="BA56" s="6"/>
      <c r="BF56" s="6"/>
      <c r="BK56" s="6"/>
      <c r="BL56" s="8"/>
      <c r="BM56" s="6"/>
      <c r="BN56" s="8"/>
      <c r="BO56" s="8"/>
      <c r="BP56" s="6"/>
      <c r="BS56" s="6"/>
      <c r="BT56" s="8"/>
      <c r="BU56" s="8"/>
      <c r="BV56" s="8"/>
      <c r="BW56" s="8"/>
      <c r="BX56" s="8"/>
      <c r="BY56" s="8"/>
      <c r="CA56" s="6"/>
      <c r="CK56" s="8"/>
      <c r="CP56" s="6"/>
      <c r="CX56" s="8"/>
      <c r="CZ56" s="8"/>
      <c r="DA56" s="8"/>
      <c r="DB56" s="8"/>
      <c r="DC56" s="6"/>
      <c r="DF56" s="9">
        <f t="shared" si="0"/>
        <v>706500</v>
      </c>
      <c r="DG56" s="9">
        <v>706500</v>
      </c>
      <c r="DH56" s="9">
        <f t="shared" si="1"/>
        <v>0</v>
      </c>
    </row>
    <row r="57" spans="1:112" x14ac:dyDescent="0.25">
      <c r="A57" s="4" t="s">
        <v>134</v>
      </c>
      <c r="B57" s="4" t="s">
        <v>134</v>
      </c>
      <c r="C57" s="1" t="s">
        <v>135</v>
      </c>
      <c r="E57" s="8">
        <v>14760000</v>
      </c>
      <c r="K57" s="8">
        <v>2400000</v>
      </c>
      <c r="N57" s="8"/>
      <c r="O57" s="6"/>
      <c r="P57" s="8"/>
      <c r="Q57" s="6"/>
      <c r="R57" s="8">
        <v>7200000</v>
      </c>
      <c r="AA57" s="8"/>
      <c r="AB57" s="6"/>
      <c r="AC57" s="8">
        <v>1200000</v>
      </c>
      <c r="AD57" s="6"/>
      <c r="AE57" s="8"/>
      <c r="AF57" s="6"/>
      <c r="AG57" s="8"/>
      <c r="AH57" s="6">
        <v>1800000</v>
      </c>
      <c r="AI57" s="8"/>
      <c r="AJ57" s="6"/>
      <c r="AK57" s="8">
        <v>7200000</v>
      </c>
      <c r="AL57" s="6">
        <v>20712778</v>
      </c>
      <c r="AM57" s="8"/>
      <c r="AO57" s="8"/>
      <c r="AR57" s="8"/>
      <c r="AS57" s="6"/>
      <c r="AT57" s="8"/>
      <c r="AW57" s="6"/>
      <c r="AX57" s="8"/>
      <c r="BA57" s="6"/>
      <c r="BD57" s="8">
        <v>11048000</v>
      </c>
      <c r="BE57" s="6">
        <v>6000000</v>
      </c>
      <c r="BF57" s="6"/>
      <c r="BJ57" s="8">
        <v>7711782</v>
      </c>
      <c r="BK57" s="6">
        <v>620065</v>
      </c>
      <c r="BL57" s="8">
        <v>30995186</v>
      </c>
      <c r="BM57" s="6"/>
      <c r="BN57" s="8"/>
      <c r="BO57" s="8"/>
      <c r="BP57" s="6"/>
      <c r="BS57" s="6"/>
      <c r="BT57" s="8"/>
      <c r="BU57" s="8"/>
      <c r="BV57" s="8"/>
      <c r="BW57" s="8"/>
      <c r="BX57" s="8"/>
      <c r="BY57" s="8"/>
      <c r="CA57" s="6"/>
      <c r="CK57" s="8"/>
      <c r="CP57" s="6"/>
      <c r="CX57" s="8"/>
      <c r="CZ57" s="8"/>
      <c r="DA57" s="8"/>
      <c r="DB57" s="8"/>
      <c r="DC57" s="6"/>
      <c r="DF57" s="9">
        <f t="shared" si="0"/>
        <v>111647811</v>
      </c>
      <c r="DG57" s="9">
        <v>111647811</v>
      </c>
      <c r="DH57" s="9">
        <f t="shared" si="1"/>
        <v>0</v>
      </c>
    </row>
    <row r="58" spans="1:112" x14ac:dyDescent="0.25">
      <c r="A58" s="4" t="s">
        <v>855</v>
      </c>
      <c r="N58" s="8"/>
      <c r="O58" s="6"/>
      <c r="P58" s="8"/>
      <c r="Q58" s="6"/>
      <c r="AA58" s="8"/>
      <c r="AB58" s="6"/>
      <c r="AC58" s="8"/>
      <c r="AD58" s="6"/>
      <c r="AE58" s="8"/>
      <c r="AF58" s="6"/>
      <c r="AG58" s="8"/>
      <c r="AH58" s="6"/>
      <c r="AI58" s="8"/>
      <c r="AJ58" s="6"/>
      <c r="AK58" s="8"/>
      <c r="AL58" s="6"/>
      <c r="AM58" s="8"/>
      <c r="AO58" s="8"/>
      <c r="AR58" s="8"/>
      <c r="AS58" s="6"/>
      <c r="AT58" s="8"/>
      <c r="AW58" s="6"/>
      <c r="AX58" s="8"/>
      <c r="BA58" s="6"/>
      <c r="BF58" s="6"/>
      <c r="BK58" s="6"/>
      <c r="BL58" s="8"/>
      <c r="BM58" s="6"/>
      <c r="BN58" s="8"/>
      <c r="BO58" s="8"/>
      <c r="BP58" s="6"/>
      <c r="BS58" s="6"/>
      <c r="BT58" s="8"/>
      <c r="BU58" s="8"/>
      <c r="BV58" s="8"/>
      <c r="BW58" s="8"/>
      <c r="BX58" s="8"/>
      <c r="BY58" s="8"/>
      <c r="CA58" s="6"/>
      <c r="CK58" s="8"/>
      <c r="CP58" s="6"/>
      <c r="CX58" s="8"/>
      <c r="CZ58" s="8"/>
      <c r="DA58" s="8"/>
      <c r="DB58" s="8"/>
      <c r="DC58" s="6"/>
      <c r="DF58" s="9">
        <f t="shared" si="0"/>
        <v>0</v>
      </c>
      <c r="DG58" s="9"/>
      <c r="DH58" s="9">
        <f t="shared" si="1"/>
        <v>0</v>
      </c>
    </row>
    <row r="59" spans="1:112" x14ac:dyDescent="0.25">
      <c r="A59" s="4" t="s">
        <v>136</v>
      </c>
      <c r="N59" s="8"/>
      <c r="O59" s="6"/>
      <c r="P59" s="8"/>
      <c r="Q59" s="6"/>
      <c r="AA59" s="8"/>
      <c r="AB59" s="6"/>
      <c r="AC59" s="8"/>
      <c r="AD59" s="6"/>
      <c r="AE59" s="8"/>
      <c r="AF59" s="6"/>
      <c r="AG59" s="8"/>
      <c r="AH59" s="6"/>
      <c r="AI59" s="8"/>
      <c r="AJ59" s="6"/>
      <c r="AK59" s="8"/>
      <c r="AL59" s="6"/>
      <c r="AM59" s="8"/>
      <c r="AO59" s="8"/>
      <c r="AR59" s="8"/>
      <c r="AS59" s="6"/>
      <c r="AT59" s="8"/>
      <c r="AW59" s="6"/>
      <c r="AX59" s="8"/>
      <c r="BA59" s="6"/>
      <c r="BF59" s="6"/>
      <c r="BK59" s="6"/>
      <c r="BL59" s="8"/>
      <c r="BM59" s="6"/>
      <c r="BN59" s="8"/>
      <c r="BO59" s="8"/>
      <c r="BP59" s="6"/>
      <c r="BS59" s="6"/>
      <c r="BT59" s="8"/>
      <c r="BU59" s="8"/>
      <c r="BV59" s="8"/>
      <c r="BW59" s="8"/>
      <c r="BX59" s="8"/>
      <c r="BY59" s="8"/>
      <c r="CA59" s="6"/>
      <c r="CK59" s="8"/>
      <c r="CP59" s="6"/>
      <c r="CX59" s="8"/>
      <c r="CZ59" s="8"/>
      <c r="DA59" s="8"/>
      <c r="DB59" s="8"/>
      <c r="DC59" s="6"/>
      <c r="DF59" s="9">
        <f t="shared" si="0"/>
        <v>0</v>
      </c>
      <c r="DG59" s="9"/>
      <c r="DH59" s="9">
        <f t="shared" si="1"/>
        <v>0</v>
      </c>
    </row>
    <row r="60" spans="1:112" x14ac:dyDescent="0.25">
      <c r="A60" s="4" t="s">
        <v>138</v>
      </c>
      <c r="B60" s="4" t="s">
        <v>138</v>
      </c>
      <c r="C60" s="1" t="s">
        <v>139</v>
      </c>
      <c r="E60" s="8">
        <v>1030176.0000000001</v>
      </c>
      <c r="K60" s="8">
        <v>735840</v>
      </c>
      <c r="N60" s="8"/>
      <c r="O60" s="6">
        <v>441503.99999999994</v>
      </c>
      <c r="P60" s="8"/>
      <c r="Q60" s="6"/>
      <c r="V60" s="8">
        <v>1913184.0000000002</v>
      </c>
      <c r="AA60" s="8"/>
      <c r="AB60" s="6"/>
      <c r="AC60" s="8">
        <v>294336.00000000006</v>
      </c>
      <c r="AD60" s="6"/>
      <c r="AE60" s="8"/>
      <c r="AF60" s="6"/>
      <c r="AG60" s="8"/>
      <c r="AH60" s="6">
        <v>1324512.0000000002</v>
      </c>
      <c r="AI60" s="8"/>
      <c r="AJ60" s="6">
        <v>294336</v>
      </c>
      <c r="AK60" s="8">
        <v>1913184.0000000002</v>
      </c>
      <c r="AL60" s="6">
        <v>735840</v>
      </c>
      <c r="AM60" s="8">
        <v>1324512</v>
      </c>
      <c r="AO60" s="8"/>
      <c r="AR60" s="8"/>
      <c r="AS60" s="6"/>
      <c r="AT60" s="8"/>
      <c r="AW60" s="6"/>
      <c r="AX60" s="8"/>
      <c r="BA60" s="6">
        <v>1177344.0000000002</v>
      </c>
      <c r="BC60" s="6">
        <v>294336</v>
      </c>
      <c r="BD60" s="8">
        <v>1177344</v>
      </c>
      <c r="BE60" s="6">
        <v>2060352.0000000002</v>
      </c>
      <c r="BF60" s="6"/>
      <c r="BK60" s="6"/>
      <c r="BL60" s="8"/>
      <c r="BM60" s="6"/>
      <c r="BN60" s="8"/>
      <c r="BO60" s="8"/>
      <c r="BP60" s="6"/>
      <c r="BS60" s="6"/>
      <c r="BT60" s="8"/>
      <c r="BU60" s="8"/>
      <c r="BV60" s="8"/>
      <c r="BW60" s="8"/>
      <c r="BX60" s="8"/>
      <c r="BY60" s="8"/>
      <c r="CA60" s="6"/>
      <c r="CK60" s="8"/>
      <c r="CP60" s="6"/>
      <c r="CX60" s="8"/>
      <c r="CZ60" s="8"/>
      <c r="DA60" s="8"/>
      <c r="DB60" s="8"/>
      <c r="DC60" s="6"/>
      <c r="DF60" s="9">
        <f t="shared" si="0"/>
        <v>14716800</v>
      </c>
      <c r="DG60" s="9">
        <v>14716800</v>
      </c>
      <c r="DH60" s="9">
        <f t="shared" si="1"/>
        <v>0</v>
      </c>
    </row>
    <row r="61" spans="1:112" x14ac:dyDescent="0.25">
      <c r="A61" s="4" t="s">
        <v>140</v>
      </c>
      <c r="B61" s="4" t="s">
        <v>140</v>
      </c>
      <c r="C61" s="1" t="s">
        <v>141</v>
      </c>
      <c r="N61" s="8"/>
      <c r="O61" s="6"/>
      <c r="P61" s="8"/>
      <c r="Q61" s="6"/>
      <c r="AA61" s="8"/>
      <c r="AB61" s="6"/>
      <c r="AC61" s="8"/>
      <c r="AD61" s="6"/>
      <c r="AE61" s="8"/>
      <c r="AF61" s="6"/>
      <c r="AG61" s="8"/>
      <c r="AH61" s="6"/>
      <c r="AI61" s="8"/>
      <c r="AJ61" s="6"/>
      <c r="AK61" s="8"/>
      <c r="AL61" s="6"/>
      <c r="AM61" s="8"/>
      <c r="AO61" s="8"/>
      <c r="AR61" s="8"/>
      <c r="AS61" s="6"/>
      <c r="AT61" s="8"/>
      <c r="AW61" s="6"/>
      <c r="AX61" s="8"/>
      <c r="BA61" s="6"/>
      <c r="BF61" s="6"/>
      <c r="BJ61" s="8">
        <v>1040110</v>
      </c>
      <c r="BK61" s="6">
        <v>106126</v>
      </c>
      <c r="BL61" s="8">
        <v>2444196</v>
      </c>
      <c r="BM61" s="6"/>
      <c r="BN61" s="8"/>
      <c r="BO61" s="8"/>
      <c r="BP61" s="6"/>
      <c r="BS61" s="6"/>
      <c r="BT61" s="8"/>
      <c r="BU61" s="8"/>
      <c r="BV61" s="8"/>
      <c r="BW61" s="8"/>
      <c r="BX61" s="8"/>
      <c r="BY61" s="8"/>
      <c r="CA61" s="6"/>
      <c r="CK61" s="8"/>
      <c r="CP61" s="6"/>
      <c r="CX61" s="8"/>
      <c r="CZ61" s="8"/>
      <c r="DA61" s="8"/>
      <c r="DB61" s="8"/>
      <c r="DC61" s="6"/>
      <c r="DF61" s="9">
        <f t="shared" si="0"/>
        <v>3590432</v>
      </c>
      <c r="DG61" s="9">
        <v>3590432</v>
      </c>
      <c r="DH61" s="9">
        <f t="shared" si="1"/>
        <v>0</v>
      </c>
    </row>
    <row r="62" spans="1:112" x14ac:dyDescent="0.25">
      <c r="A62" s="4" t="s">
        <v>142</v>
      </c>
      <c r="N62" s="8"/>
      <c r="O62" s="6"/>
      <c r="P62" s="8"/>
      <c r="Q62" s="6"/>
      <c r="AA62" s="8"/>
      <c r="AB62" s="6"/>
      <c r="AC62" s="8"/>
      <c r="AD62" s="6"/>
      <c r="AE62" s="8"/>
      <c r="AF62" s="6"/>
      <c r="AG62" s="8"/>
      <c r="AH62" s="6"/>
      <c r="AI62" s="8"/>
      <c r="AJ62" s="6"/>
      <c r="AK62" s="8"/>
      <c r="AL62" s="6"/>
      <c r="AM62" s="8"/>
      <c r="AO62" s="8"/>
      <c r="AR62" s="8"/>
      <c r="AS62" s="6"/>
      <c r="AT62" s="8"/>
      <c r="AW62" s="6"/>
      <c r="AX62" s="8"/>
      <c r="BA62" s="6"/>
      <c r="BF62" s="6"/>
      <c r="BK62" s="6"/>
      <c r="BL62" s="8"/>
      <c r="BM62" s="6"/>
      <c r="BN62" s="8"/>
      <c r="BO62" s="8"/>
      <c r="BP62" s="6"/>
      <c r="BS62" s="6"/>
      <c r="BT62" s="8"/>
      <c r="BU62" s="8"/>
      <c r="BV62" s="8"/>
      <c r="BW62" s="8"/>
      <c r="BX62" s="8"/>
      <c r="BY62" s="8"/>
      <c r="CA62" s="6"/>
      <c r="CK62" s="8"/>
      <c r="CP62" s="6"/>
      <c r="CX62" s="8"/>
      <c r="CZ62" s="8"/>
      <c r="DA62" s="8"/>
      <c r="DB62" s="8"/>
      <c r="DC62" s="6"/>
      <c r="DF62" s="9">
        <f t="shared" si="0"/>
        <v>0</v>
      </c>
      <c r="DG62" s="9"/>
      <c r="DH62" s="9">
        <f t="shared" si="1"/>
        <v>0</v>
      </c>
    </row>
    <row r="63" spans="1:112" x14ac:dyDescent="0.25">
      <c r="A63" s="4" t="s">
        <v>144</v>
      </c>
      <c r="B63" s="4" t="s">
        <v>144</v>
      </c>
      <c r="C63" s="1" t="s">
        <v>145</v>
      </c>
      <c r="E63" s="8">
        <v>6512222</v>
      </c>
      <c r="N63" s="8"/>
      <c r="O63" s="6"/>
      <c r="P63" s="8"/>
      <c r="Q63" s="6"/>
      <c r="W63" s="6">
        <v>7160.3099999999995</v>
      </c>
      <c r="AA63" s="8"/>
      <c r="AB63" s="6"/>
      <c r="AC63" s="8"/>
      <c r="AD63" s="6"/>
      <c r="AE63" s="8"/>
      <c r="AF63" s="6"/>
      <c r="AG63" s="8"/>
      <c r="AH63" s="6"/>
      <c r="AI63" s="8"/>
      <c r="AJ63" s="6"/>
      <c r="AK63" s="8"/>
      <c r="AL63" s="6"/>
      <c r="AM63" s="8">
        <v>5608634</v>
      </c>
      <c r="AO63" s="8"/>
      <c r="AR63" s="8"/>
      <c r="AS63" s="6"/>
      <c r="AT63" s="8"/>
      <c r="AW63" s="6"/>
      <c r="AX63" s="8"/>
      <c r="BA63" s="6"/>
      <c r="BD63" s="8">
        <v>202355.85</v>
      </c>
      <c r="BE63" s="6">
        <v>1312927.8400000001</v>
      </c>
      <c r="BF63" s="6"/>
      <c r="BJ63" s="8">
        <v>2277760</v>
      </c>
      <c r="BK63" s="6"/>
      <c r="BL63" s="8">
        <v>15560382</v>
      </c>
      <c r="BM63" s="6"/>
      <c r="BN63" s="8"/>
      <c r="BO63" s="8"/>
      <c r="BP63" s="6"/>
      <c r="BS63" s="6"/>
      <c r="BT63" s="8"/>
      <c r="BU63" s="8"/>
      <c r="BV63" s="8"/>
      <c r="BW63" s="8"/>
      <c r="BX63" s="8"/>
      <c r="BY63" s="8"/>
      <c r="CA63" s="6"/>
      <c r="CK63" s="8"/>
      <c r="CO63" s="8">
        <v>2060</v>
      </c>
      <c r="CP63" s="6"/>
      <c r="CX63" s="8"/>
      <c r="CZ63" s="8"/>
      <c r="DA63" s="8"/>
      <c r="DB63" s="8"/>
      <c r="DC63" s="6">
        <v>1890</v>
      </c>
      <c r="DF63" s="9">
        <f t="shared" si="0"/>
        <v>31485392</v>
      </c>
      <c r="DG63" s="9">
        <v>31485392</v>
      </c>
      <c r="DH63" s="9">
        <f t="shared" si="1"/>
        <v>0</v>
      </c>
    </row>
    <row r="64" spans="1:112" x14ac:dyDescent="0.25">
      <c r="A64" s="4" t="s">
        <v>146</v>
      </c>
      <c r="B64" s="4" t="s">
        <v>146</v>
      </c>
      <c r="C64" s="1" t="s">
        <v>147</v>
      </c>
      <c r="E64" s="8">
        <v>8684.7933999999987</v>
      </c>
      <c r="F64" s="6">
        <v>0</v>
      </c>
      <c r="G64" s="8">
        <v>2456.2500000000005</v>
      </c>
      <c r="I64" s="8">
        <v>17398.239999999998</v>
      </c>
      <c r="K64" s="8">
        <v>13691.691000000003</v>
      </c>
      <c r="N64" s="8"/>
      <c r="O64" s="6">
        <v>5726.2786000000015</v>
      </c>
      <c r="P64" s="8"/>
      <c r="Q64" s="6"/>
      <c r="R64" s="8">
        <v>6526.3600000000006</v>
      </c>
      <c r="U64" s="6">
        <v>152.4</v>
      </c>
      <c r="V64" s="8">
        <v>9619.0105999999996</v>
      </c>
      <c r="W64" s="6">
        <v>16728.27</v>
      </c>
      <c r="X64" s="8">
        <v>6890.7</v>
      </c>
      <c r="Y64" s="6">
        <v>4395.93</v>
      </c>
      <c r="Z64" s="8">
        <v>4973.97</v>
      </c>
      <c r="AA64" s="8"/>
      <c r="AB64" s="6"/>
      <c r="AC64" s="8">
        <v>18.872399999999999</v>
      </c>
      <c r="AD64" s="6"/>
      <c r="AE64" s="8"/>
      <c r="AF64" s="6"/>
      <c r="AG64" s="8">
        <v>29230.02</v>
      </c>
      <c r="AH64" s="6">
        <v>8317.0857999999989</v>
      </c>
      <c r="AI64" s="8"/>
      <c r="AJ64" s="6">
        <v>1687.6624000000002</v>
      </c>
      <c r="AK64" s="8">
        <v>3432.0506</v>
      </c>
      <c r="AL64" s="6">
        <v>1701.8710000000001</v>
      </c>
      <c r="AM64" s="8">
        <v>5058.8958000000002</v>
      </c>
      <c r="AO64" s="8"/>
      <c r="AP64" s="6">
        <v>1248.2900000000002</v>
      </c>
      <c r="AR64" s="8"/>
      <c r="AS64" s="6"/>
      <c r="AT64" s="8">
        <v>10406.830000000002</v>
      </c>
      <c r="AV64" s="6">
        <v>3789.7700000000004</v>
      </c>
      <c r="AW64" s="6"/>
      <c r="AX64" s="8"/>
      <c r="BA64" s="6">
        <v>38065.5792</v>
      </c>
      <c r="BB64" s="8">
        <v>11226.610400000001</v>
      </c>
      <c r="BC64" s="6">
        <v>1729.0524000000003</v>
      </c>
      <c r="BD64" s="8">
        <v>3601.3396000000012</v>
      </c>
      <c r="BE64" s="6">
        <v>5834.2668000000012</v>
      </c>
      <c r="BF64" s="6"/>
      <c r="BH64" s="8">
        <v>20948.099999999999</v>
      </c>
      <c r="BI64" s="6">
        <v>3052.2000000000007</v>
      </c>
      <c r="BJ64" s="8">
        <v>6184</v>
      </c>
      <c r="BK64" s="6"/>
      <c r="BL64" s="8"/>
      <c r="BM64" s="6">
        <v>9480.35</v>
      </c>
      <c r="BN64" s="8">
        <v>5014.8700000000008</v>
      </c>
      <c r="BO64" s="8"/>
      <c r="BP64" s="6"/>
      <c r="BS64" s="6"/>
      <c r="BT64" s="8"/>
      <c r="BU64" s="8"/>
      <c r="BV64" s="8"/>
      <c r="BW64" s="8"/>
      <c r="BX64" s="8"/>
      <c r="BY64" s="8"/>
      <c r="CA64" s="6"/>
      <c r="CJ64" s="8">
        <v>8627.8899999999958</v>
      </c>
      <c r="CK64" s="8"/>
      <c r="CM64" s="6">
        <v>6507.2600000000011</v>
      </c>
      <c r="CO64" s="8">
        <v>11687.23</v>
      </c>
      <c r="CP64" s="6">
        <v>3889.66</v>
      </c>
      <c r="CR64" s="6">
        <v>38639.999999999993</v>
      </c>
      <c r="CT64" s="6">
        <v>2782.7</v>
      </c>
      <c r="CV64" s="6">
        <v>6671.35</v>
      </c>
      <c r="CX64" s="8"/>
      <c r="CZ64" s="8"/>
      <c r="DA64" s="8"/>
      <c r="DB64" s="8"/>
      <c r="DC64" s="6">
        <v>4177.2700000000004</v>
      </c>
      <c r="DF64" s="9">
        <f t="shared" si="0"/>
        <v>350254.97</v>
      </c>
      <c r="DG64" s="9">
        <v>350254.97</v>
      </c>
      <c r="DH64" s="9">
        <f t="shared" si="1"/>
        <v>0</v>
      </c>
    </row>
    <row r="65" spans="1:112" x14ac:dyDescent="0.25">
      <c r="A65" s="4" t="s">
        <v>148</v>
      </c>
      <c r="B65" s="4" t="s">
        <v>148</v>
      </c>
      <c r="C65" s="1" t="s">
        <v>149</v>
      </c>
      <c r="E65" s="8">
        <v>16069.822099999998</v>
      </c>
      <c r="F65" s="6">
        <v>-3.637978807091713E-12</v>
      </c>
      <c r="G65" s="8">
        <v>5925.3</v>
      </c>
      <c r="I65" s="8">
        <v>34875.270000000011</v>
      </c>
      <c r="K65" s="8">
        <v>27682.701500000003</v>
      </c>
      <c r="N65" s="8"/>
      <c r="O65" s="6">
        <v>11021.980900000002</v>
      </c>
      <c r="P65" s="8"/>
      <c r="Q65" s="6"/>
      <c r="R65" s="8">
        <v>12865.2</v>
      </c>
      <c r="U65" s="6">
        <v>914.40000000000009</v>
      </c>
      <c r="V65" s="8">
        <v>18830.183900000011</v>
      </c>
      <c r="W65" s="6">
        <v>26877.599999999999</v>
      </c>
      <c r="X65" s="8">
        <v>18386.400000000005</v>
      </c>
      <c r="Y65" s="6">
        <v>9326.4</v>
      </c>
      <c r="Z65" s="8">
        <v>9849.6000000000022</v>
      </c>
      <c r="AA65" s="8"/>
      <c r="AB65" s="6"/>
      <c r="AC65" s="8">
        <v>36.520600000000002</v>
      </c>
      <c r="AD65" s="6"/>
      <c r="AE65" s="8"/>
      <c r="AF65" s="6"/>
      <c r="AG65" s="8">
        <v>57455.300000000017</v>
      </c>
      <c r="AH65" s="6">
        <v>16771.342699999997</v>
      </c>
      <c r="AI65" s="8"/>
      <c r="AJ65" s="6">
        <v>3341.3206000000009</v>
      </c>
      <c r="AK65" s="8">
        <v>6790.5838999999996</v>
      </c>
      <c r="AL65" s="6">
        <v>3367.9014999999999</v>
      </c>
      <c r="AM65" s="8">
        <v>10013.942700000003</v>
      </c>
      <c r="AO65" s="8"/>
      <c r="AP65" s="6">
        <v>1955.8000000000004</v>
      </c>
      <c r="AR65" s="8"/>
      <c r="AS65" s="6"/>
      <c r="AT65" s="8">
        <v>20006.400000000001</v>
      </c>
      <c r="AV65" s="6">
        <v>7001.4000000000005</v>
      </c>
      <c r="AW65" s="6"/>
      <c r="AX65" s="8"/>
      <c r="BA65" s="6">
        <v>74616.841999999975</v>
      </c>
      <c r="BB65" s="8">
        <v>22468.820400000004</v>
      </c>
      <c r="BC65" s="6">
        <v>3397.7206000000006</v>
      </c>
      <c r="BD65" s="8">
        <v>6818.0824000000011</v>
      </c>
      <c r="BE65" s="6">
        <v>12316.244200000003</v>
      </c>
      <c r="BF65" s="6"/>
      <c r="BH65" s="8">
        <v>46384.6</v>
      </c>
      <c r="BI65" s="6">
        <v>7113.7999999999993</v>
      </c>
      <c r="BJ65" s="8">
        <v>13206</v>
      </c>
      <c r="BK65" s="6"/>
      <c r="BL65" s="8"/>
      <c r="BM65" s="6">
        <v>19957.149999999998</v>
      </c>
      <c r="BN65" s="8">
        <v>10134.600000000002</v>
      </c>
      <c r="BO65" s="8"/>
      <c r="BP65" s="6"/>
      <c r="BS65" s="6"/>
      <c r="BT65" s="8"/>
      <c r="BU65" s="8"/>
      <c r="BV65" s="8"/>
      <c r="BW65" s="8"/>
      <c r="BX65" s="8"/>
      <c r="BY65" s="8"/>
      <c r="CA65" s="6"/>
      <c r="CJ65" s="8">
        <v>16946.27</v>
      </c>
      <c r="CK65" s="8"/>
      <c r="CM65" s="6">
        <v>12911.600000000004</v>
      </c>
      <c r="CO65" s="8">
        <v>23534.399999999998</v>
      </c>
      <c r="CP65" s="6">
        <v>5616.2000000000007</v>
      </c>
      <c r="CR65" s="6">
        <v>79301.069999999963</v>
      </c>
      <c r="CT65" s="6">
        <v>7699</v>
      </c>
      <c r="CV65" s="6">
        <v>13090.800000000003</v>
      </c>
      <c r="CX65" s="8"/>
      <c r="CZ65" s="8"/>
      <c r="DA65" s="8"/>
      <c r="DB65" s="8"/>
      <c r="DC65" s="6">
        <v>8350.0000000000018</v>
      </c>
      <c r="DF65" s="9">
        <f t="shared" si="0"/>
        <v>703228.57000000007</v>
      </c>
      <c r="DG65" s="9">
        <v>703228.57</v>
      </c>
      <c r="DH65" s="9">
        <f t="shared" si="1"/>
        <v>0</v>
      </c>
    </row>
    <row r="66" spans="1:112" x14ac:dyDescent="0.25">
      <c r="A66" s="4" t="s">
        <v>150</v>
      </c>
      <c r="B66" s="4" t="s">
        <v>150</v>
      </c>
      <c r="C66" s="1" t="s">
        <v>151</v>
      </c>
      <c r="E66" s="8">
        <v>47869.529300000009</v>
      </c>
      <c r="F66" s="6">
        <v>-1.4551915228366852E-11</v>
      </c>
      <c r="G66" s="8">
        <v>13538.14</v>
      </c>
      <c r="I66" s="8">
        <v>95896.280000000013</v>
      </c>
      <c r="K66" s="8">
        <v>75466.229500000001</v>
      </c>
      <c r="N66" s="8"/>
      <c r="O66" s="6">
        <v>31562.339699999993</v>
      </c>
      <c r="P66" s="8"/>
      <c r="Q66" s="6"/>
      <c r="R66" s="8">
        <v>35971.740000000005</v>
      </c>
      <c r="U66" s="6">
        <v>840</v>
      </c>
      <c r="V66" s="8">
        <v>53018.138700000003</v>
      </c>
      <c r="W66" s="6">
        <v>92203.800000000017</v>
      </c>
      <c r="X66" s="8">
        <v>37980.6</v>
      </c>
      <c r="Y66" s="6">
        <v>24229.379999999997</v>
      </c>
      <c r="Z66" s="8">
        <v>27415.61</v>
      </c>
      <c r="AA66" s="8"/>
      <c r="AB66" s="6"/>
      <c r="AC66" s="8">
        <v>104.01980000000002</v>
      </c>
      <c r="AD66" s="6"/>
      <c r="AE66" s="8"/>
      <c r="AF66" s="6"/>
      <c r="AG66" s="8">
        <v>162649.06</v>
      </c>
      <c r="AH66" s="6">
        <v>45842.22909999999</v>
      </c>
      <c r="AI66" s="8"/>
      <c r="AJ66" s="6">
        <v>9302.0598000000009</v>
      </c>
      <c r="AK66" s="8">
        <v>18916.798699999996</v>
      </c>
      <c r="AL66" s="6">
        <v>9380.3895000000011</v>
      </c>
      <c r="AM66" s="8">
        <v>27883.699099999998</v>
      </c>
      <c r="AO66" s="8"/>
      <c r="AP66" s="6">
        <v>6880.34</v>
      </c>
      <c r="AR66" s="8"/>
      <c r="AS66" s="6"/>
      <c r="AT66" s="8">
        <v>57360.35</v>
      </c>
      <c r="AV66" s="6">
        <v>20888.11</v>
      </c>
      <c r="AW66" s="6"/>
      <c r="AX66" s="8"/>
      <c r="BA66" s="6">
        <v>222859.13919999974</v>
      </c>
      <c r="BB66" s="8">
        <v>61878.91</v>
      </c>
      <c r="BC66" s="6">
        <v>9530.1398000000027</v>
      </c>
      <c r="BD66" s="8">
        <v>19850.0592</v>
      </c>
      <c r="BE66" s="6">
        <v>32156.8786</v>
      </c>
      <c r="BF66" s="6"/>
      <c r="BH66" s="8">
        <v>115464.30000000002</v>
      </c>
      <c r="BI66" s="6">
        <v>16811</v>
      </c>
      <c r="BJ66" s="8">
        <v>34093</v>
      </c>
      <c r="BK66" s="6"/>
      <c r="BL66" s="8"/>
      <c r="BM66" s="6">
        <v>66363.039999999994</v>
      </c>
      <c r="BN66" s="8">
        <v>27641.010000000002</v>
      </c>
      <c r="BO66" s="8"/>
      <c r="BP66" s="6"/>
      <c r="BS66" s="6"/>
      <c r="BT66" s="8"/>
      <c r="BU66" s="8"/>
      <c r="BV66" s="8"/>
      <c r="BW66" s="8"/>
      <c r="BX66" s="8"/>
      <c r="BY66" s="8"/>
      <c r="CA66" s="6"/>
      <c r="CJ66" s="8">
        <v>60393.759999999987</v>
      </c>
      <c r="CK66" s="8"/>
      <c r="CM66" s="6">
        <v>45550.759999999995</v>
      </c>
      <c r="CO66" s="8">
        <v>81810.540000000008</v>
      </c>
      <c r="CP66" s="6">
        <v>27227.579999999994</v>
      </c>
      <c r="CR66" s="6">
        <v>270426.48999999987</v>
      </c>
      <c r="CT66" s="6">
        <v>19478.88</v>
      </c>
      <c r="CV66" s="6">
        <v>46699.21</v>
      </c>
      <c r="CX66" s="8"/>
      <c r="CZ66" s="8"/>
      <c r="DA66" s="8"/>
      <c r="DB66" s="8"/>
      <c r="DC66" s="6">
        <v>23024.360000000004</v>
      </c>
      <c r="DF66" s="9">
        <f t="shared" si="0"/>
        <v>2076457.8999999997</v>
      </c>
      <c r="DG66" s="9">
        <v>2076457.9000000001</v>
      </c>
      <c r="DH66" s="9">
        <f t="shared" si="1"/>
        <v>0</v>
      </c>
    </row>
    <row r="67" spans="1:112" x14ac:dyDescent="0.25">
      <c r="A67" s="4" t="s">
        <v>152</v>
      </c>
      <c r="B67" s="4" t="s">
        <v>152</v>
      </c>
      <c r="C67" s="1" t="s">
        <v>153</v>
      </c>
      <c r="N67" s="8"/>
      <c r="O67" s="6"/>
      <c r="P67" s="8"/>
      <c r="Q67" s="6"/>
      <c r="AA67" s="8"/>
      <c r="AB67" s="6"/>
      <c r="AC67" s="8"/>
      <c r="AD67" s="6"/>
      <c r="AE67" s="8"/>
      <c r="AF67" s="6"/>
      <c r="AG67" s="8"/>
      <c r="AH67" s="6"/>
      <c r="AI67" s="8"/>
      <c r="AJ67" s="6"/>
      <c r="AK67" s="8"/>
      <c r="AL67" s="6"/>
      <c r="AM67" s="8"/>
      <c r="AO67" s="8"/>
      <c r="AR67" s="8"/>
      <c r="AS67" s="6"/>
      <c r="AT67" s="8"/>
      <c r="AW67" s="6"/>
      <c r="AX67" s="8"/>
      <c r="BA67" s="6"/>
      <c r="BF67" s="6"/>
      <c r="BK67" s="6"/>
      <c r="BL67" s="8">
        <v>2494737.54</v>
      </c>
      <c r="BM67" s="6"/>
      <c r="BN67" s="8"/>
      <c r="BO67" s="8"/>
      <c r="BP67" s="6"/>
      <c r="BS67" s="6"/>
      <c r="BT67" s="8"/>
      <c r="BU67" s="8"/>
      <c r="BV67" s="8"/>
      <c r="BW67" s="8"/>
      <c r="BX67" s="8"/>
      <c r="BY67" s="8"/>
      <c r="CA67" s="6"/>
      <c r="CK67" s="8"/>
      <c r="CP67" s="6"/>
      <c r="CX67" s="8"/>
      <c r="CZ67" s="8"/>
      <c r="DA67" s="8"/>
      <c r="DB67" s="8"/>
      <c r="DC67" s="6"/>
      <c r="DF67" s="9">
        <f t="shared" si="0"/>
        <v>2494737.54</v>
      </c>
      <c r="DG67" s="9">
        <v>2494737.54</v>
      </c>
      <c r="DH67" s="9">
        <f t="shared" si="1"/>
        <v>0</v>
      </c>
    </row>
    <row r="68" spans="1:112" x14ac:dyDescent="0.25">
      <c r="A68" s="4" t="s">
        <v>154</v>
      </c>
      <c r="B68" s="4" t="s">
        <v>154</v>
      </c>
      <c r="C68" s="1" t="s">
        <v>155</v>
      </c>
      <c r="E68" s="8">
        <v>835820.65999999992</v>
      </c>
      <c r="G68" s="8">
        <v>33101</v>
      </c>
      <c r="K68" s="8">
        <v>83019.16</v>
      </c>
      <c r="N68" s="8"/>
      <c r="O68" s="6"/>
      <c r="P68" s="8"/>
      <c r="Q68" s="6"/>
      <c r="R68" s="8">
        <v>445234</v>
      </c>
      <c r="W68" s="6">
        <v>112360.33000000002</v>
      </c>
      <c r="Z68" s="8">
        <v>47030.75</v>
      </c>
      <c r="AA68" s="8"/>
      <c r="AB68" s="6"/>
      <c r="AC68" s="8"/>
      <c r="AD68" s="6"/>
      <c r="AE68" s="8"/>
      <c r="AF68" s="6"/>
      <c r="AG68" s="8"/>
      <c r="AH68" s="6"/>
      <c r="AI68" s="8"/>
      <c r="AJ68" s="6"/>
      <c r="AK68" s="8"/>
      <c r="AL68" s="6"/>
      <c r="AM68" s="8"/>
      <c r="AO68" s="8"/>
      <c r="AR68" s="8"/>
      <c r="AS68" s="6"/>
      <c r="AT68" s="8"/>
      <c r="AW68" s="6"/>
      <c r="AX68" s="8"/>
      <c r="BA68" s="6"/>
      <c r="BF68" s="6"/>
      <c r="BK68" s="6"/>
      <c r="BL68" s="8"/>
      <c r="BM68" s="6"/>
      <c r="BN68" s="8"/>
      <c r="BO68" s="8"/>
      <c r="BP68" s="6"/>
      <c r="BS68" s="6"/>
      <c r="BT68" s="8"/>
      <c r="BU68" s="8"/>
      <c r="BV68" s="8"/>
      <c r="BW68" s="8"/>
      <c r="BX68" s="8"/>
      <c r="BY68" s="8"/>
      <c r="CA68" s="6"/>
      <c r="CK68" s="8"/>
      <c r="CP68" s="6"/>
      <c r="CX68" s="8"/>
      <c r="CZ68" s="8"/>
      <c r="DA68" s="8"/>
      <c r="DB68" s="8"/>
      <c r="DC68" s="6"/>
      <c r="DF68" s="9">
        <f t="shared" si="0"/>
        <v>1556565.9</v>
      </c>
      <c r="DG68" s="9">
        <v>1556565.9</v>
      </c>
      <c r="DH68" s="9">
        <f t="shared" si="1"/>
        <v>0</v>
      </c>
    </row>
    <row r="69" spans="1:112" x14ac:dyDescent="0.25">
      <c r="A69" s="4" t="s">
        <v>156</v>
      </c>
      <c r="B69" s="4" t="s">
        <v>156</v>
      </c>
      <c r="C69" s="1" t="s">
        <v>922</v>
      </c>
      <c r="E69" s="8">
        <v>414283.12640000007</v>
      </c>
      <c r="F69" s="6">
        <v>-4.6566128730773926E-10</v>
      </c>
      <c r="G69" s="8">
        <v>6507</v>
      </c>
      <c r="I69" s="8">
        <v>13208.86</v>
      </c>
      <c r="K69" s="8">
        <v>456952.28599999996</v>
      </c>
      <c r="N69" s="8"/>
      <c r="O69" s="6">
        <v>99789.965599999996</v>
      </c>
      <c r="P69" s="8"/>
      <c r="Q69" s="6"/>
      <c r="R69" s="8">
        <v>68768.69</v>
      </c>
      <c r="V69" s="8">
        <v>366956.32760000002</v>
      </c>
      <c r="W69" s="6">
        <v>88886.5</v>
      </c>
      <c r="X69" s="8">
        <v>41745.56</v>
      </c>
      <c r="Y69" s="6">
        <v>21596.73</v>
      </c>
      <c r="Z69" s="8">
        <v>25882.97</v>
      </c>
      <c r="AA69" s="8"/>
      <c r="AB69" s="6"/>
      <c r="AC69" s="8">
        <v>49267.910400000001</v>
      </c>
      <c r="AD69" s="6"/>
      <c r="AE69" s="8"/>
      <c r="AF69" s="6"/>
      <c r="AG69" s="8">
        <v>179367.41</v>
      </c>
      <c r="AH69" s="6">
        <v>263452.49680000002</v>
      </c>
      <c r="AI69" s="8"/>
      <c r="AJ69" s="6">
        <v>57895.610399999998</v>
      </c>
      <c r="AK69" s="8">
        <v>337496.6876</v>
      </c>
      <c r="AL69" s="6">
        <v>131797.47600000002</v>
      </c>
      <c r="AM69" s="8">
        <v>247595.36679999999</v>
      </c>
      <c r="AO69" s="8"/>
      <c r="AP69" s="6">
        <v>6460.37</v>
      </c>
      <c r="AR69" s="8"/>
      <c r="AS69" s="6"/>
      <c r="AT69" s="8">
        <v>53898.57</v>
      </c>
      <c r="AV69" s="6">
        <v>91379.94</v>
      </c>
      <c r="AW69" s="6"/>
      <c r="AX69" s="8"/>
      <c r="BA69" s="6">
        <v>803403.01300000027</v>
      </c>
      <c r="BB69" s="8">
        <v>31331.778599999991</v>
      </c>
      <c r="BC69" s="6">
        <v>57895.610400000005</v>
      </c>
      <c r="BD69" s="8">
        <v>215005.87160000001</v>
      </c>
      <c r="BE69" s="6">
        <v>414380.58280000009</v>
      </c>
      <c r="BF69" s="6"/>
      <c r="BH69" s="8">
        <v>100011</v>
      </c>
      <c r="BI69" s="6">
        <v>14466.86</v>
      </c>
      <c r="BJ69" s="8">
        <v>162196.81999999998</v>
      </c>
      <c r="BK69" s="6">
        <v>8840</v>
      </c>
      <c r="BL69" s="8">
        <v>965674.55000000028</v>
      </c>
      <c r="BM69" s="6">
        <v>59695.959999999992</v>
      </c>
      <c r="BN69" s="8">
        <v>24441.96</v>
      </c>
      <c r="BO69" s="8"/>
      <c r="BP69" s="6"/>
      <c r="BS69" s="6"/>
      <c r="BT69" s="8"/>
      <c r="BU69" s="8"/>
      <c r="BV69" s="8"/>
      <c r="BW69" s="8"/>
      <c r="BX69" s="8"/>
      <c r="BY69" s="8"/>
      <c r="CA69" s="6"/>
      <c r="CJ69" s="8">
        <v>108244.54000000001</v>
      </c>
      <c r="CK69" s="8"/>
      <c r="CM69" s="6">
        <v>35484.189999999995</v>
      </c>
      <c r="CO69" s="8">
        <v>167781.02</v>
      </c>
      <c r="CP69" s="6">
        <v>21060.339999999997</v>
      </c>
      <c r="CR69" s="6">
        <v>595948.42000000004</v>
      </c>
      <c r="CT69" s="6">
        <v>14423.85</v>
      </c>
      <c r="CV69" s="6">
        <v>123209.89000000003</v>
      </c>
      <c r="CX69" s="8"/>
      <c r="CZ69" s="8"/>
      <c r="DA69" s="8"/>
      <c r="DB69" s="8"/>
      <c r="DC69" s="6">
        <v>115659.06</v>
      </c>
      <c r="DF69" s="9">
        <f t="shared" si="0"/>
        <v>7062345.1699999999</v>
      </c>
      <c r="DG69" s="9">
        <v>7062345.1699999999</v>
      </c>
      <c r="DH69" s="9">
        <f t="shared" si="1"/>
        <v>0</v>
      </c>
    </row>
    <row r="70" spans="1:112" x14ac:dyDescent="0.25">
      <c r="A70" s="4" t="s">
        <v>158</v>
      </c>
      <c r="B70" s="4" t="s">
        <v>158</v>
      </c>
      <c r="C70" s="1" t="s">
        <v>159</v>
      </c>
      <c r="E70" s="8">
        <v>4724</v>
      </c>
      <c r="G70" s="8">
        <v>2362</v>
      </c>
      <c r="K70" s="8">
        <v>2362</v>
      </c>
      <c r="N70" s="8"/>
      <c r="O70" s="6"/>
      <c r="P70" s="8"/>
      <c r="Q70" s="6"/>
      <c r="AA70" s="8"/>
      <c r="AB70" s="6"/>
      <c r="AC70" s="8"/>
      <c r="AD70" s="6"/>
      <c r="AE70" s="8"/>
      <c r="AF70" s="6"/>
      <c r="AG70" s="8"/>
      <c r="AH70" s="6"/>
      <c r="AI70" s="8"/>
      <c r="AJ70" s="6"/>
      <c r="AK70" s="8"/>
      <c r="AL70" s="6"/>
      <c r="AM70" s="8"/>
      <c r="AO70" s="8"/>
      <c r="AR70" s="8"/>
      <c r="AS70" s="6"/>
      <c r="AT70" s="8"/>
      <c r="AW70" s="6"/>
      <c r="AX70" s="8"/>
      <c r="BA70" s="6"/>
      <c r="BF70" s="6"/>
      <c r="BJ70" s="8">
        <v>1701</v>
      </c>
      <c r="BK70" s="6"/>
      <c r="BL70" s="8">
        <v>10275</v>
      </c>
      <c r="BM70" s="6">
        <v>7086</v>
      </c>
      <c r="BN70" s="8"/>
      <c r="BO70" s="8"/>
      <c r="BP70" s="6"/>
      <c r="BS70" s="6"/>
      <c r="BT70" s="8"/>
      <c r="BU70" s="8"/>
      <c r="BV70" s="8"/>
      <c r="BW70" s="8"/>
      <c r="BX70" s="8"/>
      <c r="BY70" s="8"/>
      <c r="CA70" s="6"/>
      <c r="CJ70" s="8">
        <v>7724</v>
      </c>
      <c r="CK70" s="8"/>
      <c r="CO70" s="8">
        <v>4724</v>
      </c>
      <c r="CP70" s="6"/>
      <c r="CR70" s="6">
        <v>21258</v>
      </c>
      <c r="CV70" s="6">
        <v>7086</v>
      </c>
      <c r="CX70" s="8"/>
      <c r="CZ70" s="8"/>
      <c r="DA70" s="8"/>
      <c r="DB70" s="8"/>
      <c r="DC70" s="6"/>
      <c r="DF70" s="9">
        <f t="shared" si="0"/>
        <v>69302</v>
      </c>
      <c r="DG70" s="9">
        <v>69302</v>
      </c>
      <c r="DH70" s="9">
        <f t="shared" si="1"/>
        <v>0</v>
      </c>
    </row>
    <row r="71" spans="1:112" s="551" customFormat="1" x14ac:dyDescent="0.25">
      <c r="A71" s="675" t="s">
        <v>160</v>
      </c>
      <c r="B71" s="4" t="s">
        <v>160</v>
      </c>
      <c r="C71" s="1" t="s">
        <v>161</v>
      </c>
      <c r="D71" s="6"/>
      <c r="E71" s="8">
        <v>4445</v>
      </c>
      <c r="F71" s="6">
        <v>0</v>
      </c>
      <c r="G71" s="8">
        <v>141096</v>
      </c>
      <c r="H71" s="6"/>
      <c r="I71" s="8"/>
      <c r="J71" s="6"/>
      <c r="K71" s="8">
        <v>3175</v>
      </c>
      <c r="L71" s="6"/>
      <c r="M71" s="8"/>
      <c r="N71" s="8"/>
      <c r="O71" s="6">
        <v>1905</v>
      </c>
      <c r="P71" s="8"/>
      <c r="Q71" s="6"/>
      <c r="R71" s="8">
        <v>116844</v>
      </c>
      <c r="S71" s="6"/>
      <c r="T71" s="8"/>
      <c r="U71" s="6"/>
      <c r="V71" s="8">
        <v>8255</v>
      </c>
      <c r="W71" s="6">
        <v>33500</v>
      </c>
      <c r="X71" s="8">
        <v>4000</v>
      </c>
      <c r="Y71" s="6"/>
      <c r="Z71" s="8"/>
      <c r="AA71" s="8"/>
      <c r="AB71" s="6"/>
      <c r="AC71" s="8">
        <v>1270</v>
      </c>
      <c r="AD71" s="6"/>
      <c r="AE71" s="8"/>
      <c r="AF71" s="6"/>
      <c r="AG71" s="8">
        <v>116844</v>
      </c>
      <c r="AH71" s="6">
        <v>5715</v>
      </c>
      <c r="AI71" s="8"/>
      <c r="AJ71" s="6">
        <v>1270</v>
      </c>
      <c r="AK71" s="8">
        <v>8255</v>
      </c>
      <c r="AL71" s="6">
        <v>3175</v>
      </c>
      <c r="AM71" s="8">
        <v>5715</v>
      </c>
      <c r="AN71" s="8"/>
      <c r="AO71" s="8"/>
      <c r="AP71" s="6"/>
      <c r="AQ71" s="8"/>
      <c r="AR71" s="8"/>
      <c r="AS71" s="6"/>
      <c r="AT71" s="8"/>
      <c r="AU71" s="8"/>
      <c r="AV71" s="6">
        <v>42327</v>
      </c>
      <c r="AW71" s="6"/>
      <c r="AX71" s="8"/>
      <c r="AY71" s="6"/>
      <c r="AZ71" s="8"/>
      <c r="BA71" s="6">
        <v>98200.693599999955</v>
      </c>
      <c r="BB71" s="8">
        <v>330155.18639999983</v>
      </c>
      <c r="BC71" s="6">
        <v>1270</v>
      </c>
      <c r="BD71" s="8">
        <v>5080</v>
      </c>
      <c r="BE71" s="6">
        <v>8890</v>
      </c>
      <c r="BF71" s="6"/>
      <c r="BG71" s="6"/>
      <c r="BH71" s="8"/>
      <c r="BI71" s="6"/>
      <c r="BJ71" s="8">
        <v>62361.840000000004</v>
      </c>
      <c r="BK71" s="6">
        <v>5196.82</v>
      </c>
      <c r="BL71" s="8">
        <v>417344.28</v>
      </c>
      <c r="BM71" s="6">
        <v>81540</v>
      </c>
      <c r="BN71" s="8"/>
      <c r="BO71" s="8"/>
      <c r="BP71" s="6"/>
      <c r="BQ71" s="6"/>
      <c r="BR71" s="8"/>
      <c r="BS71" s="6"/>
      <c r="BT71" s="8"/>
      <c r="BU71" s="8"/>
      <c r="BV71" s="8"/>
      <c r="BW71" s="8"/>
      <c r="BX71" s="8"/>
      <c r="BY71" s="8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8">
        <v>42327</v>
      </c>
      <c r="CK71" s="8"/>
      <c r="CL71" s="8"/>
      <c r="CM71" s="6"/>
      <c r="CN71" s="6"/>
      <c r="CO71" s="8"/>
      <c r="CP71" s="6"/>
      <c r="CQ71" s="8"/>
      <c r="CR71" s="6">
        <v>31520426</v>
      </c>
      <c r="CS71" s="8"/>
      <c r="CT71" s="6"/>
      <c r="CU71" s="8"/>
      <c r="CV71" s="6"/>
      <c r="CW71" s="8"/>
      <c r="CX71" s="8"/>
      <c r="CY71" s="8"/>
      <c r="CZ71" s="8"/>
      <c r="DA71" s="8"/>
      <c r="DB71" s="8"/>
      <c r="DC71" s="6">
        <v>4746951</v>
      </c>
      <c r="DD71" s="8"/>
      <c r="DE71" s="6"/>
      <c r="DF71" s="9">
        <f t="shared" ref="DF71:DF134" si="2">SUM(D71:DE71)</f>
        <v>37817533.82</v>
      </c>
      <c r="DG71" s="9">
        <v>37817533.82</v>
      </c>
      <c r="DH71" s="9">
        <f t="shared" ref="DH71:DH134" si="3">+DF71-DG71</f>
        <v>0</v>
      </c>
    </row>
    <row r="72" spans="1:112" x14ac:dyDescent="0.25">
      <c r="A72" s="4" t="s">
        <v>162</v>
      </c>
      <c r="N72" s="8"/>
      <c r="O72" s="6"/>
      <c r="P72" s="8"/>
      <c r="Q72" s="6"/>
      <c r="AA72" s="8"/>
      <c r="AB72" s="6"/>
      <c r="AC72" s="8"/>
      <c r="AD72" s="6"/>
      <c r="AE72" s="8"/>
      <c r="AF72" s="6"/>
      <c r="AG72" s="8"/>
      <c r="AH72" s="6"/>
      <c r="AI72" s="8"/>
      <c r="AJ72" s="6"/>
      <c r="AK72" s="8"/>
      <c r="AL72" s="6"/>
      <c r="AM72" s="8"/>
      <c r="AO72" s="8"/>
      <c r="AR72" s="8"/>
      <c r="AS72" s="6"/>
      <c r="AT72" s="8"/>
      <c r="AW72" s="6"/>
      <c r="AX72" s="8"/>
      <c r="BA72" s="6"/>
      <c r="BF72" s="6"/>
      <c r="BK72" s="6"/>
      <c r="BL72" s="8"/>
      <c r="BM72" s="6"/>
      <c r="BN72" s="8"/>
      <c r="BO72" s="8"/>
      <c r="BP72" s="6"/>
      <c r="BS72" s="6"/>
      <c r="BT72" s="8"/>
      <c r="BU72" s="8"/>
      <c r="BV72" s="8"/>
      <c r="BW72" s="8"/>
      <c r="BX72" s="8"/>
      <c r="BY72" s="8"/>
      <c r="CA72" s="6"/>
      <c r="CK72" s="8"/>
      <c r="CP72" s="6"/>
      <c r="CX72" s="8"/>
      <c r="CZ72" s="8"/>
      <c r="DA72" s="8"/>
      <c r="DB72" s="8"/>
      <c r="DC72" s="6"/>
      <c r="DF72" s="9">
        <f t="shared" si="2"/>
        <v>0</v>
      </c>
      <c r="DG72" s="9"/>
      <c r="DH72" s="9">
        <f t="shared" si="3"/>
        <v>0</v>
      </c>
    </row>
    <row r="73" spans="1:112" x14ac:dyDescent="0.25">
      <c r="A73" s="4" t="s">
        <v>164</v>
      </c>
      <c r="B73" s="4" t="s">
        <v>164</v>
      </c>
      <c r="C73" s="1" t="s">
        <v>165</v>
      </c>
      <c r="E73" s="8">
        <v>334670.00000000006</v>
      </c>
      <c r="F73" s="6">
        <v>0</v>
      </c>
      <c r="G73" s="8">
        <v>3309000</v>
      </c>
      <c r="K73" s="8">
        <v>239050</v>
      </c>
      <c r="N73" s="8"/>
      <c r="O73" s="6">
        <v>143430</v>
      </c>
      <c r="P73" s="8"/>
      <c r="Q73" s="6"/>
      <c r="V73" s="8">
        <v>621530</v>
      </c>
      <c r="AA73" s="8"/>
      <c r="AB73" s="6"/>
      <c r="AC73" s="8">
        <v>95620</v>
      </c>
      <c r="AD73" s="6"/>
      <c r="AE73" s="8"/>
      <c r="AF73" s="6"/>
      <c r="AG73" s="8">
        <v>1318500</v>
      </c>
      <c r="AH73" s="6">
        <v>430290</v>
      </c>
      <c r="AI73" s="8"/>
      <c r="AJ73" s="6">
        <v>95620</v>
      </c>
      <c r="AK73" s="8">
        <v>621530</v>
      </c>
      <c r="AL73" s="6">
        <v>239050</v>
      </c>
      <c r="AM73" s="8">
        <v>430290</v>
      </c>
      <c r="AO73" s="8"/>
      <c r="AR73" s="8"/>
      <c r="AS73" s="6"/>
      <c r="AT73" s="8"/>
      <c r="AV73" s="6">
        <v>299512.5</v>
      </c>
      <c r="AW73" s="6"/>
      <c r="AX73" s="8"/>
      <c r="BA73" s="6">
        <v>757800</v>
      </c>
      <c r="BB73" s="8">
        <v>1330680</v>
      </c>
      <c r="BC73" s="6">
        <v>95620</v>
      </c>
      <c r="BD73" s="8">
        <v>382480</v>
      </c>
      <c r="BE73" s="6">
        <v>669340.00000000012</v>
      </c>
      <c r="BF73" s="6"/>
      <c r="BJ73" s="8">
        <v>434316.85</v>
      </c>
      <c r="BK73" s="6">
        <v>34144.5</v>
      </c>
      <c r="BL73" s="8">
        <v>2957561.4</v>
      </c>
      <c r="BM73" s="6"/>
      <c r="BN73" s="8">
        <v>1004250</v>
      </c>
      <c r="BO73" s="8"/>
      <c r="BP73" s="6"/>
      <c r="BS73" s="6"/>
      <c r="BT73" s="8"/>
      <c r="BU73" s="8"/>
      <c r="BV73" s="8"/>
      <c r="BW73" s="8"/>
      <c r="BX73" s="8"/>
      <c r="BY73" s="8"/>
      <c r="CA73" s="6"/>
      <c r="CJ73" s="8">
        <v>299512.5</v>
      </c>
      <c r="CK73" s="8"/>
      <c r="CP73" s="6"/>
      <c r="CR73" s="6">
        <v>1782000</v>
      </c>
      <c r="CX73" s="8"/>
      <c r="CZ73" s="8"/>
      <c r="DA73" s="8"/>
      <c r="DB73" s="8"/>
      <c r="DC73" s="6"/>
      <c r="DF73" s="9">
        <f t="shared" si="2"/>
        <v>17925797.75</v>
      </c>
      <c r="DG73" s="9">
        <v>17925797.75</v>
      </c>
      <c r="DH73" s="9">
        <f t="shared" si="3"/>
        <v>0</v>
      </c>
    </row>
    <row r="74" spans="1:112" x14ac:dyDescent="0.25">
      <c r="A74" s="4" t="s">
        <v>166</v>
      </c>
      <c r="B74" s="4" t="s">
        <v>166</v>
      </c>
      <c r="C74" s="1" t="s">
        <v>167</v>
      </c>
      <c r="F74" s="6">
        <v>-1.862645149230957E-9</v>
      </c>
      <c r="N74" s="8"/>
      <c r="O74" s="6"/>
      <c r="P74" s="8"/>
      <c r="Q74" s="6"/>
      <c r="AA74" s="8"/>
      <c r="AB74" s="6"/>
      <c r="AC74" s="8"/>
      <c r="AD74" s="6"/>
      <c r="AE74" s="8"/>
      <c r="AF74" s="6"/>
      <c r="AG74" s="8"/>
      <c r="AH74" s="6"/>
      <c r="AI74" s="8"/>
      <c r="AJ74" s="6"/>
      <c r="AK74" s="8"/>
      <c r="AL74" s="6"/>
      <c r="AM74" s="8"/>
      <c r="AO74" s="8"/>
      <c r="AR74" s="8"/>
      <c r="AS74" s="6"/>
      <c r="AT74" s="8"/>
      <c r="AW74" s="6"/>
      <c r="AX74" s="8"/>
      <c r="BA74" s="6"/>
      <c r="BF74" s="6"/>
      <c r="BK74" s="6"/>
      <c r="BL74" s="8"/>
      <c r="BM74" s="6"/>
      <c r="BN74" s="8"/>
      <c r="BO74" s="8"/>
      <c r="BP74" s="6"/>
      <c r="BS74" s="6"/>
      <c r="BT74" s="8"/>
      <c r="BU74" s="8"/>
      <c r="BV74" s="8"/>
      <c r="BW74" s="8"/>
      <c r="BX74" s="8"/>
      <c r="BY74" s="8"/>
      <c r="CA74" s="6"/>
      <c r="CK74" s="8"/>
      <c r="CP74" s="6"/>
      <c r="CX74" s="8"/>
      <c r="CZ74" s="8"/>
      <c r="DA74" s="8"/>
      <c r="DB74" s="8"/>
      <c r="DC74" s="6"/>
      <c r="DF74" s="9">
        <f t="shared" si="2"/>
        <v>-1.862645149230957E-9</v>
      </c>
      <c r="DG74" s="9">
        <v>-1.862645149230957E-9</v>
      </c>
      <c r="DH74" s="9">
        <f t="shared" si="3"/>
        <v>0</v>
      </c>
    </row>
    <row r="75" spans="1:112" s="551" customFormat="1" x14ac:dyDescent="0.25">
      <c r="A75" s="675" t="s">
        <v>168</v>
      </c>
      <c r="B75" s="4" t="s">
        <v>168</v>
      </c>
      <c r="C75" s="1" t="s">
        <v>169</v>
      </c>
      <c r="D75" s="6"/>
      <c r="E75" s="8">
        <v>113229.20000000001</v>
      </c>
      <c r="F75" s="6">
        <v>0</v>
      </c>
      <c r="G75" s="8"/>
      <c r="H75" s="6"/>
      <c r="I75" s="8"/>
      <c r="J75" s="6"/>
      <c r="K75" s="8">
        <v>228923.09999999998</v>
      </c>
      <c r="L75" s="6"/>
      <c r="M75" s="8"/>
      <c r="N75" s="8"/>
      <c r="O75" s="6"/>
      <c r="P75" s="8"/>
      <c r="Q75" s="6"/>
      <c r="R75" s="8">
        <v>47063.100000000006</v>
      </c>
      <c r="S75" s="6"/>
      <c r="T75" s="8"/>
      <c r="U75" s="6"/>
      <c r="V75" s="8">
        <v>59768.80000000001</v>
      </c>
      <c r="W75" s="6"/>
      <c r="X75" s="8">
        <v>558604.79999999993</v>
      </c>
      <c r="Y75" s="6">
        <v>94714.2</v>
      </c>
      <c r="Z75" s="8">
        <v>75446.8</v>
      </c>
      <c r="AA75" s="8"/>
      <c r="AB75" s="6"/>
      <c r="AC75" s="8"/>
      <c r="AD75" s="6"/>
      <c r="AE75" s="8"/>
      <c r="AF75" s="6"/>
      <c r="AG75" s="8">
        <v>763689.40000000014</v>
      </c>
      <c r="AH75" s="6">
        <v>93475.199999999997</v>
      </c>
      <c r="AI75" s="8"/>
      <c r="AJ75" s="6">
        <v>371500.1</v>
      </c>
      <c r="AK75" s="8"/>
      <c r="AL75" s="6">
        <v>96465.599999999991</v>
      </c>
      <c r="AM75" s="8">
        <v>89016.9</v>
      </c>
      <c r="AN75" s="8"/>
      <c r="AO75" s="8"/>
      <c r="AP75" s="6"/>
      <c r="AQ75" s="8"/>
      <c r="AR75" s="8"/>
      <c r="AS75" s="6"/>
      <c r="AT75" s="8">
        <v>286205.5</v>
      </c>
      <c r="AU75" s="8"/>
      <c r="AV75" s="6">
        <v>55050.499999999993</v>
      </c>
      <c r="AW75" s="6"/>
      <c r="AX75" s="8"/>
      <c r="AY75" s="6"/>
      <c r="AZ75" s="8"/>
      <c r="BA75" s="6">
        <v>345659.00780000002</v>
      </c>
      <c r="BB75" s="8">
        <v>290304.68220000016</v>
      </c>
      <c r="BC75" s="6"/>
      <c r="BD75" s="8">
        <v>93872.099999999991</v>
      </c>
      <c r="BE75" s="6">
        <v>157283.70000000001</v>
      </c>
      <c r="BF75" s="6"/>
      <c r="BG75" s="6"/>
      <c r="BH75" s="8"/>
      <c r="BI75" s="6"/>
      <c r="BJ75" s="8">
        <v>95096.959999999919</v>
      </c>
      <c r="BK75" s="6"/>
      <c r="BL75" s="8">
        <v>666060.99</v>
      </c>
      <c r="BM75" s="6">
        <v>156321.50000000003</v>
      </c>
      <c r="BN75" s="8"/>
      <c r="BO75" s="8"/>
      <c r="BP75" s="6"/>
      <c r="BQ75" s="6"/>
      <c r="BR75" s="8"/>
      <c r="BS75" s="6"/>
      <c r="BT75" s="8"/>
      <c r="BU75" s="8"/>
      <c r="BV75" s="8"/>
      <c r="BW75" s="8"/>
      <c r="BX75" s="8"/>
      <c r="BY75" s="8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8">
        <v>143929.40000000002</v>
      </c>
      <c r="CK75" s="8"/>
      <c r="CL75" s="8"/>
      <c r="CM75" s="6"/>
      <c r="CN75" s="6"/>
      <c r="CO75" s="8"/>
      <c r="CP75" s="6"/>
      <c r="CQ75" s="8"/>
      <c r="CR75" s="6">
        <v>20600</v>
      </c>
      <c r="CS75" s="8"/>
      <c r="CT75" s="6"/>
      <c r="CU75" s="8"/>
      <c r="CV75" s="6"/>
      <c r="CW75" s="8"/>
      <c r="CX75" s="8"/>
      <c r="CY75" s="8"/>
      <c r="CZ75" s="8"/>
      <c r="DA75" s="8"/>
      <c r="DB75" s="8"/>
      <c r="DC75" s="6">
        <v>149685</v>
      </c>
      <c r="DD75" s="8"/>
      <c r="DE75" s="6"/>
      <c r="DF75" s="9">
        <f t="shared" si="2"/>
        <v>5051966.540000001</v>
      </c>
      <c r="DG75" s="9">
        <v>5051966.5399999991</v>
      </c>
      <c r="DH75" s="9">
        <f t="shared" si="3"/>
        <v>0</v>
      </c>
    </row>
    <row r="76" spans="1:112" s="551" customFormat="1" x14ac:dyDescent="0.25">
      <c r="A76" s="208" t="s">
        <v>1758</v>
      </c>
      <c r="B76" s="4" t="s">
        <v>1758</v>
      </c>
      <c r="C76" s="1" t="s">
        <v>1759</v>
      </c>
      <c r="D76" s="6"/>
      <c r="E76" s="8">
        <v>418617</v>
      </c>
      <c r="F76" s="6"/>
      <c r="G76" s="8">
        <v>53192</v>
      </c>
      <c r="H76" s="6"/>
      <c r="I76" s="8"/>
      <c r="J76" s="6"/>
      <c r="K76" s="8">
        <v>129543</v>
      </c>
      <c r="L76" s="6"/>
      <c r="M76" s="8"/>
      <c r="N76" s="8"/>
      <c r="O76" s="6"/>
      <c r="P76" s="8"/>
      <c r="Q76" s="6"/>
      <c r="R76" s="8"/>
      <c r="S76" s="6"/>
      <c r="T76" s="8"/>
      <c r="U76" s="6"/>
      <c r="V76" s="8"/>
      <c r="W76" s="6">
        <v>19135</v>
      </c>
      <c r="X76" s="8"/>
      <c r="Y76" s="6"/>
      <c r="Z76" s="8"/>
      <c r="AA76" s="8"/>
      <c r="AB76" s="6"/>
      <c r="AC76" s="8"/>
      <c r="AD76" s="6"/>
      <c r="AE76" s="8"/>
      <c r="AF76" s="6"/>
      <c r="AG76" s="8"/>
      <c r="AH76" s="6"/>
      <c r="AI76" s="8"/>
      <c r="AJ76" s="6"/>
      <c r="AK76" s="8"/>
      <c r="AL76" s="6"/>
      <c r="AM76" s="8"/>
      <c r="AN76" s="8"/>
      <c r="AO76" s="8"/>
      <c r="AP76" s="6"/>
      <c r="AQ76" s="8"/>
      <c r="AR76" s="8"/>
      <c r="AS76" s="6"/>
      <c r="AT76" s="8"/>
      <c r="AU76" s="8"/>
      <c r="AV76" s="6"/>
      <c r="AW76" s="6"/>
      <c r="AX76" s="8"/>
      <c r="AY76" s="6"/>
      <c r="AZ76" s="8"/>
      <c r="BA76" s="6">
        <v>8432.1</v>
      </c>
      <c r="BB76" s="8"/>
      <c r="BC76" s="6"/>
      <c r="BD76" s="8"/>
      <c r="BE76" s="6"/>
      <c r="BF76" s="6"/>
      <c r="BG76" s="6"/>
      <c r="BH76" s="8"/>
      <c r="BI76" s="6"/>
      <c r="BJ76" s="8"/>
      <c r="BK76" s="6"/>
      <c r="BL76" s="8">
        <v>28609</v>
      </c>
      <c r="BM76" s="6">
        <v>227180.96999999991</v>
      </c>
      <c r="BN76" s="8"/>
      <c r="BO76" s="8"/>
      <c r="BP76" s="6">
        <v>108000</v>
      </c>
      <c r="BQ76" s="6"/>
      <c r="BR76" s="8"/>
      <c r="BS76" s="6">
        <v>27768.82</v>
      </c>
      <c r="BT76" s="8"/>
      <c r="BU76" s="8"/>
      <c r="BV76" s="8"/>
      <c r="BW76" s="8"/>
      <c r="BX76" s="8"/>
      <c r="BY76" s="8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8">
        <v>643726.39</v>
      </c>
      <c r="CK76" s="8"/>
      <c r="CL76" s="8"/>
      <c r="CM76" s="6">
        <v>3926.5</v>
      </c>
      <c r="CN76" s="6"/>
      <c r="CO76" s="8">
        <v>9928831.120000001</v>
      </c>
      <c r="CP76" s="6">
        <v>493659.71</v>
      </c>
      <c r="CQ76" s="8"/>
      <c r="CR76" s="6">
        <v>11145988.480000004</v>
      </c>
      <c r="CS76" s="8"/>
      <c r="CT76" s="6"/>
      <c r="CU76" s="8"/>
      <c r="CV76" s="6">
        <v>82457502.860000014</v>
      </c>
      <c r="CW76" s="8">
        <v>4081.88</v>
      </c>
      <c r="CX76" s="8"/>
      <c r="CY76" s="8"/>
      <c r="CZ76" s="8"/>
      <c r="DA76" s="8"/>
      <c r="DB76" s="8"/>
      <c r="DC76" s="6"/>
      <c r="DD76" s="8"/>
      <c r="DE76" s="6"/>
      <c r="DF76" s="9">
        <f t="shared" si="2"/>
        <v>105698194.83000001</v>
      </c>
      <c r="DG76" s="9">
        <v>105698194.83</v>
      </c>
      <c r="DH76" s="9">
        <f t="shared" si="3"/>
        <v>0</v>
      </c>
    </row>
    <row r="77" spans="1:112" x14ac:dyDescent="0.25">
      <c r="A77" s="4" t="s">
        <v>856</v>
      </c>
      <c r="B77" s="4" t="s">
        <v>856</v>
      </c>
      <c r="C77" s="1" t="s">
        <v>914</v>
      </c>
      <c r="N77" s="8"/>
      <c r="O77" s="6"/>
      <c r="P77" s="8"/>
      <c r="Q77" s="6"/>
      <c r="AA77" s="8"/>
      <c r="AB77" s="6"/>
      <c r="AC77" s="8"/>
      <c r="AD77" s="6"/>
      <c r="AE77" s="8"/>
      <c r="AF77" s="6"/>
      <c r="AG77" s="8"/>
      <c r="AH77" s="6"/>
      <c r="AI77" s="8"/>
      <c r="AJ77" s="6"/>
      <c r="AK77" s="8"/>
      <c r="AL77" s="6"/>
      <c r="AM77" s="8"/>
      <c r="AO77" s="8"/>
      <c r="AR77" s="8"/>
      <c r="AS77" s="6"/>
      <c r="AT77" s="8"/>
      <c r="AW77" s="6"/>
      <c r="AX77" s="8"/>
      <c r="BA77" s="6">
        <v>904691</v>
      </c>
      <c r="BF77" s="6"/>
      <c r="BK77" s="6"/>
      <c r="BL77" s="8"/>
      <c r="BM77" s="6"/>
      <c r="BN77" s="8"/>
      <c r="BO77" s="8"/>
      <c r="BP77" s="6"/>
      <c r="BS77" s="6"/>
      <c r="BT77" s="8"/>
      <c r="BU77" s="8"/>
      <c r="BV77" s="8"/>
      <c r="BW77" s="8"/>
      <c r="BX77" s="8"/>
      <c r="BY77" s="8"/>
      <c r="CA77" s="6"/>
      <c r="CK77" s="8"/>
      <c r="CP77" s="6"/>
      <c r="CX77" s="8"/>
      <c r="CZ77" s="8"/>
      <c r="DA77" s="8"/>
      <c r="DB77" s="8"/>
      <c r="DC77" s="6"/>
      <c r="DF77" s="9">
        <f t="shared" si="2"/>
        <v>904691</v>
      </c>
      <c r="DG77" s="9">
        <v>904691</v>
      </c>
      <c r="DH77" s="9">
        <f t="shared" si="3"/>
        <v>0</v>
      </c>
    </row>
    <row r="78" spans="1:112" x14ac:dyDescent="0.25">
      <c r="A78" s="4" t="s">
        <v>857</v>
      </c>
      <c r="B78" s="4" t="s">
        <v>857</v>
      </c>
      <c r="C78" s="1" t="s">
        <v>915</v>
      </c>
      <c r="E78" s="8">
        <v>36846</v>
      </c>
      <c r="F78" s="6">
        <v>-3.637978807091713E-12</v>
      </c>
      <c r="G78" s="8">
        <v>32711</v>
      </c>
      <c r="K78" s="8">
        <v>31040</v>
      </c>
      <c r="N78" s="8"/>
      <c r="O78" s="6">
        <v>534</v>
      </c>
      <c r="P78" s="8"/>
      <c r="Q78" s="6">
        <v>5800</v>
      </c>
      <c r="R78" s="8">
        <v>9475</v>
      </c>
      <c r="V78" s="8">
        <v>2314</v>
      </c>
      <c r="AA78" s="8"/>
      <c r="AB78" s="6"/>
      <c r="AC78" s="8">
        <v>356</v>
      </c>
      <c r="AD78" s="6"/>
      <c r="AE78" s="8"/>
      <c r="AF78" s="6"/>
      <c r="AG78" s="8">
        <v>23250</v>
      </c>
      <c r="AH78" s="6">
        <v>1602</v>
      </c>
      <c r="AI78" s="8"/>
      <c r="AJ78" s="6">
        <v>356</v>
      </c>
      <c r="AK78" s="8">
        <v>2314</v>
      </c>
      <c r="AL78" s="6">
        <v>890</v>
      </c>
      <c r="AM78" s="8">
        <v>1602</v>
      </c>
      <c r="AO78" s="8"/>
      <c r="AR78" s="8"/>
      <c r="AS78" s="6"/>
      <c r="AT78" s="8"/>
      <c r="AV78" s="6">
        <v>7702.52</v>
      </c>
      <c r="AW78" s="6"/>
      <c r="AX78" s="8"/>
      <c r="BA78" s="6">
        <v>6308961</v>
      </c>
      <c r="BB78" s="8">
        <v>11232</v>
      </c>
      <c r="BC78" s="6">
        <v>356</v>
      </c>
      <c r="BD78" s="8">
        <v>1424</v>
      </c>
      <c r="BE78" s="6">
        <v>2492.0000000000005</v>
      </c>
      <c r="BF78" s="6"/>
      <c r="BJ78" s="8">
        <v>14525.900000000001</v>
      </c>
      <c r="BK78" s="6"/>
      <c r="BL78" s="8">
        <v>75948.62</v>
      </c>
      <c r="BM78" s="6">
        <v>7050</v>
      </c>
      <c r="BN78" s="8"/>
      <c r="BO78" s="8"/>
      <c r="BP78" s="6"/>
      <c r="BS78" s="6"/>
      <c r="BT78" s="8"/>
      <c r="BU78" s="8"/>
      <c r="BV78" s="8"/>
      <c r="BW78" s="8"/>
      <c r="BX78" s="8"/>
      <c r="BY78" s="8"/>
      <c r="CA78" s="6"/>
      <c r="CJ78" s="8">
        <v>7702.5199999997858</v>
      </c>
      <c r="CK78" s="8"/>
      <c r="CM78" s="6">
        <v>16977</v>
      </c>
      <c r="CO78" s="8">
        <v>32385.239999999998</v>
      </c>
      <c r="CP78" s="6"/>
      <c r="CR78" s="6">
        <v>282800.74</v>
      </c>
      <c r="CV78" s="6">
        <v>11400</v>
      </c>
      <c r="CX78" s="8"/>
      <c r="CZ78" s="8"/>
      <c r="DA78" s="8"/>
      <c r="DB78" s="8"/>
      <c r="DC78" s="6">
        <v>195000</v>
      </c>
      <c r="DF78" s="9">
        <f t="shared" si="2"/>
        <v>7125047.54</v>
      </c>
      <c r="DG78" s="9">
        <v>7125047.54</v>
      </c>
      <c r="DH78" s="9">
        <f t="shared" si="3"/>
        <v>0</v>
      </c>
    </row>
    <row r="79" spans="1:112" x14ac:dyDescent="0.25">
      <c r="A79" s="4" t="s">
        <v>858</v>
      </c>
      <c r="B79" s="4" t="s">
        <v>858</v>
      </c>
      <c r="C79" s="1" t="s">
        <v>916</v>
      </c>
      <c r="K79" s="8">
        <v>5166</v>
      </c>
      <c r="N79" s="8"/>
      <c r="O79" s="6"/>
      <c r="P79" s="8"/>
      <c r="Q79" s="6"/>
      <c r="AA79" s="8"/>
      <c r="AB79" s="6"/>
      <c r="AC79" s="8"/>
      <c r="AD79" s="6"/>
      <c r="AE79" s="8"/>
      <c r="AF79" s="6"/>
      <c r="AG79" s="8"/>
      <c r="AH79" s="6"/>
      <c r="AI79" s="8"/>
      <c r="AJ79" s="6"/>
      <c r="AK79" s="8"/>
      <c r="AL79" s="6"/>
      <c r="AM79" s="8"/>
      <c r="AO79" s="8"/>
      <c r="AR79" s="8"/>
      <c r="AS79" s="6"/>
      <c r="AT79" s="8"/>
      <c r="AW79" s="6"/>
      <c r="AX79" s="8"/>
      <c r="BA79" s="6"/>
      <c r="BF79" s="6"/>
      <c r="BK79" s="6"/>
      <c r="BL79" s="8"/>
      <c r="BM79" s="6"/>
      <c r="BN79" s="8"/>
      <c r="BO79" s="8"/>
      <c r="BP79" s="6"/>
      <c r="BS79" s="6"/>
      <c r="BT79" s="8"/>
      <c r="BU79" s="8"/>
      <c r="BV79" s="8"/>
      <c r="BW79" s="8"/>
      <c r="BX79" s="8"/>
      <c r="BY79" s="8"/>
      <c r="CA79" s="6"/>
      <c r="CK79" s="8"/>
      <c r="CP79" s="6"/>
      <c r="CX79" s="8"/>
      <c r="CZ79" s="8"/>
      <c r="DA79" s="8"/>
      <c r="DB79" s="8"/>
      <c r="DC79" s="6"/>
      <c r="DF79" s="9">
        <f t="shared" si="2"/>
        <v>5166</v>
      </c>
      <c r="DG79" s="9">
        <v>5166</v>
      </c>
      <c r="DH79" s="9">
        <f t="shared" si="3"/>
        <v>0</v>
      </c>
    </row>
    <row r="80" spans="1:112" x14ac:dyDescent="0.25">
      <c r="A80" s="4" t="s">
        <v>859</v>
      </c>
      <c r="B80" s="4" t="s">
        <v>859</v>
      </c>
      <c r="C80" s="1" t="s">
        <v>917</v>
      </c>
      <c r="E80" s="8">
        <v>157674.76</v>
      </c>
      <c r="F80" s="6">
        <v>123239.99999999997</v>
      </c>
      <c r="G80" s="8">
        <v>159775</v>
      </c>
      <c r="K80" s="8">
        <v>588882.44999999995</v>
      </c>
      <c r="N80" s="8"/>
      <c r="O80" s="6">
        <v>4197.87</v>
      </c>
      <c r="P80" s="8"/>
      <c r="Q80" s="6"/>
      <c r="R80" s="8">
        <v>24938.5</v>
      </c>
      <c r="V80" s="8">
        <v>18190.77</v>
      </c>
      <c r="W80" s="6">
        <v>75996</v>
      </c>
      <c r="AA80" s="8"/>
      <c r="AB80" s="6"/>
      <c r="AC80" s="8">
        <v>2798.58</v>
      </c>
      <c r="AD80" s="6"/>
      <c r="AE80" s="8"/>
      <c r="AF80" s="6"/>
      <c r="AG80" s="8">
        <v>61171.5</v>
      </c>
      <c r="AH80" s="6">
        <v>12593.61</v>
      </c>
      <c r="AI80" s="8"/>
      <c r="AJ80" s="6">
        <v>2798.58</v>
      </c>
      <c r="AK80" s="8">
        <v>18190.77</v>
      </c>
      <c r="AL80" s="6">
        <v>6996.4500000000007</v>
      </c>
      <c r="AM80" s="8">
        <v>12593.61</v>
      </c>
      <c r="AO80" s="8"/>
      <c r="AR80" s="8"/>
      <c r="AS80" s="6"/>
      <c r="AT80" s="8"/>
      <c r="AW80" s="6"/>
      <c r="AX80" s="8"/>
      <c r="BA80" s="6">
        <v>1643762.1999999997</v>
      </c>
      <c r="BB80" s="8">
        <v>13887.12</v>
      </c>
      <c r="BC80" s="6">
        <v>2798.58</v>
      </c>
      <c r="BD80" s="8">
        <v>11194.32</v>
      </c>
      <c r="BE80" s="6">
        <v>19590.060000000001</v>
      </c>
      <c r="BF80" s="6"/>
      <c r="BJ80" s="8">
        <v>61910.67</v>
      </c>
      <c r="BK80" s="6"/>
      <c r="BL80" s="8">
        <v>414328.33</v>
      </c>
      <c r="BM80" s="6">
        <v>46999</v>
      </c>
      <c r="BN80" s="8">
        <v>59483</v>
      </c>
      <c r="BO80" s="8"/>
      <c r="BP80" s="6"/>
      <c r="BS80" s="6"/>
      <c r="BT80" s="8"/>
      <c r="BU80" s="8"/>
      <c r="BV80" s="8"/>
      <c r="BW80" s="8"/>
      <c r="BX80" s="8"/>
      <c r="BY80" s="8"/>
      <c r="CA80" s="6"/>
      <c r="CJ80" s="8">
        <v>3937</v>
      </c>
      <c r="CK80" s="8"/>
      <c r="CO80" s="8">
        <v>1445748</v>
      </c>
      <c r="CP80" s="6">
        <v>2132332.25</v>
      </c>
      <c r="CR80" s="6">
        <v>953426</v>
      </c>
      <c r="CV80" s="6">
        <v>2833420</v>
      </c>
      <c r="CX80" s="8"/>
      <c r="CZ80" s="8"/>
      <c r="DA80" s="8"/>
      <c r="DB80" s="8"/>
      <c r="DC80" s="6">
        <v>2306547</v>
      </c>
      <c r="DD80" s="8">
        <v>1446500</v>
      </c>
      <c r="DF80" s="9">
        <f t="shared" si="2"/>
        <v>14665901.98</v>
      </c>
      <c r="DG80" s="9">
        <v>14665901.979999997</v>
      </c>
      <c r="DH80" s="9">
        <f t="shared" si="3"/>
        <v>0</v>
      </c>
    </row>
    <row r="81" spans="1:112" x14ac:dyDescent="0.25">
      <c r="A81" s="4" t="s">
        <v>170</v>
      </c>
      <c r="B81" s="4" t="s">
        <v>170</v>
      </c>
      <c r="C81" s="1" t="s">
        <v>171</v>
      </c>
      <c r="E81" s="8">
        <v>148324</v>
      </c>
      <c r="K81" s="8">
        <v>302600</v>
      </c>
      <c r="N81" s="8"/>
      <c r="O81" s="6"/>
      <c r="P81" s="8"/>
      <c r="Q81" s="6"/>
      <c r="AA81" s="8"/>
      <c r="AB81" s="6"/>
      <c r="AC81" s="8"/>
      <c r="AD81" s="6"/>
      <c r="AE81" s="8"/>
      <c r="AF81" s="6"/>
      <c r="AG81" s="8">
        <v>27000</v>
      </c>
      <c r="AH81" s="6">
        <v>14000</v>
      </c>
      <c r="AI81" s="8"/>
      <c r="AJ81" s="6">
        <v>70000</v>
      </c>
      <c r="AK81" s="8">
        <v>984039</v>
      </c>
      <c r="AL81" s="6"/>
      <c r="AM81" s="8"/>
      <c r="AO81" s="8"/>
      <c r="AR81" s="8"/>
      <c r="AS81" s="6"/>
      <c r="AT81" s="8"/>
      <c r="AV81" s="6">
        <v>108487</v>
      </c>
      <c r="AW81" s="6"/>
      <c r="AX81" s="8"/>
      <c r="BA81" s="6">
        <v>227000</v>
      </c>
      <c r="BD81" s="8">
        <v>303000</v>
      </c>
      <c r="BE81" s="6">
        <v>339250</v>
      </c>
      <c r="BF81" s="6"/>
      <c r="BJ81" s="8">
        <v>675585</v>
      </c>
      <c r="BK81" s="6">
        <v>28325</v>
      </c>
      <c r="BL81" s="8">
        <v>6966290</v>
      </c>
      <c r="BM81" s="6"/>
      <c r="BN81" s="8"/>
      <c r="BO81" s="8"/>
      <c r="BP81" s="6"/>
      <c r="BS81" s="6"/>
      <c r="BT81" s="8"/>
      <c r="BU81" s="8"/>
      <c r="BV81" s="8"/>
      <c r="BW81" s="8"/>
      <c r="BX81" s="8"/>
      <c r="BY81" s="8"/>
      <c r="CA81" s="6"/>
      <c r="CJ81" s="8">
        <v>11250</v>
      </c>
      <c r="CK81" s="8"/>
      <c r="CP81" s="6"/>
      <c r="CR81" s="6">
        <v>17090</v>
      </c>
      <c r="CX81" s="8"/>
      <c r="CZ81" s="8"/>
      <c r="DA81" s="8"/>
      <c r="DB81" s="8"/>
      <c r="DC81" s="6">
        <v>80900</v>
      </c>
      <c r="DF81" s="9">
        <f t="shared" si="2"/>
        <v>10303140</v>
      </c>
      <c r="DG81" s="9">
        <v>10303140</v>
      </c>
      <c r="DH81" s="9">
        <f t="shared" si="3"/>
        <v>0</v>
      </c>
    </row>
    <row r="82" spans="1:112" x14ac:dyDescent="0.25">
      <c r="A82" s="4" t="s">
        <v>172</v>
      </c>
      <c r="B82" s="4" t="s">
        <v>172</v>
      </c>
      <c r="C82" s="1" t="s">
        <v>173</v>
      </c>
      <c r="N82" s="8"/>
      <c r="O82" s="6"/>
      <c r="P82" s="8"/>
      <c r="Q82" s="6"/>
      <c r="AA82" s="8"/>
      <c r="AB82" s="6"/>
      <c r="AC82" s="8"/>
      <c r="AD82" s="6"/>
      <c r="AE82" s="8"/>
      <c r="AF82" s="6"/>
      <c r="AG82" s="8"/>
      <c r="AH82" s="6"/>
      <c r="AI82" s="8"/>
      <c r="AJ82" s="6"/>
      <c r="AK82" s="8">
        <v>124050</v>
      </c>
      <c r="AL82" s="6"/>
      <c r="AM82" s="8"/>
      <c r="AO82" s="8"/>
      <c r="AR82" s="8"/>
      <c r="AS82" s="6"/>
      <c r="AT82" s="8"/>
      <c r="AW82" s="6"/>
      <c r="AX82" s="8"/>
      <c r="BA82" s="6"/>
      <c r="BF82" s="6"/>
      <c r="BK82" s="6"/>
      <c r="BL82" s="8">
        <v>9030</v>
      </c>
      <c r="BM82" s="6"/>
      <c r="BN82" s="8"/>
      <c r="BO82" s="8"/>
      <c r="BP82" s="6"/>
      <c r="BS82" s="6"/>
      <c r="BT82" s="8"/>
      <c r="BU82" s="8"/>
      <c r="BV82" s="8"/>
      <c r="BW82" s="8"/>
      <c r="BX82" s="8"/>
      <c r="BY82" s="8"/>
      <c r="CA82" s="6"/>
      <c r="CK82" s="8"/>
      <c r="CP82" s="6"/>
      <c r="CX82" s="8"/>
      <c r="CZ82" s="8"/>
      <c r="DA82" s="8"/>
      <c r="DB82" s="8"/>
      <c r="DC82" s="6"/>
      <c r="DF82" s="9">
        <f t="shared" si="2"/>
        <v>133080</v>
      </c>
      <c r="DG82" s="9">
        <v>133080</v>
      </c>
      <c r="DH82" s="9">
        <f t="shared" si="3"/>
        <v>0</v>
      </c>
    </row>
    <row r="83" spans="1:112" x14ac:dyDescent="0.25">
      <c r="A83" s="4" t="s">
        <v>174</v>
      </c>
      <c r="B83" s="4" t="s">
        <v>174</v>
      </c>
      <c r="C83" s="1" t="s">
        <v>175</v>
      </c>
      <c r="D83" s="6">
        <v>0</v>
      </c>
      <c r="E83" s="8">
        <v>22545</v>
      </c>
      <c r="N83" s="8"/>
      <c r="O83" s="6"/>
      <c r="P83" s="8"/>
      <c r="Q83" s="6"/>
      <c r="W83" s="6">
        <v>119887</v>
      </c>
      <c r="AA83" s="8"/>
      <c r="AB83" s="6"/>
      <c r="AC83" s="8"/>
      <c r="AD83" s="6"/>
      <c r="AE83" s="8"/>
      <c r="AF83" s="6">
        <v>7609</v>
      </c>
      <c r="AG83" s="8"/>
      <c r="AH83" s="6"/>
      <c r="AI83" s="8">
        <v>914563</v>
      </c>
      <c r="AJ83" s="6"/>
      <c r="AK83" s="8">
        <v>8832928</v>
      </c>
      <c r="AL83" s="6">
        <v>4788098</v>
      </c>
      <c r="AM83" s="8">
        <v>59620</v>
      </c>
      <c r="AO83" s="8"/>
      <c r="AR83" s="8"/>
      <c r="AS83" s="6"/>
      <c r="AT83" s="8"/>
      <c r="AW83" s="6"/>
      <c r="AX83" s="8"/>
      <c r="BA83" s="6"/>
      <c r="BD83" s="8">
        <v>281998</v>
      </c>
      <c r="BE83" s="6">
        <v>1632402</v>
      </c>
      <c r="BF83" s="6"/>
      <c r="BJ83" s="8">
        <v>15865205</v>
      </c>
      <c r="BK83" s="6"/>
      <c r="BL83" s="8">
        <v>76445742</v>
      </c>
      <c r="BM83" s="6"/>
      <c r="BN83" s="8"/>
      <c r="BO83" s="8"/>
      <c r="BP83" s="6"/>
      <c r="BS83" s="6"/>
      <c r="BT83" s="8"/>
      <c r="BU83" s="8"/>
      <c r="BV83" s="8"/>
      <c r="BW83" s="8"/>
      <c r="BX83" s="8"/>
      <c r="BY83" s="8"/>
      <c r="CA83" s="6"/>
      <c r="CK83" s="8"/>
      <c r="CP83" s="6"/>
      <c r="CX83" s="8"/>
      <c r="CZ83" s="8"/>
      <c r="DA83" s="8"/>
      <c r="DB83" s="8"/>
      <c r="DC83" s="6">
        <v>52010</v>
      </c>
      <c r="DF83" s="9">
        <f t="shared" si="2"/>
        <v>109022607</v>
      </c>
      <c r="DG83" s="9">
        <v>109022607</v>
      </c>
      <c r="DH83" s="9">
        <f t="shared" si="3"/>
        <v>0</v>
      </c>
    </row>
    <row r="84" spans="1:112" x14ac:dyDescent="0.25">
      <c r="A84" s="4" t="s">
        <v>176</v>
      </c>
      <c r="B84" s="4" t="s">
        <v>176</v>
      </c>
      <c r="C84" s="1" t="s">
        <v>177</v>
      </c>
      <c r="D84" s="6">
        <v>0</v>
      </c>
      <c r="E84" s="8">
        <v>10228635</v>
      </c>
      <c r="L84" s="6">
        <v>3796</v>
      </c>
      <c r="N84" s="8"/>
      <c r="O84" s="6"/>
      <c r="P84" s="8"/>
      <c r="Q84" s="6"/>
      <c r="AA84" s="8"/>
      <c r="AB84" s="6"/>
      <c r="AC84" s="8"/>
      <c r="AD84" s="6"/>
      <c r="AE84" s="8"/>
      <c r="AF84" s="6"/>
      <c r="AG84" s="8"/>
      <c r="AH84" s="6"/>
      <c r="AI84" s="8"/>
      <c r="AJ84" s="6"/>
      <c r="AK84" s="8"/>
      <c r="AL84" s="6"/>
      <c r="AM84" s="8"/>
      <c r="AO84" s="8"/>
      <c r="AR84" s="8"/>
      <c r="AS84" s="6"/>
      <c r="AT84" s="8"/>
      <c r="AW84" s="6"/>
      <c r="AX84" s="8"/>
      <c r="BA84" s="6"/>
      <c r="BE84" s="6">
        <v>572</v>
      </c>
      <c r="BF84" s="6"/>
      <c r="BK84" s="6"/>
      <c r="BL84" s="8"/>
      <c r="BM84" s="6"/>
      <c r="BN84" s="8"/>
      <c r="BO84" s="8"/>
      <c r="BP84" s="6"/>
      <c r="BS84" s="6"/>
      <c r="BT84" s="8"/>
      <c r="BU84" s="8"/>
      <c r="BV84" s="8"/>
      <c r="BW84" s="8"/>
      <c r="BX84" s="8"/>
      <c r="BY84" s="8"/>
      <c r="CA84" s="6"/>
      <c r="CK84" s="8"/>
      <c r="CP84" s="6"/>
      <c r="CX84" s="8"/>
      <c r="CZ84" s="8"/>
      <c r="DA84" s="8"/>
      <c r="DB84" s="8"/>
      <c r="DC84" s="6"/>
      <c r="DF84" s="9">
        <f t="shared" si="2"/>
        <v>10233003</v>
      </c>
      <c r="DG84" s="9">
        <v>10233003</v>
      </c>
      <c r="DH84" s="9">
        <f t="shared" si="3"/>
        <v>0</v>
      </c>
    </row>
    <row r="85" spans="1:112" x14ac:dyDescent="0.25">
      <c r="A85" s="4" t="s">
        <v>178</v>
      </c>
      <c r="B85" s="4" t="s">
        <v>178</v>
      </c>
      <c r="C85" s="1" t="s">
        <v>179</v>
      </c>
      <c r="E85" s="8">
        <v>615173.32000000007</v>
      </c>
      <c r="K85" s="8">
        <v>122604</v>
      </c>
      <c r="N85" s="8"/>
      <c r="O85" s="6"/>
      <c r="P85" s="8"/>
      <c r="Q85" s="6"/>
      <c r="W85" s="6">
        <v>137124</v>
      </c>
      <c r="AA85" s="8"/>
      <c r="AB85" s="6"/>
      <c r="AC85" s="8"/>
      <c r="AD85" s="6"/>
      <c r="AE85" s="8"/>
      <c r="AF85" s="6"/>
      <c r="AG85" s="8"/>
      <c r="AH85" s="6"/>
      <c r="AI85" s="8"/>
      <c r="AJ85" s="6"/>
      <c r="AK85" s="8"/>
      <c r="AL85" s="6"/>
      <c r="AM85" s="8"/>
      <c r="AO85" s="8"/>
      <c r="AR85" s="8"/>
      <c r="AS85" s="6"/>
      <c r="AT85" s="8"/>
      <c r="AW85" s="6"/>
      <c r="AX85" s="8"/>
      <c r="BA85" s="6"/>
      <c r="BF85" s="6"/>
      <c r="BJ85" s="8">
        <v>1025640.18</v>
      </c>
      <c r="BK85" s="6">
        <v>1943.5</v>
      </c>
      <c r="BL85" s="8">
        <v>410326.80000000005</v>
      </c>
      <c r="BM85" s="6">
        <v>318732</v>
      </c>
      <c r="BN85" s="8"/>
      <c r="BO85" s="8"/>
      <c r="BP85" s="6"/>
      <c r="BS85" s="6"/>
      <c r="BT85" s="8"/>
      <c r="BU85" s="8"/>
      <c r="BV85" s="8"/>
      <c r="BW85" s="8"/>
      <c r="BX85" s="8"/>
      <c r="BY85" s="8"/>
      <c r="CA85" s="6"/>
      <c r="CJ85" s="8">
        <v>382795</v>
      </c>
      <c r="CK85" s="8"/>
      <c r="CO85" s="8">
        <v>564949</v>
      </c>
      <c r="CP85" s="6"/>
      <c r="CR85" s="6">
        <v>2265596</v>
      </c>
      <c r="CV85" s="6">
        <v>262236</v>
      </c>
      <c r="CX85" s="8"/>
      <c r="CZ85" s="8"/>
      <c r="DA85" s="8"/>
      <c r="DB85" s="8"/>
      <c r="DC85" s="6"/>
      <c r="DF85" s="9">
        <f t="shared" si="2"/>
        <v>6107119.7999999998</v>
      </c>
      <c r="DG85" s="9">
        <v>6107119.7999999998</v>
      </c>
      <c r="DH85" s="9">
        <f t="shared" si="3"/>
        <v>0</v>
      </c>
    </row>
    <row r="86" spans="1:112" x14ac:dyDescent="0.25">
      <c r="A86" s="4" t="s">
        <v>180</v>
      </c>
      <c r="B86" s="4" t="s">
        <v>180</v>
      </c>
      <c r="C86" s="1" t="s">
        <v>181</v>
      </c>
      <c r="E86" s="8">
        <v>220507.88</v>
      </c>
      <c r="K86" s="8">
        <v>161858.81000000052</v>
      </c>
      <c r="N86" s="8"/>
      <c r="O86" s="6"/>
      <c r="P86" s="8"/>
      <c r="Q86" s="6"/>
      <c r="AA86" s="8"/>
      <c r="AB86" s="6"/>
      <c r="AC86" s="8"/>
      <c r="AD86" s="6"/>
      <c r="AE86" s="8"/>
      <c r="AF86" s="6"/>
      <c r="AG86" s="8">
        <v>55137.599999999999</v>
      </c>
      <c r="AH86" s="6"/>
      <c r="AI86" s="8"/>
      <c r="AJ86" s="6"/>
      <c r="AK86" s="8"/>
      <c r="AL86" s="6"/>
      <c r="AM86" s="8"/>
      <c r="AO86" s="8"/>
      <c r="AR86" s="8"/>
      <c r="AS86" s="6"/>
      <c r="AT86" s="8"/>
      <c r="AV86" s="6">
        <v>1125310.2</v>
      </c>
      <c r="AW86" s="6"/>
      <c r="AX86" s="8"/>
      <c r="BA86" s="6"/>
      <c r="BF86" s="6"/>
      <c r="BK86" s="6"/>
      <c r="BL86" s="8"/>
      <c r="BM86" s="6"/>
      <c r="BN86" s="8"/>
      <c r="BO86" s="8"/>
      <c r="BP86" s="6"/>
      <c r="BS86" s="6"/>
      <c r="BT86" s="8"/>
      <c r="BU86" s="8"/>
      <c r="BV86" s="8"/>
      <c r="BW86" s="8"/>
      <c r="BX86" s="8"/>
      <c r="BY86" s="8"/>
      <c r="CA86" s="6"/>
      <c r="CK86" s="8"/>
      <c r="CP86" s="6"/>
      <c r="CX86" s="8"/>
      <c r="CZ86" s="8"/>
      <c r="DA86" s="8"/>
      <c r="DB86" s="8"/>
      <c r="DC86" s="6"/>
      <c r="DF86" s="9">
        <f t="shared" si="2"/>
        <v>1562814.4900000005</v>
      </c>
      <c r="DG86" s="9">
        <v>1562814.4900000007</v>
      </c>
      <c r="DH86" s="9">
        <f t="shared" si="3"/>
        <v>0</v>
      </c>
    </row>
    <row r="87" spans="1:112" x14ac:dyDescent="0.25">
      <c r="A87" s="4" t="s">
        <v>182</v>
      </c>
      <c r="B87" s="4" t="s">
        <v>182</v>
      </c>
      <c r="C87" s="1" t="s">
        <v>183</v>
      </c>
      <c r="E87" s="8">
        <v>1937432.8399999999</v>
      </c>
      <c r="N87" s="8"/>
      <c r="O87" s="6"/>
      <c r="P87" s="8"/>
      <c r="Q87" s="6"/>
      <c r="AA87" s="8"/>
      <c r="AB87" s="6"/>
      <c r="AC87" s="8"/>
      <c r="AD87" s="6"/>
      <c r="AE87" s="8"/>
      <c r="AF87" s="6"/>
      <c r="AG87" s="8"/>
      <c r="AH87" s="6"/>
      <c r="AI87" s="8"/>
      <c r="AJ87" s="6"/>
      <c r="AK87" s="8"/>
      <c r="AL87" s="6"/>
      <c r="AM87" s="8"/>
      <c r="AO87" s="8"/>
      <c r="AR87" s="8"/>
      <c r="AS87" s="6"/>
      <c r="AT87" s="8"/>
      <c r="AW87" s="6"/>
      <c r="AX87" s="8"/>
      <c r="BA87" s="6"/>
      <c r="BF87" s="6"/>
      <c r="BK87" s="6"/>
      <c r="BL87" s="8"/>
      <c r="BM87" s="6"/>
      <c r="BN87" s="8"/>
      <c r="BO87" s="8"/>
      <c r="BP87" s="6"/>
      <c r="BS87" s="6"/>
      <c r="BT87" s="8"/>
      <c r="BU87" s="8"/>
      <c r="BV87" s="8"/>
      <c r="BW87" s="8"/>
      <c r="BX87" s="8"/>
      <c r="BY87" s="8"/>
      <c r="CA87" s="6"/>
      <c r="CK87" s="8"/>
      <c r="CP87" s="6"/>
      <c r="CX87" s="8"/>
      <c r="CZ87" s="8"/>
      <c r="DA87" s="8"/>
      <c r="DB87" s="8"/>
      <c r="DC87" s="6"/>
      <c r="DF87" s="9">
        <f t="shared" si="2"/>
        <v>1937432.8399999999</v>
      </c>
      <c r="DG87" s="9">
        <v>1937432.8399999999</v>
      </c>
      <c r="DH87" s="9">
        <f t="shared" si="3"/>
        <v>0</v>
      </c>
    </row>
    <row r="88" spans="1:112" x14ac:dyDescent="0.25">
      <c r="A88" s="4" t="s">
        <v>184</v>
      </c>
      <c r="B88" s="4" t="s">
        <v>184</v>
      </c>
      <c r="C88" s="1" t="s">
        <v>185</v>
      </c>
      <c r="E88" s="8">
        <v>35378432</v>
      </c>
      <c r="I88" s="8">
        <v>16194303</v>
      </c>
      <c r="K88" s="8">
        <v>26810717</v>
      </c>
      <c r="N88" s="8"/>
      <c r="O88" s="6">
        <v>15896089</v>
      </c>
      <c r="P88" s="8"/>
      <c r="Q88" s="6"/>
      <c r="R88" s="8">
        <v>22404888</v>
      </c>
      <c r="V88" s="8">
        <v>27778968</v>
      </c>
      <c r="W88" s="6">
        <v>22287051</v>
      </c>
      <c r="X88" s="8">
        <v>59919982</v>
      </c>
      <c r="Y88" s="6">
        <v>16807109</v>
      </c>
      <c r="Z88" s="8">
        <v>13729610</v>
      </c>
      <c r="AA88" s="8"/>
      <c r="AB88" s="6"/>
      <c r="AC88" s="8"/>
      <c r="AD88" s="6"/>
      <c r="AE88" s="8"/>
      <c r="AF88" s="6"/>
      <c r="AG88" s="8">
        <v>57842411</v>
      </c>
      <c r="AH88" s="6">
        <v>24135499</v>
      </c>
      <c r="AI88" s="8"/>
      <c r="AJ88" s="6">
        <v>6544252</v>
      </c>
      <c r="AK88" s="8">
        <v>46903656</v>
      </c>
      <c r="AL88" s="6">
        <v>20080107</v>
      </c>
      <c r="AM88" s="8">
        <v>21935929</v>
      </c>
      <c r="AO88" s="8"/>
      <c r="AP88" s="6">
        <v>11419280</v>
      </c>
      <c r="AR88" s="8"/>
      <c r="AS88" s="6"/>
      <c r="AT88" s="8">
        <v>32991994</v>
      </c>
      <c r="AV88" s="6">
        <v>19257013</v>
      </c>
      <c r="AW88" s="6"/>
      <c r="AX88" s="8">
        <v>294286</v>
      </c>
      <c r="BA88" s="6">
        <v>84923524</v>
      </c>
      <c r="BB88" s="8">
        <v>49785189</v>
      </c>
      <c r="BC88" s="6">
        <v>6725688</v>
      </c>
      <c r="BD88" s="8">
        <v>19925260</v>
      </c>
      <c r="BE88" s="6">
        <v>25745753</v>
      </c>
      <c r="BF88" s="6"/>
      <c r="BH88" s="8">
        <v>79504950</v>
      </c>
      <c r="BI88" s="6">
        <v>16858526</v>
      </c>
      <c r="BJ88" s="8">
        <v>54767196</v>
      </c>
      <c r="BK88" s="6"/>
      <c r="BL88" s="8">
        <v>-54767196</v>
      </c>
      <c r="BM88" s="6">
        <v>47679142</v>
      </c>
      <c r="BN88" s="8">
        <v>21798455</v>
      </c>
      <c r="BO88" s="8"/>
      <c r="BP88" s="6"/>
      <c r="BS88" s="6"/>
      <c r="BT88" s="8"/>
      <c r="BU88" s="8"/>
      <c r="BV88" s="8"/>
      <c r="BW88" s="8"/>
      <c r="BX88" s="8"/>
      <c r="BY88" s="8"/>
      <c r="CA88" s="6"/>
      <c r="CJ88" s="8">
        <v>23444981</v>
      </c>
      <c r="CK88" s="8"/>
      <c r="CM88" s="6">
        <v>92733299</v>
      </c>
      <c r="CO88" s="8">
        <v>41113814</v>
      </c>
      <c r="CP88" s="6">
        <v>30106681</v>
      </c>
      <c r="CR88" s="6">
        <v>185581992</v>
      </c>
      <c r="CS88" s="8">
        <v>14531342</v>
      </c>
      <c r="CT88" s="6">
        <v>11278773</v>
      </c>
      <c r="CV88" s="6">
        <v>29508728</v>
      </c>
      <c r="CX88" s="8"/>
      <c r="CZ88" s="8"/>
      <c r="DA88" s="8"/>
      <c r="DB88" s="8"/>
      <c r="DC88" s="6">
        <v>19354061</v>
      </c>
      <c r="DE88" s="6">
        <v>32606472</v>
      </c>
      <c r="DF88" s="9">
        <f t="shared" si="2"/>
        <v>1331818206</v>
      </c>
      <c r="DG88" s="9">
        <v>1331818206</v>
      </c>
      <c r="DH88" s="9">
        <f t="shared" si="3"/>
        <v>0</v>
      </c>
    </row>
    <row r="89" spans="1:112" x14ac:dyDescent="0.25">
      <c r="A89" s="4" t="s">
        <v>186</v>
      </c>
      <c r="B89" s="4" t="s">
        <v>186</v>
      </c>
      <c r="C89" s="1" t="s">
        <v>187</v>
      </c>
      <c r="N89" s="8"/>
      <c r="O89" s="6"/>
      <c r="P89" s="8"/>
      <c r="Q89" s="6"/>
      <c r="AA89" s="8"/>
      <c r="AB89" s="6"/>
      <c r="AC89" s="8"/>
      <c r="AD89" s="6"/>
      <c r="AE89" s="8"/>
      <c r="AF89" s="6"/>
      <c r="AG89" s="8"/>
      <c r="AH89" s="6"/>
      <c r="AI89" s="8"/>
      <c r="AJ89" s="6"/>
      <c r="AK89" s="8"/>
      <c r="AL89" s="6"/>
      <c r="AM89" s="8"/>
      <c r="AO89" s="8"/>
      <c r="AR89" s="8"/>
      <c r="AS89" s="6"/>
      <c r="AT89" s="8"/>
      <c r="AW89" s="6"/>
      <c r="AX89" s="8"/>
      <c r="BA89" s="6"/>
      <c r="BF89" s="6"/>
      <c r="BK89" s="6"/>
      <c r="BL89" s="8"/>
      <c r="BM89" s="6"/>
      <c r="BN89" s="8"/>
      <c r="BO89" s="8"/>
      <c r="BP89" s="6"/>
      <c r="BS89" s="6"/>
      <c r="BT89" s="8"/>
      <c r="BU89" s="8"/>
      <c r="BV89" s="8"/>
      <c r="BW89" s="8"/>
      <c r="BX89" s="8"/>
      <c r="BY89" s="8"/>
      <c r="CA89" s="6"/>
      <c r="CK89" s="8"/>
      <c r="CM89" s="6">
        <v>2722524</v>
      </c>
      <c r="CP89" s="6">
        <v>807670</v>
      </c>
      <c r="CT89" s="6">
        <v>395862</v>
      </c>
      <c r="CX89" s="8"/>
      <c r="CZ89" s="8"/>
      <c r="DA89" s="8"/>
      <c r="DB89" s="8"/>
      <c r="DC89" s="6"/>
      <c r="DE89" s="6">
        <v>308219</v>
      </c>
      <c r="DF89" s="9">
        <f t="shared" si="2"/>
        <v>4234275</v>
      </c>
      <c r="DG89" s="9">
        <v>4234275</v>
      </c>
      <c r="DH89" s="9">
        <f t="shared" si="3"/>
        <v>0</v>
      </c>
    </row>
    <row r="90" spans="1:112" x14ac:dyDescent="0.25">
      <c r="A90" s="4" t="s">
        <v>188</v>
      </c>
      <c r="B90" s="4" t="s">
        <v>188</v>
      </c>
      <c r="C90" s="1" t="s">
        <v>189</v>
      </c>
      <c r="E90" s="8">
        <v>586182</v>
      </c>
      <c r="I90" s="8">
        <v>125714</v>
      </c>
      <c r="K90" s="8">
        <v>55839</v>
      </c>
      <c r="N90" s="8"/>
      <c r="O90" s="6"/>
      <c r="P90" s="8"/>
      <c r="Q90" s="6"/>
      <c r="R90" s="8">
        <v>128947</v>
      </c>
      <c r="V90" s="8">
        <v>94286</v>
      </c>
      <c r="X90" s="8">
        <v>834180</v>
      </c>
      <c r="Z90" s="8">
        <v>554286</v>
      </c>
      <c r="AA90" s="8"/>
      <c r="AB90" s="6"/>
      <c r="AC90" s="8"/>
      <c r="AD90" s="6"/>
      <c r="AE90" s="8"/>
      <c r="AF90" s="6"/>
      <c r="AG90" s="8">
        <v>330757</v>
      </c>
      <c r="AH90" s="6">
        <v>216221</v>
      </c>
      <c r="AI90" s="8"/>
      <c r="AJ90" s="6"/>
      <c r="AK90" s="8">
        <v>88290</v>
      </c>
      <c r="AL90" s="6"/>
      <c r="AM90" s="8">
        <v>303872</v>
      </c>
      <c r="AO90" s="8"/>
      <c r="AP90" s="6">
        <v>143636</v>
      </c>
      <c r="AR90" s="8"/>
      <c r="AS90" s="6"/>
      <c r="AT90" s="8">
        <v>38182</v>
      </c>
      <c r="AW90" s="6"/>
      <c r="AX90" s="8"/>
      <c r="BA90" s="6">
        <v>145454</v>
      </c>
      <c r="BB90" s="8">
        <v>274354</v>
      </c>
      <c r="BE90" s="6">
        <v>220520</v>
      </c>
      <c r="BF90" s="6"/>
      <c r="BH90" s="8">
        <v>397979</v>
      </c>
      <c r="BK90" s="6"/>
      <c r="BL90" s="8"/>
      <c r="BM90" s="6">
        <v>15714</v>
      </c>
      <c r="BN90" s="8">
        <v>56250</v>
      </c>
      <c r="BO90" s="8"/>
      <c r="BP90" s="6"/>
      <c r="BS90" s="6"/>
      <c r="BT90" s="8"/>
      <c r="BU90" s="8"/>
      <c r="BV90" s="8"/>
      <c r="BW90" s="8"/>
      <c r="BX90" s="8"/>
      <c r="BY90" s="8"/>
      <c r="CA90" s="6"/>
      <c r="CJ90" s="8">
        <v>342857</v>
      </c>
      <c r="CK90" s="8"/>
      <c r="CM90" s="6">
        <v>280387</v>
      </c>
      <c r="CP90" s="6">
        <v>32609</v>
      </c>
      <c r="CR90" s="6">
        <v>391457</v>
      </c>
      <c r="CT90" s="6">
        <v>79031</v>
      </c>
      <c r="CV90" s="6">
        <v>64565</v>
      </c>
      <c r="CX90" s="8"/>
      <c r="CZ90" s="8"/>
      <c r="DA90" s="8"/>
      <c r="DB90" s="8"/>
      <c r="DC90" s="6"/>
      <c r="DE90" s="6">
        <v>23263</v>
      </c>
      <c r="DF90" s="9">
        <f t="shared" si="2"/>
        <v>5824832</v>
      </c>
      <c r="DG90" s="9">
        <v>5824832</v>
      </c>
      <c r="DH90" s="9">
        <f t="shared" si="3"/>
        <v>0</v>
      </c>
    </row>
    <row r="91" spans="1:112" x14ac:dyDescent="0.25">
      <c r="A91" s="4" t="s">
        <v>190</v>
      </c>
      <c r="B91" s="4" t="s">
        <v>190</v>
      </c>
      <c r="C91" s="1" t="s">
        <v>191</v>
      </c>
      <c r="K91" s="8">
        <v>35862</v>
      </c>
      <c r="N91" s="8"/>
      <c r="O91" s="6"/>
      <c r="P91" s="8"/>
      <c r="Q91" s="6"/>
      <c r="AA91" s="8"/>
      <c r="AB91" s="6"/>
      <c r="AC91" s="8"/>
      <c r="AD91" s="6"/>
      <c r="AE91" s="8"/>
      <c r="AF91" s="6"/>
      <c r="AG91" s="8"/>
      <c r="AH91" s="6"/>
      <c r="AI91" s="8"/>
      <c r="AJ91" s="6"/>
      <c r="AK91" s="8"/>
      <c r="AL91" s="6"/>
      <c r="AM91" s="8"/>
      <c r="AO91" s="8"/>
      <c r="AR91" s="8"/>
      <c r="AS91" s="6"/>
      <c r="AT91" s="8"/>
      <c r="AW91" s="6"/>
      <c r="AX91" s="8"/>
      <c r="BA91" s="6"/>
      <c r="BB91" s="8">
        <v>522476</v>
      </c>
      <c r="BF91" s="6"/>
      <c r="BH91" s="8">
        <v>648505</v>
      </c>
      <c r="BK91" s="6"/>
      <c r="BL91" s="8"/>
      <c r="BM91" s="6"/>
      <c r="BN91" s="8">
        <v>10290</v>
      </c>
      <c r="BO91" s="8"/>
      <c r="BP91" s="6"/>
      <c r="BS91" s="6"/>
      <c r="BT91" s="8"/>
      <c r="BU91" s="8"/>
      <c r="BV91" s="8"/>
      <c r="BW91" s="8"/>
      <c r="BX91" s="8"/>
      <c r="BY91" s="8"/>
      <c r="CA91" s="6"/>
      <c r="CK91" s="8"/>
      <c r="CM91" s="6">
        <v>2382202</v>
      </c>
      <c r="CP91" s="6">
        <v>899668</v>
      </c>
      <c r="CR91" s="6">
        <v>225008</v>
      </c>
      <c r="CS91" s="8">
        <v>4974</v>
      </c>
      <c r="CT91" s="6">
        <v>483205</v>
      </c>
      <c r="CX91" s="8"/>
      <c r="CZ91" s="8"/>
      <c r="DA91" s="8"/>
      <c r="DB91" s="8"/>
      <c r="DC91" s="6"/>
      <c r="DE91" s="6">
        <v>455093</v>
      </c>
      <c r="DF91" s="9">
        <f t="shared" si="2"/>
        <v>5667283</v>
      </c>
      <c r="DG91" s="9">
        <v>5667283</v>
      </c>
      <c r="DH91" s="9">
        <f t="shared" si="3"/>
        <v>0</v>
      </c>
    </row>
    <row r="92" spans="1:112" x14ac:dyDescent="0.25">
      <c r="A92" s="4" t="s">
        <v>192</v>
      </c>
      <c r="B92" s="4" t="s">
        <v>192</v>
      </c>
      <c r="C92" s="1" t="s">
        <v>193</v>
      </c>
      <c r="N92" s="8"/>
      <c r="O92" s="6"/>
      <c r="P92" s="8"/>
      <c r="Q92" s="6"/>
      <c r="AA92" s="8"/>
      <c r="AB92" s="6"/>
      <c r="AC92" s="8"/>
      <c r="AD92" s="6"/>
      <c r="AE92" s="8"/>
      <c r="AF92" s="6"/>
      <c r="AG92" s="8"/>
      <c r="AH92" s="6"/>
      <c r="AI92" s="8"/>
      <c r="AJ92" s="6"/>
      <c r="AK92" s="8"/>
      <c r="AL92" s="6"/>
      <c r="AM92" s="8"/>
      <c r="AO92" s="8"/>
      <c r="AR92" s="8"/>
      <c r="AS92" s="6"/>
      <c r="AT92" s="8"/>
      <c r="AV92" s="6">
        <v>625000</v>
      </c>
      <c r="AW92" s="6"/>
      <c r="AX92" s="8"/>
      <c r="BA92" s="6">
        <v>150000</v>
      </c>
      <c r="BF92" s="6"/>
      <c r="BK92" s="6"/>
      <c r="BL92" s="8"/>
      <c r="BM92" s="6"/>
      <c r="BN92" s="8"/>
      <c r="BO92" s="8"/>
      <c r="BP92" s="6"/>
      <c r="BS92" s="6"/>
      <c r="BT92" s="8"/>
      <c r="BU92" s="8"/>
      <c r="BV92" s="8"/>
      <c r="BW92" s="8"/>
      <c r="BX92" s="8"/>
      <c r="BY92" s="8"/>
      <c r="CA92" s="6"/>
      <c r="CK92" s="8"/>
      <c r="CP92" s="6"/>
      <c r="CX92" s="8"/>
      <c r="CZ92" s="8"/>
      <c r="DA92" s="8"/>
      <c r="DB92" s="8"/>
      <c r="DC92" s="6"/>
      <c r="DF92" s="9">
        <f t="shared" si="2"/>
        <v>775000</v>
      </c>
      <c r="DG92" s="9">
        <v>775000</v>
      </c>
      <c r="DH92" s="9">
        <f t="shared" si="3"/>
        <v>0</v>
      </c>
    </row>
    <row r="93" spans="1:112" x14ac:dyDescent="0.25">
      <c r="A93" s="4" t="s">
        <v>194</v>
      </c>
      <c r="B93" s="4" t="s">
        <v>194</v>
      </c>
      <c r="C93" s="1" t="s">
        <v>195</v>
      </c>
      <c r="N93" s="8"/>
      <c r="O93" s="6"/>
      <c r="P93" s="8"/>
      <c r="Q93" s="6"/>
      <c r="AA93" s="8"/>
      <c r="AB93" s="6"/>
      <c r="AC93" s="8"/>
      <c r="AD93" s="6"/>
      <c r="AE93" s="8"/>
      <c r="AF93" s="6"/>
      <c r="AG93" s="8"/>
      <c r="AH93" s="6"/>
      <c r="AI93" s="8"/>
      <c r="AJ93" s="6"/>
      <c r="AK93" s="8"/>
      <c r="AL93" s="6"/>
      <c r="AM93" s="8"/>
      <c r="AO93" s="8"/>
      <c r="AR93" s="8"/>
      <c r="AS93" s="6"/>
      <c r="AT93" s="8">
        <v>975863</v>
      </c>
      <c r="AW93" s="6"/>
      <c r="AX93" s="8"/>
      <c r="BA93" s="6"/>
      <c r="BF93" s="6"/>
      <c r="BH93" s="8">
        <v>1738355</v>
      </c>
      <c r="BK93" s="6"/>
      <c r="BL93" s="8"/>
      <c r="BM93" s="6"/>
      <c r="BN93" s="8"/>
      <c r="BO93" s="8"/>
      <c r="BP93" s="6"/>
      <c r="BS93" s="6"/>
      <c r="BT93" s="8"/>
      <c r="BU93" s="8"/>
      <c r="BV93" s="8"/>
      <c r="BW93" s="8"/>
      <c r="BX93" s="8"/>
      <c r="BY93" s="8"/>
      <c r="CA93" s="6"/>
      <c r="CK93" s="8"/>
      <c r="CM93" s="6">
        <v>9310</v>
      </c>
      <c r="CP93" s="6">
        <v>1582078</v>
      </c>
      <c r="CR93" s="6">
        <v>17379</v>
      </c>
      <c r="CT93" s="6">
        <v>789570</v>
      </c>
      <c r="CV93" s="6">
        <v>195861</v>
      </c>
      <c r="CX93" s="8"/>
      <c r="CZ93" s="8"/>
      <c r="DA93" s="8"/>
      <c r="DB93" s="8"/>
      <c r="DC93" s="6">
        <v>92414</v>
      </c>
      <c r="DE93" s="6">
        <v>137196</v>
      </c>
      <c r="DF93" s="9">
        <f t="shared" si="2"/>
        <v>5538026</v>
      </c>
      <c r="DG93" s="9">
        <v>5538026</v>
      </c>
      <c r="DH93" s="9">
        <f t="shared" si="3"/>
        <v>0</v>
      </c>
    </row>
    <row r="94" spans="1:112" x14ac:dyDescent="0.25">
      <c r="A94" s="4" t="s">
        <v>196</v>
      </c>
      <c r="B94" s="4" t="s">
        <v>196</v>
      </c>
      <c r="C94" s="1" t="s">
        <v>197</v>
      </c>
      <c r="E94" s="8">
        <v>1550000</v>
      </c>
      <c r="I94" s="8">
        <v>1182900</v>
      </c>
      <c r="K94" s="8">
        <v>2139000</v>
      </c>
      <c r="N94" s="8"/>
      <c r="O94" s="6">
        <v>1590000</v>
      </c>
      <c r="P94" s="8"/>
      <c r="Q94" s="6"/>
      <c r="R94" s="8">
        <v>2150000</v>
      </c>
      <c r="V94" s="8">
        <v>2920000</v>
      </c>
      <c r="W94" s="6">
        <v>1416000</v>
      </c>
      <c r="X94" s="8">
        <v>5879998</v>
      </c>
      <c r="Y94" s="6">
        <v>1250000</v>
      </c>
      <c r="Z94" s="8">
        <v>1200000</v>
      </c>
      <c r="AA94" s="8"/>
      <c r="AB94" s="6"/>
      <c r="AC94" s="8"/>
      <c r="AD94" s="6"/>
      <c r="AE94" s="8"/>
      <c r="AF94" s="6"/>
      <c r="AG94" s="8">
        <v>8974500</v>
      </c>
      <c r="AH94" s="6">
        <v>6660000</v>
      </c>
      <c r="AI94" s="8"/>
      <c r="AJ94" s="6">
        <v>600000</v>
      </c>
      <c r="AK94" s="8">
        <v>3750000</v>
      </c>
      <c r="AL94" s="6">
        <v>1470000</v>
      </c>
      <c r="AM94" s="8">
        <v>2110000</v>
      </c>
      <c r="AO94" s="8"/>
      <c r="AP94" s="6">
        <v>900000</v>
      </c>
      <c r="AR94" s="8"/>
      <c r="AS94" s="6"/>
      <c r="AT94" s="8">
        <v>2899999</v>
      </c>
      <c r="AV94" s="6">
        <v>3660000</v>
      </c>
      <c r="AW94" s="6"/>
      <c r="AX94" s="8"/>
      <c r="BA94" s="6">
        <v>11396000</v>
      </c>
      <c r="BB94" s="8">
        <v>6660000</v>
      </c>
      <c r="BD94" s="8">
        <v>1960000</v>
      </c>
      <c r="BE94" s="6">
        <v>1980000</v>
      </c>
      <c r="BF94" s="6"/>
      <c r="BH94" s="8">
        <v>8985000</v>
      </c>
      <c r="BI94" s="6">
        <v>1701000</v>
      </c>
      <c r="BK94" s="6"/>
      <c r="BL94" s="8"/>
      <c r="BM94" s="6">
        <v>4513000</v>
      </c>
      <c r="BN94" s="8">
        <v>3042500</v>
      </c>
      <c r="BO94" s="8"/>
      <c r="BP94" s="6"/>
      <c r="BS94" s="6"/>
      <c r="BT94" s="8"/>
      <c r="BU94" s="8"/>
      <c r="BV94" s="8"/>
      <c r="BW94" s="8"/>
      <c r="BX94" s="8"/>
      <c r="BY94" s="8"/>
      <c r="CA94" s="6"/>
      <c r="CJ94" s="8">
        <v>1564600</v>
      </c>
      <c r="CK94" s="8"/>
      <c r="CM94" s="6">
        <v>8068800</v>
      </c>
      <c r="CO94" s="8">
        <v>4810000</v>
      </c>
      <c r="CP94" s="6">
        <v>2613000</v>
      </c>
      <c r="CR94" s="6">
        <v>15144500</v>
      </c>
      <c r="CS94" s="8">
        <v>1314750</v>
      </c>
      <c r="CT94" s="6">
        <v>62100</v>
      </c>
      <c r="CV94" s="6">
        <v>2490000</v>
      </c>
      <c r="CX94" s="8"/>
      <c r="CZ94" s="8"/>
      <c r="DA94" s="8"/>
      <c r="DB94" s="8"/>
      <c r="DC94" s="6">
        <v>1890000</v>
      </c>
      <c r="DE94" s="6">
        <v>4128400</v>
      </c>
      <c r="DF94" s="9">
        <f t="shared" si="2"/>
        <v>134626047</v>
      </c>
      <c r="DG94" s="9">
        <v>134626047</v>
      </c>
      <c r="DH94" s="9">
        <f t="shared" si="3"/>
        <v>0</v>
      </c>
    </row>
    <row r="95" spans="1:112" x14ac:dyDescent="0.25">
      <c r="A95" s="4" t="s">
        <v>198</v>
      </c>
      <c r="B95" s="4" t="s">
        <v>198</v>
      </c>
      <c r="C95" s="1" t="s">
        <v>199</v>
      </c>
      <c r="N95" s="8"/>
      <c r="O95" s="6"/>
      <c r="P95" s="8"/>
      <c r="Q95" s="6"/>
      <c r="AA95" s="8"/>
      <c r="AB95" s="6"/>
      <c r="AC95" s="8"/>
      <c r="AD95" s="6"/>
      <c r="AE95" s="8"/>
      <c r="AF95" s="6"/>
      <c r="AG95" s="8"/>
      <c r="AH95" s="6"/>
      <c r="AI95" s="8"/>
      <c r="AJ95" s="6"/>
      <c r="AK95" s="8"/>
      <c r="AL95" s="6"/>
      <c r="AM95" s="8"/>
      <c r="AO95" s="8"/>
      <c r="AR95" s="8"/>
      <c r="AS95" s="6"/>
      <c r="AT95" s="8"/>
      <c r="AW95" s="6"/>
      <c r="AX95" s="8"/>
      <c r="BA95" s="6"/>
      <c r="BB95" s="8">
        <v>8519235</v>
      </c>
      <c r="BF95" s="6"/>
      <c r="BK95" s="6"/>
      <c r="BL95" s="8"/>
      <c r="BM95" s="6">
        <v>330000</v>
      </c>
      <c r="BN95" s="8">
        <v>1714250</v>
      </c>
      <c r="BO95" s="8"/>
      <c r="BP95" s="6"/>
      <c r="BS95" s="6"/>
      <c r="BT95" s="8"/>
      <c r="BU95" s="8"/>
      <c r="BV95" s="8"/>
      <c r="BW95" s="8"/>
      <c r="BX95" s="8"/>
      <c r="BY95" s="8"/>
      <c r="CA95" s="6"/>
      <c r="CK95" s="8"/>
      <c r="CP95" s="6"/>
      <c r="CS95" s="8">
        <v>0</v>
      </c>
      <c r="CX95" s="8"/>
      <c r="CZ95" s="8"/>
      <c r="DA95" s="8"/>
      <c r="DB95" s="8"/>
      <c r="DC95" s="6"/>
      <c r="DF95" s="9">
        <f t="shared" si="2"/>
        <v>10563485</v>
      </c>
      <c r="DG95" s="9">
        <v>10563485</v>
      </c>
      <c r="DH95" s="9">
        <f t="shared" si="3"/>
        <v>0</v>
      </c>
    </row>
    <row r="96" spans="1:112" x14ac:dyDescent="0.25">
      <c r="A96" s="4" t="s">
        <v>200</v>
      </c>
      <c r="B96" s="4" t="s">
        <v>200</v>
      </c>
      <c r="C96" s="1" t="s">
        <v>201</v>
      </c>
      <c r="N96" s="8"/>
      <c r="O96" s="6"/>
      <c r="P96" s="8"/>
      <c r="Q96" s="6"/>
      <c r="R96" s="8">
        <v>82057</v>
      </c>
      <c r="AA96" s="8"/>
      <c r="AB96" s="6"/>
      <c r="AC96" s="8"/>
      <c r="AD96" s="6"/>
      <c r="AE96" s="8"/>
      <c r="AF96" s="6"/>
      <c r="AG96" s="8"/>
      <c r="AH96" s="6">
        <v>178500</v>
      </c>
      <c r="AI96" s="8"/>
      <c r="AJ96" s="6"/>
      <c r="AK96" s="8">
        <v>395996</v>
      </c>
      <c r="AL96" s="6"/>
      <c r="AM96" s="8">
        <v>190476</v>
      </c>
      <c r="AO96" s="8"/>
      <c r="AR96" s="8"/>
      <c r="AS96" s="6"/>
      <c r="AT96" s="8"/>
      <c r="AW96" s="6"/>
      <c r="AX96" s="8"/>
      <c r="BA96" s="6"/>
      <c r="BF96" s="6"/>
      <c r="BK96" s="6"/>
      <c r="BL96" s="8"/>
      <c r="BM96" s="6"/>
      <c r="BN96" s="8"/>
      <c r="BO96" s="8"/>
      <c r="BP96" s="6"/>
      <c r="BS96" s="6"/>
      <c r="BT96" s="8"/>
      <c r="BU96" s="8"/>
      <c r="BV96" s="8"/>
      <c r="BW96" s="8"/>
      <c r="BX96" s="8"/>
      <c r="BY96" s="8"/>
      <c r="CA96" s="6"/>
      <c r="CK96" s="8"/>
      <c r="CP96" s="6"/>
      <c r="CV96" s="6">
        <v>12913</v>
      </c>
      <c r="CX96" s="8"/>
      <c r="CZ96" s="8"/>
      <c r="DA96" s="8"/>
      <c r="DB96" s="8"/>
      <c r="DC96" s="6"/>
      <c r="DF96" s="9">
        <f t="shared" si="2"/>
        <v>859942</v>
      </c>
      <c r="DG96" s="9">
        <v>859942</v>
      </c>
      <c r="DH96" s="9">
        <f t="shared" si="3"/>
        <v>0</v>
      </c>
    </row>
    <row r="97" spans="1:112" x14ac:dyDescent="0.25">
      <c r="A97" s="4" t="s">
        <v>202</v>
      </c>
      <c r="B97" s="4" t="s">
        <v>202</v>
      </c>
      <c r="C97" s="1" t="s">
        <v>203</v>
      </c>
      <c r="E97" s="8">
        <v>3009000</v>
      </c>
      <c r="I97" s="8">
        <v>1093800</v>
      </c>
      <c r="K97" s="8">
        <v>2312800</v>
      </c>
      <c r="N97" s="8"/>
      <c r="O97" s="6">
        <v>1464000</v>
      </c>
      <c r="P97" s="8"/>
      <c r="Q97" s="6"/>
      <c r="R97" s="8">
        <v>2015000</v>
      </c>
      <c r="V97" s="8">
        <v>2320000</v>
      </c>
      <c r="W97" s="6">
        <v>2061800</v>
      </c>
      <c r="X97" s="8">
        <v>5495000</v>
      </c>
      <c r="Y97" s="6">
        <v>1460000</v>
      </c>
      <c r="Z97" s="8">
        <v>790000</v>
      </c>
      <c r="AA97" s="8"/>
      <c r="AB97" s="6"/>
      <c r="AC97" s="8"/>
      <c r="AD97" s="6"/>
      <c r="AE97" s="8"/>
      <c r="AF97" s="6"/>
      <c r="AG97" s="8">
        <v>5085000</v>
      </c>
      <c r="AH97" s="6">
        <v>1703000</v>
      </c>
      <c r="AI97" s="8"/>
      <c r="AJ97" s="6">
        <v>700000</v>
      </c>
      <c r="AK97" s="8">
        <v>3810000</v>
      </c>
      <c r="AL97" s="6">
        <v>1680000</v>
      </c>
      <c r="AM97" s="8">
        <v>1880000</v>
      </c>
      <c r="AO97" s="8"/>
      <c r="AP97" s="6">
        <v>915000</v>
      </c>
      <c r="AR97" s="8"/>
      <c r="AS97" s="6"/>
      <c r="AT97" s="8">
        <v>2650000</v>
      </c>
      <c r="AV97" s="6">
        <v>1750000</v>
      </c>
      <c r="AW97" s="6"/>
      <c r="AX97" s="8"/>
      <c r="BA97" s="6">
        <v>6058000</v>
      </c>
      <c r="BB97" s="8">
        <v>4022800</v>
      </c>
      <c r="BC97" s="6">
        <v>400000</v>
      </c>
      <c r="BD97" s="8">
        <v>1750000</v>
      </c>
      <c r="BE97" s="6">
        <v>1955000</v>
      </c>
      <c r="BF97" s="6"/>
      <c r="BH97" s="8">
        <v>6313000</v>
      </c>
      <c r="BI97" s="6">
        <v>1549000</v>
      </c>
      <c r="BK97" s="6"/>
      <c r="BL97" s="8"/>
      <c r="BM97" s="6">
        <v>3882000</v>
      </c>
      <c r="BN97" s="8">
        <v>1691000</v>
      </c>
      <c r="BO97" s="8"/>
      <c r="BP97" s="6"/>
      <c r="BS97" s="6"/>
      <c r="BT97" s="8"/>
      <c r="BU97" s="8"/>
      <c r="BV97" s="8"/>
      <c r="BW97" s="8"/>
      <c r="BX97" s="8"/>
      <c r="BY97" s="8"/>
      <c r="CA97" s="6"/>
      <c r="CJ97" s="8">
        <v>2068200</v>
      </c>
      <c r="CK97" s="8"/>
      <c r="CM97" s="6">
        <v>7178700</v>
      </c>
      <c r="CO97" s="8">
        <v>3568200</v>
      </c>
      <c r="CP97" s="6">
        <v>2929600</v>
      </c>
      <c r="CR97" s="6">
        <v>15636000</v>
      </c>
      <c r="CS97" s="8">
        <v>1258400</v>
      </c>
      <c r="CV97" s="6">
        <v>2364000</v>
      </c>
      <c r="CX97" s="8"/>
      <c r="CZ97" s="8"/>
      <c r="DA97" s="8"/>
      <c r="DB97" s="8"/>
      <c r="DC97" s="6">
        <v>1757000</v>
      </c>
      <c r="DE97" s="6">
        <v>2353200</v>
      </c>
      <c r="DF97" s="9">
        <f t="shared" si="2"/>
        <v>108928500</v>
      </c>
      <c r="DG97" s="9">
        <v>108928500</v>
      </c>
      <c r="DH97" s="9">
        <f t="shared" si="3"/>
        <v>0</v>
      </c>
    </row>
    <row r="98" spans="1:112" x14ac:dyDescent="0.25">
      <c r="A98" s="4" t="s">
        <v>204</v>
      </c>
      <c r="B98" s="4" t="s">
        <v>204</v>
      </c>
      <c r="C98" s="1" t="s">
        <v>205</v>
      </c>
      <c r="E98" s="8">
        <v>15820644</v>
      </c>
      <c r="N98" s="8"/>
      <c r="O98" s="6"/>
      <c r="P98" s="8"/>
      <c r="Q98" s="6"/>
      <c r="W98" s="6">
        <v>2512872</v>
      </c>
      <c r="AA98" s="8"/>
      <c r="AB98" s="6"/>
      <c r="AC98" s="8"/>
      <c r="AD98" s="6"/>
      <c r="AE98" s="8"/>
      <c r="AF98" s="6"/>
      <c r="AG98" s="8"/>
      <c r="AH98" s="6"/>
      <c r="AI98" s="8"/>
      <c r="AJ98" s="6"/>
      <c r="AK98" s="8"/>
      <c r="AL98" s="6"/>
      <c r="AM98" s="8"/>
      <c r="AO98" s="8"/>
      <c r="AR98" s="8"/>
      <c r="AS98" s="6"/>
      <c r="AT98" s="8"/>
      <c r="AW98" s="6"/>
      <c r="AX98" s="8"/>
      <c r="BA98" s="6"/>
      <c r="BF98" s="6"/>
      <c r="BK98" s="6"/>
      <c r="BL98" s="8"/>
      <c r="BM98" s="6"/>
      <c r="BN98" s="8"/>
      <c r="BO98" s="8"/>
      <c r="BP98" s="6"/>
      <c r="BS98" s="6"/>
      <c r="BT98" s="8"/>
      <c r="BU98" s="8"/>
      <c r="BV98" s="8"/>
      <c r="BW98" s="8"/>
      <c r="BX98" s="8"/>
      <c r="BY98" s="8"/>
      <c r="CA98" s="6"/>
      <c r="CJ98" s="8">
        <v>2512872</v>
      </c>
      <c r="CK98" s="8"/>
      <c r="CP98" s="6"/>
      <c r="CX98" s="8"/>
      <c r="CZ98" s="8"/>
      <c r="DA98" s="8"/>
      <c r="DB98" s="8"/>
      <c r="DC98" s="6"/>
      <c r="DF98" s="9">
        <f t="shared" si="2"/>
        <v>20846388</v>
      </c>
      <c r="DG98" s="9">
        <v>20846388</v>
      </c>
      <c r="DH98" s="9">
        <f t="shared" si="3"/>
        <v>0</v>
      </c>
    </row>
    <row r="99" spans="1:112" x14ac:dyDescent="0.25">
      <c r="A99" s="4" t="s">
        <v>206</v>
      </c>
      <c r="B99" s="4" t="s">
        <v>206</v>
      </c>
      <c r="C99" s="1" t="s">
        <v>207</v>
      </c>
      <c r="E99" s="8">
        <v>90000</v>
      </c>
      <c r="K99" s="8">
        <v>237300</v>
      </c>
      <c r="N99" s="8"/>
      <c r="O99" s="6"/>
      <c r="P99" s="8"/>
      <c r="Q99" s="6"/>
      <c r="V99" s="8">
        <v>3480000</v>
      </c>
      <c r="AA99" s="8"/>
      <c r="AB99" s="6"/>
      <c r="AC99" s="8"/>
      <c r="AD99" s="6"/>
      <c r="AE99" s="8"/>
      <c r="AF99" s="6"/>
      <c r="AG99" s="8"/>
      <c r="AH99" s="6">
        <v>3240000</v>
      </c>
      <c r="AI99" s="8"/>
      <c r="AJ99" s="6"/>
      <c r="AK99" s="8"/>
      <c r="AL99" s="6"/>
      <c r="AM99" s="8"/>
      <c r="AO99" s="8"/>
      <c r="AR99" s="8"/>
      <c r="AS99" s="6"/>
      <c r="AT99" s="8"/>
      <c r="AW99" s="6"/>
      <c r="AX99" s="8"/>
      <c r="BA99" s="6">
        <v>11445000</v>
      </c>
      <c r="BD99" s="8">
        <v>428571</v>
      </c>
      <c r="BF99" s="6"/>
      <c r="BH99" s="8">
        <v>100000</v>
      </c>
      <c r="BK99" s="6"/>
      <c r="BL99" s="8"/>
      <c r="BM99" s="6"/>
      <c r="BN99" s="8">
        <v>5006120</v>
      </c>
      <c r="BO99" s="8"/>
      <c r="BP99" s="6"/>
      <c r="BS99" s="6"/>
      <c r="BT99" s="8"/>
      <c r="BU99" s="8"/>
      <c r="BV99" s="8"/>
      <c r="BW99" s="8"/>
      <c r="BX99" s="8"/>
      <c r="BY99" s="8"/>
      <c r="CA99" s="6"/>
      <c r="CK99" s="8"/>
      <c r="CM99" s="6">
        <v>23520600</v>
      </c>
      <c r="CO99" s="8">
        <v>4187500</v>
      </c>
      <c r="CP99" s="6">
        <v>1140000</v>
      </c>
      <c r="CR99" s="6">
        <v>20773000</v>
      </c>
      <c r="CS99" s="8">
        <v>3143000</v>
      </c>
      <c r="CT99" s="6">
        <v>1090000</v>
      </c>
      <c r="CV99" s="6">
        <v>720000</v>
      </c>
      <c r="CX99" s="8"/>
      <c r="CZ99" s="8"/>
      <c r="DA99" s="8"/>
      <c r="DB99" s="8"/>
      <c r="DC99" s="6"/>
      <c r="DE99" s="6">
        <v>3040700</v>
      </c>
      <c r="DF99" s="9">
        <f t="shared" si="2"/>
        <v>81641791</v>
      </c>
      <c r="DG99" s="9">
        <v>81641791</v>
      </c>
      <c r="DH99" s="9">
        <f t="shared" si="3"/>
        <v>0</v>
      </c>
    </row>
    <row r="100" spans="1:112" x14ac:dyDescent="0.25">
      <c r="A100" s="4" t="s">
        <v>764</v>
      </c>
      <c r="B100" s="4" t="s">
        <v>764</v>
      </c>
      <c r="C100" s="1" t="s">
        <v>765</v>
      </c>
      <c r="N100" s="8"/>
      <c r="O100" s="6">
        <v>130000</v>
      </c>
      <c r="P100" s="8"/>
      <c r="Q100" s="6"/>
      <c r="AA100" s="8"/>
      <c r="AB100" s="6"/>
      <c r="AC100" s="8"/>
      <c r="AD100" s="6"/>
      <c r="AE100" s="8"/>
      <c r="AF100" s="6"/>
      <c r="AG100" s="8"/>
      <c r="AH100" s="6"/>
      <c r="AI100" s="8"/>
      <c r="AJ100" s="6"/>
      <c r="AK100" s="8"/>
      <c r="AL100" s="6"/>
      <c r="AM100" s="8"/>
      <c r="AO100" s="8"/>
      <c r="AR100" s="8"/>
      <c r="AS100" s="6"/>
      <c r="AT100" s="8"/>
      <c r="AW100" s="6"/>
      <c r="AX100" s="8"/>
      <c r="BA100" s="6"/>
      <c r="BF100" s="6"/>
      <c r="BK100" s="6"/>
      <c r="BL100" s="8"/>
      <c r="BM100" s="6"/>
      <c r="BN100" s="8"/>
      <c r="BO100" s="8"/>
      <c r="BP100" s="6"/>
      <c r="BS100" s="6"/>
      <c r="BT100" s="8"/>
      <c r="BU100" s="8"/>
      <c r="BV100" s="8"/>
      <c r="BW100" s="8"/>
      <c r="BX100" s="8"/>
      <c r="BY100" s="8"/>
      <c r="CA100" s="6"/>
      <c r="CK100" s="8"/>
      <c r="CO100" s="8">
        <v>80881</v>
      </c>
      <c r="CP100" s="6"/>
      <c r="CV100" s="6">
        <v>52381</v>
      </c>
      <c r="CX100" s="8"/>
      <c r="CZ100" s="8"/>
      <c r="DA100" s="8"/>
      <c r="DB100" s="8"/>
      <c r="DC100" s="6"/>
      <c r="DF100" s="9">
        <f t="shared" si="2"/>
        <v>263262</v>
      </c>
      <c r="DG100" s="9">
        <v>263262</v>
      </c>
      <c r="DH100" s="9">
        <f t="shared" si="3"/>
        <v>0</v>
      </c>
    </row>
    <row r="101" spans="1:112" x14ac:dyDescent="0.25">
      <c r="A101" s="4" t="s">
        <v>208</v>
      </c>
      <c r="B101" s="4" t="s">
        <v>208</v>
      </c>
      <c r="C101" s="1" t="s">
        <v>209</v>
      </c>
      <c r="I101" s="8">
        <v>-15000</v>
      </c>
      <c r="N101" s="8"/>
      <c r="O101" s="6"/>
      <c r="P101" s="8"/>
      <c r="Q101" s="6"/>
      <c r="AA101" s="8"/>
      <c r="AB101" s="6"/>
      <c r="AC101" s="8"/>
      <c r="AD101" s="6"/>
      <c r="AE101" s="8"/>
      <c r="AF101" s="6"/>
      <c r="AG101" s="8">
        <v>-15714</v>
      </c>
      <c r="AH101" s="6"/>
      <c r="AI101" s="8"/>
      <c r="AJ101" s="6"/>
      <c r="AK101" s="8">
        <v>-16667</v>
      </c>
      <c r="AL101" s="6">
        <v>-123230</v>
      </c>
      <c r="AM101" s="8">
        <v>71739</v>
      </c>
      <c r="AO101" s="8"/>
      <c r="AR101" s="8"/>
      <c r="AS101" s="6"/>
      <c r="AT101" s="8"/>
      <c r="AW101" s="6"/>
      <c r="AX101" s="8"/>
      <c r="BA101" s="6">
        <v>-63354</v>
      </c>
      <c r="BB101" s="8">
        <v>-29350</v>
      </c>
      <c r="BC101" s="6">
        <v>34952</v>
      </c>
      <c r="BE101" s="6">
        <v>-49478</v>
      </c>
      <c r="BF101" s="6"/>
      <c r="BH101" s="8">
        <v>-46727</v>
      </c>
      <c r="BI101" s="6">
        <v>-26727</v>
      </c>
      <c r="BK101" s="6"/>
      <c r="BL101" s="8"/>
      <c r="BM101" s="6">
        <v>-29207</v>
      </c>
      <c r="BN101" s="8">
        <v>21273</v>
      </c>
      <c r="BO101" s="8"/>
      <c r="BP101" s="6"/>
      <c r="BS101" s="6"/>
      <c r="BT101" s="8"/>
      <c r="BU101" s="8"/>
      <c r="BV101" s="8"/>
      <c r="BW101" s="8"/>
      <c r="BX101" s="8"/>
      <c r="BY101" s="8"/>
      <c r="CA101" s="6"/>
      <c r="CK101" s="8"/>
      <c r="CO101" s="8">
        <v>-27749</v>
      </c>
      <c r="CP101" s="6">
        <v>-12273</v>
      </c>
      <c r="CR101" s="6">
        <v>-154114</v>
      </c>
      <c r="CS101" s="8">
        <v>-64565</v>
      </c>
      <c r="CT101" s="6">
        <v>-55217</v>
      </c>
      <c r="CX101" s="8"/>
      <c r="CZ101" s="8"/>
      <c r="DA101" s="8"/>
      <c r="DB101" s="8"/>
      <c r="DC101" s="6"/>
      <c r="DE101" s="6">
        <v>-46957</v>
      </c>
      <c r="DF101" s="9">
        <f t="shared" si="2"/>
        <v>-648365</v>
      </c>
      <c r="DG101" s="9">
        <v>-648365</v>
      </c>
      <c r="DH101" s="9">
        <f t="shared" si="3"/>
        <v>0</v>
      </c>
    </row>
    <row r="102" spans="1:112" x14ac:dyDescent="0.25">
      <c r="A102" s="4" t="s">
        <v>766</v>
      </c>
      <c r="B102" s="4" t="s">
        <v>766</v>
      </c>
      <c r="C102" s="1" t="s">
        <v>767</v>
      </c>
      <c r="N102" s="8"/>
      <c r="O102" s="6"/>
      <c r="P102" s="8"/>
      <c r="Q102" s="6"/>
      <c r="AA102" s="8"/>
      <c r="AB102" s="6"/>
      <c r="AC102" s="8"/>
      <c r="AD102" s="6"/>
      <c r="AE102" s="8"/>
      <c r="AF102" s="6"/>
      <c r="AG102" s="8"/>
      <c r="AH102" s="6"/>
      <c r="AI102" s="8"/>
      <c r="AJ102" s="6"/>
      <c r="AK102" s="8"/>
      <c r="AL102" s="6"/>
      <c r="AM102" s="8"/>
      <c r="AO102" s="8"/>
      <c r="AR102" s="8"/>
      <c r="AS102" s="6"/>
      <c r="AT102" s="8"/>
      <c r="AW102" s="6"/>
      <c r="AX102" s="8"/>
      <c r="BA102" s="6"/>
      <c r="BF102" s="6"/>
      <c r="BH102" s="8">
        <v>1085600</v>
      </c>
      <c r="BK102" s="6"/>
      <c r="BL102" s="8"/>
      <c r="BM102" s="6"/>
      <c r="BN102" s="8"/>
      <c r="BO102" s="8"/>
      <c r="BP102" s="6"/>
      <c r="BS102" s="6"/>
      <c r="BT102" s="8"/>
      <c r="BU102" s="8"/>
      <c r="BV102" s="8"/>
      <c r="BW102" s="8"/>
      <c r="BX102" s="8"/>
      <c r="BY102" s="8"/>
      <c r="CA102" s="6"/>
      <c r="CK102" s="8"/>
      <c r="CP102" s="6">
        <v>101200</v>
      </c>
      <c r="CR102" s="6">
        <v>24260400</v>
      </c>
      <c r="CX102" s="8"/>
      <c r="CZ102" s="8"/>
      <c r="DA102" s="8"/>
      <c r="DB102" s="8"/>
      <c r="DC102" s="6"/>
      <c r="DE102" s="6">
        <v>607200</v>
      </c>
      <c r="DF102" s="9">
        <f t="shared" si="2"/>
        <v>26054400</v>
      </c>
      <c r="DG102" s="9">
        <v>26054400</v>
      </c>
      <c r="DH102" s="9">
        <f t="shared" si="3"/>
        <v>0</v>
      </c>
    </row>
    <row r="103" spans="1:112" x14ac:dyDescent="0.25">
      <c r="A103" s="4" t="s">
        <v>1589</v>
      </c>
      <c r="N103" s="8"/>
      <c r="O103" s="6"/>
      <c r="P103" s="8"/>
      <c r="Q103" s="6"/>
      <c r="AA103" s="8"/>
      <c r="AB103" s="6"/>
      <c r="AC103" s="8"/>
      <c r="AD103" s="6"/>
      <c r="AE103" s="8"/>
      <c r="AF103" s="6"/>
      <c r="AG103" s="8"/>
      <c r="AH103" s="6"/>
      <c r="AI103" s="8"/>
      <c r="AJ103" s="6"/>
      <c r="AK103" s="8"/>
      <c r="AL103" s="6"/>
      <c r="AM103" s="8"/>
      <c r="AO103" s="8"/>
      <c r="AR103" s="8"/>
      <c r="AS103" s="6"/>
      <c r="AT103" s="8"/>
      <c r="AW103" s="6"/>
      <c r="AX103" s="8"/>
      <c r="BA103" s="6"/>
      <c r="BF103" s="6"/>
      <c r="BK103" s="6"/>
      <c r="BL103" s="8"/>
      <c r="BM103" s="6"/>
      <c r="BN103" s="8"/>
      <c r="BO103" s="8"/>
      <c r="BP103" s="6"/>
      <c r="BS103" s="6"/>
      <c r="BT103" s="8"/>
      <c r="BU103" s="8"/>
      <c r="BV103" s="8"/>
      <c r="BW103" s="8"/>
      <c r="BX103" s="8"/>
      <c r="BY103" s="8"/>
      <c r="CA103" s="6"/>
      <c r="CK103" s="8"/>
      <c r="CP103" s="6"/>
      <c r="CX103" s="8"/>
      <c r="CZ103" s="8"/>
      <c r="DA103" s="8"/>
      <c r="DB103" s="8"/>
      <c r="DC103" s="6"/>
      <c r="DF103" s="9">
        <f t="shared" si="2"/>
        <v>0</v>
      </c>
      <c r="DG103" s="9"/>
      <c r="DH103" s="9">
        <f t="shared" si="3"/>
        <v>0</v>
      </c>
    </row>
    <row r="104" spans="1:112" x14ac:dyDescent="0.25">
      <c r="A104" s="4" t="s">
        <v>210</v>
      </c>
      <c r="B104" s="4" t="s">
        <v>210</v>
      </c>
      <c r="C104" s="1" t="s">
        <v>211</v>
      </c>
      <c r="N104" s="8"/>
      <c r="O104" s="6"/>
      <c r="P104" s="8"/>
      <c r="Q104" s="6"/>
      <c r="R104" s="8">
        <v>269023</v>
      </c>
      <c r="V104" s="8">
        <v>45719</v>
      </c>
      <c r="X104" s="8">
        <v>156358</v>
      </c>
      <c r="Y104" s="6">
        <v>112574</v>
      </c>
      <c r="AA104" s="8"/>
      <c r="AB104" s="6"/>
      <c r="AC104" s="8"/>
      <c r="AD104" s="6"/>
      <c r="AE104" s="8"/>
      <c r="AF104" s="6"/>
      <c r="AG104" s="8">
        <v>57673</v>
      </c>
      <c r="AH104" s="6">
        <v>241606</v>
      </c>
      <c r="AI104" s="8"/>
      <c r="AJ104" s="6"/>
      <c r="AK104" s="8">
        <v>60286</v>
      </c>
      <c r="AL104" s="6"/>
      <c r="AM104" s="8">
        <v>80210</v>
      </c>
      <c r="AO104" s="8"/>
      <c r="AP104" s="6">
        <v>367392</v>
      </c>
      <c r="AR104" s="8"/>
      <c r="AS104" s="6"/>
      <c r="AT104" s="8">
        <v>132282</v>
      </c>
      <c r="AW104" s="6"/>
      <c r="AX104" s="8"/>
      <c r="BA104" s="6">
        <v>97520</v>
      </c>
      <c r="BD104" s="8">
        <v>35108</v>
      </c>
      <c r="BF104" s="6"/>
      <c r="BH104" s="8">
        <v>888678</v>
      </c>
      <c r="BK104" s="6"/>
      <c r="BL104" s="8"/>
      <c r="BM104" s="6">
        <v>148060</v>
      </c>
      <c r="BN104" s="8"/>
      <c r="BO104" s="8"/>
      <c r="BP104" s="6"/>
      <c r="BS104" s="6"/>
      <c r="BT104" s="8"/>
      <c r="BU104" s="8"/>
      <c r="BV104" s="8"/>
      <c r="BW104" s="8"/>
      <c r="BX104" s="8"/>
      <c r="BY104" s="8"/>
      <c r="CA104" s="6"/>
      <c r="CK104" s="8"/>
      <c r="CP104" s="6"/>
      <c r="CX104" s="8"/>
      <c r="CZ104" s="8"/>
      <c r="DA104" s="8"/>
      <c r="DB104" s="8"/>
      <c r="DC104" s="6"/>
      <c r="DF104" s="9">
        <f t="shared" si="2"/>
        <v>2692489</v>
      </c>
      <c r="DG104" s="9">
        <v>2692489</v>
      </c>
      <c r="DH104" s="9">
        <f t="shared" si="3"/>
        <v>0</v>
      </c>
    </row>
    <row r="105" spans="1:112" x14ac:dyDescent="0.25">
      <c r="A105" s="4" t="s">
        <v>212</v>
      </c>
      <c r="B105" s="4" t="s">
        <v>212</v>
      </c>
      <c r="C105" s="1" t="s">
        <v>213</v>
      </c>
      <c r="E105" s="8">
        <v>147000</v>
      </c>
      <c r="K105" s="8">
        <v>31500</v>
      </c>
      <c r="N105" s="8"/>
      <c r="O105" s="6">
        <v>357000</v>
      </c>
      <c r="P105" s="8"/>
      <c r="Q105" s="6"/>
      <c r="R105" s="8">
        <v>441000</v>
      </c>
      <c r="V105" s="8">
        <v>735000</v>
      </c>
      <c r="W105" s="6">
        <v>126000</v>
      </c>
      <c r="X105" s="8">
        <v>588000</v>
      </c>
      <c r="Z105" s="8">
        <v>199500</v>
      </c>
      <c r="AA105" s="8"/>
      <c r="AB105" s="6"/>
      <c r="AC105" s="8"/>
      <c r="AD105" s="6"/>
      <c r="AE105" s="8"/>
      <c r="AF105" s="6"/>
      <c r="AG105" s="8">
        <v>1375500</v>
      </c>
      <c r="AH105" s="6">
        <v>717500</v>
      </c>
      <c r="AI105" s="8"/>
      <c r="AJ105" s="6"/>
      <c r="AK105" s="8"/>
      <c r="AL105" s="6"/>
      <c r="AM105" s="8">
        <v>10500</v>
      </c>
      <c r="AO105" s="8"/>
      <c r="AR105" s="8"/>
      <c r="AS105" s="6"/>
      <c r="AT105" s="8">
        <v>371000</v>
      </c>
      <c r="AV105" s="6">
        <v>84000</v>
      </c>
      <c r="AW105" s="6"/>
      <c r="AX105" s="8"/>
      <c r="BA105" s="6">
        <v>2318050</v>
      </c>
      <c r="BB105" s="8">
        <v>133000</v>
      </c>
      <c r="BD105" s="8">
        <v>259000</v>
      </c>
      <c r="BE105" s="6">
        <v>588000</v>
      </c>
      <c r="BF105" s="6"/>
      <c r="BK105" s="6"/>
      <c r="BL105" s="8"/>
      <c r="BM105" s="6"/>
      <c r="BN105" s="8"/>
      <c r="BO105" s="8"/>
      <c r="BP105" s="6"/>
      <c r="BS105" s="6"/>
      <c r="BT105" s="8"/>
      <c r="BU105" s="8"/>
      <c r="BV105" s="8"/>
      <c r="BW105" s="8"/>
      <c r="BX105" s="8"/>
      <c r="BY105" s="8"/>
      <c r="CA105" s="6"/>
      <c r="CK105" s="8"/>
      <c r="CP105" s="6"/>
      <c r="CR105" s="6">
        <v>115500</v>
      </c>
      <c r="CX105" s="8"/>
      <c r="CZ105" s="8"/>
      <c r="DA105" s="8"/>
      <c r="DB105" s="8"/>
      <c r="DC105" s="6"/>
      <c r="DF105" s="9">
        <f t="shared" si="2"/>
        <v>8597050</v>
      </c>
      <c r="DG105" s="9">
        <v>8597050</v>
      </c>
      <c r="DH105" s="9">
        <f t="shared" si="3"/>
        <v>0</v>
      </c>
    </row>
    <row r="106" spans="1:112" x14ac:dyDescent="0.25">
      <c r="A106" s="4" t="s">
        <v>214</v>
      </c>
      <c r="B106" s="4" t="s">
        <v>214</v>
      </c>
      <c r="C106" s="1" t="s">
        <v>215</v>
      </c>
      <c r="E106" s="8">
        <v>225564</v>
      </c>
      <c r="N106" s="8"/>
      <c r="O106" s="6"/>
      <c r="P106" s="8"/>
      <c r="Q106" s="6"/>
      <c r="R106" s="8">
        <v>360904</v>
      </c>
      <c r="AA106" s="8"/>
      <c r="AB106" s="6"/>
      <c r="AC106" s="8"/>
      <c r="AD106" s="6"/>
      <c r="AE106" s="8"/>
      <c r="AF106" s="6"/>
      <c r="AG106" s="8"/>
      <c r="AH106" s="6">
        <v>406017</v>
      </c>
      <c r="AI106" s="8"/>
      <c r="AJ106" s="6"/>
      <c r="AK106" s="8">
        <v>365418</v>
      </c>
      <c r="AL106" s="6"/>
      <c r="AM106" s="8"/>
      <c r="AO106" s="8"/>
      <c r="AR106" s="8"/>
      <c r="AS106" s="6"/>
      <c r="AT106" s="8"/>
      <c r="AW106" s="6"/>
      <c r="AX106" s="8"/>
      <c r="BA106" s="6">
        <v>172029</v>
      </c>
      <c r="BF106" s="6"/>
      <c r="BK106" s="6"/>
      <c r="BL106" s="8"/>
      <c r="BM106" s="6">
        <v>612000</v>
      </c>
      <c r="BN106" s="8"/>
      <c r="BO106" s="8"/>
      <c r="BP106" s="6"/>
      <c r="BS106" s="6"/>
      <c r="BT106" s="8"/>
      <c r="BU106" s="8"/>
      <c r="BV106" s="8"/>
      <c r="BW106" s="8"/>
      <c r="BX106" s="8"/>
      <c r="BY106" s="8"/>
      <c r="CA106" s="6"/>
      <c r="CK106" s="8"/>
      <c r="CP106" s="6"/>
      <c r="CR106" s="6">
        <v>166919</v>
      </c>
      <c r="CX106" s="8"/>
      <c r="CZ106" s="8"/>
      <c r="DA106" s="8"/>
      <c r="DB106" s="8"/>
      <c r="DC106" s="6"/>
      <c r="DE106" s="6">
        <v>45113</v>
      </c>
      <c r="DF106" s="9">
        <f t="shared" si="2"/>
        <v>2353964</v>
      </c>
      <c r="DG106" s="9">
        <v>2353964</v>
      </c>
      <c r="DH106" s="9">
        <f t="shared" si="3"/>
        <v>0</v>
      </c>
    </row>
    <row r="107" spans="1:112" x14ac:dyDescent="0.25">
      <c r="A107" s="4" t="s">
        <v>216</v>
      </c>
      <c r="B107" s="4" t="s">
        <v>216</v>
      </c>
      <c r="C107" s="1" t="s">
        <v>217</v>
      </c>
      <c r="E107" s="8">
        <v>202651</v>
      </c>
      <c r="I107" s="8">
        <v>131447</v>
      </c>
      <c r="K107" s="8">
        <v>588531</v>
      </c>
      <c r="N107" s="8"/>
      <c r="O107" s="6">
        <v>197937</v>
      </c>
      <c r="P107" s="8"/>
      <c r="Q107" s="6"/>
      <c r="R107" s="8">
        <v>222514</v>
      </c>
      <c r="V107" s="8">
        <v>83333</v>
      </c>
      <c r="W107" s="6">
        <v>368092</v>
      </c>
      <c r="X107" s="8">
        <v>597100</v>
      </c>
      <c r="Y107" s="6">
        <v>282023</v>
      </c>
      <c r="Z107" s="8">
        <v>96000</v>
      </c>
      <c r="AA107" s="8"/>
      <c r="AB107" s="6"/>
      <c r="AC107" s="8"/>
      <c r="AD107" s="6"/>
      <c r="AE107" s="8"/>
      <c r="AF107" s="6"/>
      <c r="AG107" s="8">
        <v>1031288</v>
      </c>
      <c r="AH107" s="6">
        <v>568196</v>
      </c>
      <c r="AI107" s="8"/>
      <c r="AJ107" s="6">
        <v>322500</v>
      </c>
      <c r="AK107" s="8">
        <v>1065233</v>
      </c>
      <c r="AL107" s="6">
        <v>517377</v>
      </c>
      <c r="AM107" s="8">
        <v>798155</v>
      </c>
      <c r="AO107" s="8"/>
      <c r="AP107" s="6">
        <v>547460</v>
      </c>
      <c r="AR107" s="8"/>
      <c r="AS107" s="6"/>
      <c r="AT107" s="8">
        <v>751199</v>
      </c>
      <c r="AV107" s="6">
        <v>70691</v>
      </c>
      <c r="AW107" s="6"/>
      <c r="AX107" s="8"/>
      <c r="BA107" s="6">
        <v>1956861</v>
      </c>
      <c r="BB107" s="8">
        <v>650425</v>
      </c>
      <c r="BC107" s="6">
        <v>111012</v>
      </c>
      <c r="BD107" s="8">
        <v>221333</v>
      </c>
      <c r="BE107" s="6">
        <v>104825</v>
      </c>
      <c r="BF107" s="6"/>
      <c r="BH107" s="8">
        <v>1993229</v>
      </c>
      <c r="BI107" s="6">
        <v>374069</v>
      </c>
      <c r="BK107" s="6"/>
      <c r="BL107" s="8"/>
      <c r="BM107" s="6">
        <v>1203739</v>
      </c>
      <c r="BN107" s="8">
        <v>664563</v>
      </c>
      <c r="BO107" s="8"/>
      <c r="BP107" s="6"/>
      <c r="BS107" s="6"/>
      <c r="BT107" s="8"/>
      <c r="BU107" s="8"/>
      <c r="BV107" s="8"/>
      <c r="BW107" s="8"/>
      <c r="BX107" s="8"/>
      <c r="BY107" s="8"/>
      <c r="CA107" s="6"/>
      <c r="CJ107" s="8">
        <v>167760</v>
      </c>
      <c r="CK107" s="8"/>
      <c r="CM107" s="6">
        <v>777602</v>
      </c>
      <c r="CO107" s="8">
        <v>373217</v>
      </c>
      <c r="CP107" s="6">
        <v>104124</v>
      </c>
      <c r="CR107" s="6">
        <v>3899609</v>
      </c>
      <c r="CS107" s="8">
        <v>271666</v>
      </c>
      <c r="CT107" s="6">
        <v>276936</v>
      </c>
      <c r="CV107" s="6">
        <v>371993</v>
      </c>
      <c r="CX107" s="8"/>
      <c r="CZ107" s="8"/>
      <c r="DA107" s="8"/>
      <c r="DB107" s="8"/>
      <c r="DC107" s="6">
        <v>357891</v>
      </c>
      <c r="DE107" s="6">
        <v>418091</v>
      </c>
      <c r="DF107" s="9">
        <f t="shared" si="2"/>
        <v>22740672</v>
      </c>
      <c r="DG107" s="9">
        <v>22740672</v>
      </c>
      <c r="DH107" s="9">
        <f t="shared" si="3"/>
        <v>0</v>
      </c>
    </row>
    <row r="108" spans="1:112" x14ac:dyDescent="0.25">
      <c r="A108" s="4" t="s">
        <v>218</v>
      </c>
      <c r="B108" s="4" t="s">
        <v>218</v>
      </c>
      <c r="C108" s="1" t="s">
        <v>219</v>
      </c>
      <c r="N108" s="8"/>
      <c r="O108" s="6">
        <v>5427</v>
      </c>
      <c r="P108" s="8"/>
      <c r="Q108" s="6"/>
      <c r="X108" s="8">
        <v>5102</v>
      </c>
      <c r="Z108" s="8">
        <v>812383</v>
      </c>
      <c r="AA108" s="8"/>
      <c r="AB108" s="6"/>
      <c r="AC108" s="8"/>
      <c r="AD108" s="6"/>
      <c r="AE108" s="8"/>
      <c r="AF108" s="6"/>
      <c r="AG108" s="8">
        <v>20015</v>
      </c>
      <c r="AH108" s="6">
        <v>4445</v>
      </c>
      <c r="AI108" s="8"/>
      <c r="AJ108" s="6">
        <v>186135</v>
      </c>
      <c r="AK108" s="8">
        <v>70815</v>
      </c>
      <c r="AL108" s="6">
        <v>38792</v>
      </c>
      <c r="AM108" s="8">
        <v>24101</v>
      </c>
      <c r="AO108" s="8"/>
      <c r="AR108" s="8"/>
      <c r="AS108" s="6"/>
      <c r="AT108" s="8">
        <v>14978</v>
      </c>
      <c r="AW108" s="6"/>
      <c r="AX108" s="8"/>
      <c r="BA108" s="6">
        <v>88281</v>
      </c>
      <c r="BB108" s="8">
        <v>328643</v>
      </c>
      <c r="BE108" s="6">
        <v>82310</v>
      </c>
      <c r="BF108" s="6"/>
      <c r="BH108" s="8">
        <v>402629</v>
      </c>
      <c r="BI108" s="6">
        <v>47893</v>
      </c>
      <c r="BK108" s="6"/>
      <c r="BL108" s="8"/>
      <c r="BM108" s="6">
        <v>216727</v>
      </c>
      <c r="BN108" s="8">
        <v>207413</v>
      </c>
      <c r="BO108" s="8"/>
      <c r="BP108" s="6"/>
      <c r="BS108" s="6"/>
      <c r="BT108" s="8"/>
      <c r="BU108" s="8"/>
      <c r="BV108" s="8"/>
      <c r="BW108" s="8"/>
      <c r="BX108" s="8"/>
      <c r="BY108" s="8"/>
      <c r="CA108" s="6"/>
      <c r="CK108" s="8"/>
      <c r="CM108" s="6">
        <v>59699</v>
      </c>
      <c r="CO108" s="8">
        <v>74377</v>
      </c>
      <c r="CP108" s="6">
        <v>5557</v>
      </c>
      <c r="CR108" s="6">
        <v>1051225</v>
      </c>
      <c r="CS108" s="8">
        <v>1887</v>
      </c>
      <c r="CT108" s="6">
        <v>99795</v>
      </c>
      <c r="CV108" s="6">
        <v>16643</v>
      </c>
      <c r="CX108" s="8"/>
      <c r="CZ108" s="8"/>
      <c r="DA108" s="8"/>
      <c r="DB108" s="8"/>
      <c r="DC108" s="6">
        <v>65876</v>
      </c>
      <c r="DE108" s="6">
        <v>56050</v>
      </c>
      <c r="DF108" s="9">
        <f t="shared" si="2"/>
        <v>3987198</v>
      </c>
      <c r="DG108" s="9">
        <v>3987198</v>
      </c>
      <c r="DH108" s="9">
        <f t="shared" si="3"/>
        <v>0</v>
      </c>
    </row>
    <row r="109" spans="1:112" x14ac:dyDescent="0.25">
      <c r="A109" s="4" t="s">
        <v>220</v>
      </c>
      <c r="B109" s="4" t="s">
        <v>220</v>
      </c>
      <c r="C109" s="1" t="s">
        <v>221</v>
      </c>
      <c r="N109" s="8"/>
      <c r="O109" s="6"/>
      <c r="P109" s="8"/>
      <c r="Q109" s="6"/>
      <c r="X109" s="8">
        <v>950000</v>
      </c>
      <c r="AA109" s="8"/>
      <c r="AB109" s="6"/>
      <c r="AC109" s="8"/>
      <c r="AD109" s="6"/>
      <c r="AE109" s="8"/>
      <c r="AF109" s="6"/>
      <c r="AG109" s="8"/>
      <c r="AH109" s="6"/>
      <c r="AI109" s="8"/>
      <c r="AJ109" s="6"/>
      <c r="AK109" s="8"/>
      <c r="AL109" s="6"/>
      <c r="AM109" s="8"/>
      <c r="AO109" s="8"/>
      <c r="AR109" s="8"/>
      <c r="AS109" s="6"/>
      <c r="AT109" s="8"/>
      <c r="AW109" s="6"/>
      <c r="AX109" s="8"/>
      <c r="BA109" s="6">
        <v>616000</v>
      </c>
      <c r="BF109" s="6"/>
      <c r="BK109" s="6"/>
      <c r="BL109" s="8"/>
      <c r="BM109" s="6">
        <v>360000</v>
      </c>
      <c r="BN109" s="8"/>
      <c r="BO109" s="8"/>
      <c r="BP109" s="6"/>
      <c r="BS109" s="6"/>
      <c r="BT109" s="8"/>
      <c r="BU109" s="8"/>
      <c r="BV109" s="8"/>
      <c r="BW109" s="8"/>
      <c r="BX109" s="8"/>
      <c r="BY109" s="8"/>
      <c r="CA109" s="6"/>
      <c r="CJ109" s="8">
        <v>500000</v>
      </c>
      <c r="CK109" s="8"/>
      <c r="CP109" s="6"/>
      <c r="CX109" s="8"/>
      <c r="CZ109" s="8"/>
      <c r="DA109" s="8"/>
      <c r="DB109" s="8"/>
      <c r="DC109" s="6"/>
      <c r="DF109" s="9">
        <f t="shared" si="2"/>
        <v>2426000</v>
      </c>
      <c r="DG109" s="9">
        <v>2426000</v>
      </c>
      <c r="DH109" s="9">
        <f t="shared" si="3"/>
        <v>0</v>
      </c>
    </row>
    <row r="110" spans="1:112" x14ac:dyDescent="0.25">
      <c r="A110" s="4" t="s">
        <v>222</v>
      </c>
      <c r="N110" s="8"/>
      <c r="O110" s="6"/>
      <c r="P110" s="8"/>
      <c r="Q110" s="6"/>
      <c r="AA110" s="8"/>
      <c r="AB110" s="6"/>
      <c r="AC110" s="8"/>
      <c r="AD110" s="6"/>
      <c r="AE110" s="8"/>
      <c r="AF110" s="6"/>
      <c r="AG110" s="8"/>
      <c r="AH110" s="6"/>
      <c r="AI110" s="8"/>
      <c r="AJ110" s="6"/>
      <c r="AK110" s="8"/>
      <c r="AL110" s="6"/>
      <c r="AM110" s="8"/>
      <c r="AO110" s="8"/>
      <c r="AR110" s="8"/>
      <c r="AS110" s="6"/>
      <c r="AT110" s="8"/>
      <c r="AW110" s="6"/>
      <c r="AX110" s="8"/>
      <c r="BA110" s="6"/>
      <c r="BF110" s="6"/>
      <c r="BK110" s="6"/>
      <c r="BL110" s="8"/>
      <c r="BM110" s="6"/>
      <c r="BN110" s="8"/>
      <c r="BO110" s="8"/>
      <c r="BP110" s="6"/>
      <c r="BS110" s="6"/>
      <c r="BT110" s="8"/>
      <c r="BU110" s="8"/>
      <c r="BV110" s="8"/>
      <c r="BW110" s="8"/>
      <c r="BX110" s="8"/>
      <c r="BY110" s="8"/>
      <c r="CA110" s="6"/>
      <c r="CK110" s="8"/>
      <c r="CP110" s="6"/>
      <c r="CX110" s="8"/>
      <c r="CZ110" s="8"/>
      <c r="DA110" s="8"/>
      <c r="DB110" s="8"/>
      <c r="DC110" s="6"/>
      <c r="DF110" s="9">
        <f t="shared" si="2"/>
        <v>0</v>
      </c>
      <c r="DG110" s="9"/>
      <c r="DH110" s="9">
        <f t="shared" si="3"/>
        <v>0</v>
      </c>
    </row>
    <row r="111" spans="1:112" x14ac:dyDescent="0.25">
      <c r="A111" s="4" t="s">
        <v>768</v>
      </c>
      <c r="B111" s="4" t="s">
        <v>768</v>
      </c>
      <c r="C111" s="1" t="s">
        <v>769</v>
      </c>
      <c r="N111" s="8"/>
      <c r="O111" s="6"/>
      <c r="P111" s="8"/>
      <c r="Q111" s="6"/>
      <c r="V111" s="8">
        <v>90226</v>
      </c>
      <c r="Y111" s="6">
        <v>90226</v>
      </c>
      <c r="AA111" s="8"/>
      <c r="AB111" s="6"/>
      <c r="AC111" s="8"/>
      <c r="AD111" s="6"/>
      <c r="AE111" s="8"/>
      <c r="AF111" s="6"/>
      <c r="AG111" s="8">
        <v>254102</v>
      </c>
      <c r="AH111" s="6"/>
      <c r="AI111" s="8"/>
      <c r="AJ111" s="6"/>
      <c r="AK111" s="8"/>
      <c r="AL111" s="6"/>
      <c r="AM111" s="8">
        <v>45113</v>
      </c>
      <c r="AO111" s="8"/>
      <c r="AR111" s="8"/>
      <c r="AS111" s="6"/>
      <c r="AT111" s="8"/>
      <c r="AW111" s="6"/>
      <c r="AX111" s="8"/>
      <c r="BA111" s="6">
        <v>270678</v>
      </c>
      <c r="BB111" s="8">
        <v>552091</v>
      </c>
      <c r="BD111" s="8">
        <v>45113</v>
      </c>
      <c r="BE111" s="6">
        <v>90226</v>
      </c>
      <c r="BF111" s="6"/>
      <c r="BH111" s="8">
        <v>315791</v>
      </c>
      <c r="BI111" s="6">
        <v>45113</v>
      </c>
      <c r="BK111" s="6"/>
      <c r="BL111" s="8"/>
      <c r="BM111" s="6">
        <v>232663</v>
      </c>
      <c r="BN111" s="8">
        <v>175350</v>
      </c>
      <c r="BO111" s="8"/>
      <c r="BP111" s="6"/>
      <c r="BS111" s="6"/>
      <c r="BT111" s="8"/>
      <c r="BU111" s="8"/>
      <c r="BV111" s="8"/>
      <c r="BW111" s="8"/>
      <c r="BX111" s="8"/>
      <c r="BY111" s="8"/>
      <c r="CA111" s="6"/>
      <c r="CK111" s="8"/>
      <c r="CM111" s="6">
        <v>45113</v>
      </c>
      <c r="CO111" s="8">
        <v>45113</v>
      </c>
      <c r="CP111" s="6">
        <v>311726</v>
      </c>
      <c r="CR111" s="6">
        <v>599417</v>
      </c>
      <c r="CV111" s="6">
        <v>117163</v>
      </c>
      <c r="CX111" s="8"/>
      <c r="CZ111" s="8"/>
      <c r="DA111" s="8"/>
      <c r="DB111" s="8"/>
      <c r="DC111" s="6"/>
      <c r="DE111" s="6">
        <v>210900</v>
      </c>
      <c r="DF111" s="9">
        <f t="shared" si="2"/>
        <v>3536124</v>
      </c>
      <c r="DG111" s="9">
        <v>3536124</v>
      </c>
      <c r="DH111" s="9">
        <f t="shared" si="3"/>
        <v>0</v>
      </c>
    </row>
    <row r="112" spans="1:112" x14ac:dyDescent="0.25">
      <c r="A112" s="4" t="s">
        <v>1482</v>
      </c>
      <c r="N112" s="8"/>
      <c r="O112" s="6"/>
      <c r="P112" s="8"/>
      <c r="Q112" s="6"/>
      <c r="AA112" s="8"/>
      <c r="AB112" s="6"/>
      <c r="AC112" s="8"/>
      <c r="AD112" s="6"/>
      <c r="AE112" s="8"/>
      <c r="AF112" s="6"/>
      <c r="AG112" s="8"/>
      <c r="AH112" s="6"/>
      <c r="AI112" s="8"/>
      <c r="AJ112" s="6"/>
      <c r="AK112" s="8"/>
      <c r="AL112" s="6"/>
      <c r="AM112" s="8"/>
      <c r="AO112" s="8"/>
      <c r="AR112" s="8"/>
      <c r="AS112" s="6"/>
      <c r="AT112" s="8"/>
      <c r="AW112" s="6"/>
      <c r="AX112" s="8"/>
      <c r="BA112" s="6"/>
      <c r="BF112" s="6"/>
      <c r="BK112" s="6"/>
      <c r="BL112" s="8"/>
      <c r="BM112" s="6"/>
      <c r="BN112" s="8"/>
      <c r="BO112" s="8"/>
      <c r="BP112" s="6"/>
      <c r="BS112" s="6"/>
      <c r="BT112" s="8"/>
      <c r="BU112" s="8"/>
      <c r="BV112" s="8"/>
      <c r="BW112" s="8"/>
      <c r="BX112" s="8"/>
      <c r="BY112" s="8"/>
      <c r="CA112" s="6"/>
      <c r="CK112" s="8"/>
      <c r="CP112" s="6"/>
      <c r="CX112" s="8"/>
      <c r="CZ112" s="8"/>
      <c r="DA112" s="8"/>
      <c r="DB112" s="8"/>
      <c r="DC112" s="6"/>
      <c r="DF112" s="9">
        <f t="shared" si="2"/>
        <v>0</v>
      </c>
      <c r="DG112" s="9"/>
      <c r="DH112" s="9">
        <f t="shared" si="3"/>
        <v>0</v>
      </c>
    </row>
    <row r="113" spans="1:112" x14ac:dyDescent="0.25">
      <c r="A113" s="4" t="s">
        <v>224</v>
      </c>
      <c r="B113" s="4" t="s">
        <v>224</v>
      </c>
      <c r="C113" s="1" t="s">
        <v>225</v>
      </c>
      <c r="N113" s="8"/>
      <c r="O113" s="6"/>
      <c r="P113" s="8"/>
      <c r="Q113" s="6"/>
      <c r="R113" s="8">
        <v>60000</v>
      </c>
      <c r="AA113" s="8"/>
      <c r="AB113" s="6"/>
      <c r="AC113" s="8"/>
      <c r="AD113" s="6"/>
      <c r="AE113" s="8"/>
      <c r="AF113" s="6"/>
      <c r="AG113" s="8">
        <v>40000</v>
      </c>
      <c r="AH113" s="6"/>
      <c r="AI113" s="8"/>
      <c r="AJ113" s="6"/>
      <c r="AK113" s="8"/>
      <c r="AL113" s="6">
        <v>60000</v>
      </c>
      <c r="AM113" s="8"/>
      <c r="AO113" s="8"/>
      <c r="AR113" s="8"/>
      <c r="AS113" s="6"/>
      <c r="AT113" s="8"/>
      <c r="AW113" s="6"/>
      <c r="AX113" s="8"/>
      <c r="BA113" s="6"/>
      <c r="BB113" s="8">
        <v>50000</v>
      </c>
      <c r="BD113" s="8">
        <v>100000</v>
      </c>
      <c r="BF113" s="6"/>
      <c r="BK113" s="6"/>
      <c r="BL113" s="8"/>
      <c r="BM113" s="6"/>
      <c r="BN113" s="8">
        <v>130000</v>
      </c>
      <c r="BO113" s="8"/>
      <c r="BP113" s="6"/>
      <c r="BS113" s="6"/>
      <c r="BT113" s="8"/>
      <c r="BU113" s="8"/>
      <c r="BV113" s="8"/>
      <c r="BW113" s="8"/>
      <c r="BX113" s="8"/>
      <c r="BY113" s="8"/>
      <c r="CA113" s="6"/>
      <c r="CK113" s="8"/>
      <c r="CO113" s="8">
        <v>40000</v>
      </c>
      <c r="CP113" s="6"/>
      <c r="CR113" s="6">
        <v>120000</v>
      </c>
      <c r="CV113" s="6">
        <v>40000</v>
      </c>
      <c r="CX113" s="8"/>
      <c r="CZ113" s="8"/>
      <c r="DA113" s="8"/>
      <c r="DB113" s="8"/>
      <c r="DC113" s="6"/>
      <c r="DF113" s="9">
        <f t="shared" si="2"/>
        <v>640000</v>
      </c>
      <c r="DG113" s="9">
        <v>640000</v>
      </c>
      <c r="DH113" s="9">
        <f t="shared" si="3"/>
        <v>0</v>
      </c>
    </row>
    <row r="114" spans="1:112" x14ac:dyDescent="0.25">
      <c r="A114" s="4" t="s">
        <v>770</v>
      </c>
      <c r="N114" s="8"/>
      <c r="O114" s="6"/>
      <c r="P114" s="8"/>
      <c r="Q114" s="6"/>
      <c r="AA114" s="8"/>
      <c r="AB114" s="6"/>
      <c r="AC114" s="8"/>
      <c r="AD114" s="6"/>
      <c r="AE114" s="8"/>
      <c r="AF114" s="6"/>
      <c r="AG114" s="8"/>
      <c r="AH114" s="6"/>
      <c r="AI114" s="8"/>
      <c r="AJ114" s="6"/>
      <c r="AK114" s="8"/>
      <c r="AL114" s="6"/>
      <c r="AM114" s="8"/>
      <c r="AO114" s="8"/>
      <c r="AR114" s="8"/>
      <c r="AS114" s="6"/>
      <c r="AT114" s="8"/>
      <c r="AW114" s="6"/>
      <c r="AX114" s="8"/>
      <c r="BA114" s="6"/>
      <c r="BF114" s="6"/>
      <c r="BK114" s="6"/>
      <c r="BL114" s="8"/>
      <c r="BM114" s="6"/>
      <c r="BN114" s="8"/>
      <c r="BO114" s="8"/>
      <c r="BP114" s="6"/>
      <c r="BS114" s="6"/>
      <c r="BT114" s="8"/>
      <c r="BU114" s="8"/>
      <c r="BV114" s="8"/>
      <c r="BW114" s="8"/>
      <c r="BX114" s="8"/>
      <c r="BY114" s="8"/>
      <c r="CA114" s="6"/>
      <c r="CK114" s="8"/>
      <c r="CP114" s="6"/>
      <c r="CX114" s="8"/>
      <c r="CZ114" s="8"/>
      <c r="DA114" s="8"/>
      <c r="DB114" s="8"/>
      <c r="DC114" s="6"/>
      <c r="DF114" s="9">
        <f t="shared" si="2"/>
        <v>0</v>
      </c>
      <c r="DG114" s="9"/>
      <c r="DH114" s="9">
        <f t="shared" si="3"/>
        <v>0</v>
      </c>
    </row>
    <row r="115" spans="1:112" x14ac:dyDescent="0.25">
      <c r="A115" s="4" t="s">
        <v>226</v>
      </c>
      <c r="B115" s="4" t="s">
        <v>226</v>
      </c>
      <c r="C115" s="1" t="s">
        <v>227</v>
      </c>
      <c r="D115" s="6">
        <v>0</v>
      </c>
      <c r="E115" s="8">
        <v>3868607.3029</v>
      </c>
      <c r="F115" s="6">
        <v>0</v>
      </c>
      <c r="G115" s="8">
        <v>347803.7</v>
      </c>
      <c r="K115" s="8">
        <v>664158.07350000006</v>
      </c>
      <c r="N115" s="8"/>
      <c r="O115" s="6">
        <v>19285.844100000002</v>
      </c>
      <c r="P115" s="8"/>
      <c r="Q115" s="6"/>
      <c r="V115" s="8">
        <v>83571.991099999999</v>
      </c>
      <c r="W115" s="6">
        <v>81621</v>
      </c>
      <c r="AA115" s="8"/>
      <c r="AB115" s="6"/>
      <c r="AC115" s="8">
        <v>12857.229400000002</v>
      </c>
      <c r="AD115" s="6"/>
      <c r="AE115" s="8"/>
      <c r="AF115" s="6"/>
      <c r="AG115" s="8">
        <v>169732.96</v>
      </c>
      <c r="AH115" s="6">
        <v>57857.532299999999</v>
      </c>
      <c r="AI115" s="8"/>
      <c r="AJ115" s="6">
        <v>12857.229400000002</v>
      </c>
      <c r="AK115" s="8">
        <v>83571.991099999999</v>
      </c>
      <c r="AL115" s="6">
        <v>32143.073500000002</v>
      </c>
      <c r="AM115" s="8">
        <v>57857.532299999999</v>
      </c>
      <c r="AO115" s="8"/>
      <c r="AR115" s="8"/>
      <c r="AS115" s="6"/>
      <c r="AT115" s="8"/>
      <c r="AV115" s="6">
        <v>4704.58</v>
      </c>
      <c r="AW115" s="6"/>
      <c r="AX115" s="8"/>
      <c r="BA115" s="6">
        <v>65250.2768</v>
      </c>
      <c r="BB115" s="8">
        <v>49003.000800000009</v>
      </c>
      <c r="BC115" s="6">
        <v>12857.229400000002</v>
      </c>
      <c r="BD115" s="8">
        <v>51428.917600000008</v>
      </c>
      <c r="BE115" s="6">
        <v>90000.605800000034</v>
      </c>
      <c r="BF115" s="6"/>
      <c r="BJ115" s="8">
        <v>50195.95</v>
      </c>
      <c r="BK115" s="6"/>
      <c r="BL115" s="8">
        <v>349273.15999999992</v>
      </c>
      <c r="BM115" s="6">
        <v>93266.26</v>
      </c>
      <c r="BN115" s="8"/>
      <c r="BO115" s="8"/>
      <c r="BP115" s="6"/>
      <c r="BS115" s="6"/>
      <c r="BT115" s="8">
        <v>929748.00000000035</v>
      </c>
      <c r="BU115" s="8"/>
      <c r="BV115" s="8"/>
      <c r="BW115" s="8"/>
      <c r="BX115" s="8"/>
      <c r="BY115" s="8"/>
      <c r="CA115" s="6"/>
      <c r="CJ115" s="8">
        <v>911301.58000000007</v>
      </c>
      <c r="CK115" s="8"/>
      <c r="CP115" s="6"/>
      <c r="CX115" s="8"/>
      <c r="CZ115" s="8"/>
      <c r="DA115" s="8"/>
      <c r="DB115" s="8"/>
      <c r="DC115" s="6">
        <v>126650.43999999999</v>
      </c>
      <c r="DF115" s="9">
        <f t="shared" si="2"/>
        <v>8225605.46</v>
      </c>
      <c r="DG115" s="9">
        <v>8225605.46</v>
      </c>
      <c r="DH115" s="9">
        <f t="shared" si="3"/>
        <v>0</v>
      </c>
    </row>
    <row r="116" spans="1:112" x14ac:dyDescent="0.25">
      <c r="A116" s="4" t="s">
        <v>228</v>
      </c>
      <c r="B116" s="4" t="s">
        <v>228</v>
      </c>
      <c r="C116" s="1" t="s">
        <v>229</v>
      </c>
      <c r="E116" s="8">
        <v>1560000</v>
      </c>
      <c r="N116" s="8"/>
      <c r="O116" s="6"/>
      <c r="P116" s="8"/>
      <c r="Q116" s="6"/>
      <c r="AA116" s="8"/>
      <c r="AB116" s="6"/>
      <c r="AC116" s="8"/>
      <c r="AD116" s="6"/>
      <c r="AE116" s="8"/>
      <c r="AF116" s="6"/>
      <c r="AG116" s="8"/>
      <c r="AH116" s="6"/>
      <c r="AI116" s="8"/>
      <c r="AJ116" s="6"/>
      <c r="AK116" s="8"/>
      <c r="AL116" s="6"/>
      <c r="AM116" s="8"/>
      <c r="AO116" s="8"/>
      <c r="AR116" s="8"/>
      <c r="AS116" s="6"/>
      <c r="AT116" s="8"/>
      <c r="AW116" s="6"/>
      <c r="AX116" s="8"/>
      <c r="BA116" s="6"/>
      <c r="BF116" s="6"/>
      <c r="BK116" s="6"/>
      <c r="BL116" s="8"/>
      <c r="BM116" s="6"/>
      <c r="BN116" s="8"/>
      <c r="BO116" s="8"/>
      <c r="BP116" s="6"/>
      <c r="BS116" s="6"/>
      <c r="BT116" s="8"/>
      <c r="BU116" s="8"/>
      <c r="BV116" s="8"/>
      <c r="BW116" s="8"/>
      <c r="BX116" s="8"/>
      <c r="BY116" s="8"/>
      <c r="CA116" s="6"/>
      <c r="CK116" s="8"/>
      <c r="CP116" s="6"/>
      <c r="CX116" s="8"/>
      <c r="CZ116" s="8"/>
      <c r="DA116" s="8"/>
      <c r="DB116" s="8"/>
      <c r="DC116" s="6"/>
      <c r="DF116" s="9">
        <f t="shared" si="2"/>
        <v>1560000</v>
      </c>
      <c r="DG116" s="9">
        <v>1560000</v>
      </c>
      <c r="DH116" s="9">
        <f t="shared" si="3"/>
        <v>0</v>
      </c>
    </row>
    <row r="117" spans="1:112" x14ac:dyDescent="0.25">
      <c r="A117" s="4" t="s">
        <v>230</v>
      </c>
      <c r="B117" s="4" t="s">
        <v>230</v>
      </c>
      <c r="C117" s="1" t="s">
        <v>231</v>
      </c>
      <c r="E117" s="8">
        <v>0</v>
      </c>
      <c r="N117" s="8"/>
      <c r="O117" s="6"/>
      <c r="P117" s="8"/>
      <c r="Q117" s="6"/>
      <c r="AA117" s="8"/>
      <c r="AB117" s="6"/>
      <c r="AC117" s="8"/>
      <c r="AD117" s="6"/>
      <c r="AE117" s="8"/>
      <c r="AF117" s="6"/>
      <c r="AG117" s="8"/>
      <c r="AH117" s="6"/>
      <c r="AI117" s="8"/>
      <c r="AJ117" s="6"/>
      <c r="AK117" s="8"/>
      <c r="AL117" s="6"/>
      <c r="AM117" s="8"/>
      <c r="AO117" s="8"/>
      <c r="AR117" s="8"/>
      <c r="AS117" s="6"/>
      <c r="AT117" s="8"/>
      <c r="AW117" s="6"/>
      <c r="AX117" s="8"/>
      <c r="BA117" s="6">
        <v>101093.36</v>
      </c>
      <c r="BF117" s="6"/>
      <c r="BJ117" s="8">
        <v>29750.68</v>
      </c>
      <c r="BK117" s="6"/>
      <c r="BL117" s="8">
        <v>144286.36000000002</v>
      </c>
      <c r="BM117" s="6">
        <v>257750.04</v>
      </c>
      <c r="BN117" s="8"/>
      <c r="BO117" s="8"/>
      <c r="BP117" s="6"/>
      <c r="BS117" s="6"/>
      <c r="BT117" s="8"/>
      <c r="BU117" s="8"/>
      <c r="BV117" s="8"/>
      <c r="BW117" s="8"/>
      <c r="BX117" s="8"/>
      <c r="BY117" s="8"/>
      <c r="CA117" s="6"/>
      <c r="CJ117" s="8">
        <v>184944.08</v>
      </c>
      <c r="CK117" s="8"/>
      <c r="CO117" s="8">
        <v>103140.08</v>
      </c>
      <c r="CP117" s="6"/>
      <c r="CR117" s="6">
        <v>1044536.3600000001</v>
      </c>
      <c r="CV117" s="6">
        <v>146804.08000000002</v>
      </c>
      <c r="CX117" s="8"/>
      <c r="CZ117" s="8"/>
      <c r="DA117" s="8"/>
      <c r="DB117" s="8"/>
      <c r="DC117" s="6"/>
      <c r="DF117" s="9">
        <f t="shared" si="2"/>
        <v>2012305.04</v>
      </c>
      <c r="DG117" s="9">
        <v>2012305.0400000005</v>
      </c>
      <c r="DH117" s="9">
        <f t="shared" si="3"/>
        <v>0</v>
      </c>
    </row>
    <row r="118" spans="1:112" x14ac:dyDescent="0.25">
      <c r="A118" s="4" t="s">
        <v>990</v>
      </c>
      <c r="N118" s="8"/>
      <c r="O118" s="6"/>
      <c r="P118" s="8"/>
      <c r="Q118" s="6"/>
      <c r="AA118" s="8"/>
      <c r="AB118" s="6"/>
      <c r="AC118" s="8"/>
      <c r="AD118" s="6"/>
      <c r="AE118" s="8"/>
      <c r="AF118" s="6"/>
      <c r="AG118" s="8"/>
      <c r="AH118" s="6"/>
      <c r="AI118" s="8"/>
      <c r="AJ118" s="6"/>
      <c r="AK118" s="8"/>
      <c r="AL118" s="6"/>
      <c r="AM118" s="8"/>
      <c r="AO118" s="8"/>
      <c r="AR118" s="8"/>
      <c r="AS118" s="6"/>
      <c r="AT118" s="8"/>
      <c r="AW118" s="6"/>
      <c r="AX118" s="8"/>
      <c r="BA118" s="6"/>
      <c r="BF118" s="6"/>
      <c r="BK118" s="6"/>
      <c r="BL118" s="8"/>
      <c r="BM118" s="6"/>
      <c r="BN118" s="8"/>
      <c r="BO118" s="8"/>
      <c r="BP118" s="6"/>
      <c r="BS118" s="6"/>
      <c r="BT118" s="8"/>
      <c r="BU118" s="8"/>
      <c r="BV118" s="8"/>
      <c r="BW118" s="8"/>
      <c r="BX118" s="8"/>
      <c r="BY118" s="8"/>
      <c r="CA118" s="6"/>
      <c r="CK118" s="8"/>
      <c r="CP118" s="6"/>
      <c r="CX118" s="8"/>
      <c r="CZ118" s="8"/>
      <c r="DA118" s="8"/>
      <c r="DB118" s="8"/>
      <c r="DC118" s="6"/>
      <c r="DF118" s="9">
        <f t="shared" si="2"/>
        <v>0</v>
      </c>
      <c r="DG118" s="9"/>
      <c r="DH118" s="9">
        <f t="shared" si="3"/>
        <v>0</v>
      </c>
    </row>
    <row r="119" spans="1:112" x14ac:dyDescent="0.25">
      <c r="A119" s="4" t="s">
        <v>232</v>
      </c>
      <c r="B119" s="4" t="s">
        <v>232</v>
      </c>
      <c r="C119" s="1" t="s">
        <v>233</v>
      </c>
      <c r="E119" s="8">
        <v>811543</v>
      </c>
      <c r="I119" s="8">
        <v>522264</v>
      </c>
      <c r="K119" s="8">
        <v>910167</v>
      </c>
      <c r="N119" s="8"/>
      <c r="O119" s="6">
        <v>565715</v>
      </c>
      <c r="P119" s="8"/>
      <c r="Q119" s="6"/>
      <c r="R119" s="8">
        <v>676965</v>
      </c>
      <c r="V119" s="8">
        <v>1018572</v>
      </c>
      <c r="W119" s="6">
        <v>645877</v>
      </c>
      <c r="X119" s="8">
        <v>1723632</v>
      </c>
      <c r="Y119" s="6">
        <v>526004</v>
      </c>
      <c r="Z119" s="8">
        <v>415134</v>
      </c>
      <c r="AA119" s="8"/>
      <c r="AB119" s="6"/>
      <c r="AC119" s="8"/>
      <c r="AD119" s="6"/>
      <c r="AE119" s="8"/>
      <c r="AF119" s="6"/>
      <c r="AG119" s="8">
        <v>1973732</v>
      </c>
      <c r="AH119" s="6">
        <v>813305</v>
      </c>
      <c r="AI119" s="8"/>
      <c r="AJ119" s="6">
        <v>257810</v>
      </c>
      <c r="AK119" s="8">
        <v>1387894</v>
      </c>
      <c r="AL119" s="6">
        <v>595194</v>
      </c>
      <c r="AM119" s="8">
        <v>716671</v>
      </c>
      <c r="AO119" s="8"/>
      <c r="AP119" s="6">
        <v>316144</v>
      </c>
      <c r="AR119" s="8"/>
      <c r="AS119" s="6"/>
      <c r="AT119" s="8">
        <v>963513</v>
      </c>
      <c r="AV119" s="6">
        <v>531249</v>
      </c>
      <c r="AW119" s="6"/>
      <c r="AX119" s="8"/>
      <c r="BA119" s="6">
        <v>2779820</v>
      </c>
      <c r="BB119" s="8">
        <v>2113715</v>
      </c>
      <c r="BC119" s="6">
        <v>211903</v>
      </c>
      <c r="BD119" s="8">
        <v>601193</v>
      </c>
      <c r="BE119" s="6">
        <v>935041</v>
      </c>
      <c r="BF119" s="6"/>
      <c r="BH119" s="8">
        <v>2792226</v>
      </c>
      <c r="BI119" s="6">
        <v>667973</v>
      </c>
      <c r="BJ119" s="8">
        <v>1713115</v>
      </c>
      <c r="BK119" s="6"/>
      <c r="BL119" s="8">
        <v>-1713115</v>
      </c>
      <c r="BM119" s="6">
        <v>1601022</v>
      </c>
      <c r="BN119" s="8">
        <v>1148553</v>
      </c>
      <c r="BO119" s="8"/>
      <c r="BP119" s="6"/>
      <c r="BS119" s="6"/>
      <c r="BT119" s="8"/>
      <c r="BU119" s="8"/>
      <c r="BV119" s="8"/>
      <c r="BW119" s="8"/>
      <c r="BX119" s="8"/>
      <c r="BY119" s="8"/>
      <c r="CA119" s="6"/>
      <c r="CJ119" s="8">
        <v>778707</v>
      </c>
      <c r="CK119" s="8"/>
      <c r="CM119" s="6">
        <v>3875462</v>
      </c>
      <c r="CO119" s="8">
        <v>1613773</v>
      </c>
      <c r="CP119" s="6">
        <v>1290409</v>
      </c>
      <c r="CR119" s="6">
        <v>8032490</v>
      </c>
      <c r="CS119" s="8">
        <v>701205</v>
      </c>
      <c r="CT119" s="6">
        <v>373079</v>
      </c>
      <c r="CV119" s="6">
        <v>1332089</v>
      </c>
      <c r="CX119" s="8"/>
      <c r="CZ119" s="8"/>
      <c r="DA119" s="8"/>
      <c r="DB119" s="8"/>
      <c r="DC119" s="6">
        <v>667975</v>
      </c>
      <c r="DE119" s="6">
        <v>1477325</v>
      </c>
      <c r="DF119" s="9">
        <f t="shared" si="2"/>
        <v>48365345</v>
      </c>
      <c r="DG119" s="9">
        <v>48365345</v>
      </c>
      <c r="DH119" s="9">
        <f t="shared" si="3"/>
        <v>0</v>
      </c>
    </row>
    <row r="120" spans="1:112" x14ac:dyDescent="0.25">
      <c r="A120" s="4" t="s">
        <v>234</v>
      </c>
      <c r="B120" s="4" t="s">
        <v>234</v>
      </c>
      <c r="C120" s="1" t="s">
        <v>235</v>
      </c>
      <c r="N120" s="8"/>
      <c r="O120" s="6"/>
      <c r="P120" s="8"/>
      <c r="Q120" s="6"/>
      <c r="W120" s="6">
        <v>261360</v>
      </c>
      <c r="Y120" s="6">
        <v>272040</v>
      </c>
      <c r="Z120" s="8">
        <v>248160</v>
      </c>
      <c r="AA120" s="8"/>
      <c r="AB120" s="6"/>
      <c r="AC120" s="8"/>
      <c r="AD120" s="6"/>
      <c r="AE120" s="8"/>
      <c r="AF120" s="6"/>
      <c r="AG120" s="8">
        <v>173340</v>
      </c>
      <c r="AH120" s="6"/>
      <c r="AI120" s="8"/>
      <c r="AJ120" s="6"/>
      <c r="AK120" s="8"/>
      <c r="AL120" s="6"/>
      <c r="AM120" s="8"/>
      <c r="AO120" s="8"/>
      <c r="AR120" s="8"/>
      <c r="AS120" s="6"/>
      <c r="AT120" s="8">
        <v>8256</v>
      </c>
      <c r="AW120" s="6"/>
      <c r="AX120" s="8"/>
      <c r="BA120" s="6"/>
      <c r="BF120" s="6"/>
      <c r="BJ120" s="8">
        <v>0</v>
      </c>
      <c r="BK120" s="6"/>
      <c r="BL120" s="8">
        <v>756000</v>
      </c>
      <c r="BM120" s="6">
        <v>378000</v>
      </c>
      <c r="BN120" s="8"/>
      <c r="BO120" s="8"/>
      <c r="BP120" s="6"/>
      <c r="BS120" s="6"/>
      <c r="BT120" s="8"/>
      <c r="BU120" s="8"/>
      <c r="BV120" s="8"/>
      <c r="BW120" s="8"/>
      <c r="BX120" s="8"/>
      <c r="BY120" s="8"/>
      <c r="CA120" s="6"/>
      <c r="CK120" s="8"/>
      <c r="CO120" s="8">
        <v>3150</v>
      </c>
      <c r="CP120" s="6"/>
      <c r="CV120" s="6">
        <v>16620</v>
      </c>
      <c r="CX120" s="8"/>
      <c r="CZ120" s="8"/>
      <c r="DA120" s="8"/>
      <c r="DB120" s="8"/>
      <c r="DC120" s="6">
        <v>103020</v>
      </c>
      <c r="DF120" s="9">
        <f t="shared" si="2"/>
        <v>2219946</v>
      </c>
      <c r="DG120" s="9">
        <v>2219946</v>
      </c>
      <c r="DH120" s="9">
        <f t="shared" si="3"/>
        <v>0</v>
      </c>
    </row>
    <row r="121" spans="1:112" x14ac:dyDescent="0.25">
      <c r="A121" s="4" t="s">
        <v>236</v>
      </c>
      <c r="N121" s="8"/>
      <c r="O121" s="6"/>
      <c r="P121" s="8"/>
      <c r="Q121" s="6"/>
      <c r="AA121" s="8"/>
      <c r="AB121" s="6"/>
      <c r="AC121" s="8"/>
      <c r="AD121" s="6"/>
      <c r="AE121" s="8"/>
      <c r="AF121" s="6"/>
      <c r="AG121" s="8"/>
      <c r="AH121" s="6"/>
      <c r="AI121" s="8"/>
      <c r="AJ121" s="6"/>
      <c r="AK121" s="8"/>
      <c r="AL121" s="6"/>
      <c r="AM121" s="8"/>
      <c r="AO121" s="8"/>
      <c r="AR121" s="8"/>
      <c r="AS121" s="6"/>
      <c r="AT121" s="8"/>
      <c r="AW121" s="6"/>
      <c r="AX121" s="8"/>
      <c r="BA121" s="6"/>
      <c r="BF121" s="6"/>
      <c r="BK121" s="6"/>
      <c r="BL121" s="8"/>
      <c r="BM121" s="6"/>
      <c r="BN121" s="8"/>
      <c r="BO121" s="8"/>
      <c r="BP121" s="6"/>
      <c r="BS121" s="6"/>
      <c r="BT121" s="8"/>
      <c r="BU121" s="8"/>
      <c r="BV121" s="8"/>
      <c r="BW121" s="8"/>
      <c r="BX121" s="8"/>
      <c r="BY121" s="8"/>
      <c r="CA121" s="6"/>
      <c r="CK121" s="8"/>
      <c r="CP121" s="6"/>
      <c r="CX121" s="8"/>
      <c r="CZ121" s="8"/>
      <c r="DA121" s="8"/>
      <c r="DB121" s="8"/>
      <c r="DC121" s="6"/>
      <c r="DF121" s="9">
        <f t="shared" si="2"/>
        <v>0</v>
      </c>
      <c r="DG121" s="9"/>
      <c r="DH121" s="9">
        <f t="shared" si="3"/>
        <v>0</v>
      </c>
    </row>
    <row r="122" spans="1:112" x14ac:dyDescent="0.25">
      <c r="A122" s="4" t="s">
        <v>238</v>
      </c>
      <c r="N122" s="8"/>
      <c r="O122" s="6"/>
      <c r="P122" s="8"/>
      <c r="Q122" s="6"/>
      <c r="AA122" s="8"/>
      <c r="AB122" s="6"/>
      <c r="AC122" s="8"/>
      <c r="AD122" s="6"/>
      <c r="AE122" s="8"/>
      <c r="AF122" s="6"/>
      <c r="AG122" s="8"/>
      <c r="AH122" s="6"/>
      <c r="AI122" s="8"/>
      <c r="AJ122" s="6"/>
      <c r="AK122" s="8"/>
      <c r="AL122" s="6"/>
      <c r="AM122" s="8"/>
      <c r="AO122" s="8"/>
      <c r="AR122" s="8"/>
      <c r="AS122" s="6"/>
      <c r="AT122" s="8"/>
      <c r="AW122" s="6"/>
      <c r="AX122" s="8"/>
      <c r="BA122" s="6"/>
      <c r="BF122" s="6"/>
      <c r="BK122" s="6"/>
      <c r="BL122" s="8"/>
      <c r="BM122" s="6"/>
      <c r="BN122" s="8"/>
      <c r="BO122" s="8"/>
      <c r="BP122" s="6"/>
      <c r="BS122" s="6"/>
      <c r="BT122" s="8"/>
      <c r="BU122" s="8"/>
      <c r="BV122" s="8"/>
      <c r="BW122" s="8"/>
      <c r="BX122" s="8"/>
      <c r="BY122" s="8"/>
      <c r="CA122" s="6"/>
      <c r="CK122" s="8"/>
      <c r="CP122" s="6"/>
      <c r="CX122" s="8"/>
      <c r="CZ122" s="8"/>
      <c r="DA122" s="8"/>
      <c r="DB122" s="8"/>
      <c r="DC122" s="6"/>
      <c r="DF122" s="9">
        <f t="shared" si="2"/>
        <v>0</v>
      </c>
      <c r="DG122" s="9"/>
      <c r="DH122" s="9">
        <f t="shared" si="3"/>
        <v>0</v>
      </c>
    </row>
    <row r="123" spans="1:112" x14ac:dyDescent="0.25">
      <c r="A123" s="4" t="s">
        <v>240</v>
      </c>
      <c r="B123" s="4" t="s">
        <v>240</v>
      </c>
      <c r="C123" s="1" t="s">
        <v>241</v>
      </c>
      <c r="N123" s="8"/>
      <c r="O123" s="6"/>
      <c r="P123" s="8"/>
      <c r="Q123" s="6"/>
      <c r="V123" s="8">
        <v>60000</v>
      </c>
      <c r="X123" s="8">
        <v>60000</v>
      </c>
      <c r="Z123" s="8">
        <v>30000</v>
      </c>
      <c r="AA123" s="8"/>
      <c r="AB123" s="6"/>
      <c r="AC123" s="8"/>
      <c r="AD123" s="6"/>
      <c r="AE123" s="8"/>
      <c r="AF123" s="6"/>
      <c r="AG123" s="8">
        <v>82329</v>
      </c>
      <c r="AH123" s="6">
        <v>50000</v>
      </c>
      <c r="AI123" s="8"/>
      <c r="AJ123" s="6">
        <v>30000</v>
      </c>
      <c r="AK123" s="8"/>
      <c r="AL123" s="6">
        <v>90000</v>
      </c>
      <c r="AM123" s="8"/>
      <c r="AO123" s="8"/>
      <c r="AR123" s="8"/>
      <c r="AS123" s="6"/>
      <c r="AT123" s="8">
        <v>60000</v>
      </c>
      <c r="AW123" s="6"/>
      <c r="AX123" s="8"/>
      <c r="BA123" s="6">
        <v>60000</v>
      </c>
      <c r="BE123" s="6">
        <v>30000</v>
      </c>
      <c r="BF123" s="6"/>
      <c r="BI123" s="6">
        <v>27349</v>
      </c>
      <c r="BJ123" s="8">
        <v>15600</v>
      </c>
      <c r="BK123" s="6"/>
      <c r="BL123" s="8">
        <v>104400</v>
      </c>
      <c r="BM123" s="6"/>
      <c r="BN123" s="8"/>
      <c r="BO123" s="8"/>
      <c r="BP123" s="6"/>
      <c r="BS123" s="6"/>
      <c r="BT123" s="8"/>
      <c r="BU123" s="8"/>
      <c r="BV123" s="8"/>
      <c r="BW123" s="8"/>
      <c r="BX123" s="8"/>
      <c r="BY123" s="8"/>
      <c r="CA123" s="6"/>
      <c r="CJ123" s="8">
        <v>60000</v>
      </c>
      <c r="CK123" s="8"/>
      <c r="CP123" s="6"/>
      <c r="CX123" s="8"/>
      <c r="CZ123" s="8"/>
      <c r="DA123" s="8"/>
      <c r="DB123" s="8"/>
      <c r="DC123" s="6"/>
      <c r="DF123" s="9">
        <f t="shared" si="2"/>
        <v>759678</v>
      </c>
      <c r="DG123" s="9">
        <v>759678</v>
      </c>
      <c r="DH123" s="9">
        <f t="shared" si="3"/>
        <v>0</v>
      </c>
    </row>
    <row r="124" spans="1:112" x14ac:dyDescent="0.25">
      <c r="A124" s="4" t="s">
        <v>242</v>
      </c>
      <c r="N124" s="8"/>
      <c r="O124" s="6"/>
      <c r="P124" s="8"/>
      <c r="Q124" s="6"/>
      <c r="AA124" s="8"/>
      <c r="AB124" s="6"/>
      <c r="AC124" s="8"/>
      <c r="AD124" s="6"/>
      <c r="AE124" s="8"/>
      <c r="AF124" s="6"/>
      <c r="AG124" s="8"/>
      <c r="AH124" s="6"/>
      <c r="AI124" s="8"/>
      <c r="AJ124" s="6"/>
      <c r="AK124" s="8"/>
      <c r="AL124" s="6"/>
      <c r="AM124" s="8"/>
      <c r="AO124" s="8"/>
      <c r="AR124" s="8"/>
      <c r="AS124" s="6"/>
      <c r="AT124" s="8"/>
      <c r="AW124" s="6"/>
      <c r="AX124" s="8"/>
      <c r="BA124" s="6"/>
      <c r="BF124" s="6"/>
      <c r="BK124" s="6"/>
      <c r="BL124" s="8"/>
      <c r="BM124" s="6"/>
      <c r="BN124" s="8"/>
      <c r="BO124" s="8"/>
      <c r="BP124" s="6"/>
      <c r="BS124" s="6"/>
      <c r="BT124" s="8"/>
      <c r="BU124" s="8"/>
      <c r="BV124" s="8"/>
      <c r="BW124" s="8"/>
      <c r="BX124" s="8"/>
      <c r="BY124" s="8"/>
      <c r="CA124" s="6"/>
      <c r="CK124" s="8"/>
      <c r="CP124" s="6"/>
      <c r="CX124" s="8"/>
      <c r="CZ124" s="8"/>
      <c r="DA124" s="8"/>
      <c r="DB124" s="8"/>
      <c r="DC124" s="6"/>
      <c r="DF124" s="9">
        <f t="shared" si="2"/>
        <v>0</v>
      </c>
      <c r="DG124" s="9"/>
      <c r="DH124" s="9">
        <f t="shared" si="3"/>
        <v>0</v>
      </c>
    </row>
    <row r="125" spans="1:112" x14ac:dyDescent="0.25">
      <c r="A125" s="4" t="s">
        <v>244</v>
      </c>
      <c r="B125" s="4" t="s">
        <v>244</v>
      </c>
      <c r="C125" s="1" t="s">
        <v>245</v>
      </c>
      <c r="E125" s="8">
        <v>121738</v>
      </c>
      <c r="I125" s="8">
        <v>78345</v>
      </c>
      <c r="K125" s="8">
        <v>136538</v>
      </c>
      <c r="N125" s="8"/>
      <c r="O125" s="6">
        <v>84865</v>
      </c>
      <c r="P125" s="8"/>
      <c r="Q125" s="6"/>
      <c r="R125" s="8">
        <v>101554</v>
      </c>
      <c r="V125" s="8">
        <v>152801</v>
      </c>
      <c r="W125" s="6">
        <v>96891</v>
      </c>
      <c r="X125" s="8">
        <v>258895</v>
      </c>
      <c r="Y125" s="6">
        <v>78907</v>
      </c>
      <c r="Z125" s="8">
        <v>62274</v>
      </c>
      <c r="AA125" s="8"/>
      <c r="AB125" s="6"/>
      <c r="AC125" s="8"/>
      <c r="AD125" s="6"/>
      <c r="AE125" s="8"/>
      <c r="AF125" s="6"/>
      <c r="AG125" s="8">
        <v>296084</v>
      </c>
      <c r="AH125" s="6">
        <v>122005</v>
      </c>
      <c r="AI125" s="8"/>
      <c r="AJ125" s="6">
        <v>38671</v>
      </c>
      <c r="AK125" s="8">
        <v>208205</v>
      </c>
      <c r="AL125" s="6">
        <v>89288</v>
      </c>
      <c r="AM125" s="8">
        <v>107509</v>
      </c>
      <c r="AO125" s="8"/>
      <c r="AP125" s="6">
        <v>47425</v>
      </c>
      <c r="AR125" s="8"/>
      <c r="AS125" s="6"/>
      <c r="AT125" s="8">
        <v>144538</v>
      </c>
      <c r="AV125" s="6">
        <v>79696</v>
      </c>
      <c r="AW125" s="6"/>
      <c r="AX125" s="8"/>
      <c r="BA125" s="6">
        <v>418279</v>
      </c>
      <c r="BB125" s="8">
        <v>317057</v>
      </c>
      <c r="BC125" s="6">
        <v>31789</v>
      </c>
      <c r="BD125" s="8">
        <v>90186</v>
      </c>
      <c r="BE125" s="6">
        <v>140265</v>
      </c>
      <c r="BF125" s="6"/>
      <c r="BH125" s="8">
        <v>418870</v>
      </c>
      <c r="BI125" s="6">
        <v>100201</v>
      </c>
      <c r="BK125" s="6"/>
      <c r="BL125" s="8"/>
      <c r="BM125" s="6">
        <v>240172</v>
      </c>
      <c r="BN125" s="8">
        <v>172277</v>
      </c>
      <c r="BO125" s="8"/>
      <c r="BP125" s="6"/>
      <c r="BS125" s="6"/>
      <c r="BT125" s="8"/>
      <c r="BU125" s="8"/>
      <c r="BV125" s="8"/>
      <c r="BW125" s="8"/>
      <c r="BX125" s="8"/>
      <c r="BY125" s="8"/>
      <c r="CA125" s="6"/>
      <c r="CJ125" s="8">
        <v>116813</v>
      </c>
      <c r="CK125" s="8"/>
      <c r="CM125" s="6">
        <v>582243</v>
      </c>
      <c r="CO125" s="8">
        <v>242085</v>
      </c>
      <c r="CP125" s="6">
        <v>193580</v>
      </c>
      <c r="CR125" s="6">
        <v>1205334</v>
      </c>
      <c r="CS125" s="8">
        <v>105192</v>
      </c>
      <c r="CT125" s="6">
        <v>55964</v>
      </c>
      <c r="CV125" s="6">
        <v>199827</v>
      </c>
      <c r="CX125" s="8"/>
      <c r="CZ125" s="8"/>
      <c r="DA125" s="8"/>
      <c r="DB125" s="8"/>
      <c r="DC125" s="6">
        <v>100206</v>
      </c>
      <c r="DE125" s="6">
        <v>221618</v>
      </c>
      <c r="DF125" s="9">
        <f t="shared" si="2"/>
        <v>7258187</v>
      </c>
      <c r="DG125" s="9">
        <v>7258187</v>
      </c>
      <c r="DH125" s="9">
        <f t="shared" si="3"/>
        <v>0</v>
      </c>
    </row>
    <row r="126" spans="1:112" x14ac:dyDescent="0.25">
      <c r="A126" s="4" t="s">
        <v>246</v>
      </c>
      <c r="B126" s="4" t="s">
        <v>246</v>
      </c>
      <c r="C126" s="1" t="s">
        <v>247</v>
      </c>
      <c r="E126" s="8">
        <v>1455932</v>
      </c>
      <c r="N126" s="8"/>
      <c r="O126" s="6"/>
      <c r="P126" s="8"/>
      <c r="Q126" s="6"/>
      <c r="AA126" s="8"/>
      <c r="AB126" s="6"/>
      <c r="AC126" s="8"/>
      <c r="AD126" s="6"/>
      <c r="AE126" s="8"/>
      <c r="AF126" s="6"/>
      <c r="AG126" s="8"/>
      <c r="AH126" s="6"/>
      <c r="AI126" s="8"/>
      <c r="AJ126" s="6"/>
      <c r="AK126" s="8"/>
      <c r="AL126" s="6"/>
      <c r="AM126" s="8"/>
      <c r="AO126" s="8"/>
      <c r="AR126" s="8"/>
      <c r="AS126" s="6"/>
      <c r="AT126" s="8"/>
      <c r="AW126" s="6"/>
      <c r="AX126" s="8"/>
      <c r="BA126" s="6"/>
      <c r="BF126" s="6"/>
      <c r="BK126" s="6"/>
      <c r="BL126" s="8"/>
      <c r="BM126" s="6"/>
      <c r="BN126" s="8"/>
      <c r="BO126" s="8"/>
      <c r="BP126" s="6"/>
      <c r="BS126" s="6"/>
      <c r="BT126" s="8"/>
      <c r="BU126" s="8"/>
      <c r="BV126" s="8"/>
      <c r="BW126" s="8"/>
      <c r="BX126" s="8"/>
      <c r="BY126" s="8"/>
      <c r="CA126" s="6"/>
      <c r="CK126" s="8"/>
      <c r="CP126" s="6"/>
      <c r="CX126" s="8"/>
      <c r="CZ126" s="8"/>
      <c r="DA126" s="8"/>
      <c r="DB126" s="8"/>
      <c r="DC126" s="6"/>
      <c r="DF126" s="9">
        <f t="shared" si="2"/>
        <v>1455932</v>
      </c>
      <c r="DG126" s="9">
        <v>1455932</v>
      </c>
      <c r="DH126" s="9">
        <f t="shared" si="3"/>
        <v>0</v>
      </c>
    </row>
    <row r="127" spans="1:112" x14ac:dyDescent="0.25">
      <c r="A127" s="4" t="s">
        <v>248</v>
      </c>
      <c r="B127" s="4" t="s">
        <v>248</v>
      </c>
      <c r="C127" s="1" t="s">
        <v>249</v>
      </c>
      <c r="E127" s="8">
        <v>124474</v>
      </c>
      <c r="N127" s="8"/>
      <c r="O127" s="6"/>
      <c r="P127" s="8"/>
      <c r="Q127" s="6"/>
      <c r="AA127" s="8"/>
      <c r="AB127" s="6"/>
      <c r="AC127" s="8"/>
      <c r="AD127" s="6"/>
      <c r="AE127" s="8"/>
      <c r="AF127" s="6"/>
      <c r="AG127" s="8"/>
      <c r="AH127" s="6"/>
      <c r="AI127" s="8"/>
      <c r="AJ127" s="6"/>
      <c r="AK127" s="8"/>
      <c r="AL127" s="6"/>
      <c r="AM127" s="8"/>
      <c r="AO127" s="8"/>
      <c r="AR127" s="8"/>
      <c r="AS127" s="6"/>
      <c r="AT127" s="8"/>
      <c r="AW127" s="6"/>
      <c r="AX127" s="8"/>
      <c r="BA127" s="6"/>
      <c r="BF127" s="6"/>
      <c r="BK127" s="6"/>
      <c r="BL127" s="8"/>
      <c r="BM127" s="6"/>
      <c r="BN127" s="8"/>
      <c r="BO127" s="8"/>
      <c r="BP127" s="6"/>
      <c r="BS127" s="6"/>
      <c r="BT127" s="8"/>
      <c r="BU127" s="8"/>
      <c r="BV127" s="8"/>
      <c r="BW127" s="8"/>
      <c r="BX127" s="8"/>
      <c r="BY127" s="8"/>
      <c r="CA127" s="6"/>
      <c r="CK127" s="8"/>
      <c r="CP127" s="6"/>
      <c r="CX127" s="8"/>
      <c r="CZ127" s="8"/>
      <c r="DA127" s="8"/>
      <c r="DB127" s="8"/>
      <c r="DC127" s="6"/>
      <c r="DF127" s="9">
        <f t="shared" si="2"/>
        <v>124474</v>
      </c>
      <c r="DG127" s="9">
        <v>124474</v>
      </c>
      <c r="DH127" s="9">
        <f t="shared" si="3"/>
        <v>0</v>
      </c>
    </row>
    <row r="128" spans="1:112" x14ac:dyDescent="0.25">
      <c r="A128" s="4" t="s">
        <v>250</v>
      </c>
      <c r="N128" s="8"/>
      <c r="O128" s="6"/>
      <c r="P128" s="8"/>
      <c r="Q128" s="6"/>
      <c r="AA128" s="8"/>
      <c r="AB128" s="6"/>
      <c r="AC128" s="8"/>
      <c r="AD128" s="6"/>
      <c r="AE128" s="8"/>
      <c r="AF128" s="6"/>
      <c r="AG128" s="8"/>
      <c r="AH128" s="6"/>
      <c r="AI128" s="8"/>
      <c r="AJ128" s="6"/>
      <c r="AK128" s="8"/>
      <c r="AL128" s="6"/>
      <c r="AM128" s="8"/>
      <c r="AO128" s="8"/>
      <c r="AR128" s="8"/>
      <c r="AS128" s="6"/>
      <c r="AT128" s="8"/>
      <c r="AW128" s="6"/>
      <c r="AX128" s="8"/>
      <c r="BA128" s="6"/>
      <c r="BF128" s="6"/>
      <c r="BK128" s="6"/>
      <c r="BL128" s="8"/>
      <c r="BM128" s="6"/>
      <c r="BN128" s="8"/>
      <c r="BO128" s="8"/>
      <c r="BP128" s="6"/>
      <c r="BS128" s="6"/>
      <c r="BT128" s="8"/>
      <c r="BU128" s="8"/>
      <c r="BV128" s="8"/>
      <c r="BW128" s="8"/>
      <c r="BX128" s="8"/>
      <c r="BY128" s="8"/>
      <c r="CA128" s="6"/>
      <c r="CK128" s="8"/>
      <c r="CP128" s="6"/>
      <c r="CX128" s="8"/>
      <c r="CZ128" s="8"/>
      <c r="DA128" s="8"/>
      <c r="DB128" s="8"/>
      <c r="DC128" s="6"/>
      <c r="DF128" s="9">
        <f t="shared" si="2"/>
        <v>0</v>
      </c>
      <c r="DG128" s="9"/>
      <c r="DH128" s="9">
        <f t="shared" si="3"/>
        <v>0</v>
      </c>
    </row>
    <row r="129" spans="1:112" x14ac:dyDescent="0.25">
      <c r="A129" s="208" t="s">
        <v>1760</v>
      </c>
      <c r="B129" s="4" t="s">
        <v>1760</v>
      </c>
      <c r="C129" s="1" t="s">
        <v>1761</v>
      </c>
      <c r="N129" s="8"/>
      <c r="O129" s="6"/>
      <c r="P129" s="8"/>
      <c r="Q129" s="6"/>
      <c r="AA129" s="8"/>
      <c r="AB129" s="6"/>
      <c r="AC129" s="8"/>
      <c r="AD129" s="6"/>
      <c r="AE129" s="8"/>
      <c r="AF129" s="6"/>
      <c r="AG129" s="8"/>
      <c r="AH129" s="6"/>
      <c r="AI129" s="8"/>
      <c r="AJ129" s="6"/>
      <c r="AK129" s="8"/>
      <c r="AL129" s="6"/>
      <c r="AM129" s="8"/>
      <c r="AO129" s="8"/>
      <c r="AR129" s="8"/>
      <c r="AS129" s="6"/>
      <c r="AT129" s="8"/>
      <c r="AW129" s="6"/>
      <c r="AX129" s="8"/>
      <c r="BA129" s="6">
        <v>27470.66</v>
      </c>
      <c r="BF129" s="6"/>
      <c r="BJ129" s="8">
        <v>337.07</v>
      </c>
      <c r="BK129" s="6"/>
      <c r="BL129" s="8">
        <v>4875.74</v>
      </c>
      <c r="BM129" s="6">
        <v>69769.119999999995</v>
      </c>
      <c r="BN129" s="8"/>
      <c r="BO129" s="8"/>
      <c r="BP129" s="6"/>
      <c r="BS129" s="6"/>
      <c r="BT129" s="8"/>
      <c r="BU129" s="8"/>
      <c r="BV129" s="8"/>
      <c r="BW129" s="8"/>
      <c r="BX129" s="8"/>
      <c r="BY129" s="8"/>
      <c r="CA129" s="6"/>
      <c r="CJ129" s="8">
        <v>52197.22</v>
      </c>
      <c r="CK129" s="8"/>
      <c r="CO129" s="8">
        <v>27847.919999999998</v>
      </c>
      <c r="CP129" s="6"/>
      <c r="CR129" s="6">
        <v>282024.55</v>
      </c>
      <c r="CV129" s="6">
        <v>39877.22</v>
      </c>
      <c r="CX129" s="8"/>
      <c r="CZ129" s="8"/>
      <c r="DA129" s="8"/>
      <c r="DB129" s="8"/>
      <c r="DC129" s="6"/>
      <c r="DF129" s="9">
        <f t="shared" si="2"/>
        <v>504399.5</v>
      </c>
      <c r="DG129" s="9">
        <v>504399.5</v>
      </c>
      <c r="DH129" s="9">
        <f t="shared" si="3"/>
        <v>0</v>
      </c>
    </row>
    <row r="130" spans="1:112" x14ac:dyDescent="0.25">
      <c r="A130" s="4" t="s">
        <v>252</v>
      </c>
      <c r="B130" s="4" t="s">
        <v>252</v>
      </c>
      <c r="C130" s="1" t="s">
        <v>253</v>
      </c>
      <c r="E130" s="8">
        <v>4286584</v>
      </c>
      <c r="I130" s="8">
        <v>2500610</v>
      </c>
      <c r="K130" s="8">
        <v>4222277</v>
      </c>
      <c r="N130" s="8"/>
      <c r="O130" s="6">
        <v>2267693</v>
      </c>
      <c r="P130" s="8"/>
      <c r="Q130" s="6"/>
      <c r="R130" s="8">
        <v>3645373</v>
      </c>
      <c r="V130" s="8">
        <v>4449894</v>
      </c>
      <c r="W130" s="6">
        <v>2700415</v>
      </c>
      <c r="X130" s="8">
        <v>9188349</v>
      </c>
      <c r="Y130" s="6">
        <v>2654002</v>
      </c>
      <c r="Z130" s="8">
        <v>2182058</v>
      </c>
      <c r="AA130" s="8"/>
      <c r="AB130" s="6"/>
      <c r="AC130" s="8"/>
      <c r="AD130" s="6"/>
      <c r="AE130" s="8"/>
      <c r="AF130" s="6"/>
      <c r="AG130" s="8">
        <v>9278135</v>
      </c>
      <c r="AH130" s="6">
        <v>4646800</v>
      </c>
      <c r="AI130" s="8"/>
      <c r="AJ130" s="6">
        <v>1095192</v>
      </c>
      <c r="AK130" s="8">
        <v>6380273</v>
      </c>
      <c r="AL130" s="6">
        <v>3083532</v>
      </c>
      <c r="AM130" s="8">
        <v>3040589</v>
      </c>
      <c r="AO130" s="8"/>
      <c r="AP130" s="6">
        <v>1721400</v>
      </c>
      <c r="AR130" s="8"/>
      <c r="AS130" s="6"/>
      <c r="AT130" s="8">
        <v>5261208</v>
      </c>
      <c r="AV130" s="6">
        <v>1724615</v>
      </c>
      <c r="AW130" s="6"/>
      <c r="AX130" s="8">
        <v>38257</v>
      </c>
      <c r="BA130" s="6">
        <v>13258230</v>
      </c>
      <c r="BB130" s="8">
        <v>5682546</v>
      </c>
      <c r="BC130" s="6">
        <v>972864</v>
      </c>
      <c r="BD130" s="8">
        <v>3185385</v>
      </c>
      <c r="BE130" s="6">
        <v>3767649</v>
      </c>
      <c r="BF130" s="6"/>
      <c r="BH130" s="8">
        <v>11929744</v>
      </c>
      <c r="BI130" s="6">
        <v>2751965</v>
      </c>
      <c r="BJ130" s="8">
        <v>6531267</v>
      </c>
      <c r="BK130" s="6"/>
      <c r="BL130" s="8">
        <v>-6531267</v>
      </c>
      <c r="BM130" s="6">
        <v>7399263</v>
      </c>
      <c r="BN130" s="8">
        <v>3107191</v>
      </c>
      <c r="BO130" s="8"/>
      <c r="BP130" s="6"/>
      <c r="BS130" s="6"/>
      <c r="BT130" s="8"/>
      <c r="BU130" s="8"/>
      <c r="BV130" s="8"/>
      <c r="BW130" s="8"/>
      <c r="BX130" s="8"/>
      <c r="BY130" s="8"/>
      <c r="CA130" s="6"/>
      <c r="CJ130" s="8">
        <v>3228321</v>
      </c>
      <c r="CK130" s="8"/>
      <c r="CM130" s="6">
        <v>14741036</v>
      </c>
      <c r="CO130" s="8">
        <v>6391071</v>
      </c>
      <c r="CP130" s="6">
        <v>4508429</v>
      </c>
      <c r="CR130" s="6">
        <v>23536572</v>
      </c>
      <c r="CS130" s="8">
        <v>1960989</v>
      </c>
      <c r="CT130" s="6">
        <v>1665160</v>
      </c>
      <c r="CV130" s="6">
        <v>4066612</v>
      </c>
      <c r="CX130" s="8"/>
      <c r="CZ130" s="8"/>
      <c r="DA130" s="8"/>
      <c r="DB130" s="8"/>
      <c r="DC130" s="6">
        <v>3135522</v>
      </c>
      <c r="DE130" s="6">
        <v>4267529</v>
      </c>
      <c r="DF130" s="9">
        <f t="shared" si="2"/>
        <v>193923334</v>
      </c>
      <c r="DG130" s="9">
        <v>193923334</v>
      </c>
      <c r="DH130" s="9">
        <f t="shared" si="3"/>
        <v>0</v>
      </c>
    </row>
    <row r="131" spans="1:112" x14ac:dyDescent="0.25">
      <c r="A131" s="4" t="s">
        <v>772</v>
      </c>
      <c r="B131" s="4" t="s">
        <v>772</v>
      </c>
      <c r="C131" s="1" t="s">
        <v>773</v>
      </c>
      <c r="N131" s="8"/>
      <c r="O131" s="6"/>
      <c r="P131" s="8"/>
      <c r="Q131" s="6"/>
      <c r="AA131" s="8"/>
      <c r="AB131" s="6"/>
      <c r="AC131" s="8"/>
      <c r="AD131" s="6"/>
      <c r="AE131" s="8"/>
      <c r="AF131" s="6"/>
      <c r="AG131" s="8"/>
      <c r="AH131" s="6"/>
      <c r="AI131" s="8"/>
      <c r="AJ131" s="6"/>
      <c r="AK131" s="8"/>
      <c r="AL131" s="6"/>
      <c r="AM131" s="8"/>
      <c r="AO131" s="8"/>
      <c r="AR131" s="8"/>
      <c r="AS131" s="6"/>
      <c r="AT131" s="8"/>
      <c r="AW131" s="6"/>
      <c r="AX131" s="8"/>
      <c r="BA131" s="6"/>
      <c r="BF131" s="6"/>
      <c r="BH131" s="8">
        <v>173000</v>
      </c>
      <c r="BK131" s="6"/>
      <c r="BL131" s="8"/>
      <c r="BM131" s="6"/>
      <c r="BN131" s="8"/>
      <c r="BO131" s="8"/>
      <c r="BP131" s="6"/>
      <c r="BS131" s="6"/>
      <c r="BT131" s="8"/>
      <c r="BU131" s="8"/>
      <c r="BV131" s="8"/>
      <c r="BW131" s="8"/>
      <c r="BX131" s="8"/>
      <c r="BY131" s="8"/>
      <c r="CA131" s="6"/>
      <c r="CK131" s="8"/>
      <c r="CP131" s="6">
        <v>22000</v>
      </c>
      <c r="CR131" s="6">
        <v>3446000</v>
      </c>
      <c r="CX131" s="8"/>
      <c r="CZ131" s="8"/>
      <c r="DA131" s="8"/>
      <c r="DB131" s="8"/>
      <c r="DC131" s="6"/>
      <c r="DE131" s="6">
        <v>112000</v>
      </c>
      <c r="DF131" s="9">
        <f t="shared" si="2"/>
        <v>3753000</v>
      </c>
      <c r="DG131" s="9">
        <v>3753000</v>
      </c>
      <c r="DH131" s="9">
        <f t="shared" si="3"/>
        <v>0</v>
      </c>
    </row>
    <row r="132" spans="1:112" x14ac:dyDescent="0.25">
      <c r="A132" s="4" t="s">
        <v>1499</v>
      </c>
      <c r="B132" s="4" t="s">
        <v>1499</v>
      </c>
      <c r="C132" s="1" t="s">
        <v>1500</v>
      </c>
      <c r="E132" s="8">
        <v>1369682</v>
      </c>
      <c r="N132" s="8"/>
      <c r="O132" s="6"/>
      <c r="P132" s="8"/>
      <c r="Q132" s="6"/>
      <c r="AA132" s="8"/>
      <c r="AB132" s="6"/>
      <c r="AC132" s="8"/>
      <c r="AD132" s="6"/>
      <c r="AE132" s="8"/>
      <c r="AF132" s="6"/>
      <c r="AG132" s="8"/>
      <c r="AH132" s="6"/>
      <c r="AI132" s="8"/>
      <c r="AJ132" s="6"/>
      <c r="AK132" s="8"/>
      <c r="AL132" s="6"/>
      <c r="AM132" s="8"/>
      <c r="AO132" s="8"/>
      <c r="AR132" s="8"/>
      <c r="AS132" s="6"/>
      <c r="AT132" s="8"/>
      <c r="AW132" s="6"/>
      <c r="AX132" s="8"/>
      <c r="BA132" s="6"/>
      <c r="BF132" s="6"/>
      <c r="BK132" s="6"/>
      <c r="BL132" s="8"/>
      <c r="BM132" s="6"/>
      <c r="BN132" s="8"/>
      <c r="BO132" s="8"/>
      <c r="BP132" s="6"/>
      <c r="BS132" s="6"/>
      <c r="BT132" s="8"/>
      <c r="BU132" s="8"/>
      <c r="BV132" s="8"/>
      <c r="BW132" s="8"/>
      <c r="BX132" s="8"/>
      <c r="BY132" s="8"/>
      <c r="CA132" s="6"/>
      <c r="CK132" s="8"/>
      <c r="CP132" s="6"/>
      <c r="CX132" s="8"/>
      <c r="CZ132" s="8"/>
      <c r="DA132" s="8"/>
      <c r="DB132" s="8"/>
      <c r="DC132" s="6"/>
      <c r="DF132" s="9">
        <f t="shared" si="2"/>
        <v>1369682</v>
      </c>
      <c r="DG132" s="9">
        <v>1369682</v>
      </c>
      <c r="DH132" s="9">
        <f t="shared" si="3"/>
        <v>0</v>
      </c>
    </row>
    <row r="133" spans="1:112" x14ac:dyDescent="0.25">
      <c r="A133" s="4" t="s">
        <v>1601</v>
      </c>
      <c r="B133" s="4" t="s">
        <v>1601</v>
      </c>
      <c r="C133" s="1" t="s">
        <v>1602</v>
      </c>
      <c r="N133" s="8"/>
      <c r="O133" s="6"/>
      <c r="P133" s="8"/>
      <c r="Q133" s="6"/>
      <c r="AA133" s="8"/>
      <c r="AB133" s="6"/>
      <c r="AC133" s="8"/>
      <c r="AD133" s="6"/>
      <c r="AE133" s="8"/>
      <c r="AF133" s="6"/>
      <c r="AG133" s="8"/>
      <c r="AH133" s="6"/>
      <c r="AI133" s="8"/>
      <c r="AJ133" s="6"/>
      <c r="AK133" s="8"/>
      <c r="AL133" s="6"/>
      <c r="AM133" s="8"/>
      <c r="AO133" s="8"/>
      <c r="AR133" s="8"/>
      <c r="AS133" s="6"/>
      <c r="AT133" s="8"/>
      <c r="AW133" s="6"/>
      <c r="AX133" s="8"/>
      <c r="BA133" s="6"/>
      <c r="BB133" s="8">
        <v>308296</v>
      </c>
      <c r="BF133" s="6"/>
      <c r="BK133" s="6"/>
      <c r="BL133" s="8"/>
      <c r="BM133" s="6"/>
      <c r="BN133" s="8">
        <v>6564</v>
      </c>
      <c r="BO133" s="8"/>
      <c r="BP133" s="6"/>
      <c r="BS133" s="6"/>
      <c r="BT133" s="8"/>
      <c r="BU133" s="8"/>
      <c r="BV133" s="8"/>
      <c r="BW133" s="8"/>
      <c r="BX133" s="8"/>
      <c r="BY133" s="8"/>
      <c r="CA133" s="6"/>
      <c r="CK133" s="8"/>
      <c r="CP133" s="6"/>
      <c r="CR133" s="6">
        <v>798</v>
      </c>
      <c r="CX133" s="8"/>
      <c r="CZ133" s="8"/>
      <c r="DA133" s="8"/>
      <c r="DB133" s="8"/>
      <c r="DC133" s="6"/>
      <c r="DF133" s="9">
        <f t="shared" si="2"/>
        <v>315658</v>
      </c>
      <c r="DG133" s="9">
        <v>315658</v>
      </c>
      <c r="DH133" s="9">
        <f t="shared" si="3"/>
        <v>0</v>
      </c>
    </row>
    <row r="134" spans="1:112" x14ac:dyDescent="0.25">
      <c r="A134" s="4" t="s">
        <v>1603</v>
      </c>
      <c r="B134" s="4" t="s">
        <v>1603</v>
      </c>
      <c r="C134" s="1" t="s">
        <v>1604</v>
      </c>
      <c r="N134" s="8"/>
      <c r="O134" s="6"/>
      <c r="P134" s="8"/>
      <c r="Q134" s="6"/>
      <c r="AA134" s="8"/>
      <c r="AB134" s="6"/>
      <c r="AC134" s="8"/>
      <c r="AD134" s="6"/>
      <c r="AE134" s="8"/>
      <c r="AF134" s="6"/>
      <c r="AG134" s="8"/>
      <c r="AH134" s="6"/>
      <c r="AI134" s="8"/>
      <c r="AJ134" s="6"/>
      <c r="AK134" s="8"/>
      <c r="AL134" s="6"/>
      <c r="AM134" s="8"/>
      <c r="AO134" s="8"/>
      <c r="AR134" s="8"/>
      <c r="AS134" s="6"/>
      <c r="AT134" s="8"/>
      <c r="AW134" s="6"/>
      <c r="AX134" s="8"/>
      <c r="BA134" s="6"/>
      <c r="BB134" s="8">
        <v>438732</v>
      </c>
      <c r="BF134" s="6"/>
      <c r="BK134" s="6"/>
      <c r="BL134" s="8"/>
      <c r="BM134" s="6"/>
      <c r="BN134" s="8">
        <v>9337</v>
      </c>
      <c r="BO134" s="8"/>
      <c r="BP134" s="6"/>
      <c r="BS134" s="6"/>
      <c r="BT134" s="8"/>
      <c r="BU134" s="8"/>
      <c r="BV134" s="8"/>
      <c r="BW134" s="8"/>
      <c r="BX134" s="8"/>
      <c r="BY134" s="8"/>
      <c r="CA134" s="6"/>
      <c r="CK134" s="8"/>
      <c r="CP134" s="6"/>
      <c r="CR134" s="6">
        <v>1135</v>
      </c>
      <c r="CX134" s="8"/>
      <c r="CZ134" s="8"/>
      <c r="DA134" s="8"/>
      <c r="DB134" s="8"/>
      <c r="DC134" s="6"/>
      <c r="DF134" s="9">
        <f t="shared" si="2"/>
        <v>449204</v>
      </c>
      <c r="DG134" s="9">
        <v>449204</v>
      </c>
      <c r="DH134" s="9">
        <f t="shared" si="3"/>
        <v>0</v>
      </c>
    </row>
    <row r="135" spans="1:112" x14ac:dyDescent="0.25">
      <c r="A135" s="4" t="s">
        <v>254</v>
      </c>
      <c r="N135" s="8"/>
      <c r="O135" s="6"/>
      <c r="P135" s="8"/>
      <c r="Q135" s="6"/>
      <c r="AA135" s="8"/>
      <c r="AB135" s="6"/>
      <c r="AC135" s="8"/>
      <c r="AD135" s="6"/>
      <c r="AE135" s="8"/>
      <c r="AF135" s="6"/>
      <c r="AG135" s="8"/>
      <c r="AH135" s="6"/>
      <c r="AI135" s="8"/>
      <c r="AJ135" s="6"/>
      <c r="AK135" s="8"/>
      <c r="AL135" s="6"/>
      <c r="AM135" s="8"/>
      <c r="AO135" s="8"/>
      <c r="AR135" s="8"/>
      <c r="AS135" s="6"/>
      <c r="AT135" s="8"/>
      <c r="AW135" s="6"/>
      <c r="AX135" s="8"/>
      <c r="BA135" s="6"/>
      <c r="BF135" s="6"/>
      <c r="BK135" s="6"/>
      <c r="BL135" s="8"/>
      <c r="BM135" s="6"/>
      <c r="BN135" s="8"/>
      <c r="BO135" s="8"/>
      <c r="BP135" s="6"/>
      <c r="BS135" s="6"/>
      <c r="BT135" s="8"/>
      <c r="BU135" s="8"/>
      <c r="BV135" s="8"/>
      <c r="BW135" s="8"/>
      <c r="BX135" s="8"/>
      <c r="BY135" s="8"/>
      <c r="CA135" s="6"/>
      <c r="CK135" s="8"/>
      <c r="CP135" s="6"/>
      <c r="CX135" s="8"/>
      <c r="CZ135" s="8"/>
      <c r="DA135" s="8"/>
      <c r="DB135" s="8"/>
      <c r="DC135" s="6"/>
      <c r="DF135" s="9">
        <f t="shared" ref="DF135:DF198" si="4">SUM(D135:DE135)</f>
        <v>0</v>
      </c>
      <c r="DG135" s="9"/>
      <c r="DH135" s="9">
        <f t="shared" ref="DH135:DH198" si="5">+DF135-DG135</f>
        <v>0</v>
      </c>
    </row>
    <row r="136" spans="1:112" x14ac:dyDescent="0.25">
      <c r="A136" s="4" t="s">
        <v>1648</v>
      </c>
      <c r="N136" s="8"/>
      <c r="O136" s="6"/>
      <c r="P136" s="8"/>
      <c r="Q136" s="6"/>
      <c r="AA136" s="8"/>
      <c r="AB136" s="6"/>
      <c r="AC136" s="8"/>
      <c r="AD136" s="6"/>
      <c r="AE136" s="8"/>
      <c r="AF136" s="6"/>
      <c r="AG136" s="8"/>
      <c r="AH136" s="6"/>
      <c r="AI136" s="8"/>
      <c r="AJ136" s="6"/>
      <c r="AK136" s="8"/>
      <c r="AL136" s="6"/>
      <c r="AM136" s="8"/>
      <c r="AO136" s="8"/>
      <c r="AR136" s="8"/>
      <c r="AS136" s="6"/>
      <c r="AT136" s="8"/>
      <c r="AW136" s="6"/>
      <c r="AX136" s="8"/>
      <c r="BA136" s="6"/>
      <c r="BF136" s="6"/>
      <c r="BK136" s="6"/>
      <c r="BL136" s="8"/>
      <c r="BM136" s="6"/>
      <c r="BN136" s="8"/>
      <c r="BO136" s="8"/>
      <c r="BP136" s="6"/>
      <c r="BS136" s="6"/>
      <c r="BT136" s="8"/>
      <c r="BU136" s="8"/>
      <c r="BV136" s="8"/>
      <c r="BW136" s="8"/>
      <c r="BX136" s="8"/>
      <c r="BY136" s="8"/>
      <c r="CA136" s="6"/>
      <c r="CK136" s="8"/>
      <c r="CP136" s="6"/>
      <c r="CX136" s="8"/>
      <c r="CZ136" s="8"/>
      <c r="DA136" s="8"/>
      <c r="DB136" s="8"/>
      <c r="DC136" s="6"/>
      <c r="DF136" s="9">
        <f t="shared" si="4"/>
        <v>0</v>
      </c>
      <c r="DG136" s="9"/>
      <c r="DH136" s="9">
        <f t="shared" si="5"/>
        <v>0</v>
      </c>
    </row>
    <row r="137" spans="1:112" x14ac:dyDescent="0.25">
      <c r="A137" s="4" t="s">
        <v>256</v>
      </c>
      <c r="N137" s="8"/>
      <c r="O137" s="6"/>
      <c r="P137" s="8"/>
      <c r="Q137" s="6"/>
      <c r="AA137" s="8"/>
      <c r="AB137" s="6"/>
      <c r="AC137" s="8"/>
      <c r="AD137" s="6"/>
      <c r="AE137" s="8"/>
      <c r="AF137" s="6"/>
      <c r="AG137" s="8"/>
      <c r="AH137" s="6"/>
      <c r="AI137" s="8"/>
      <c r="AJ137" s="6"/>
      <c r="AK137" s="8"/>
      <c r="AL137" s="6"/>
      <c r="AM137" s="8"/>
      <c r="AO137" s="8"/>
      <c r="AR137" s="8"/>
      <c r="AS137" s="6"/>
      <c r="AT137" s="8"/>
      <c r="AW137" s="6"/>
      <c r="AX137" s="8"/>
      <c r="BA137" s="6"/>
      <c r="BF137" s="6"/>
      <c r="BK137" s="6"/>
      <c r="BL137" s="8"/>
      <c r="BM137" s="6"/>
      <c r="BN137" s="8"/>
      <c r="BO137" s="8"/>
      <c r="BP137" s="6"/>
      <c r="BS137" s="6"/>
      <c r="BT137" s="8"/>
      <c r="BU137" s="8"/>
      <c r="BV137" s="8"/>
      <c r="BW137" s="8"/>
      <c r="BX137" s="8"/>
      <c r="BY137" s="8"/>
      <c r="CA137" s="6"/>
      <c r="CK137" s="8"/>
      <c r="CP137" s="6"/>
      <c r="CX137" s="8"/>
      <c r="CZ137" s="8"/>
      <c r="DA137" s="8"/>
      <c r="DB137" s="8"/>
      <c r="DC137" s="6"/>
      <c r="DF137" s="9">
        <f t="shared" si="4"/>
        <v>0</v>
      </c>
      <c r="DG137" s="9"/>
      <c r="DH137" s="9">
        <f t="shared" si="5"/>
        <v>0</v>
      </c>
    </row>
    <row r="138" spans="1:112" x14ac:dyDescent="0.25">
      <c r="A138" s="4" t="s">
        <v>258</v>
      </c>
      <c r="B138" s="4" t="s">
        <v>258</v>
      </c>
      <c r="C138" s="1" t="s">
        <v>259</v>
      </c>
      <c r="N138" s="8"/>
      <c r="O138" s="6"/>
      <c r="P138" s="8"/>
      <c r="Q138" s="6"/>
      <c r="AA138" s="8"/>
      <c r="AB138" s="6"/>
      <c r="AC138" s="8"/>
      <c r="AD138" s="6"/>
      <c r="AE138" s="8"/>
      <c r="AF138" s="6"/>
      <c r="AG138" s="8"/>
      <c r="AH138" s="6"/>
      <c r="AI138" s="8"/>
      <c r="AJ138" s="6"/>
      <c r="AK138" s="8"/>
      <c r="AL138" s="6"/>
      <c r="AM138" s="8"/>
      <c r="AO138" s="8"/>
      <c r="AR138" s="8"/>
      <c r="AS138" s="6"/>
      <c r="AT138" s="8"/>
      <c r="AW138" s="6"/>
      <c r="AX138" s="8"/>
      <c r="BA138" s="6"/>
      <c r="BF138" s="6"/>
      <c r="BK138" s="6"/>
      <c r="BL138" s="8"/>
      <c r="BM138" s="6"/>
      <c r="BN138" s="8"/>
      <c r="BO138" s="8"/>
      <c r="BP138" s="6"/>
      <c r="BS138" s="6"/>
      <c r="BT138" s="8"/>
      <c r="BU138" s="8"/>
      <c r="BV138" s="8"/>
      <c r="BW138" s="8"/>
      <c r="BX138" s="8"/>
      <c r="BY138" s="8"/>
      <c r="CA138" s="6"/>
      <c r="CK138" s="8"/>
      <c r="CM138" s="6">
        <v>-74000</v>
      </c>
      <c r="CP138" s="6"/>
      <c r="CX138" s="8"/>
      <c r="CZ138" s="8"/>
      <c r="DA138" s="8"/>
      <c r="DB138" s="8"/>
      <c r="DC138" s="6"/>
      <c r="DF138" s="9">
        <f t="shared" si="4"/>
        <v>-74000</v>
      </c>
      <c r="DG138" s="9">
        <v>-74000</v>
      </c>
      <c r="DH138" s="9">
        <f t="shared" si="5"/>
        <v>0</v>
      </c>
    </row>
    <row r="139" spans="1:112" x14ac:dyDescent="0.25">
      <c r="A139" s="4" t="s">
        <v>260</v>
      </c>
      <c r="B139" s="4" t="s">
        <v>260</v>
      </c>
      <c r="C139" s="1" t="s">
        <v>261</v>
      </c>
      <c r="E139" s="8">
        <v>19440000</v>
      </c>
      <c r="N139" s="8"/>
      <c r="O139" s="6"/>
      <c r="P139" s="8"/>
      <c r="Q139" s="6"/>
      <c r="AA139" s="8"/>
      <c r="AB139" s="6"/>
      <c r="AC139" s="8"/>
      <c r="AD139" s="6"/>
      <c r="AE139" s="8"/>
      <c r="AF139" s="6"/>
      <c r="AG139" s="8"/>
      <c r="AH139" s="6"/>
      <c r="AI139" s="8"/>
      <c r="AJ139" s="6"/>
      <c r="AK139" s="8"/>
      <c r="AL139" s="6"/>
      <c r="AM139" s="8"/>
      <c r="AO139" s="8"/>
      <c r="AR139" s="8"/>
      <c r="AS139" s="6"/>
      <c r="AT139" s="8"/>
      <c r="AW139" s="6"/>
      <c r="AX139" s="8"/>
      <c r="BA139" s="6"/>
      <c r="BF139" s="6"/>
      <c r="BK139" s="6"/>
      <c r="BL139" s="8"/>
      <c r="BM139" s="6"/>
      <c r="BN139" s="8"/>
      <c r="BO139" s="8"/>
      <c r="BP139" s="6"/>
      <c r="BS139" s="6"/>
      <c r="BT139" s="8"/>
      <c r="BU139" s="8"/>
      <c r="BV139" s="8"/>
      <c r="BW139" s="8"/>
      <c r="BX139" s="8"/>
      <c r="BY139" s="8"/>
      <c r="CA139" s="6"/>
      <c r="CK139" s="8"/>
      <c r="CP139" s="6"/>
      <c r="CX139" s="8"/>
      <c r="CZ139" s="8"/>
      <c r="DA139" s="8"/>
      <c r="DB139" s="8"/>
      <c r="DC139" s="6"/>
      <c r="DF139" s="9">
        <f t="shared" si="4"/>
        <v>19440000</v>
      </c>
      <c r="DG139" s="9">
        <v>19440000</v>
      </c>
      <c r="DH139" s="9">
        <f t="shared" si="5"/>
        <v>0</v>
      </c>
    </row>
    <row r="140" spans="1:112" x14ac:dyDescent="0.25">
      <c r="A140" s="4" t="s">
        <v>262</v>
      </c>
      <c r="B140" s="4" t="s">
        <v>262</v>
      </c>
      <c r="C140" s="1" t="s">
        <v>263</v>
      </c>
      <c r="G140" s="8">
        <v>26400</v>
      </c>
      <c r="N140" s="8"/>
      <c r="O140" s="6"/>
      <c r="P140" s="8"/>
      <c r="Q140" s="6"/>
      <c r="AA140" s="8"/>
      <c r="AB140" s="6"/>
      <c r="AC140" s="8"/>
      <c r="AD140" s="6"/>
      <c r="AE140" s="8"/>
      <c r="AF140" s="6"/>
      <c r="AG140" s="8"/>
      <c r="AH140" s="6"/>
      <c r="AI140" s="8"/>
      <c r="AJ140" s="6"/>
      <c r="AK140" s="8"/>
      <c r="AL140" s="6"/>
      <c r="AM140" s="8"/>
      <c r="AO140" s="8"/>
      <c r="AR140" s="8"/>
      <c r="AS140" s="6"/>
      <c r="AT140" s="8"/>
      <c r="AW140" s="6"/>
      <c r="AX140" s="8"/>
      <c r="BA140" s="6"/>
      <c r="BF140" s="6"/>
      <c r="BJ140" s="8">
        <v>17160</v>
      </c>
      <c r="BK140" s="6"/>
      <c r="BL140" s="8">
        <v>57420</v>
      </c>
      <c r="BM140" s="6">
        <v>66000</v>
      </c>
      <c r="BN140" s="8"/>
      <c r="BO140" s="8"/>
      <c r="BP140" s="6"/>
      <c r="BS140" s="6"/>
      <c r="BT140" s="8"/>
      <c r="BU140" s="8"/>
      <c r="BV140" s="8"/>
      <c r="BW140" s="8"/>
      <c r="BX140" s="8"/>
      <c r="BY140" s="8"/>
      <c r="CA140" s="6"/>
      <c r="CJ140" s="8">
        <v>33000</v>
      </c>
      <c r="CK140" s="8"/>
      <c r="CP140" s="6"/>
      <c r="CR140" s="6">
        <v>23100</v>
      </c>
      <c r="CX140" s="8"/>
      <c r="CZ140" s="8"/>
      <c r="DA140" s="8"/>
      <c r="DB140" s="8"/>
      <c r="DC140" s="6"/>
      <c r="DF140" s="9">
        <f t="shared" si="4"/>
        <v>223080</v>
      </c>
      <c r="DG140" s="9">
        <v>223080</v>
      </c>
      <c r="DH140" s="9">
        <f t="shared" si="5"/>
        <v>0</v>
      </c>
    </row>
    <row r="141" spans="1:112" x14ac:dyDescent="0.25">
      <c r="A141" s="4" t="s">
        <v>1855</v>
      </c>
      <c r="B141" s="4" t="s">
        <v>1855</v>
      </c>
      <c r="C141" s="1" t="s">
        <v>1856</v>
      </c>
      <c r="N141" s="8"/>
      <c r="O141" s="6"/>
      <c r="P141" s="8"/>
      <c r="Q141" s="6"/>
      <c r="AA141" s="8"/>
      <c r="AB141" s="6"/>
      <c r="AC141" s="8"/>
      <c r="AD141" s="6"/>
      <c r="AE141" s="8"/>
      <c r="AF141" s="6"/>
      <c r="AG141" s="8"/>
      <c r="AH141" s="6"/>
      <c r="AI141" s="8"/>
      <c r="AJ141" s="6"/>
      <c r="AK141" s="8"/>
      <c r="AL141" s="6"/>
      <c r="AM141" s="8"/>
      <c r="AO141" s="8"/>
      <c r="AR141" s="8"/>
      <c r="AS141" s="6"/>
      <c r="AT141" s="8"/>
      <c r="AW141" s="6"/>
      <c r="AX141" s="8"/>
      <c r="BA141" s="6"/>
      <c r="BF141" s="6"/>
      <c r="BK141" s="6"/>
      <c r="BL141" s="8"/>
      <c r="BM141" s="6"/>
      <c r="BN141" s="8"/>
      <c r="BO141" s="8"/>
      <c r="BP141" s="6"/>
      <c r="BS141" s="6"/>
      <c r="BT141" s="8"/>
      <c r="BU141" s="8"/>
      <c r="BV141" s="8"/>
      <c r="BW141" s="8"/>
      <c r="BX141" s="8"/>
      <c r="BY141" s="8"/>
      <c r="CA141" s="6"/>
      <c r="CK141" s="8"/>
      <c r="CM141" s="6">
        <v>-789000</v>
      </c>
      <c r="CP141" s="6"/>
      <c r="CX141" s="8"/>
      <c r="CZ141" s="8"/>
      <c r="DA141" s="8"/>
      <c r="DB141" s="8"/>
      <c r="DC141" s="6"/>
      <c r="DF141" s="9">
        <f t="shared" si="4"/>
        <v>-789000</v>
      </c>
      <c r="DG141" s="9">
        <v>-789000</v>
      </c>
      <c r="DH141" s="9">
        <f t="shared" si="5"/>
        <v>0</v>
      </c>
    </row>
    <row r="142" spans="1:112" x14ac:dyDescent="0.25">
      <c r="A142" s="4" t="s">
        <v>264</v>
      </c>
      <c r="B142" s="4" t="s">
        <v>264</v>
      </c>
      <c r="C142" s="1" t="s">
        <v>265</v>
      </c>
      <c r="E142" s="8">
        <v>-3059894</v>
      </c>
      <c r="F142" s="6">
        <v>714036</v>
      </c>
      <c r="G142" s="8">
        <v>123114</v>
      </c>
      <c r="H142" s="6">
        <v>236600</v>
      </c>
      <c r="K142" s="8">
        <v>1477093</v>
      </c>
      <c r="N142" s="8"/>
      <c r="O142" s="6">
        <v>208185</v>
      </c>
      <c r="P142" s="8"/>
      <c r="Q142" s="6"/>
      <c r="R142" s="8">
        <v>155033</v>
      </c>
      <c r="T142" s="8">
        <v>0</v>
      </c>
      <c r="V142" s="8">
        <v>0</v>
      </c>
      <c r="W142" s="6">
        <v>0</v>
      </c>
      <c r="X142" s="8">
        <v>100920</v>
      </c>
      <c r="Y142" s="6">
        <v>283152</v>
      </c>
      <c r="AA142" s="8"/>
      <c r="AB142" s="6">
        <v>-379530</v>
      </c>
      <c r="AC142" s="8"/>
      <c r="AD142" s="6"/>
      <c r="AE142" s="8"/>
      <c r="AF142" s="6">
        <v>21121</v>
      </c>
      <c r="AG142" s="8">
        <v>291359</v>
      </c>
      <c r="AH142" s="6"/>
      <c r="AI142" s="8"/>
      <c r="AJ142" s="6"/>
      <c r="AK142" s="8">
        <v>115860</v>
      </c>
      <c r="AL142" s="6">
        <v>0</v>
      </c>
      <c r="AM142" s="8"/>
      <c r="AO142" s="8"/>
      <c r="AP142" s="6">
        <v>288962</v>
      </c>
      <c r="AQ142" s="8">
        <v>421468</v>
      </c>
      <c r="AR142" s="8"/>
      <c r="AS142" s="6"/>
      <c r="AT142" s="8">
        <v>0</v>
      </c>
      <c r="AV142" s="6">
        <v>-29463</v>
      </c>
      <c r="AW142" s="6"/>
      <c r="AX142" s="8"/>
      <c r="BA142" s="6">
        <v>637710</v>
      </c>
      <c r="BD142" s="8">
        <v>0</v>
      </c>
      <c r="BE142" s="6">
        <v>0</v>
      </c>
      <c r="BF142" s="6"/>
      <c r="BH142" s="8">
        <v>-77034</v>
      </c>
      <c r="BI142" s="6">
        <v>34075</v>
      </c>
      <c r="BJ142" s="8">
        <v>260459</v>
      </c>
      <c r="BK142" s="6"/>
      <c r="BL142" s="8">
        <v>740638</v>
      </c>
      <c r="BM142" s="6">
        <v>40586</v>
      </c>
      <c r="BN142" s="8">
        <v>258548</v>
      </c>
      <c r="BO142" s="8"/>
      <c r="BP142" s="6"/>
      <c r="BS142" s="6"/>
      <c r="BT142" s="8"/>
      <c r="BU142" s="8"/>
      <c r="BV142" s="8"/>
      <c r="BW142" s="8"/>
      <c r="BX142" s="8"/>
      <c r="BY142" s="8"/>
      <c r="CA142" s="6"/>
      <c r="CJ142" s="8">
        <v>1233014</v>
      </c>
      <c r="CK142" s="8"/>
      <c r="CO142" s="8">
        <v>-252064</v>
      </c>
      <c r="CP142" s="6"/>
      <c r="CR142" s="6">
        <v>3758951</v>
      </c>
      <c r="CT142" s="6">
        <v>-1015746</v>
      </c>
      <c r="CV142" s="6">
        <v>2913201</v>
      </c>
      <c r="CW142" s="8">
        <v>-183858</v>
      </c>
      <c r="CX142" s="8"/>
      <c r="CZ142" s="8"/>
      <c r="DA142" s="8"/>
      <c r="DB142" s="8"/>
      <c r="DC142" s="6">
        <v>0</v>
      </c>
      <c r="DF142" s="9">
        <f t="shared" si="4"/>
        <v>9316496</v>
      </c>
      <c r="DG142" s="9">
        <v>9316496</v>
      </c>
      <c r="DH142" s="9">
        <f t="shared" si="5"/>
        <v>0</v>
      </c>
    </row>
    <row r="143" spans="1:112" x14ac:dyDescent="0.25">
      <c r="A143" s="4" t="s">
        <v>266</v>
      </c>
      <c r="B143" s="4" t="s">
        <v>266</v>
      </c>
      <c r="C143" s="1" t="s">
        <v>267</v>
      </c>
      <c r="E143" s="8">
        <v>12821720</v>
      </c>
      <c r="G143" s="8">
        <v>94839</v>
      </c>
      <c r="K143" s="8">
        <v>6578922</v>
      </c>
      <c r="N143" s="8"/>
      <c r="O143" s="6">
        <v>3855031</v>
      </c>
      <c r="P143" s="8"/>
      <c r="Q143" s="6"/>
      <c r="R143" s="8">
        <v>124800</v>
      </c>
      <c r="T143" s="8">
        <v>48838</v>
      </c>
      <c r="V143" s="8">
        <v>48020</v>
      </c>
      <c r="W143" s="6">
        <v>815331</v>
      </c>
      <c r="X143" s="8">
        <v>192898</v>
      </c>
      <c r="AA143" s="8"/>
      <c r="AB143" s="6">
        <v>379530</v>
      </c>
      <c r="AC143" s="8"/>
      <c r="AD143" s="6"/>
      <c r="AE143" s="8"/>
      <c r="AF143" s="6"/>
      <c r="AG143" s="8">
        <v>213016</v>
      </c>
      <c r="AH143" s="6">
        <v>62400</v>
      </c>
      <c r="AI143" s="8"/>
      <c r="AJ143" s="6"/>
      <c r="AK143" s="8">
        <v>327563</v>
      </c>
      <c r="AL143" s="6">
        <v>137280</v>
      </c>
      <c r="AM143" s="8"/>
      <c r="AO143" s="8"/>
      <c r="AR143" s="8"/>
      <c r="AS143" s="6"/>
      <c r="AT143" s="8">
        <v>111380</v>
      </c>
      <c r="AV143" s="6">
        <v>45000</v>
      </c>
      <c r="AW143" s="6"/>
      <c r="AX143" s="8"/>
      <c r="BA143" s="6">
        <v>7677772</v>
      </c>
      <c r="BD143" s="8">
        <v>144009</v>
      </c>
      <c r="BE143" s="6">
        <v>537238</v>
      </c>
      <c r="BF143" s="6"/>
      <c r="BH143" s="8">
        <v>199563</v>
      </c>
      <c r="BK143" s="6"/>
      <c r="BL143" s="8">
        <v>169880</v>
      </c>
      <c r="BM143" s="6"/>
      <c r="BN143" s="8"/>
      <c r="BO143" s="8"/>
      <c r="BP143" s="6"/>
      <c r="BS143" s="6"/>
      <c r="BT143" s="8"/>
      <c r="BU143" s="8"/>
      <c r="BV143" s="8"/>
      <c r="BW143" s="8"/>
      <c r="BX143" s="8"/>
      <c r="BY143" s="8"/>
      <c r="CA143" s="6"/>
      <c r="CJ143" s="8">
        <v>1481422</v>
      </c>
      <c r="CK143" s="8"/>
      <c r="CO143" s="8">
        <v>3324366</v>
      </c>
      <c r="CP143" s="6"/>
      <c r="CR143" s="6">
        <v>17226605</v>
      </c>
      <c r="CT143" s="6">
        <v>1045886</v>
      </c>
      <c r="CV143" s="6">
        <v>2744486</v>
      </c>
      <c r="CW143" s="8">
        <v>183858</v>
      </c>
      <c r="CX143" s="8"/>
      <c r="CZ143" s="8"/>
      <c r="DA143" s="8"/>
      <c r="DB143" s="8"/>
      <c r="DC143" s="6">
        <v>536680</v>
      </c>
      <c r="DF143" s="9">
        <f t="shared" si="4"/>
        <v>61128333</v>
      </c>
      <c r="DG143" s="9">
        <v>61128333</v>
      </c>
      <c r="DH143" s="9">
        <f t="shared" si="5"/>
        <v>0</v>
      </c>
    </row>
    <row r="144" spans="1:112" x14ac:dyDescent="0.25">
      <c r="A144" s="4" t="s">
        <v>268</v>
      </c>
      <c r="B144" s="4" t="s">
        <v>268</v>
      </c>
      <c r="C144" s="1" t="s">
        <v>269</v>
      </c>
      <c r="N144" s="8"/>
      <c r="O144" s="6"/>
      <c r="P144" s="8"/>
      <c r="Q144" s="6"/>
      <c r="AA144" s="8"/>
      <c r="AB144" s="6"/>
      <c r="AC144" s="8"/>
      <c r="AD144" s="6"/>
      <c r="AE144" s="8"/>
      <c r="AF144" s="6"/>
      <c r="AG144" s="8"/>
      <c r="AH144" s="6"/>
      <c r="AI144" s="8"/>
      <c r="AJ144" s="6"/>
      <c r="AK144" s="8"/>
      <c r="AL144" s="6"/>
      <c r="AM144" s="8"/>
      <c r="AO144" s="8"/>
      <c r="AR144" s="8"/>
      <c r="AS144" s="6"/>
      <c r="AT144" s="8"/>
      <c r="AW144" s="6"/>
      <c r="AX144" s="8"/>
      <c r="BA144" s="6"/>
      <c r="BF144" s="6"/>
      <c r="BK144" s="6"/>
      <c r="BL144" s="8"/>
      <c r="BM144" s="6"/>
      <c r="BN144" s="8"/>
      <c r="BO144" s="8"/>
      <c r="BP144" s="6"/>
      <c r="BS144" s="6"/>
      <c r="BT144" s="8"/>
      <c r="BU144" s="8"/>
      <c r="BV144" s="8"/>
      <c r="BW144" s="8"/>
      <c r="BX144" s="8"/>
      <c r="BY144" s="8"/>
      <c r="CA144" s="6"/>
      <c r="CK144" s="8"/>
      <c r="CO144" s="8">
        <v>592280</v>
      </c>
      <c r="CP144" s="6"/>
      <c r="CV144" s="6">
        <v>185715</v>
      </c>
      <c r="CW144" s="8">
        <v>183858</v>
      </c>
      <c r="CX144" s="8"/>
      <c r="CZ144" s="8"/>
      <c r="DA144" s="8"/>
      <c r="DB144" s="8"/>
      <c r="DC144" s="6"/>
      <c r="DF144" s="9">
        <f t="shared" si="4"/>
        <v>961853</v>
      </c>
      <c r="DG144" s="9">
        <v>961853</v>
      </c>
      <c r="DH144" s="9">
        <f t="shared" si="5"/>
        <v>0</v>
      </c>
    </row>
    <row r="145" spans="1:112" x14ac:dyDescent="0.25">
      <c r="A145" s="4" t="s">
        <v>270</v>
      </c>
      <c r="B145" s="4" t="s">
        <v>270</v>
      </c>
      <c r="C145" s="1" t="s">
        <v>271</v>
      </c>
      <c r="E145" s="8">
        <v>3665704</v>
      </c>
      <c r="F145" s="6">
        <v>57480</v>
      </c>
      <c r="G145" s="8">
        <v>-94839</v>
      </c>
      <c r="K145" s="8">
        <v>416638</v>
      </c>
      <c r="N145" s="8"/>
      <c r="O145" s="6">
        <v>57480</v>
      </c>
      <c r="P145" s="8"/>
      <c r="Q145" s="6"/>
      <c r="R145" s="8">
        <v>142077</v>
      </c>
      <c r="V145" s="8">
        <v>222479</v>
      </c>
      <c r="W145" s="6">
        <v>241732</v>
      </c>
      <c r="AA145" s="8"/>
      <c r="AB145" s="6"/>
      <c r="AC145" s="8"/>
      <c r="AD145" s="6"/>
      <c r="AE145" s="8"/>
      <c r="AF145" s="6"/>
      <c r="AG145" s="8">
        <v>103837</v>
      </c>
      <c r="AH145" s="6">
        <v>0</v>
      </c>
      <c r="AI145" s="8"/>
      <c r="AJ145" s="6">
        <v>67308</v>
      </c>
      <c r="AK145" s="8">
        <v>0</v>
      </c>
      <c r="AL145" s="6">
        <v>56000</v>
      </c>
      <c r="AM145" s="8"/>
      <c r="AO145" s="8"/>
      <c r="AP145" s="6">
        <v>505070</v>
      </c>
      <c r="AR145" s="8"/>
      <c r="AS145" s="6"/>
      <c r="AT145" s="8"/>
      <c r="AV145" s="6">
        <v>45000</v>
      </c>
      <c r="AW145" s="6"/>
      <c r="AX145" s="8"/>
      <c r="BA145" s="6">
        <v>1420760</v>
      </c>
      <c r="BD145" s="8">
        <v>136486</v>
      </c>
      <c r="BF145" s="6"/>
      <c r="BK145" s="6"/>
      <c r="BL145" s="8">
        <v>1095100</v>
      </c>
      <c r="BM145" s="6">
        <v>487889</v>
      </c>
      <c r="BN145" s="8"/>
      <c r="BO145" s="8"/>
      <c r="BP145" s="6"/>
      <c r="BS145" s="6"/>
      <c r="BT145" s="8"/>
      <c r="BU145" s="8"/>
      <c r="BV145" s="8"/>
      <c r="BW145" s="8"/>
      <c r="BX145" s="8"/>
      <c r="BY145" s="8"/>
      <c r="CA145" s="6"/>
      <c r="CJ145" s="8">
        <v>271270</v>
      </c>
      <c r="CK145" s="8"/>
      <c r="CO145" s="8">
        <v>242248</v>
      </c>
      <c r="CP145" s="6"/>
      <c r="CR145" s="6">
        <v>148278</v>
      </c>
      <c r="CX145" s="8"/>
      <c r="CZ145" s="8"/>
      <c r="DA145" s="8"/>
      <c r="DB145" s="8"/>
      <c r="DC145" s="6">
        <v>145659</v>
      </c>
      <c r="DF145" s="9">
        <f t="shared" si="4"/>
        <v>9433656</v>
      </c>
      <c r="DG145" s="9">
        <v>9433656</v>
      </c>
      <c r="DH145" s="9">
        <f t="shared" si="5"/>
        <v>0</v>
      </c>
    </row>
    <row r="146" spans="1:112" x14ac:dyDescent="0.25">
      <c r="A146" s="4" t="s">
        <v>272</v>
      </c>
      <c r="N146" s="8"/>
      <c r="O146" s="6"/>
      <c r="P146" s="8"/>
      <c r="Q146" s="6"/>
      <c r="AA146" s="8"/>
      <c r="AB146" s="6"/>
      <c r="AC146" s="8"/>
      <c r="AD146" s="6"/>
      <c r="AE146" s="8"/>
      <c r="AF146" s="6"/>
      <c r="AG146" s="8"/>
      <c r="AH146" s="6"/>
      <c r="AI146" s="8"/>
      <c r="AJ146" s="6"/>
      <c r="AK146" s="8"/>
      <c r="AL146" s="6"/>
      <c r="AM146" s="8"/>
      <c r="AO146" s="8"/>
      <c r="AR146" s="8"/>
      <c r="AS146" s="6"/>
      <c r="AT146" s="8"/>
      <c r="AW146" s="6"/>
      <c r="AX146" s="8"/>
      <c r="BA146" s="6"/>
      <c r="BF146" s="6"/>
      <c r="BK146" s="6"/>
      <c r="BL146" s="8"/>
      <c r="BM146" s="6"/>
      <c r="BN146" s="8"/>
      <c r="BO146" s="8"/>
      <c r="BP146" s="6"/>
      <c r="BS146" s="6"/>
      <c r="BT146" s="8"/>
      <c r="BU146" s="8"/>
      <c r="BV146" s="8"/>
      <c r="BW146" s="8"/>
      <c r="BX146" s="8"/>
      <c r="BY146" s="8"/>
      <c r="CA146" s="6"/>
      <c r="CK146" s="8"/>
      <c r="CP146" s="6"/>
      <c r="CX146" s="8"/>
      <c r="CZ146" s="8"/>
      <c r="DA146" s="8"/>
      <c r="DB146" s="8"/>
      <c r="DC146" s="6"/>
      <c r="DF146" s="9">
        <f t="shared" si="4"/>
        <v>0</v>
      </c>
      <c r="DG146" s="9"/>
      <c r="DH146" s="9">
        <f t="shared" si="5"/>
        <v>0</v>
      </c>
    </row>
    <row r="147" spans="1:112" x14ac:dyDescent="0.25">
      <c r="A147" s="4" t="s">
        <v>273</v>
      </c>
      <c r="B147" s="4" t="s">
        <v>273</v>
      </c>
      <c r="C147" s="1" t="s">
        <v>274</v>
      </c>
      <c r="E147" s="8">
        <v>15185.82</v>
      </c>
      <c r="N147" s="8"/>
      <c r="O147" s="6"/>
      <c r="P147" s="8"/>
      <c r="Q147" s="6"/>
      <c r="R147" s="8">
        <v>1148.03</v>
      </c>
      <c r="W147" s="6">
        <v>7042.52</v>
      </c>
      <c r="Y147" s="6">
        <v>2309.4499999999998</v>
      </c>
      <c r="AA147" s="8"/>
      <c r="AB147" s="6"/>
      <c r="AC147" s="8"/>
      <c r="AD147" s="6"/>
      <c r="AE147" s="8"/>
      <c r="AF147" s="6"/>
      <c r="AG147" s="8">
        <v>13066.119999999997</v>
      </c>
      <c r="AH147" s="6"/>
      <c r="AI147" s="8"/>
      <c r="AJ147" s="6"/>
      <c r="AK147" s="8">
        <v>60000</v>
      </c>
      <c r="AL147" s="6"/>
      <c r="AM147" s="8"/>
      <c r="AO147" s="8"/>
      <c r="AR147" s="8"/>
      <c r="AS147" s="6"/>
      <c r="AT147" s="8"/>
      <c r="AV147" s="6">
        <v>1002.36</v>
      </c>
      <c r="AW147" s="6"/>
      <c r="AX147" s="8"/>
      <c r="BA147" s="6"/>
      <c r="BE147" s="6">
        <v>840.95</v>
      </c>
      <c r="BF147" s="6"/>
      <c r="BH147" s="8">
        <v>31388.189999999995</v>
      </c>
      <c r="BK147" s="6"/>
      <c r="BL147" s="8"/>
      <c r="BM147" s="6">
        <v>1036.22</v>
      </c>
      <c r="BN147" s="8"/>
      <c r="BO147" s="8"/>
      <c r="BP147" s="6"/>
      <c r="BS147" s="6"/>
      <c r="BT147" s="8">
        <v>283068</v>
      </c>
      <c r="BU147" s="8"/>
      <c r="BV147" s="8"/>
      <c r="BW147" s="8"/>
      <c r="BX147" s="8"/>
      <c r="BY147" s="8"/>
      <c r="CA147" s="6"/>
      <c r="CK147" s="8"/>
      <c r="CP147" s="6"/>
      <c r="CV147" s="6">
        <v>110260.95000000001</v>
      </c>
      <c r="CX147" s="8"/>
      <c r="CZ147" s="8"/>
      <c r="DA147" s="8"/>
      <c r="DB147" s="8"/>
      <c r="DC147" s="6"/>
      <c r="DF147" s="9">
        <f t="shared" si="4"/>
        <v>526348.6100000001</v>
      </c>
      <c r="DG147" s="9">
        <v>526348.61</v>
      </c>
      <c r="DH147" s="9">
        <f t="shared" si="5"/>
        <v>0</v>
      </c>
    </row>
    <row r="148" spans="1:112" x14ac:dyDescent="0.25">
      <c r="A148" s="4" t="s">
        <v>1501</v>
      </c>
      <c r="B148" s="4" t="s">
        <v>1501</v>
      </c>
      <c r="C148" s="1" t="s">
        <v>1502</v>
      </c>
      <c r="N148" s="8"/>
      <c r="O148" s="6"/>
      <c r="P148" s="8"/>
      <c r="Q148" s="6"/>
      <c r="AA148" s="8"/>
      <c r="AB148" s="6"/>
      <c r="AC148" s="8"/>
      <c r="AD148" s="6"/>
      <c r="AE148" s="8"/>
      <c r="AF148" s="6"/>
      <c r="AG148" s="8"/>
      <c r="AH148" s="6"/>
      <c r="AI148" s="8"/>
      <c r="AJ148" s="6"/>
      <c r="AK148" s="8"/>
      <c r="AL148" s="6"/>
      <c r="AM148" s="8"/>
      <c r="AO148" s="8"/>
      <c r="AR148" s="8"/>
      <c r="AS148" s="6"/>
      <c r="AT148" s="8"/>
      <c r="AV148" s="6">
        <v>7768027</v>
      </c>
      <c r="AW148" s="6"/>
      <c r="AX148" s="8"/>
      <c r="BA148" s="6">
        <v>11978679.870000003</v>
      </c>
      <c r="BF148" s="6"/>
      <c r="BK148" s="6"/>
      <c r="BL148" s="8"/>
      <c r="BM148" s="6"/>
      <c r="BN148" s="8"/>
      <c r="BO148" s="8"/>
      <c r="BP148" s="6"/>
      <c r="BS148" s="6"/>
      <c r="BT148" s="8"/>
      <c r="BU148" s="8"/>
      <c r="BV148" s="8"/>
      <c r="BW148" s="8"/>
      <c r="BX148" s="8"/>
      <c r="BY148" s="8"/>
      <c r="CA148" s="6"/>
      <c r="CK148" s="8"/>
      <c r="CO148" s="8">
        <v>16052774</v>
      </c>
      <c r="CP148" s="6"/>
      <c r="CQ148" s="8">
        <v>2615506</v>
      </c>
      <c r="CV148" s="6">
        <v>24628125</v>
      </c>
      <c r="CW148" s="8">
        <v>429491</v>
      </c>
      <c r="CX148" s="8"/>
      <c r="CZ148" s="8"/>
      <c r="DA148" s="8"/>
      <c r="DB148" s="8"/>
      <c r="DC148" s="6"/>
      <c r="DF148" s="9">
        <f t="shared" si="4"/>
        <v>63472602.870000005</v>
      </c>
      <c r="DG148" s="9">
        <v>63472602.870000005</v>
      </c>
      <c r="DH148" s="9">
        <f t="shared" si="5"/>
        <v>0</v>
      </c>
    </row>
    <row r="149" spans="1:112" x14ac:dyDescent="0.25">
      <c r="A149" s="4" t="s">
        <v>993</v>
      </c>
      <c r="B149" s="4" t="s">
        <v>993</v>
      </c>
      <c r="C149" s="1" t="s">
        <v>994</v>
      </c>
      <c r="N149" s="8"/>
      <c r="O149" s="6"/>
      <c r="P149" s="8"/>
      <c r="Q149" s="6"/>
      <c r="AA149" s="8"/>
      <c r="AB149" s="6"/>
      <c r="AC149" s="8"/>
      <c r="AD149" s="6"/>
      <c r="AE149" s="8"/>
      <c r="AF149" s="6"/>
      <c r="AG149" s="8"/>
      <c r="AH149" s="6"/>
      <c r="AI149" s="8"/>
      <c r="AJ149" s="6"/>
      <c r="AK149" s="8"/>
      <c r="AL149" s="6"/>
      <c r="AM149" s="8"/>
      <c r="AO149" s="8"/>
      <c r="AR149" s="8"/>
      <c r="AS149" s="6"/>
      <c r="AT149" s="8"/>
      <c r="AW149" s="6"/>
      <c r="AX149" s="8"/>
      <c r="BA149" s="6">
        <v>616500</v>
      </c>
      <c r="BF149" s="6"/>
      <c r="BK149" s="6"/>
      <c r="BL149" s="8"/>
      <c r="BM149" s="6"/>
      <c r="BN149" s="8"/>
      <c r="BO149" s="8"/>
      <c r="BP149" s="6"/>
      <c r="BS149" s="6"/>
      <c r="BT149" s="8"/>
      <c r="BU149" s="8"/>
      <c r="BV149" s="8"/>
      <c r="BW149" s="8"/>
      <c r="BX149" s="8"/>
      <c r="BY149" s="8"/>
      <c r="CA149" s="6"/>
      <c r="CK149" s="8"/>
      <c r="CP149" s="6"/>
      <c r="CX149" s="8"/>
      <c r="CZ149" s="8"/>
      <c r="DA149" s="8"/>
      <c r="DB149" s="8"/>
      <c r="DC149" s="6"/>
      <c r="DF149" s="9">
        <f t="shared" si="4"/>
        <v>616500</v>
      </c>
      <c r="DG149" s="9">
        <v>616500</v>
      </c>
      <c r="DH149" s="9">
        <f t="shared" si="5"/>
        <v>0</v>
      </c>
    </row>
    <row r="150" spans="1:112" x14ac:dyDescent="0.25">
      <c r="A150" s="4" t="s">
        <v>275</v>
      </c>
      <c r="B150" s="4" t="s">
        <v>275</v>
      </c>
      <c r="C150" s="1" t="s">
        <v>276</v>
      </c>
      <c r="N150" s="8"/>
      <c r="O150" s="6"/>
      <c r="P150" s="8"/>
      <c r="Q150" s="6"/>
      <c r="AA150" s="8"/>
      <c r="AB150" s="6"/>
      <c r="AC150" s="8"/>
      <c r="AD150" s="6"/>
      <c r="AE150" s="8"/>
      <c r="AF150" s="6"/>
      <c r="AG150" s="8"/>
      <c r="AH150" s="6"/>
      <c r="AI150" s="8"/>
      <c r="AJ150" s="6"/>
      <c r="AK150" s="8"/>
      <c r="AL150" s="6"/>
      <c r="AM150" s="8"/>
      <c r="AO150" s="8"/>
      <c r="AR150" s="8"/>
      <c r="AS150" s="6"/>
      <c r="AT150" s="8"/>
      <c r="AW150" s="6"/>
      <c r="AX150" s="8"/>
      <c r="BA150" s="6">
        <v>75000</v>
      </c>
      <c r="BF150" s="6"/>
      <c r="BK150" s="6"/>
      <c r="BL150" s="8"/>
      <c r="BM150" s="6"/>
      <c r="BN150" s="8"/>
      <c r="BO150" s="8"/>
      <c r="BP150" s="6"/>
      <c r="BR150" s="8">
        <v>286260.76999999984</v>
      </c>
      <c r="BS150" s="6"/>
      <c r="BT150" s="8"/>
      <c r="BU150" s="8"/>
      <c r="BV150" s="8"/>
      <c r="BW150" s="8"/>
      <c r="BX150" s="8"/>
      <c r="BY150" s="8"/>
      <c r="CA150" s="6"/>
      <c r="CK150" s="8"/>
      <c r="CP150" s="6"/>
      <c r="CX150" s="8"/>
      <c r="CZ150" s="8"/>
      <c r="DA150" s="8"/>
      <c r="DB150" s="8"/>
      <c r="DC150" s="6"/>
      <c r="DF150" s="9">
        <f t="shared" si="4"/>
        <v>361260.76999999984</v>
      </c>
      <c r="DG150" s="9">
        <v>361260.76999999984</v>
      </c>
      <c r="DH150" s="9">
        <f t="shared" si="5"/>
        <v>0</v>
      </c>
    </row>
    <row r="151" spans="1:112" x14ac:dyDescent="0.25">
      <c r="A151" s="4" t="s">
        <v>1772</v>
      </c>
      <c r="B151" s="4" t="s">
        <v>1772</v>
      </c>
      <c r="C151" s="1" t="s">
        <v>1773</v>
      </c>
      <c r="N151" s="8"/>
      <c r="O151" s="6"/>
      <c r="P151" s="8"/>
      <c r="Q151" s="6"/>
      <c r="AA151" s="8"/>
      <c r="AB151" s="6"/>
      <c r="AC151" s="8"/>
      <c r="AD151" s="6"/>
      <c r="AE151" s="8"/>
      <c r="AF151" s="6"/>
      <c r="AG151" s="8"/>
      <c r="AH151" s="6"/>
      <c r="AI151" s="8"/>
      <c r="AJ151" s="6"/>
      <c r="AK151" s="8"/>
      <c r="AL151" s="6"/>
      <c r="AM151" s="8"/>
      <c r="AO151" s="8"/>
      <c r="AR151" s="8"/>
      <c r="AS151" s="6"/>
      <c r="AT151" s="8"/>
      <c r="AW151" s="6"/>
      <c r="AX151" s="8"/>
      <c r="BA151" s="6"/>
      <c r="BF151" s="6"/>
      <c r="BK151" s="6"/>
      <c r="BL151" s="8"/>
      <c r="BM151" s="6"/>
      <c r="BN151" s="8"/>
      <c r="BO151" s="8"/>
      <c r="BP151" s="6"/>
      <c r="BS151" s="6"/>
      <c r="BT151" s="8"/>
      <c r="BU151" s="8"/>
      <c r="BV151" s="8"/>
      <c r="BW151" s="8"/>
      <c r="BX151" s="8"/>
      <c r="BY151" s="8"/>
      <c r="CA151" s="6"/>
      <c r="CK151" s="8"/>
      <c r="CP151" s="6"/>
      <c r="CW151" s="8">
        <v>115965</v>
      </c>
      <c r="CX151" s="8"/>
      <c r="CZ151" s="8"/>
      <c r="DA151" s="8"/>
      <c r="DB151" s="8"/>
      <c r="DC151" s="6"/>
      <c r="DF151" s="9">
        <f t="shared" si="4"/>
        <v>115965</v>
      </c>
      <c r="DG151" s="9">
        <v>115965</v>
      </c>
      <c r="DH151" s="9">
        <f t="shared" si="5"/>
        <v>0</v>
      </c>
    </row>
    <row r="152" spans="1:112" x14ac:dyDescent="0.25">
      <c r="A152" s="4" t="s">
        <v>277</v>
      </c>
      <c r="N152" s="8"/>
      <c r="O152" s="6"/>
      <c r="P152" s="8"/>
      <c r="Q152" s="6"/>
      <c r="AA152" s="8"/>
      <c r="AB152" s="6"/>
      <c r="AC152" s="8"/>
      <c r="AD152" s="6"/>
      <c r="AE152" s="8"/>
      <c r="AF152" s="6"/>
      <c r="AG152" s="8"/>
      <c r="AH152" s="6"/>
      <c r="AI152" s="8"/>
      <c r="AJ152" s="6"/>
      <c r="AK152" s="8"/>
      <c r="AL152" s="6"/>
      <c r="AM152" s="8"/>
      <c r="AO152" s="8"/>
      <c r="AR152" s="8"/>
      <c r="AS152" s="6"/>
      <c r="AT152" s="8"/>
      <c r="AW152" s="6"/>
      <c r="AX152" s="8"/>
      <c r="BA152" s="6"/>
      <c r="BF152" s="6"/>
      <c r="BK152" s="6"/>
      <c r="BL152" s="8"/>
      <c r="BM152" s="6"/>
      <c r="BN152" s="8"/>
      <c r="BO152" s="8"/>
      <c r="BP152" s="6"/>
      <c r="BS152" s="6"/>
      <c r="BT152" s="8"/>
      <c r="BU152" s="8"/>
      <c r="BV152" s="8"/>
      <c r="BW152" s="8"/>
      <c r="BX152" s="8"/>
      <c r="BY152" s="8"/>
      <c r="CA152" s="6"/>
      <c r="CK152" s="8"/>
      <c r="CP152" s="6"/>
      <c r="CX152" s="8"/>
      <c r="CZ152" s="8"/>
      <c r="DA152" s="8"/>
      <c r="DB152" s="8"/>
      <c r="DC152" s="6"/>
      <c r="DF152" s="9">
        <f t="shared" si="4"/>
        <v>0</v>
      </c>
      <c r="DG152" s="9"/>
      <c r="DH152" s="9">
        <f t="shared" si="5"/>
        <v>0</v>
      </c>
    </row>
    <row r="153" spans="1:112" x14ac:dyDescent="0.25">
      <c r="A153" s="4" t="s">
        <v>279</v>
      </c>
      <c r="N153" s="8"/>
      <c r="O153" s="6"/>
      <c r="P153" s="8"/>
      <c r="Q153" s="6"/>
      <c r="AA153" s="8"/>
      <c r="AB153" s="6"/>
      <c r="AC153" s="8"/>
      <c r="AD153" s="6"/>
      <c r="AE153" s="8"/>
      <c r="AF153" s="6"/>
      <c r="AG153" s="8"/>
      <c r="AH153" s="6"/>
      <c r="AI153" s="8"/>
      <c r="AJ153" s="6"/>
      <c r="AK153" s="8"/>
      <c r="AL153" s="6"/>
      <c r="AM153" s="8"/>
      <c r="AO153" s="8"/>
      <c r="AR153" s="8"/>
      <c r="AS153" s="6"/>
      <c r="AT153" s="8"/>
      <c r="AW153" s="6"/>
      <c r="AX153" s="8"/>
      <c r="BA153" s="6"/>
      <c r="BF153" s="6"/>
      <c r="BK153" s="6"/>
      <c r="BL153" s="8"/>
      <c r="BM153" s="6"/>
      <c r="BN153" s="8"/>
      <c r="BO153" s="8"/>
      <c r="BP153" s="6"/>
      <c r="BS153" s="6"/>
      <c r="BT153" s="8"/>
      <c r="BU153" s="8"/>
      <c r="BV153" s="8"/>
      <c r="BW153" s="8"/>
      <c r="BX153" s="8"/>
      <c r="BY153" s="8"/>
      <c r="CA153" s="6"/>
      <c r="CK153" s="8"/>
      <c r="CP153" s="6"/>
      <c r="CX153" s="8"/>
      <c r="CZ153" s="8"/>
      <c r="DA153" s="8"/>
      <c r="DB153" s="8"/>
      <c r="DC153" s="6"/>
      <c r="DF153" s="9">
        <f t="shared" si="4"/>
        <v>0</v>
      </c>
      <c r="DG153" s="9"/>
      <c r="DH153" s="9">
        <f t="shared" si="5"/>
        <v>0</v>
      </c>
    </row>
    <row r="154" spans="1:112" x14ac:dyDescent="0.25">
      <c r="A154" s="4" t="s">
        <v>281</v>
      </c>
      <c r="N154" s="8"/>
      <c r="O154" s="6"/>
      <c r="P154" s="8"/>
      <c r="Q154" s="6"/>
      <c r="AA154" s="8"/>
      <c r="AB154" s="6"/>
      <c r="AC154" s="8"/>
      <c r="AD154" s="6"/>
      <c r="AE154" s="8"/>
      <c r="AF154" s="6"/>
      <c r="AG154" s="8"/>
      <c r="AH154" s="6"/>
      <c r="AI154" s="8"/>
      <c r="AJ154" s="6"/>
      <c r="AK154" s="8"/>
      <c r="AL154" s="6"/>
      <c r="AM154" s="8"/>
      <c r="AO154" s="8"/>
      <c r="AR154" s="8"/>
      <c r="AS154" s="6"/>
      <c r="AT154" s="8"/>
      <c r="AW154" s="6"/>
      <c r="AX154" s="8"/>
      <c r="BA154" s="6"/>
      <c r="BF154" s="6"/>
      <c r="BK154" s="6"/>
      <c r="BL154" s="8"/>
      <c r="BM154" s="6"/>
      <c r="BN154" s="8"/>
      <c r="BO154" s="8"/>
      <c r="BP154" s="6"/>
      <c r="BS154" s="6"/>
      <c r="BT154" s="8"/>
      <c r="BU154" s="8"/>
      <c r="BV154" s="8"/>
      <c r="BW154" s="8"/>
      <c r="BX154" s="8"/>
      <c r="BY154" s="8"/>
      <c r="CA154" s="6"/>
      <c r="CK154" s="8"/>
      <c r="CP154" s="6"/>
      <c r="CX154" s="8"/>
      <c r="CZ154" s="8"/>
      <c r="DA154" s="8"/>
      <c r="DB154" s="8"/>
      <c r="DC154" s="6"/>
      <c r="DF154" s="9">
        <f t="shared" si="4"/>
        <v>0</v>
      </c>
      <c r="DG154" s="9"/>
      <c r="DH154" s="9">
        <f t="shared" si="5"/>
        <v>0</v>
      </c>
    </row>
    <row r="155" spans="1:112" x14ac:dyDescent="0.25">
      <c r="A155" s="4" t="s">
        <v>923</v>
      </c>
      <c r="N155" s="8"/>
      <c r="O155" s="6"/>
      <c r="P155" s="8"/>
      <c r="Q155" s="6"/>
      <c r="AA155" s="8"/>
      <c r="AB155" s="6"/>
      <c r="AC155" s="8"/>
      <c r="AD155" s="6"/>
      <c r="AE155" s="8"/>
      <c r="AF155" s="6"/>
      <c r="AG155" s="8"/>
      <c r="AH155" s="6"/>
      <c r="AI155" s="8"/>
      <c r="AJ155" s="6"/>
      <c r="AK155" s="8"/>
      <c r="AL155" s="6"/>
      <c r="AM155" s="8"/>
      <c r="AO155" s="8"/>
      <c r="AR155" s="8"/>
      <c r="AS155" s="6"/>
      <c r="AT155" s="8"/>
      <c r="AW155" s="6"/>
      <c r="AX155" s="8"/>
      <c r="BA155" s="6"/>
      <c r="BF155" s="6"/>
      <c r="BK155" s="6"/>
      <c r="BL155" s="8"/>
      <c r="BM155" s="6"/>
      <c r="BN155" s="8"/>
      <c r="BO155" s="8"/>
      <c r="BP155" s="6"/>
      <c r="BS155" s="6"/>
      <c r="BT155" s="8"/>
      <c r="BU155" s="8"/>
      <c r="BV155" s="8"/>
      <c r="BW155" s="8"/>
      <c r="BX155" s="8"/>
      <c r="BY155" s="8"/>
      <c r="CA155" s="6"/>
      <c r="CK155" s="8"/>
      <c r="CP155" s="6"/>
      <c r="CX155" s="8"/>
      <c r="CZ155" s="8"/>
      <c r="DA155" s="8"/>
      <c r="DB155" s="8"/>
      <c r="DC155" s="6"/>
      <c r="DF155" s="9">
        <f t="shared" si="4"/>
        <v>0</v>
      </c>
      <c r="DG155" s="9"/>
      <c r="DH155" s="9">
        <f t="shared" si="5"/>
        <v>0</v>
      </c>
    </row>
    <row r="156" spans="1:112" x14ac:dyDescent="0.25">
      <c r="A156" s="4" t="s">
        <v>1774</v>
      </c>
      <c r="B156" s="4" t="s">
        <v>1774</v>
      </c>
      <c r="C156" s="1" t="s">
        <v>1775</v>
      </c>
      <c r="N156" s="8"/>
      <c r="O156" s="6"/>
      <c r="P156" s="8"/>
      <c r="Q156" s="6"/>
      <c r="AA156" s="8"/>
      <c r="AB156" s="6"/>
      <c r="AC156" s="8"/>
      <c r="AD156" s="6"/>
      <c r="AE156" s="8"/>
      <c r="AF156" s="6"/>
      <c r="AG156" s="8"/>
      <c r="AH156" s="6"/>
      <c r="AI156" s="8"/>
      <c r="AJ156" s="6"/>
      <c r="AK156" s="8"/>
      <c r="AL156" s="6"/>
      <c r="AM156" s="8"/>
      <c r="AO156" s="8"/>
      <c r="AR156" s="8"/>
      <c r="AS156" s="6"/>
      <c r="AT156" s="8">
        <v>616000</v>
      </c>
      <c r="AW156" s="6"/>
      <c r="AX156" s="8"/>
      <c r="BA156" s="6"/>
      <c r="BF156" s="6"/>
      <c r="BK156" s="6"/>
      <c r="BL156" s="8"/>
      <c r="BM156" s="6"/>
      <c r="BN156" s="8"/>
      <c r="BO156" s="8"/>
      <c r="BP156" s="6"/>
      <c r="BS156" s="6"/>
      <c r="BT156" s="8"/>
      <c r="BU156" s="8"/>
      <c r="BV156" s="8"/>
      <c r="BW156" s="8"/>
      <c r="BX156" s="8"/>
      <c r="BY156" s="8"/>
      <c r="CA156" s="6"/>
      <c r="CK156" s="8"/>
      <c r="CP156" s="6"/>
      <c r="CX156" s="8"/>
      <c r="CZ156" s="8"/>
      <c r="DA156" s="8"/>
      <c r="DB156" s="8"/>
      <c r="DC156" s="6"/>
      <c r="DF156" s="9">
        <f t="shared" si="4"/>
        <v>616000</v>
      </c>
      <c r="DG156" s="9">
        <v>616000</v>
      </c>
      <c r="DH156" s="9">
        <f t="shared" si="5"/>
        <v>0</v>
      </c>
    </row>
    <row r="157" spans="1:112" x14ac:dyDescent="0.25">
      <c r="A157" s="4" t="s">
        <v>860</v>
      </c>
      <c r="B157" s="4" t="s">
        <v>860</v>
      </c>
      <c r="C157" s="1" t="s">
        <v>1467</v>
      </c>
      <c r="N157" s="8"/>
      <c r="O157" s="6"/>
      <c r="P157" s="8"/>
      <c r="Q157" s="6"/>
      <c r="AA157" s="8"/>
      <c r="AB157" s="6"/>
      <c r="AC157" s="8"/>
      <c r="AD157" s="6"/>
      <c r="AE157" s="8"/>
      <c r="AF157" s="6"/>
      <c r="AG157" s="8"/>
      <c r="AH157" s="6"/>
      <c r="AI157" s="8"/>
      <c r="AJ157" s="6"/>
      <c r="AK157" s="8"/>
      <c r="AL157" s="6"/>
      <c r="AM157" s="8"/>
      <c r="AO157" s="8"/>
      <c r="AR157" s="8"/>
      <c r="AS157" s="6"/>
      <c r="AT157" s="8">
        <v>-47327</v>
      </c>
      <c r="AW157" s="6"/>
      <c r="AX157" s="8"/>
      <c r="BA157" s="6"/>
      <c r="BF157" s="6"/>
      <c r="BK157" s="6"/>
      <c r="BL157" s="8"/>
      <c r="BM157" s="6"/>
      <c r="BN157" s="8"/>
      <c r="BO157" s="8"/>
      <c r="BP157" s="6"/>
      <c r="BS157" s="6"/>
      <c r="BT157" s="8"/>
      <c r="BU157" s="8"/>
      <c r="BV157" s="8"/>
      <c r="BW157" s="8"/>
      <c r="BX157" s="8"/>
      <c r="BY157" s="8"/>
      <c r="CA157" s="6"/>
      <c r="CK157" s="8"/>
      <c r="CP157" s="6"/>
      <c r="CX157" s="8"/>
      <c r="CZ157" s="8"/>
      <c r="DA157" s="8"/>
      <c r="DB157" s="8"/>
      <c r="DC157" s="6"/>
      <c r="DF157" s="9">
        <f t="shared" si="4"/>
        <v>-47327</v>
      </c>
      <c r="DG157" s="9">
        <v>-47327</v>
      </c>
      <c r="DH157" s="9">
        <f t="shared" si="5"/>
        <v>0</v>
      </c>
    </row>
    <row r="158" spans="1:112" x14ac:dyDescent="0.25">
      <c r="A158" s="4" t="s">
        <v>861</v>
      </c>
      <c r="B158" s="4" t="s">
        <v>861</v>
      </c>
      <c r="C158" s="1" t="s">
        <v>925</v>
      </c>
      <c r="N158" s="8"/>
      <c r="O158" s="6"/>
      <c r="P158" s="8"/>
      <c r="Q158" s="6"/>
      <c r="AA158" s="8"/>
      <c r="AB158" s="6"/>
      <c r="AC158" s="8"/>
      <c r="AD158" s="6"/>
      <c r="AE158" s="8"/>
      <c r="AF158" s="6"/>
      <c r="AG158" s="8"/>
      <c r="AH158" s="6"/>
      <c r="AI158" s="8"/>
      <c r="AJ158" s="6"/>
      <c r="AK158" s="8"/>
      <c r="AL158" s="6"/>
      <c r="AM158" s="8"/>
      <c r="AO158" s="8"/>
      <c r="AR158" s="8"/>
      <c r="AS158" s="6"/>
      <c r="AT158" s="8">
        <v>1340462.5600000005</v>
      </c>
      <c r="AW158" s="6"/>
      <c r="AX158" s="8"/>
      <c r="BA158" s="6"/>
      <c r="BF158" s="6"/>
      <c r="BK158" s="6"/>
      <c r="BL158" s="8"/>
      <c r="BM158" s="6"/>
      <c r="BN158" s="8"/>
      <c r="BO158" s="8"/>
      <c r="BP158" s="6"/>
      <c r="BS158" s="6"/>
      <c r="BT158" s="8"/>
      <c r="BU158" s="8"/>
      <c r="BV158" s="8"/>
      <c r="BW158" s="8"/>
      <c r="BX158" s="8"/>
      <c r="BY158" s="8"/>
      <c r="CA158" s="6"/>
      <c r="CK158" s="8"/>
      <c r="CP158" s="6"/>
      <c r="CX158" s="8"/>
      <c r="CZ158" s="8"/>
      <c r="DA158" s="8"/>
      <c r="DB158" s="8"/>
      <c r="DC158" s="6"/>
      <c r="DF158" s="9">
        <f t="shared" si="4"/>
        <v>1340462.5600000005</v>
      </c>
      <c r="DG158" s="9">
        <v>1340462.5600000005</v>
      </c>
      <c r="DH158" s="9">
        <f t="shared" si="5"/>
        <v>0</v>
      </c>
    </row>
    <row r="159" spans="1:112" x14ac:dyDescent="0.25">
      <c r="A159" s="4" t="s">
        <v>774</v>
      </c>
      <c r="B159" s="4" t="s">
        <v>774</v>
      </c>
      <c r="C159" s="1" t="s">
        <v>775</v>
      </c>
      <c r="N159" s="8"/>
      <c r="O159" s="6"/>
      <c r="P159" s="8"/>
      <c r="Q159" s="6"/>
      <c r="AA159" s="8"/>
      <c r="AB159" s="6"/>
      <c r="AC159" s="8"/>
      <c r="AD159" s="6"/>
      <c r="AE159" s="8"/>
      <c r="AF159" s="6"/>
      <c r="AG159" s="8"/>
      <c r="AH159" s="6"/>
      <c r="AI159" s="8"/>
      <c r="AJ159" s="6"/>
      <c r="AK159" s="8"/>
      <c r="AL159" s="6"/>
      <c r="AM159" s="8"/>
      <c r="AO159" s="8"/>
      <c r="AR159" s="8"/>
      <c r="AS159" s="6"/>
      <c r="AT159" s="8">
        <v>5220909.1400000053</v>
      </c>
      <c r="AW159" s="6"/>
      <c r="AX159" s="8"/>
      <c r="BA159" s="6"/>
      <c r="BF159" s="6"/>
      <c r="BK159" s="6"/>
      <c r="BL159" s="8"/>
      <c r="BM159" s="6"/>
      <c r="BN159" s="8"/>
      <c r="BO159" s="8"/>
      <c r="BP159" s="6"/>
      <c r="BS159" s="6"/>
      <c r="BT159" s="8"/>
      <c r="BU159" s="8"/>
      <c r="BV159" s="8"/>
      <c r="BW159" s="8"/>
      <c r="BX159" s="8"/>
      <c r="BY159" s="8"/>
      <c r="CA159" s="6"/>
      <c r="CK159" s="8"/>
      <c r="CP159" s="6"/>
      <c r="CX159" s="8"/>
      <c r="CZ159" s="8"/>
      <c r="DA159" s="8"/>
      <c r="DB159" s="8"/>
      <c r="DC159" s="6"/>
      <c r="DF159" s="9">
        <f t="shared" si="4"/>
        <v>5220909.1400000053</v>
      </c>
      <c r="DG159" s="9">
        <v>5220909.1400000053</v>
      </c>
      <c r="DH159" s="9">
        <f t="shared" si="5"/>
        <v>0</v>
      </c>
    </row>
    <row r="160" spans="1:112" x14ac:dyDescent="0.25">
      <c r="A160" s="4" t="s">
        <v>906</v>
      </c>
      <c r="B160" s="4" t="s">
        <v>906</v>
      </c>
      <c r="C160" s="1" t="s">
        <v>926</v>
      </c>
      <c r="N160" s="8"/>
      <c r="O160" s="6"/>
      <c r="P160" s="8"/>
      <c r="Q160" s="6"/>
      <c r="AA160" s="8"/>
      <c r="AB160" s="6"/>
      <c r="AC160" s="8"/>
      <c r="AD160" s="6"/>
      <c r="AE160" s="8"/>
      <c r="AF160" s="6"/>
      <c r="AG160" s="8"/>
      <c r="AH160" s="6"/>
      <c r="AI160" s="8"/>
      <c r="AJ160" s="6"/>
      <c r="AK160" s="8"/>
      <c r="AL160" s="6"/>
      <c r="AM160" s="8"/>
      <c r="AO160" s="8"/>
      <c r="AR160" s="8"/>
      <c r="AS160" s="6"/>
      <c r="AT160" s="8">
        <v>39078123</v>
      </c>
      <c r="AW160" s="6"/>
      <c r="AX160" s="8"/>
      <c r="BA160" s="6"/>
      <c r="BF160" s="6"/>
      <c r="BK160" s="6"/>
      <c r="BL160" s="8"/>
      <c r="BM160" s="6"/>
      <c r="BN160" s="8"/>
      <c r="BO160" s="8"/>
      <c r="BP160" s="6"/>
      <c r="BS160" s="6"/>
      <c r="BT160" s="8"/>
      <c r="BU160" s="8"/>
      <c r="BV160" s="8"/>
      <c r="BW160" s="8"/>
      <c r="BX160" s="8"/>
      <c r="BY160" s="8"/>
      <c r="CA160" s="6"/>
      <c r="CK160" s="8"/>
      <c r="CP160" s="6"/>
      <c r="CX160" s="8"/>
      <c r="CZ160" s="8"/>
      <c r="DA160" s="8"/>
      <c r="DB160" s="8"/>
      <c r="DC160" s="6"/>
      <c r="DF160" s="9">
        <f t="shared" si="4"/>
        <v>39078123</v>
      </c>
      <c r="DG160" s="9">
        <v>39078123</v>
      </c>
      <c r="DH160" s="9">
        <f t="shared" si="5"/>
        <v>0</v>
      </c>
    </row>
    <row r="161" spans="1:112" x14ac:dyDescent="0.25">
      <c r="A161" s="4" t="s">
        <v>862</v>
      </c>
      <c r="B161" s="4" t="s">
        <v>862</v>
      </c>
      <c r="C161" s="1" t="s">
        <v>927</v>
      </c>
      <c r="N161" s="8"/>
      <c r="O161" s="6"/>
      <c r="P161" s="8"/>
      <c r="Q161" s="6"/>
      <c r="AA161" s="8"/>
      <c r="AB161" s="6"/>
      <c r="AC161" s="8"/>
      <c r="AD161" s="6"/>
      <c r="AE161" s="8"/>
      <c r="AF161" s="6"/>
      <c r="AG161" s="8"/>
      <c r="AH161" s="6"/>
      <c r="AI161" s="8"/>
      <c r="AJ161" s="6"/>
      <c r="AK161" s="8"/>
      <c r="AL161" s="6"/>
      <c r="AM161" s="8"/>
      <c r="AO161" s="8"/>
      <c r="AR161" s="8"/>
      <c r="AS161" s="6"/>
      <c r="AT161" s="8">
        <v>-445710.4</v>
      </c>
      <c r="AW161" s="6"/>
      <c r="AX161" s="8"/>
      <c r="BA161" s="6"/>
      <c r="BF161" s="6"/>
      <c r="BK161" s="6"/>
      <c r="BL161" s="8"/>
      <c r="BM161" s="6"/>
      <c r="BN161" s="8"/>
      <c r="BO161" s="8"/>
      <c r="BP161" s="6"/>
      <c r="BS161" s="6"/>
      <c r="BT161" s="8"/>
      <c r="BU161" s="8"/>
      <c r="BV161" s="8"/>
      <c r="BW161" s="8"/>
      <c r="BX161" s="8"/>
      <c r="BY161" s="8"/>
      <c r="CA161" s="6"/>
      <c r="CK161" s="8"/>
      <c r="CP161" s="6"/>
      <c r="CX161" s="8"/>
      <c r="CZ161" s="8"/>
      <c r="DA161" s="8"/>
      <c r="DB161" s="8"/>
      <c r="DC161" s="6"/>
      <c r="DF161" s="9">
        <f t="shared" si="4"/>
        <v>-445710.4</v>
      </c>
      <c r="DG161" s="9">
        <v>-445710.4</v>
      </c>
      <c r="DH161" s="9">
        <f t="shared" si="5"/>
        <v>0</v>
      </c>
    </row>
    <row r="162" spans="1:112" x14ac:dyDescent="0.25">
      <c r="A162" s="4" t="s">
        <v>863</v>
      </c>
      <c r="B162" s="4" t="s">
        <v>863</v>
      </c>
      <c r="C162" s="1" t="s">
        <v>928</v>
      </c>
      <c r="N162" s="8"/>
      <c r="O162" s="6"/>
      <c r="P162" s="8"/>
      <c r="Q162" s="6"/>
      <c r="AA162" s="8"/>
      <c r="AB162" s="6"/>
      <c r="AC162" s="8"/>
      <c r="AD162" s="6"/>
      <c r="AE162" s="8"/>
      <c r="AF162" s="6"/>
      <c r="AG162" s="8"/>
      <c r="AH162" s="6"/>
      <c r="AI162" s="8"/>
      <c r="AJ162" s="6"/>
      <c r="AK162" s="8"/>
      <c r="AL162" s="6"/>
      <c r="AM162" s="8"/>
      <c r="AO162" s="8"/>
      <c r="AR162" s="8"/>
      <c r="AS162" s="6"/>
      <c r="AT162" s="8">
        <v>1016326.5399999996</v>
      </c>
      <c r="AW162" s="6"/>
      <c r="AX162" s="8"/>
      <c r="BA162" s="6"/>
      <c r="BF162" s="6"/>
      <c r="BK162" s="6"/>
      <c r="BL162" s="8"/>
      <c r="BM162" s="6"/>
      <c r="BN162" s="8"/>
      <c r="BO162" s="8"/>
      <c r="BP162" s="6"/>
      <c r="BS162" s="6"/>
      <c r="BT162" s="8"/>
      <c r="BU162" s="8"/>
      <c r="BV162" s="8"/>
      <c r="BW162" s="8"/>
      <c r="BX162" s="8"/>
      <c r="BY162" s="8"/>
      <c r="CA162" s="6"/>
      <c r="CK162" s="8"/>
      <c r="CP162" s="6"/>
      <c r="CX162" s="8"/>
      <c r="CZ162" s="8"/>
      <c r="DA162" s="8"/>
      <c r="DB162" s="8"/>
      <c r="DC162" s="6"/>
      <c r="DF162" s="9">
        <f t="shared" si="4"/>
        <v>1016326.5399999996</v>
      </c>
      <c r="DG162" s="9">
        <v>1016326.5399999996</v>
      </c>
      <c r="DH162" s="9">
        <f t="shared" si="5"/>
        <v>0</v>
      </c>
    </row>
    <row r="163" spans="1:112" x14ac:dyDescent="0.25">
      <c r="A163" s="4" t="s">
        <v>864</v>
      </c>
      <c r="B163" s="4" t="s">
        <v>864</v>
      </c>
      <c r="C163" s="1" t="s">
        <v>929</v>
      </c>
      <c r="N163" s="8"/>
      <c r="O163" s="6"/>
      <c r="P163" s="8"/>
      <c r="Q163" s="6"/>
      <c r="AA163" s="8"/>
      <c r="AB163" s="6"/>
      <c r="AC163" s="8"/>
      <c r="AD163" s="6"/>
      <c r="AE163" s="8"/>
      <c r="AF163" s="6"/>
      <c r="AG163" s="8"/>
      <c r="AH163" s="6"/>
      <c r="AI163" s="8"/>
      <c r="AJ163" s="6"/>
      <c r="AK163" s="8"/>
      <c r="AL163" s="6"/>
      <c r="AM163" s="8"/>
      <c r="AO163" s="8"/>
      <c r="AR163" s="8"/>
      <c r="AS163" s="6"/>
      <c r="AT163" s="8">
        <v>15449744.900000012</v>
      </c>
      <c r="AW163" s="6"/>
      <c r="AX163" s="8"/>
      <c r="BA163" s="6"/>
      <c r="BF163" s="6"/>
      <c r="BK163" s="6"/>
      <c r="BL163" s="8"/>
      <c r="BM163" s="6"/>
      <c r="BN163" s="8"/>
      <c r="BO163" s="8"/>
      <c r="BP163" s="6"/>
      <c r="BS163" s="6"/>
      <c r="BT163" s="8"/>
      <c r="BU163" s="8"/>
      <c r="BV163" s="8"/>
      <c r="BW163" s="8"/>
      <c r="BX163" s="8"/>
      <c r="BY163" s="8"/>
      <c r="CA163" s="6"/>
      <c r="CK163" s="8"/>
      <c r="CP163" s="6"/>
      <c r="CX163" s="8"/>
      <c r="CZ163" s="8"/>
      <c r="DA163" s="8"/>
      <c r="DB163" s="8"/>
      <c r="DC163" s="6"/>
      <c r="DF163" s="9">
        <f t="shared" si="4"/>
        <v>15449744.900000012</v>
      </c>
      <c r="DG163" s="9">
        <v>15449744.900000012</v>
      </c>
      <c r="DH163" s="9">
        <f t="shared" si="5"/>
        <v>0</v>
      </c>
    </row>
    <row r="164" spans="1:112" x14ac:dyDescent="0.25">
      <c r="A164" s="4" t="s">
        <v>865</v>
      </c>
      <c r="B164" s="4" t="s">
        <v>865</v>
      </c>
      <c r="C164" s="1" t="s">
        <v>930</v>
      </c>
      <c r="N164" s="8"/>
      <c r="O164" s="6"/>
      <c r="P164" s="8"/>
      <c r="Q164" s="6"/>
      <c r="AA164" s="8"/>
      <c r="AB164" s="6"/>
      <c r="AC164" s="8"/>
      <c r="AD164" s="6"/>
      <c r="AE164" s="8"/>
      <c r="AF164" s="6"/>
      <c r="AG164" s="8"/>
      <c r="AH164" s="6"/>
      <c r="AI164" s="8"/>
      <c r="AJ164" s="6"/>
      <c r="AK164" s="8"/>
      <c r="AL164" s="6"/>
      <c r="AM164" s="8"/>
      <c r="AO164" s="8"/>
      <c r="AR164" s="8"/>
      <c r="AS164" s="6"/>
      <c r="AT164" s="8">
        <v>3498778.9500000007</v>
      </c>
      <c r="AW164" s="6"/>
      <c r="AX164" s="8"/>
      <c r="BA164" s="6"/>
      <c r="BF164" s="6"/>
      <c r="BK164" s="6"/>
      <c r="BL164" s="8"/>
      <c r="BM164" s="6"/>
      <c r="BN164" s="8"/>
      <c r="BO164" s="8"/>
      <c r="BP164" s="6"/>
      <c r="BS164" s="6"/>
      <c r="BT164" s="8"/>
      <c r="BU164" s="8"/>
      <c r="BV164" s="8"/>
      <c r="BW164" s="8"/>
      <c r="BX164" s="8"/>
      <c r="BY164" s="8"/>
      <c r="CA164" s="6"/>
      <c r="CK164" s="8"/>
      <c r="CP164" s="6"/>
      <c r="CX164" s="8"/>
      <c r="CZ164" s="8"/>
      <c r="DA164" s="8"/>
      <c r="DB164" s="8"/>
      <c r="DC164" s="6"/>
      <c r="DF164" s="9">
        <f t="shared" si="4"/>
        <v>3498778.9500000007</v>
      </c>
      <c r="DG164" s="9">
        <v>3498778.9500000007</v>
      </c>
      <c r="DH164" s="9">
        <f t="shared" si="5"/>
        <v>0</v>
      </c>
    </row>
    <row r="165" spans="1:112" x14ac:dyDescent="0.25">
      <c r="A165" s="4" t="s">
        <v>866</v>
      </c>
      <c r="N165" s="8"/>
      <c r="O165" s="6"/>
      <c r="P165" s="8"/>
      <c r="Q165" s="6"/>
      <c r="AA165" s="8"/>
      <c r="AB165" s="6"/>
      <c r="AC165" s="8"/>
      <c r="AD165" s="6"/>
      <c r="AE165" s="8"/>
      <c r="AF165" s="6"/>
      <c r="AG165" s="8"/>
      <c r="AH165" s="6"/>
      <c r="AI165" s="8"/>
      <c r="AJ165" s="6"/>
      <c r="AK165" s="8"/>
      <c r="AL165" s="6"/>
      <c r="AM165" s="8"/>
      <c r="AO165" s="8"/>
      <c r="AR165" s="8"/>
      <c r="AS165" s="6"/>
      <c r="AT165" s="8"/>
      <c r="AW165" s="6"/>
      <c r="AX165" s="8"/>
      <c r="BA165" s="6"/>
      <c r="BF165" s="6"/>
      <c r="BK165" s="6"/>
      <c r="BL165" s="8"/>
      <c r="BM165" s="6"/>
      <c r="BN165" s="8"/>
      <c r="BO165" s="8"/>
      <c r="BP165" s="6"/>
      <c r="BS165" s="6"/>
      <c r="BT165" s="8"/>
      <c r="BU165" s="8"/>
      <c r="BV165" s="8"/>
      <c r="BW165" s="8"/>
      <c r="BX165" s="8"/>
      <c r="BY165" s="8"/>
      <c r="CA165" s="6"/>
      <c r="CK165" s="8"/>
      <c r="CP165" s="6"/>
      <c r="CX165" s="8"/>
      <c r="CZ165" s="8"/>
      <c r="DA165" s="8"/>
      <c r="DB165" s="8"/>
      <c r="DC165" s="6"/>
      <c r="DF165" s="9">
        <f t="shared" si="4"/>
        <v>0</v>
      </c>
      <c r="DG165" s="9"/>
      <c r="DH165" s="9">
        <f t="shared" si="5"/>
        <v>0</v>
      </c>
    </row>
    <row r="166" spans="1:112" x14ac:dyDescent="0.25">
      <c r="A166" s="4" t="s">
        <v>867</v>
      </c>
      <c r="B166" s="4" t="s">
        <v>867</v>
      </c>
      <c r="C166" s="1" t="s">
        <v>931</v>
      </c>
      <c r="N166" s="8"/>
      <c r="O166" s="6"/>
      <c r="P166" s="8"/>
      <c r="Q166" s="6"/>
      <c r="AA166" s="8"/>
      <c r="AB166" s="6"/>
      <c r="AC166" s="8"/>
      <c r="AD166" s="6"/>
      <c r="AE166" s="8"/>
      <c r="AF166" s="6"/>
      <c r="AG166" s="8"/>
      <c r="AH166" s="6"/>
      <c r="AI166" s="8"/>
      <c r="AJ166" s="6"/>
      <c r="AK166" s="8"/>
      <c r="AL166" s="6"/>
      <c r="AM166" s="8"/>
      <c r="AO166" s="8"/>
      <c r="AR166" s="8"/>
      <c r="AS166" s="6"/>
      <c r="AT166" s="8">
        <v>2821021</v>
      </c>
      <c r="AW166" s="6"/>
      <c r="AX166" s="8"/>
      <c r="BA166" s="6"/>
      <c r="BF166" s="6"/>
      <c r="BK166" s="6"/>
      <c r="BL166" s="8"/>
      <c r="BM166" s="6"/>
      <c r="BN166" s="8"/>
      <c r="BO166" s="8"/>
      <c r="BP166" s="6"/>
      <c r="BS166" s="6"/>
      <c r="BT166" s="8"/>
      <c r="BU166" s="8"/>
      <c r="BV166" s="8"/>
      <c r="BW166" s="8"/>
      <c r="BX166" s="8"/>
      <c r="BY166" s="8"/>
      <c r="CA166" s="6"/>
      <c r="CK166" s="8"/>
      <c r="CP166" s="6"/>
      <c r="CX166" s="8"/>
      <c r="CZ166" s="8"/>
      <c r="DA166" s="8"/>
      <c r="DB166" s="8"/>
      <c r="DC166" s="6"/>
      <c r="DF166" s="9">
        <f t="shared" si="4"/>
        <v>2821021</v>
      </c>
      <c r="DG166" s="9">
        <v>2821021</v>
      </c>
      <c r="DH166" s="9">
        <f t="shared" si="5"/>
        <v>0</v>
      </c>
    </row>
    <row r="167" spans="1:112" x14ac:dyDescent="0.25">
      <c r="A167" s="4" t="s">
        <v>868</v>
      </c>
      <c r="N167" s="8"/>
      <c r="O167" s="6"/>
      <c r="P167" s="8"/>
      <c r="Q167" s="6"/>
      <c r="AA167" s="8"/>
      <c r="AB167" s="6"/>
      <c r="AC167" s="8"/>
      <c r="AD167" s="6"/>
      <c r="AE167" s="8"/>
      <c r="AF167" s="6"/>
      <c r="AG167" s="8"/>
      <c r="AH167" s="6"/>
      <c r="AI167" s="8"/>
      <c r="AJ167" s="6"/>
      <c r="AK167" s="8"/>
      <c r="AL167" s="6"/>
      <c r="AM167" s="8"/>
      <c r="AO167" s="8"/>
      <c r="AR167" s="8"/>
      <c r="AS167" s="6"/>
      <c r="AT167" s="8"/>
      <c r="AW167" s="6"/>
      <c r="AX167" s="8"/>
      <c r="BA167" s="6"/>
      <c r="BF167" s="6"/>
      <c r="BK167" s="6"/>
      <c r="BL167" s="8"/>
      <c r="BM167" s="6"/>
      <c r="BN167" s="8"/>
      <c r="BO167" s="8"/>
      <c r="BP167" s="6"/>
      <c r="BS167" s="6"/>
      <c r="BT167" s="8"/>
      <c r="BU167" s="8"/>
      <c r="BV167" s="8"/>
      <c r="BW167" s="8"/>
      <c r="BX167" s="8"/>
      <c r="BY167" s="8"/>
      <c r="CA167" s="6"/>
      <c r="CK167" s="8"/>
      <c r="CP167" s="6"/>
      <c r="CX167" s="8"/>
      <c r="CZ167" s="8"/>
      <c r="DA167" s="8"/>
      <c r="DB167" s="8"/>
      <c r="DC167" s="6"/>
      <c r="DF167" s="9">
        <f t="shared" si="4"/>
        <v>0</v>
      </c>
      <c r="DG167" s="9"/>
      <c r="DH167" s="9">
        <f t="shared" si="5"/>
        <v>0</v>
      </c>
    </row>
    <row r="168" spans="1:112" x14ac:dyDescent="0.25">
      <c r="A168" s="4" t="s">
        <v>869</v>
      </c>
      <c r="B168" s="4" t="s">
        <v>869</v>
      </c>
      <c r="C168" s="1" t="s">
        <v>932</v>
      </c>
      <c r="N168" s="8"/>
      <c r="O168" s="6"/>
      <c r="P168" s="8"/>
      <c r="Q168" s="6"/>
      <c r="AA168" s="8"/>
      <c r="AB168" s="6"/>
      <c r="AC168" s="8"/>
      <c r="AD168" s="6"/>
      <c r="AE168" s="8"/>
      <c r="AF168" s="6"/>
      <c r="AG168" s="8"/>
      <c r="AH168" s="6"/>
      <c r="AI168" s="8"/>
      <c r="AJ168" s="6"/>
      <c r="AK168" s="8"/>
      <c r="AL168" s="6"/>
      <c r="AM168" s="8"/>
      <c r="AO168" s="8"/>
      <c r="AR168" s="8"/>
      <c r="AS168" s="6"/>
      <c r="AT168" s="8">
        <v>211267</v>
      </c>
      <c r="AW168" s="6"/>
      <c r="AX168" s="8"/>
      <c r="BA168" s="6"/>
      <c r="BF168" s="6"/>
      <c r="BK168" s="6"/>
      <c r="BL168" s="8"/>
      <c r="BM168" s="6"/>
      <c r="BN168" s="8"/>
      <c r="BO168" s="8"/>
      <c r="BP168" s="6"/>
      <c r="BS168" s="6"/>
      <c r="BT168" s="8"/>
      <c r="BU168" s="8"/>
      <c r="BV168" s="8"/>
      <c r="BW168" s="8"/>
      <c r="BX168" s="8"/>
      <c r="BY168" s="8"/>
      <c r="CA168" s="6"/>
      <c r="CK168" s="8"/>
      <c r="CP168" s="6"/>
      <c r="CX168" s="8"/>
      <c r="CZ168" s="8"/>
      <c r="DA168" s="8"/>
      <c r="DB168" s="8"/>
      <c r="DC168" s="6"/>
      <c r="DF168" s="9">
        <f t="shared" si="4"/>
        <v>211267</v>
      </c>
      <c r="DG168" s="9">
        <v>211267</v>
      </c>
      <c r="DH168" s="9">
        <f t="shared" si="5"/>
        <v>0</v>
      </c>
    </row>
    <row r="169" spans="1:112" x14ac:dyDescent="0.25">
      <c r="A169" s="4" t="s">
        <v>870</v>
      </c>
      <c r="N169" s="8"/>
      <c r="O169" s="6"/>
      <c r="P169" s="8"/>
      <c r="Q169" s="6"/>
      <c r="AA169" s="8"/>
      <c r="AB169" s="6"/>
      <c r="AC169" s="8"/>
      <c r="AD169" s="6"/>
      <c r="AE169" s="8"/>
      <c r="AF169" s="6"/>
      <c r="AG169" s="8"/>
      <c r="AH169" s="6"/>
      <c r="AI169" s="8"/>
      <c r="AJ169" s="6"/>
      <c r="AK169" s="8"/>
      <c r="AL169" s="6"/>
      <c r="AM169" s="8"/>
      <c r="AO169" s="8"/>
      <c r="AR169" s="8"/>
      <c r="AS169" s="6"/>
      <c r="AT169" s="8"/>
      <c r="AW169" s="6"/>
      <c r="AX169" s="8"/>
      <c r="BA169" s="6"/>
      <c r="BF169" s="6"/>
      <c r="BK169" s="6"/>
      <c r="BL169" s="8"/>
      <c r="BM169" s="6"/>
      <c r="BN169" s="8"/>
      <c r="BO169" s="8"/>
      <c r="BP169" s="6"/>
      <c r="BS169" s="6"/>
      <c r="BT169" s="8"/>
      <c r="BU169" s="8"/>
      <c r="BV169" s="8"/>
      <c r="BW169" s="8"/>
      <c r="BX169" s="8"/>
      <c r="BY169" s="8"/>
      <c r="CA169" s="6"/>
      <c r="CK169" s="8"/>
      <c r="CP169" s="6"/>
      <c r="CX169" s="8"/>
      <c r="CZ169" s="8"/>
      <c r="DA169" s="8"/>
      <c r="DB169" s="8"/>
      <c r="DC169" s="6"/>
      <c r="DF169" s="9">
        <f t="shared" si="4"/>
        <v>0</v>
      </c>
      <c r="DG169" s="9"/>
      <c r="DH169" s="9">
        <f t="shared" si="5"/>
        <v>0</v>
      </c>
    </row>
    <row r="170" spans="1:112" x14ac:dyDescent="0.25">
      <c r="A170" s="4" t="s">
        <v>1713</v>
      </c>
      <c r="N170" s="8"/>
      <c r="O170" s="6"/>
      <c r="P170" s="8"/>
      <c r="Q170" s="6"/>
      <c r="AA170" s="8"/>
      <c r="AB170" s="6"/>
      <c r="AC170" s="8"/>
      <c r="AD170" s="6"/>
      <c r="AE170" s="8"/>
      <c r="AF170" s="6"/>
      <c r="AG170" s="8"/>
      <c r="AH170" s="6"/>
      <c r="AI170" s="8"/>
      <c r="AJ170" s="6"/>
      <c r="AK170" s="8"/>
      <c r="AL170" s="6"/>
      <c r="AM170" s="8"/>
      <c r="AO170" s="8"/>
      <c r="AR170" s="8"/>
      <c r="AS170" s="6"/>
      <c r="AT170" s="8"/>
      <c r="AW170" s="6"/>
      <c r="AX170" s="8"/>
      <c r="BA170" s="6"/>
      <c r="BF170" s="6"/>
      <c r="BK170" s="6"/>
      <c r="BL170" s="8"/>
      <c r="BM170" s="6"/>
      <c r="BN170" s="8"/>
      <c r="BO170" s="8"/>
      <c r="BP170" s="6"/>
      <c r="BS170" s="6"/>
      <c r="BT170" s="8"/>
      <c r="BU170" s="8"/>
      <c r="BV170" s="8"/>
      <c r="BW170" s="8"/>
      <c r="BX170" s="8"/>
      <c r="BY170" s="8"/>
      <c r="CA170" s="6"/>
      <c r="CK170" s="8"/>
      <c r="CP170" s="6"/>
      <c r="CX170" s="8"/>
      <c r="CZ170" s="8"/>
      <c r="DA170" s="8"/>
      <c r="DB170" s="8"/>
      <c r="DC170" s="6"/>
      <c r="DF170" s="9">
        <f t="shared" si="4"/>
        <v>0</v>
      </c>
      <c r="DG170" s="9"/>
      <c r="DH170" s="9">
        <f t="shared" si="5"/>
        <v>0</v>
      </c>
    </row>
    <row r="171" spans="1:112" x14ac:dyDescent="0.25">
      <c r="A171" s="4" t="s">
        <v>933</v>
      </c>
      <c r="N171" s="8"/>
      <c r="O171" s="6"/>
      <c r="P171" s="8"/>
      <c r="Q171" s="6"/>
      <c r="AA171" s="8"/>
      <c r="AB171" s="6"/>
      <c r="AC171" s="8"/>
      <c r="AD171" s="6"/>
      <c r="AE171" s="8"/>
      <c r="AF171" s="6"/>
      <c r="AG171" s="8"/>
      <c r="AH171" s="6"/>
      <c r="AI171" s="8"/>
      <c r="AJ171" s="6"/>
      <c r="AK171" s="8"/>
      <c r="AL171" s="6"/>
      <c r="AM171" s="8"/>
      <c r="AO171" s="8"/>
      <c r="AR171" s="8"/>
      <c r="AS171" s="6"/>
      <c r="AT171" s="8"/>
      <c r="AW171" s="6"/>
      <c r="AX171" s="8"/>
      <c r="BA171" s="6"/>
      <c r="BF171" s="6"/>
      <c r="BK171" s="6"/>
      <c r="BL171" s="8"/>
      <c r="BM171" s="6"/>
      <c r="BN171" s="8"/>
      <c r="BO171" s="8"/>
      <c r="BP171" s="6"/>
      <c r="BS171" s="6"/>
      <c r="BT171" s="8"/>
      <c r="BU171" s="8"/>
      <c r="BV171" s="8"/>
      <c r="BW171" s="8"/>
      <c r="BX171" s="8"/>
      <c r="BY171" s="8"/>
      <c r="CA171" s="6"/>
      <c r="CK171" s="8"/>
      <c r="CP171" s="6"/>
      <c r="CX171" s="8"/>
      <c r="CZ171" s="8"/>
      <c r="DA171" s="8"/>
      <c r="DB171" s="8"/>
      <c r="DC171" s="6"/>
      <c r="DF171" s="9">
        <f t="shared" si="4"/>
        <v>0</v>
      </c>
      <c r="DG171" s="9"/>
      <c r="DH171" s="9">
        <f t="shared" si="5"/>
        <v>0</v>
      </c>
    </row>
    <row r="172" spans="1:112" x14ac:dyDescent="0.25">
      <c r="A172" s="4" t="s">
        <v>776</v>
      </c>
      <c r="B172" s="4" t="s">
        <v>776</v>
      </c>
      <c r="C172" s="1" t="s">
        <v>777</v>
      </c>
      <c r="N172" s="8"/>
      <c r="O172" s="6"/>
      <c r="P172" s="8"/>
      <c r="Q172" s="6"/>
      <c r="AA172" s="8"/>
      <c r="AB172" s="6"/>
      <c r="AC172" s="8"/>
      <c r="AD172" s="6"/>
      <c r="AE172" s="8"/>
      <c r="AF172" s="6"/>
      <c r="AG172" s="8"/>
      <c r="AH172" s="6"/>
      <c r="AI172" s="8"/>
      <c r="AJ172" s="6"/>
      <c r="AK172" s="8"/>
      <c r="AL172" s="6"/>
      <c r="AM172" s="8"/>
      <c r="AO172" s="8"/>
      <c r="AR172" s="8"/>
      <c r="AS172" s="6"/>
      <c r="AT172" s="8">
        <v>1743345.1800000002</v>
      </c>
      <c r="AW172" s="6"/>
      <c r="AX172" s="8"/>
      <c r="BA172" s="6"/>
      <c r="BF172" s="6"/>
      <c r="BK172" s="6"/>
      <c r="BL172" s="8"/>
      <c r="BM172" s="6"/>
      <c r="BN172" s="8"/>
      <c r="BO172" s="8"/>
      <c r="BP172" s="6"/>
      <c r="BS172" s="6"/>
      <c r="BT172" s="8"/>
      <c r="BU172" s="8"/>
      <c r="BV172" s="8"/>
      <c r="BW172" s="8"/>
      <c r="BX172" s="8"/>
      <c r="BY172" s="8"/>
      <c r="CA172" s="6"/>
      <c r="CK172" s="8"/>
      <c r="CP172" s="6"/>
      <c r="CX172" s="8"/>
      <c r="CZ172" s="8"/>
      <c r="DA172" s="8"/>
      <c r="DB172" s="8"/>
      <c r="DC172" s="6"/>
      <c r="DF172" s="9">
        <f t="shared" si="4"/>
        <v>1743345.1800000002</v>
      </c>
      <c r="DG172" s="9">
        <v>1743345.1800000002</v>
      </c>
      <c r="DH172" s="9">
        <f t="shared" si="5"/>
        <v>0</v>
      </c>
    </row>
    <row r="173" spans="1:112" x14ac:dyDescent="0.25">
      <c r="A173" s="4" t="s">
        <v>995</v>
      </c>
      <c r="N173" s="8"/>
      <c r="O173" s="6"/>
      <c r="P173" s="8"/>
      <c r="Q173" s="6"/>
      <c r="AA173" s="8"/>
      <c r="AB173" s="6"/>
      <c r="AC173" s="8"/>
      <c r="AD173" s="6"/>
      <c r="AE173" s="8"/>
      <c r="AF173" s="6"/>
      <c r="AG173" s="8"/>
      <c r="AH173" s="6"/>
      <c r="AI173" s="8"/>
      <c r="AJ173" s="6"/>
      <c r="AK173" s="8"/>
      <c r="AL173" s="6"/>
      <c r="AM173" s="8"/>
      <c r="AO173" s="8"/>
      <c r="AR173" s="8"/>
      <c r="AS173" s="6"/>
      <c r="AT173" s="8"/>
      <c r="AW173" s="6"/>
      <c r="AX173" s="8"/>
      <c r="BA173" s="6"/>
      <c r="BF173" s="6"/>
      <c r="BK173" s="6"/>
      <c r="BL173" s="8"/>
      <c r="BM173" s="6"/>
      <c r="BN173" s="8"/>
      <c r="BO173" s="8"/>
      <c r="BP173" s="6"/>
      <c r="BS173" s="6"/>
      <c r="BT173" s="8"/>
      <c r="BU173" s="8"/>
      <c r="BV173" s="8"/>
      <c r="BW173" s="8"/>
      <c r="BX173" s="8"/>
      <c r="BY173" s="8"/>
      <c r="CA173" s="6"/>
      <c r="CK173" s="8"/>
      <c r="CP173" s="6"/>
      <c r="CX173" s="8"/>
      <c r="CZ173" s="8"/>
      <c r="DA173" s="8"/>
      <c r="DB173" s="8"/>
      <c r="DC173" s="6"/>
      <c r="DF173" s="9">
        <f t="shared" si="4"/>
        <v>0</v>
      </c>
      <c r="DG173" s="9"/>
      <c r="DH173" s="9">
        <f t="shared" si="5"/>
        <v>0</v>
      </c>
    </row>
    <row r="174" spans="1:112" x14ac:dyDescent="0.25">
      <c r="A174" s="4" t="s">
        <v>778</v>
      </c>
      <c r="B174" s="4" t="s">
        <v>778</v>
      </c>
      <c r="C174" s="1" t="s">
        <v>779</v>
      </c>
      <c r="N174" s="8"/>
      <c r="O174" s="6"/>
      <c r="P174" s="8"/>
      <c r="Q174" s="6"/>
      <c r="AA174" s="8"/>
      <c r="AB174" s="6"/>
      <c r="AC174" s="8"/>
      <c r="AD174" s="6"/>
      <c r="AE174" s="8"/>
      <c r="AF174" s="6"/>
      <c r="AG174" s="8"/>
      <c r="AH174" s="6"/>
      <c r="AI174" s="8"/>
      <c r="AJ174" s="6"/>
      <c r="AK174" s="8"/>
      <c r="AL174" s="6"/>
      <c r="AM174" s="8"/>
      <c r="AO174" s="8"/>
      <c r="AR174" s="8"/>
      <c r="AS174" s="6"/>
      <c r="AT174" s="8">
        <v>68928828.160000086</v>
      </c>
      <c r="AW174" s="6"/>
      <c r="AX174" s="8"/>
      <c r="BA174" s="6"/>
      <c r="BF174" s="6"/>
      <c r="BK174" s="6"/>
      <c r="BL174" s="8"/>
      <c r="BM174" s="6"/>
      <c r="BN174" s="8"/>
      <c r="BO174" s="8"/>
      <c r="BP174" s="6"/>
      <c r="BS174" s="6"/>
      <c r="BT174" s="8"/>
      <c r="BU174" s="8"/>
      <c r="BV174" s="8"/>
      <c r="BW174" s="8"/>
      <c r="BX174" s="8"/>
      <c r="BY174" s="8"/>
      <c r="CA174" s="6"/>
      <c r="CK174" s="8"/>
      <c r="CP174" s="6"/>
      <c r="CX174" s="8"/>
      <c r="CZ174" s="8"/>
      <c r="DA174" s="8"/>
      <c r="DB174" s="8"/>
      <c r="DC174" s="6"/>
      <c r="DF174" s="9">
        <f t="shared" si="4"/>
        <v>68928828.160000086</v>
      </c>
      <c r="DG174" s="9">
        <v>68928828.160000086</v>
      </c>
      <c r="DH174" s="9">
        <f t="shared" si="5"/>
        <v>0</v>
      </c>
    </row>
    <row r="175" spans="1:112" x14ac:dyDescent="0.25">
      <c r="A175" s="4" t="s">
        <v>780</v>
      </c>
      <c r="B175" s="4" t="s">
        <v>780</v>
      </c>
      <c r="C175" s="1" t="s">
        <v>781</v>
      </c>
      <c r="N175" s="8"/>
      <c r="O175" s="6"/>
      <c r="P175" s="8"/>
      <c r="Q175" s="6"/>
      <c r="AA175" s="8"/>
      <c r="AB175" s="6"/>
      <c r="AC175" s="8"/>
      <c r="AD175" s="6"/>
      <c r="AE175" s="8"/>
      <c r="AF175" s="6"/>
      <c r="AG175" s="8"/>
      <c r="AH175" s="6"/>
      <c r="AI175" s="8"/>
      <c r="AJ175" s="6"/>
      <c r="AK175" s="8"/>
      <c r="AL175" s="6"/>
      <c r="AM175" s="8"/>
      <c r="AO175" s="8"/>
      <c r="AR175" s="8"/>
      <c r="AS175" s="6"/>
      <c r="AT175" s="8">
        <v>428397.00000000012</v>
      </c>
      <c r="AW175" s="6"/>
      <c r="AX175" s="8"/>
      <c r="BA175" s="6"/>
      <c r="BF175" s="6"/>
      <c r="BK175" s="6"/>
      <c r="BL175" s="8"/>
      <c r="BM175" s="6"/>
      <c r="BN175" s="8"/>
      <c r="BO175" s="8"/>
      <c r="BP175" s="6"/>
      <c r="BS175" s="6"/>
      <c r="BT175" s="8"/>
      <c r="BU175" s="8"/>
      <c r="BV175" s="8"/>
      <c r="BW175" s="8"/>
      <c r="BX175" s="8"/>
      <c r="BY175" s="8"/>
      <c r="CA175" s="6"/>
      <c r="CK175" s="8"/>
      <c r="CP175" s="6"/>
      <c r="CX175" s="8"/>
      <c r="CZ175" s="8"/>
      <c r="DA175" s="8"/>
      <c r="DB175" s="8"/>
      <c r="DC175" s="6"/>
      <c r="DF175" s="9">
        <f t="shared" si="4"/>
        <v>428397.00000000012</v>
      </c>
      <c r="DG175" s="9">
        <v>428397.00000000012</v>
      </c>
      <c r="DH175" s="9">
        <f t="shared" si="5"/>
        <v>0</v>
      </c>
    </row>
    <row r="176" spans="1:112" x14ac:dyDescent="0.25">
      <c r="A176" s="4" t="s">
        <v>1629</v>
      </c>
      <c r="N176" s="8"/>
      <c r="O176" s="6"/>
      <c r="P176" s="8"/>
      <c r="Q176" s="6"/>
      <c r="AA176" s="8"/>
      <c r="AB176" s="6"/>
      <c r="AC176" s="8"/>
      <c r="AD176" s="6"/>
      <c r="AE176" s="8"/>
      <c r="AF176" s="6"/>
      <c r="AG176" s="8"/>
      <c r="AH176" s="6"/>
      <c r="AI176" s="8"/>
      <c r="AJ176" s="6"/>
      <c r="AK176" s="8"/>
      <c r="AL176" s="6"/>
      <c r="AM176" s="8"/>
      <c r="AO176" s="8"/>
      <c r="AR176" s="8"/>
      <c r="AS176" s="6"/>
      <c r="AT176" s="8"/>
      <c r="AW176" s="6"/>
      <c r="AX176" s="8"/>
      <c r="BA176" s="6"/>
      <c r="BF176" s="6"/>
      <c r="BK176" s="6"/>
      <c r="BL176" s="8"/>
      <c r="BM176" s="6"/>
      <c r="BN176" s="8"/>
      <c r="BO176" s="8"/>
      <c r="BP176" s="6"/>
      <c r="BS176" s="6"/>
      <c r="BT176" s="8"/>
      <c r="BU176" s="8"/>
      <c r="BV176" s="8"/>
      <c r="BW176" s="8"/>
      <c r="BX176" s="8"/>
      <c r="BY176" s="8"/>
      <c r="CA176" s="6"/>
      <c r="CK176" s="8"/>
      <c r="CP176" s="6"/>
      <c r="CX176" s="8"/>
      <c r="CZ176" s="8"/>
      <c r="DA176" s="8"/>
      <c r="DB176" s="8"/>
      <c r="DC176" s="6"/>
      <c r="DF176" s="9">
        <f t="shared" si="4"/>
        <v>0</v>
      </c>
      <c r="DG176" s="9"/>
      <c r="DH176" s="9">
        <f t="shared" si="5"/>
        <v>0</v>
      </c>
    </row>
    <row r="177" spans="1:112" x14ac:dyDescent="0.25">
      <c r="A177" s="4" t="s">
        <v>1488</v>
      </c>
      <c r="N177" s="8"/>
      <c r="O177" s="6"/>
      <c r="P177" s="8"/>
      <c r="Q177" s="6"/>
      <c r="AA177" s="8"/>
      <c r="AB177" s="6"/>
      <c r="AC177" s="8"/>
      <c r="AD177" s="6"/>
      <c r="AE177" s="8"/>
      <c r="AF177" s="6"/>
      <c r="AG177" s="8"/>
      <c r="AH177" s="6"/>
      <c r="AI177" s="8"/>
      <c r="AJ177" s="6"/>
      <c r="AK177" s="8"/>
      <c r="AL177" s="6"/>
      <c r="AM177" s="8"/>
      <c r="AO177" s="8"/>
      <c r="AR177" s="8"/>
      <c r="AS177" s="6"/>
      <c r="AT177" s="8"/>
      <c r="AW177" s="6"/>
      <c r="AX177" s="8"/>
      <c r="BA177" s="6"/>
      <c r="BF177" s="6"/>
      <c r="BK177" s="6"/>
      <c r="BL177" s="8"/>
      <c r="BM177" s="6"/>
      <c r="BN177" s="8"/>
      <c r="BO177" s="8"/>
      <c r="BP177" s="6"/>
      <c r="BS177" s="6"/>
      <c r="BT177" s="8"/>
      <c r="BU177" s="8"/>
      <c r="BV177" s="8"/>
      <c r="BW177" s="8"/>
      <c r="BX177" s="8"/>
      <c r="BY177" s="8"/>
      <c r="CA177" s="6"/>
      <c r="CK177" s="8"/>
      <c r="CP177" s="6"/>
      <c r="CX177" s="8"/>
      <c r="CZ177" s="8"/>
      <c r="DA177" s="8"/>
      <c r="DB177" s="8"/>
      <c r="DC177" s="6"/>
      <c r="DF177" s="9">
        <f t="shared" si="4"/>
        <v>0</v>
      </c>
      <c r="DG177" s="9"/>
      <c r="DH177" s="9">
        <f t="shared" si="5"/>
        <v>0</v>
      </c>
    </row>
    <row r="178" spans="1:112" x14ac:dyDescent="0.25">
      <c r="A178" s="4" t="s">
        <v>1591</v>
      </c>
      <c r="N178" s="8"/>
      <c r="O178" s="6"/>
      <c r="P178" s="8"/>
      <c r="Q178" s="6"/>
      <c r="AA178" s="8"/>
      <c r="AB178" s="6"/>
      <c r="AC178" s="8"/>
      <c r="AD178" s="6"/>
      <c r="AE178" s="8"/>
      <c r="AF178" s="6"/>
      <c r="AG178" s="8"/>
      <c r="AH178" s="6"/>
      <c r="AI178" s="8"/>
      <c r="AJ178" s="6"/>
      <c r="AK178" s="8"/>
      <c r="AL178" s="6"/>
      <c r="AM178" s="8"/>
      <c r="AO178" s="8"/>
      <c r="AR178" s="8"/>
      <c r="AS178" s="6"/>
      <c r="AT178" s="8"/>
      <c r="AW178" s="6"/>
      <c r="AX178" s="8"/>
      <c r="BA178" s="6"/>
      <c r="BF178" s="6"/>
      <c r="BK178" s="6"/>
      <c r="BL178" s="8"/>
      <c r="BM178" s="6"/>
      <c r="BN178" s="8"/>
      <c r="BO178" s="8"/>
      <c r="BP178" s="6"/>
      <c r="BS178" s="6"/>
      <c r="BT178" s="8"/>
      <c r="BU178" s="8"/>
      <c r="BV178" s="8"/>
      <c r="BW178" s="8"/>
      <c r="BX178" s="8"/>
      <c r="BY178" s="8"/>
      <c r="CA178" s="6"/>
      <c r="CK178" s="8"/>
      <c r="CP178" s="6"/>
      <c r="CX178" s="8"/>
      <c r="CZ178" s="8"/>
      <c r="DA178" s="8"/>
      <c r="DB178" s="8"/>
      <c r="DC178" s="6"/>
      <c r="DF178" s="9">
        <f t="shared" si="4"/>
        <v>0</v>
      </c>
      <c r="DG178" s="9"/>
      <c r="DH178" s="9">
        <f t="shared" si="5"/>
        <v>0</v>
      </c>
    </row>
    <row r="179" spans="1:112" x14ac:dyDescent="0.25">
      <c r="A179" s="4" t="s">
        <v>997</v>
      </c>
      <c r="B179" s="4" t="s">
        <v>997</v>
      </c>
      <c r="C179" s="1" t="s">
        <v>998</v>
      </c>
      <c r="N179" s="8"/>
      <c r="O179" s="6"/>
      <c r="P179" s="8"/>
      <c r="Q179" s="6"/>
      <c r="AA179" s="8"/>
      <c r="AB179" s="6"/>
      <c r="AC179" s="8"/>
      <c r="AD179" s="6"/>
      <c r="AE179" s="8"/>
      <c r="AF179" s="6"/>
      <c r="AG179" s="8"/>
      <c r="AH179" s="6"/>
      <c r="AI179" s="8"/>
      <c r="AJ179" s="6"/>
      <c r="AK179" s="8"/>
      <c r="AL179" s="6"/>
      <c r="AM179" s="8"/>
      <c r="AO179" s="8"/>
      <c r="AR179" s="8"/>
      <c r="AS179" s="6"/>
      <c r="AT179" s="8">
        <v>69777359.62000002</v>
      </c>
      <c r="AW179" s="6"/>
      <c r="AX179" s="8"/>
      <c r="BA179" s="6"/>
      <c r="BF179" s="6"/>
      <c r="BK179" s="6"/>
      <c r="BL179" s="8"/>
      <c r="BM179" s="6"/>
      <c r="BN179" s="8"/>
      <c r="BO179" s="8"/>
      <c r="BP179" s="6"/>
      <c r="BS179" s="6"/>
      <c r="BT179" s="8"/>
      <c r="BU179" s="8"/>
      <c r="BV179" s="8"/>
      <c r="BW179" s="8"/>
      <c r="BX179" s="8"/>
      <c r="BY179" s="8"/>
      <c r="CA179" s="6"/>
      <c r="CK179" s="8"/>
      <c r="CP179" s="6"/>
      <c r="CX179" s="8"/>
      <c r="CZ179" s="8"/>
      <c r="DA179" s="8"/>
      <c r="DB179" s="8"/>
      <c r="DC179" s="6"/>
      <c r="DF179" s="9">
        <f t="shared" si="4"/>
        <v>69777359.62000002</v>
      </c>
      <c r="DG179" s="9">
        <v>69777359.62000002</v>
      </c>
      <c r="DH179" s="9">
        <f t="shared" si="5"/>
        <v>0</v>
      </c>
    </row>
    <row r="180" spans="1:112" x14ac:dyDescent="0.25">
      <c r="A180" s="4" t="s">
        <v>871</v>
      </c>
      <c r="B180" s="4" t="s">
        <v>871</v>
      </c>
      <c r="C180" s="1" t="s">
        <v>934</v>
      </c>
      <c r="N180" s="8"/>
      <c r="O180" s="6"/>
      <c r="P180" s="8"/>
      <c r="Q180" s="6"/>
      <c r="AA180" s="8"/>
      <c r="AB180" s="6"/>
      <c r="AC180" s="8"/>
      <c r="AD180" s="6"/>
      <c r="AE180" s="8"/>
      <c r="AF180" s="6"/>
      <c r="AG180" s="8"/>
      <c r="AH180" s="6"/>
      <c r="AI180" s="8"/>
      <c r="AJ180" s="6"/>
      <c r="AK180" s="8"/>
      <c r="AL180" s="6"/>
      <c r="AM180" s="8"/>
      <c r="AO180" s="8"/>
      <c r="AR180" s="8"/>
      <c r="AS180" s="6"/>
      <c r="AT180" s="8">
        <v>23567655.060000002</v>
      </c>
      <c r="AW180" s="6"/>
      <c r="AX180" s="8"/>
      <c r="BA180" s="6"/>
      <c r="BF180" s="6"/>
      <c r="BK180" s="6"/>
      <c r="BL180" s="8"/>
      <c r="BM180" s="6"/>
      <c r="BN180" s="8"/>
      <c r="BO180" s="8"/>
      <c r="BP180" s="6"/>
      <c r="BS180" s="6"/>
      <c r="BT180" s="8"/>
      <c r="BU180" s="8"/>
      <c r="BV180" s="8"/>
      <c r="BW180" s="8"/>
      <c r="BX180" s="8"/>
      <c r="BY180" s="8"/>
      <c r="CA180" s="6"/>
      <c r="CK180" s="8"/>
      <c r="CP180" s="6"/>
      <c r="CX180" s="8"/>
      <c r="CZ180" s="8"/>
      <c r="DA180" s="8"/>
      <c r="DB180" s="8"/>
      <c r="DC180" s="6"/>
      <c r="DF180" s="9">
        <f t="shared" si="4"/>
        <v>23567655.060000002</v>
      </c>
      <c r="DG180" s="9">
        <v>23567655.060000002</v>
      </c>
      <c r="DH180" s="9">
        <f t="shared" si="5"/>
        <v>0</v>
      </c>
    </row>
    <row r="181" spans="1:112" x14ac:dyDescent="0.25">
      <c r="A181" s="4" t="s">
        <v>1677</v>
      </c>
      <c r="B181" s="4" t="s">
        <v>1677</v>
      </c>
      <c r="C181" s="1" t="s">
        <v>1678</v>
      </c>
      <c r="N181" s="8"/>
      <c r="O181" s="6"/>
      <c r="P181" s="8"/>
      <c r="Q181" s="6"/>
      <c r="AA181" s="8"/>
      <c r="AB181" s="6"/>
      <c r="AC181" s="8"/>
      <c r="AD181" s="6"/>
      <c r="AE181" s="8"/>
      <c r="AF181" s="6"/>
      <c r="AG181" s="8"/>
      <c r="AH181" s="6"/>
      <c r="AI181" s="8"/>
      <c r="AJ181" s="6"/>
      <c r="AK181" s="8"/>
      <c r="AL181" s="6"/>
      <c r="AM181" s="8"/>
      <c r="AO181" s="8"/>
      <c r="AR181" s="8"/>
      <c r="AS181" s="6"/>
      <c r="AT181" s="8">
        <v>2415097</v>
      </c>
      <c r="AW181" s="6"/>
      <c r="AX181" s="8"/>
      <c r="BA181" s="6"/>
      <c r="BF181" s="6"/>
      <c r="BK181" s="6"/>
      <c r="BL181" s="8"/>
      <c r="BM181" s="6"/>
      <c r="BN181" s="8"/>
      <c r="BO181" s="8"/>
      <c r="BP181" s="6"/>
      <c r="BS181" s="6"/>
      <c r="BT181" s="8"/>
      <c r="BU181" s="8"/>
      <c r="BV181" s="8"/>
      <c r="BW181" s="8"/>
      <c r="BX181" s="8"/>
      <c r="BY181" s="8"/>
      <c r="CA181" s="6"/>
      <c r="CK181" s="8"/>
      <c r="CP181" s="6"/>
      <c r="CX181" s="8"/>
      <c r="CZ181" s="8"/>
      <c r="DA181" s="8"/>
      <c r="DB181" s="8"/>
      <c r="DC181" s="6"/>
      <c r="DF181" s="9">
        <f t="shared" si="4"/>
        <v>2415097</v>
      </c>
      <c r="DG181" s="9">
        <v>2415097</v>
      </c>
      <c r="DH181" s="9">
        <f t="shared" si="5"/>
        <v>0</v>
      </c>
    </row>
    <row r="182" spans="1:112" x14ac:dyDescent="0.25">
      <c r="A182" s="4" t="s">
        <v>872</v>
      </c>
      <c r="B182" s="4" t="s">
        <v>872</v>
      </c>
      <c r="C182" s="1" t="s">
        <v>935</v>
      </c>
      <c r="N182" s="8"/>
      <c r="O182" s="6"/>
      <c r="P182" s="8"/>
      <c r="Q182" s="6"/>
      <c r="AA182" s="8"/>
      <c r="AB182" s="6"/>
      <c r="AC182" s="8"/>
      <c r="AD182" s="6"/>
      <c r="AE182" s="8"/>
      <c r="AF182" s="6"/>
      <c r="AG182" s="8"/>
      <c r="AH182" s="6"/>
      <c r="AI182" s="8"/>
      <c r="AJ182" s="6"/>
      <c r="AK182" s="8"/>
      <c r="AL182" s="6"/>
      <c r="AM182" s="8"/>
      <c r="AO182" s="8"/>
      <c r="AR182" s="8"/>
      <c r="AS182" s="6"/>
      <c r="AT182" s="8">
        <v>155875352.26999998</v>
      </c>
      <c r="AW182" s="6"/>
      <c r="AX182" s="8"/>
      <c r="BA182" s="6"/>
      <c r="BF182" s="6"/>
      <c r="BK182" s="6"/>
      <c r="BL182" s="8"/>
      <c r="BM182" s="6"/>
      <c r="BN182" s="8"/>
      <c r="BO182" s="8"/>
      <c r="BP182" s="6"/>
      <c r="BS182" s="6"/>
      <c r="BT182" s="8"/>
      <c r="BU182" s="8"/>
      <c r="BV182" s="8"/>
      <c r="BW182" s="8"/>
      <c r="BX182" s="8"/>
      <c r="BY182" s="8"/>
      <c r="CA182" s="6"/>
      <c r="CK182" s="8"/>
      <c r="CP182" s="6"/>
      <c r="CX182" s="8"/>
      <c r="CZ182" s="8"/>
      <c r="DA182" s="8"/>
      <c r="DB182" s="8"/>
      <c r="DC182" s="6"/>
      <c r="DF182" s="9">
        <f t="shared" si="4"/>
        <v>155875352.26999998</v>
      </c>
      <c r="DG182" s="9">
        <v>155875352.26999998</v>
      </c>
      <c r="DH182" s="9">
        <f t="shared" si="5"/>
        <v>0</v>
      </c>
    </row>
    <row r="183" spans="1:112" x14ac:dyDescent="0.25">
      <c r="A183" s="4" t="s">
        <v>873</v>
      </c>
      <c r="B183" s="4" t="s">
        <v>873</v>
      </c>
      <c r="C183" s="1" t="s">
        <v>936</v>
      </c>
      <c r="N183" s="8"/>
      <c r="O183" s="6"/>
      <c r="P183" s="8"/>
      <c r="Q183" s="6"/>
      <c r="AA183" s="8"/>
      <c r="AB183" s="6"/>
      <c r="AC183" s="8"/>
      <c r="AD183" s="6"/>
      <c r="AE183" s="8"/>
      <c r="AF183" s="6"/>
      <c r="AG183" s="8"/>
      <c r="AH183" s="6"/>
      <c r="AI183" s="8"/>
      <c r="AJ183" s="6"/>
      <c r="AK183" s="8"/>
      <c r="AL183" s="6"/>
      <c r="AM183" s="8"/>
      <c r="AO183" s="8"/>
      <c r="AR183" s="8"/>
      <c r="AS183" s="6"/>
      <c r="AT183" s="8">
        <v>71432342.669999987</v>
      </c>
      <c r="AW183" s="6"/>
      <c r="AX183" s="8"/>
      <c r="BA183" s="6"/>
      <c r="BF183" s="6"/>
      <c r="BK183" s="6"/>
      <c r="BL183" s="8"/>
      <c r="BM183" s="6"/>
      <c r="BN183" s="8"/>
      <c r="BO183" s="8"/>
      <c r="BP183" s="6"/>
      <c r="BS183" s="6"/>
      <c r="BT183" s="8"/>
      <c r="BU183" s="8"/>
      <c r="BV183" s="8"/>
      <c r="BW183" s="8"/>
      <c r="BX183" s="8"/>
      <c r="BY183" s="8"/>
      <c r="CA183" s="6"/>
      <c r="CK183" s="8"/>
      <c r="CP183" s="6"/>
      <c r="CX183" s="8"/>
      <c r="CZ183" s="8"/>
      <c r="DA183" s="8"/>
      <c r="DB183" s="8"/>
      <c r="DC183" s="6"/>
      <c r="DF183" s="9">
        <f t="shared" si="4"/>
        <v>71432342.669999987</v>
      </c>
      <c r="DG183" s="9">
        <v>71432342.669999987</v>
      </c>
      <c r="DH183" s="9">
        <f t="shared" si="5"/>
        <v>0</v>
      </c>
    </row>
    <row r="184" spans="1:112" x14ac:dyDescent="0.25">
      <c r="A184" s="4" t="s">
        <v>874</v>
      </c>
      <c r="B184" s="4" t="s">
        <v>874</v>
      </c>
      <c r="C184" s="1" t="s">
        <v>937</v>
      </c>
      <c r="N184" s="8"/>
      <c r="O184" s="6"/>
      <c r="P184" s="8"/>
      <c r="Q184" s="6"/>
      <c r="AA184" s="8"/>
      <c r="AB184" s="6"/>
      <c r="AC184" s="8"/>
      <c r="AD184" s="6"/>
      <c r="AE184" s="8"/>
      <c r="AF184" s="6"/>
      <c r="AG184" s="8"/>
      <c r="AH184" s="6"/>
      <c r="AI184" s="8"/>
      <c r="AJ184" s="6"/>
      <c r="AK184" s="8"/>
      <c r="AL184" s="6"/>
      <c r="AM184" s="8"/>
      <c r="AO184" s="8"/>
      <c r="AR184" s="8"/>
      <c r="AS184" s="6"/>
      <c r="AT184" s="8">
        <v>6613118</v>
      </c>
      <c r="AW184" s="6"/>
      <c r="AX184" s="8"/>
      <c r="BA184" s="6"/>
      <c r="BF184" s="6"/>
      <c r="BK184" s="6"/>
      <c r="BL184" s="8"/>
      <c r="BM184" s="6"/>
      <c r="BN184" s="8"/>
      <c r="BO184" s="8"/>
      <c r="BP184" s="6"/>
      <c r="BS184" s="6"/>
      <c r="BT184" s="8"/>
      <c r="BU184" s="8"/>
      <c r="BV184" s="8"/>
      <c r="BW184" s="8"/>
      <c r="BX184" s="8"/>
      <c r="BY184" s="8"/>
      <c r="CA184" s="6"/>
      <c r="CK184" s="8"/>
      <c r="CP184" s="6"/>
      <c r="CX184" s="8"/>
      <c r="CZ184" s="8"/>
      <c r="DA184" s="8"/>
      <c r="DB184" s="8"/>
      <c r="DC184" s="6"/>
      <c r="DF184" s="9">
        <f t="shared" si="4"/>
        <v>6613118</v>
      </c>
      <c r="DG184" s="9">
        <v>6613118</v>
      </c>
      <c r="DH184" s="9">
        <f t="shared" si="5"/>
        <v>0</v>
      </c>
    </row>
    <row r="185" spans="1:112" x14ac:dyDescent="0.25">
      <c r="A185" s="4" t="s">
        <v>875</v>
      </c>
      <c r="B185" s="4" t="s">
        <v>875</v>
      </c>
      <c r="C185" s="1" t="s">
        <v>938</v>
      </c>
      <c r="N185" s="8"/>
      <c r="O185" s="6"/>
      <c r="P185" s="8"/>
      <c r="Q185" s="6"/>
      <c r="AA185" s="8"/>
      <c r="AB185" s="6"/>
      <c r="AC185" s="8"/>
      <c r="AD185" s="6"/>
      <c r="AE185" s="8"/>
      <c r="AF185" s="6"/>
      <c r="AG185" s="8"/>
      <c r="AH185" s="6"/>
      <c r="AI185" s="8"/>
      <c r="AJ185" s="6"/>
      <c r="AK185" s="8"/>
      <c r="AL185" s="6"/>
      <c r="AM185" s="8"/>
      <c r="AO185" s="8"/>
      <c r="AR185" s="8"/>
      <c r="AS185" s="6"/>
      <c r="AT185" s="8">
        <v>68031926</v>
      </c>
      <c r="AW185" s="6"/>
      <c r="AX185" s="8"/>
      <c r="BA185" s="6"/>
      <c r="BF185" s="6"/>
      <c r="BK185" s="6"/>
      <c r="BL185" s="8"/>
      <c r="BM185" s="6"/>
      <c r="BN185" s="8"/>
      <c r="BO185" s="8"/>
      <c r="BP185" s="6"/>
      <c r="BS185" s="6"/>
      <c r="BT185" s="8"/>
      <c r="BU185" s="8"/>
      <c r="BV185" s="8"/>
      <c r="BW185" s="8"/>
      <c r="BX185" s="8"/>
      <c r="BY185" s="8"/>
      <c r="CA185" s="6"/>
      <c r="CK185" s="8"/>
      <c r="CP185" s="6"/>
      <c r="CX185" s="8"/>
      <c r="CZ185" s="8"/>
      <c r="DA185" s="8"/>
      <c r="DB185" s="8"/>
      <c r="DC185" s="6"/>
      <c r="DF185" s="9">
        <f t="shared" si="4"/>
        <v>68031926</v>
      </c>
      <c r="DG185" s="9">
        <v>68031926</v>
      </c>
      <c r="DH185" s="9">
        <f t="shared" si="5"/>
        <v>0</v>
      </c>
    </row>
    <row r="186" spans="1:112" x14ac:dyDescent="0.25">
      <c r="A186" s="4" t="s">
        <v>876</v>
      </c>
      <c r="B186" s="4" t="s">
        <v>876</v>
      </c>
      <c r="C186" s="1" t="s">
        <v>939</v>
      </c>
      <c r="N186" s="8"/>
      <c r="O186" s="6"/>
      <c r="P186" s="8"/>
      <c r="Q186" s="6"/>
      <c r="AA186" s="8"/>
      <c r="AB186" s="6"/>
      <c r="AC186" s="8"/>
      <c r="AD186" s="6"/>
      <c r="AE186" s="8"/>
      <c r="AF186" s="6"/>
      <c r="AG186" s="8"/>
      <c r="AH186" s="6"/>
      <c r="AI186" s="8"/>
      <c r="AJ186" s="6"/>
      <c r="AK186" s="8"/>
      <c r="AL186" s="6"/>
      <c r="AM186" s="8"/>
      <c r="AO186" s="8"/>
      <c r="AR186" s="8"/>
      <c r="AS186" s="6"/>
      <c r="AT186" s="8">
        <v>80445553</v>
      </c>
      <c r="AW186" s="6"/>
      <c r="AX186" s="8"/>
      <c r="BA186" s="6"/>
      <c r="BF186" s="6"/>
      <c r="BK186" s="6"/>
      <c r="BL186" s="8"/>
      <c r="BM186" s="6"/>
      <c r="BN186" s="8"/>
      <c r="BO186" s="8"/>
      <c r="BP186" s="6"/>
      <c r="BS186" s="6"/>
      <c r="BT186" s="8"/>
      <c r="BU186" s="8"/>
      <c r="BV186" s="8"/>
      <c r="BW186" s="8"/>
      <c r="BX186" s="8"/>
      <c r="BY186" s="8"/>
      <c r="CA186" s="6"/>
      <c r="CK186" s="8"/>
      <c r="CP186" s="6"/>
      <c r="CX186" s="8"/>
      <c r="CZ186" s="8"/>
      <c r="DA186" s="8"/>
      <c r="DB186" s="8"/>
      <c r="DC186" s="6"/>
      <c r="DF186" s="9">
        <f t="shared" si="4"/>
        <v>80445553</v>
      </c>
      <c r="DG186" s="9">
        <v>80445553</v>
      </c>
      <c r="DH186" s="9">
        <f t="shared" si="5"/>
        <v>0</v>
      </c>
    </row>
    <row r="187" spans="1:112" x14ac:dyDescent="0.25">
      <c r="A187" s="4" t="s">
        <v>1776</v>
      </c>
      <c r="B187" s="4" t="s">
        <v>1776</v>
      </c>
      <c r="C187" s="1" t="s">
        <v>1777</v>
      </c>
      <c r="N187" s="8"/>
      <c r="O187" s="6"/>
      <c r="P187" s="8"/>
      <c r="Q187" s="6"/>
      <c r="AA187" s="8"/>
      <c r="AB187" s="6"/>
      <c r="AC187" s="8"/>
      <c r="AD187" s="6"/>
      <c r="AE187" s="8"/>
      <c r="AF187" s="6"/>
      <c r="AG187" s="8"/>
      <c r="AH187" s="6"/>
      <c r="AI187" s="8"/>
      <c r="AJ187" s="6"/>
      <c r="AK187" s="8"/>
      <c r="AL187" s="6"/>
      <c r="AM187" s="8"/>
      <c r="AO187" s="8"/>
      <c r="AR187" s="8"/>
      <c r="AS187" s="6"/>
      <c r="AT187" s="8">
        <v>0</v>
      </c>
      <c r="AW187" s="6"/>
      <c r="AX187" s="8"/>
      <c r="BA187" s="6"/>
      <c r="BF187" s="6"/>
      <c r="BK187" s="6"/>
      <c r="BL187" s="8"/>
      <c r="BM187" s="6"/>
      <c r="BN187" s="8"/>
      <c r="BO187" s="8"/>
      <c r="BP187" s="6"/>
      <c r="BS187" s="6"/>
      <c r="BT187" s="8"/>
      <c r="BU187" s="8"/>
      <c r="BV187" s="8"/>
      <c r="BW187" s="8"/>
      <c r="BX187" s="8"/>
      <c r="BY187" s="8"/>
      <c r="CA187" s="6"/>
      <c r="CK187" s="8"/>
      <c r="CP187" s="6"/>
      <c r="CX187" s="8"/>
      <c r="CZ187" s="8"/>
      <c r="DA187" s="8"/>
      <c r="DB187" s="8"/>
      <c r="DC187" s="6"/>
      <c r="DF187" s="9">
        <f t="shared" si="4"/>
        <v>0</v>
      </c>
      <c r="DG187" s="9">
        <v>0</v>
      </c>
      <c r="DH187" s="9">
        <f t="shared" si="5"/>
        <v>0</v>
      </c>
    </row>
    <row r="188" spans="1:112" x14ac:dyDescent="0.25">
      <c r="A188" s="4" t="s">
        <v>877</v>
      </c>
      <c r="N188" s="8"/>
      <c r="O188" s="6"/>
      <c r="P188" s="8"/>
      <c r="Q188" s="6"/>
      <c r="AA188" s="8"/>
      <c r="AB188" s="6"/>
      <c r="AC188" s="8"/>
      <c r="AD188" s="6"/>
      <c r="AE188" s="8"/>
      <c r="AF188" s="6"/>
      <c r="AG188" s="8"/>
      <c r="AH188" s="6"/>
      <c r="AI188" s="8"/>
      <c r="AJ188" s="6"/>
      <c r="AK188" s="8"/>
      <c r="AL188" s="6"/>
      <c r="AM188" s="8"/>
      <c r="AO188" s="8"/>
      <c r="AR188" s="8"/>
      <c r="AS188" s="6"/>
      <c r="AT188" s="8"/>
      <c r="AW188" s="6"/>
      <c r="AX188" s="8"/>
      <c r="BA188" s="6"/>
      <c r="BF188" s="6"/>
      <c r="BK188" s="6"/>
      <c r="BL188" s="8"/>
      <c r="BM188" s="6"/>
      <c r="BN188" s="8"/>
      <c r="BO188" s="8"/>
      <c r="BP188" s="6"/>
      <c r="BS188" s="6"/>
      <c r="BT188" s="8"/>
      <c r="BU188" s="8"/>
      <c r="BV188" s="8"/>
      <c r="BW188" s="8"/>
      <c r="BX188" s="8"/>
      <c r="BY188" s="8"/>
      <c r="CA188" s="6"/>
      <c r="CK188" s="8"/>
      <c r="CP188" s="6"/>
      <c r="CX188" s="8"/>
      <c r="CZ188" s="8"/>
      <c r="DA188" s="8"/>
      <c r="DB188" s="8"/>
      <c r="DC188" s="6"/>
      <c r="DF188" s="9">
        <f t="shared" si="4"/>
        <v>0</v>
      </c>
      <c r="DG188" s="9"/>
      <c r="DH188" s="9">
        <f t="shared" si="5"/>
        <v>0</v>
      </c>
    </row>
    <row r="189" spans="1:112" x14ac:dyDescent="0.25">
      <c r="A189" s="4" t="s">
        <v>878</v>
      </c>
      <c r="N189" s="8"/>
      <c r="O189" s="6"/>
      <c r="P189" s="8"/>
      <c r="Q189" s="6"/>
      <c r="AA189" s="8"/>
      <c r="AB189" s="6"/>
      <c r="AC189" s="8"/>
      <c r="AD189" s="6"/>
      <c r="AE189" s="8"/>
      <c r="AF189" s="6"/>
      <c r="AG189" s="8"/>
      <c r="AH189" s="6"/>
      <c r="AI189" s="8"/>
      <c r="AJ189" s="6"/>
      <c r="AK189" s="8"/>
      <c r="AL189" s="6"/>
      <c r="AM189" s="8"/>
      <c r="AO189" s="8"/>
      <c r="AR189" s="8"/>
      <c r="AS189" s="6"/>
      <c r="AT189" s="8"/>
      <c r="AW189" s="6"/>
      <c r="AX189" s="8"/>
      <c r="BA189" s="6"/>
      <c r="BF189" s="6"/>
      <c r="BK189" s="6"/>
      <c r="BL189" s="8"/>
      <c r="BM189" s="6"/>
      <c r="BN189" s="8"/>
      <c r="BO189" s="8"/>
      <c r="BP189" s="6"/>
      <c r="BS189" s="6"/>
      <c r="BT189" s="8"/>
      <c r="BU189" s="8"/>
      <c r="BV189" s="8"/>
      <c r="BW189" s="8"/>
      <c r="BX189" s="8"/>
      <c r="BY189" s="8"/>
      <c r="CA189" s="6"/>
      <c r="CK189" s="8"/>
      <c r="CP189" s="6"/>
      <c r="CX189" s="8"/>
      <c r="CZ189" s="8"/>
      <c r="DA189" s="8"/>
      <c r="DB189" s="8"/>
      <c r="DC189" s="6"/>
      <c r="DF189" s="9">
        <f t="shared" si="4"/>
        <v>0</v>
      </c>
      <c r="DG189" s="9"/>
      <c r="DH189" s="9">
        <f t="shared" si="5"/>
        <v>0</v>
      </c>
    </row>
    <row r="190" spans="1:112" x14ac:dyDescent="0.25">
      <c r="A190" s="4" t="s">
        <v>879</v>
      </c>
      <c r="B190" s="4" t="s">
        <v>879</v>
      </c>
      <c r="C190" s="1" t="s">
        <v>940</v>
      </c>
      <c r="N190" s="8"/>
      <c r="O190" s="6"/>
      <c r="P190" s="8"/>
      <c r="Q190" s="6"/>
      <c r="AA190" s="8"/>
      <c r="AB190" s="6"/>
      <c r="AC190" s="8"/>
      <c r="AD190" s="6"/>
      <c r="AE190" s="8"/>
      <c r="AF190" s="6"/>
      <c r="AG190" s="8"/>
      <c r="AH190" s="6"/>
      <c r="AI190" s="8"/>
      <c r="AJ190" s="6"/>
      <c r="AK190" s="8"/>
      <c r="AL190" s="6"/>
      <c r="AM190" s="8"/>
      <c r="AO190" s="8"/>
      <c r="AR190" s="8"/>
      <c r="AS190" s="6"/>
      <c r="AT190" s="8">
        <v>63500</v>
      </c>
      <c r="AW190" s="6"/>
      <c r="AX190" s="8"/>
      <c r="BA190" s="6"/>
      <c r="BF190" s="6"/>
      <c r="BK190" s="6"/>
      <c r="BL190" s="8"/>
      <c r="BM190" s="6"/>
      <c r="BN190" s="8"/>
      <c r="BO190" s="8"/>
      <c r="BP190" s="6"/>
      <c r="BS190" s="6"/>
      <c r="BT190" s="8"/>
      <c r="BU190" s="8"/>
      <c r="BV190" s="8"/>
      <c r="BW190" s="8"/>
      <c r="BX190" s="8"/>
      <c r="BY190" s="8"/>
      <c r="CA190" s="6"/>
      <c r="CK190" s="8"/>
      <c r="CP190" s="6"/>
      <c r="CX190" s="8"/>
      <c r="CZ190" s="8"/>
      <c r="DA190" s="8"/>
      <c r="DB190" s="8"/>
      <c r="DC190" s="6"/>
      <c r="DF190" s="9">
        <f t="shared" si="4"/>
        <v>63500</v>
      </c>
      <c r="DG190" s="9">
        <v>63500</v>
      </c>
      <c r="DH190" s="9">
        <f t="shared" si="5"/>
        <v>0</v>
      </c>
    </row>
    <row r="191" spans="1:112" x14ac:dyDescent="0.25">
      <c r="A191" s="4" t="s">
        <v>907</v>
      </c>
      <c r="N191" s="8"/>
      <c r="O191" s="6"/>
      <c r="P191" s="8"/>
      <c r="Q191" s="6"/>
      <c r="AA191" s="8"/>
      <c r="AB191" s="6"/>
      <c r="AC191" s="8"/>
      <c r="AD191" s="6"/>
      <c r="AE191" s="8"/>
      <c r="AF191" s="6"/>
      <c r="AG191" s="8"/>
      <c r="AH191" s="6"/>
      <c r="AI191" s="8"/>
      <c r="AJ191" s="6"/>
      <c r="AK191" s="8"/>
      <c r="AL191" s="6"/>
      <c r="AM191" s="8"/>
      <c r="AO191" s="8"/>
      <c r="AR191" s="8"/>
      <c r="AS191" s="6"/>
      <c r="AT191" s="8"/>
      <c r="AW191" s="6"/>
      <c r="AX191" s="8"/>
      <c r="BA191" s="6"/>
      <c r="BF191" s="6"/>
      <c r="BK191" s="6"/>
      <c r="BL191" s="8"/>
      <c r="BM191" s="6"/>
      <c r="BN191" s="8"/>
      <c r="BO191" s="8"/>
      <c r="BP191" s="6"/>
      <c r="BS191" s="6"/>
      <c r="BT191" s="8"/>
      <c r="BU191" s="8"/>
      <c r="BV191" s="8"/>
      <c r="BW191" s="8"/>
      <c r="BX191" s="8"/>
      <c r="BY191" s="8"/>
      <c r="CA191" s="6"/>
      <c r="CK191" s="8"/>
      <c r="CP191" s="6"/>
      <c r="CX191" s="8"/>
      <c r="CZ191" s="8"/>
      <c r="DA191" s="8"/>
      <c r="DB191" s="8"/>
      <c r="DC191" s="6"/>
      <c r="DF191" s="9">
        <f t="shared" si="4"/>
        <v>0</v>
      </c>
      <c r="DG191" s="9"/>
      <c r="DH191" s="9">
        <f t="shared" si="5"/>
        <v>0</v>
      </c>
    </row>
    <row r="192" spans="1:112" x14ac:dyDescent="0.25">
      <c r="A192" s="4" t="s">
        <v>880</v>
      </c>
      <c r="B192" s="4" t="s">
        <v>880</v>
      </c>
      <c r="C192" s="1" t="s">
        <v>1833</v>
      </c>
      <c r="N192" s="8"/>
      <c r="O192" s="6"/>
      <c r="P192" s="8"/>
      <c r="Q192" s="6"/>
      <c r="AA192" s="8"/>
      <c r="AB192" s="6"/>
      <c r="AC192" s="8"/>
      <c r="AD192" s="6"/>
      <c r="AE192" s="8"/>
      <c r="AF192" s="6"/>
      <c r="AG192" s="8"/>
      <c r="AH192" s="6"/>
      <c r="AI192" s="8"/>
      <c r="AJ192" s="6"/>
      <c r="AK192" s="8"/>
      <c r="AL192" s="6"/>
      <c r="AM192" s="8"/>
      <c r="AO192" s="8"/>
      <c r="AR192" s="8"/>
      <c r="AS192" s="6"/>
      <c r="AT192" s="8">
        <v>76000</v>
      </c>
      <c r="AW192" s="6"/>
      <c r="AX192" s="8"/>
      <c r="BA192" s="6"/>
      <c r="BF192" s="6"/>
      <c r="BK192" s="6"/>
      <c r="BL192" s="8"/>
      <c r="BM192" s="6"/>
      <c r="BN192" s="8"/>
      <c r="BO192" s="8"/>
      <c r="BP192" s="6"/>
      <c r="BS192" s="6"/>
      <c r="BT192" s="8"/>
      <c r="BU192" s="8"/>
      <c r="BV192" s="8"/>
      <c r="BW192" s="8"/>
      <c r="BX192" s="8"/>
      <c r="BY192" s="8"/>
      <c r="CA192" s="6"/>
      <c r="CK192" s="8"/>
      <c r="CP192" s="6"/>
      <c r="CX192" s="8"/>
      <c r="CZ192" s="8"/>
      <c r="DA192" s="8"/>
      <c r="DB192" s="8"/>
      <c r="DC192" s="6"/>
      <c r="DF192" s="9">
        <f t="shared" si="4"/>
        <v>76000</v>
      </c>
      <c r="DG192" s="9">
        <v>76000</v>
      </c>
      <c r="DH192" s="9">
        <f t="shared" si="5"/>
        <v>0</v>
      </c>
    </row>
    <row r="193" spans="1:112" x14ac:dyDescent="0.25">
      <c r="A193" s="4" t="s">
        <v>908</v>
      </c>
      <c r="N193" s="8"/>
      <c r="O193" s="6"/>
      <c r="P193" s="8"/>
      <c r="Q193" s="6"/>
      <c r="AA193" s="8"/>
      <c r="AB193" s="6"/>
      <c r="AC193" s="8"/>
      <c r="AD193" s="6"/>
      <c r="AE193" s="8"/>
      <c r="AF193" s="6"/>
      <c r="AG193" s="8"/>
      <c r="AH193" s="6"/>
      <c r="AI193" s="8"/>
      <c r="AJ193" s="6"/>
      <c r="AK193" s="8"/>
      <c r="AL193" s="6"/>
      <c r="AM193" s="8"/>
      <c r="AO193" s="8"/>
      <c r="AR193" s="8"/>
      <c r="AS193" s="6"/>
      <c r="AT193" s="8"/>
      <c r="AW193" s="6"/>
      <c r="AX193" s="8"/>
      <c r="BA193" s="6"/>
      <c r="BF193" s="6"/>
      <c r="BK193" s="6"/>
      <c r="BL193" s="8"/>
      <c r="BM193" s="6"/>
      <c r="BN193" s="8"/>
      <c r="BO193" s="8"/>
      <c r="BP193" s="6"/>
      <c r="BS193" s="6"/>
      <c r="BT193" s="8"/>
      <c r="BU193" s="8"/>
      <c r="BV193" s="8"/>
      <c r="BW193" s="8"/>
      <c r="BX193" s="8"/>
      <c r="BY193" s="8"/>
      <c r="CA193" s="6"/>
      <c r="CK193" s="8"/>
      <c r="CP193" s="6"/>
      <c r="CX193" s="8"/>
      <c r="CZ193" s="8"/>
      <c r="DA193" s="8"/>
      <c r="DB193" s="8"/>
      <c r="DC193" s="6"/>
      <c r="DF193" s="9">
        <f t="shared" si="4"/>
        <v>0</v>
      </c>
      <c r="DG193" s="9"/>
      <c r="DH193" s="9">
        <f t="shared" si="5"/>
        <v>0</v>
      </c>
    </row>
    <row r="194" spans="1:112" x14ac:dyDescent="0.25">
      <c r="A194" s="4" t="s">
        <v>881</v>
      </c>
      <c r="B194" s="4" t="s">
        <v>881</v>
      </c>
      <c r="C194" s="1" t="s">
        <v>941</v>
      </c>
      <c r="N194" s="8"/>
      <c r="O194" s="6"/>
      <c r="P194" s="8"/>
      <c r="Q194" s="6"/>
      <c r="AA194" s="8"/>
      <c r="AB194" s="6"/>
      <c r="AC194" s="8"/>
      <c r="AD194" s="6"/>
      <c r="AE194" s="8"/>
      <c r="AF194" s="6"/>
      <c r="AG194" s="8"/>
      <c r="AH194" s="6"/>
      <c r="AI194" s="8"/>
      <c r="AJ194" s="6"/>
      <c r="AK194" s="8"/>
      <c r="AL194" s="6"/>
      <c r="AM194" s="8"/>
      <c r="AO194" s="8"/>
      <c r="AR194" s="8"/>
      <c r="AS194" s="6"/>
      <c r="AT194" s="8">
        <v>3053739</v>
      </c>
      <c r="AW194" s="6"/>
      <c r="AX194" s="8"/>
      <c r="BA194" s="6"/>
      <c r="BF194" s="6"/>
      <c r="BK194" s="6"/>
      <c r="BL194" s="8"/>
      <c r="BM194" s="6"/>
      <c r="BN194" s="8"/>
      <c r="BO194" s="8"/>
      <c r="BP194" s="6"/>
      <c r="BS194" s="6"/>
      <c r="BT194" s="8"/>
      <c r="BU194" s="8"/>
      <c r="BV194" s="8"/>
      <c r="BW194" s="8"/>
      <c r="BX194" s="8"/>
      <c r="BY194" s="8"/>
      <c r="CA194" s="6"/>
      <c r="CK194" s="8"/>
      <c r="CP194" s="6"/>
      <c r="CX194" s="8"/>
      <c r="CZ194" s="8"/>
      <c r="DA194" s="8"/>
      <c r="DB194" s="8"/>
      <c r="DC194" s="6"/>
      <c r="DF194" s="9">
        <f t="shared" si="4"/>
        <v>3053739</v>
      </c>
      <c r="DG194" s="9">
        <v>3053739</v>
      </c>
      <c r="DH194" s="9">
        <f t="shared" si="5"/>
        <v>0</v>
      </c>
    </row>
    <row r="195" spans="1:112" x14ac:dyDescent="0.25">
      <c r="A195" s="4" t="s">
        <v>1728</v>
      </c>
      <c r="B195" s="4" t="s">
        <v>1728</v>
      </c>
      <c r="C195" s="1" t="s">
        <v>1729</v>
      </c>
      <c r="N195" s="8"/>
      <c r="O195" s="6"/>
      <c r="P195" s="8"/>
      <c r="Q195" s="6"/>
      <c r="AA195" s="8"/>
      <c r="AB195" s="6"/>
      <c r="AC195" s="8"/>
      <c r="AD195" s="6"/>
      <c r="AE195" s="8"/>
      <c r="AF195" s="6"/>
      <c r="AG195" s="8"/>
      <c r="AH195" s="6"/>
      <c r="AI195" s="8"/>
      <c r="AJ195" s="6"/>
      <c r="AK195" s="8"/>
      <c r="AL195" s="6"/>
      <c r="AM195" s="8"/>
      <c r="AO195" s="8"/>
      <c r="AR195" s="8"/>
      <c r="AS195" s="6"/>
      <c r="AT195" s="8">
        <v>333594</v>
      </c>
      <c r="AW195" s="6"/>
      <c r="AX195" s="8"/>
      <c r="BA195" s="6"/>
      <c r="BF195" s="6"/>
      <c r="BK195" s="6"/>
      <c r="BL195" s="8"/>
      <c r="BM195" s="6"/>
      <c r="BN195" s="8"/>
      <c r="BO195" s="8"/>
      <c r="BP195" s="6"/>
      <c r="BS195" s="6"/>
      <c r="BT195" s="8"/>
      <c r="BU195" s="8"/>
      <c r="BV195" s="8"/>
      <c r="BW195" s="8"/>
      <c r="BX195" s="8"/>
      <c r="BY195" s="8"/>
      <c r="CA195" s="6"/>
      <c r="CK195" s="8"/>
      <c r="CP195" s="6"/>
      <c r="CX195" s="8"/>
      <c r="CZ195" s="8"/>
      <c r="DA195" s="8"/>
      <c r="DB195" s="8"/>
      <c r="DC195" s="6"/>
      <c r="DF195" s="9">
        <f t="shared" si="4"/>
        <v>333594</v>
      </c>
      <c r="DG195" s="9">
        <v>333594</v>
      </c>
      <c r="DH195" s="9">
        <f t="shared" si="5"/>
        <v>0</v>
      </c>
    </row>
    <row r="196" spans="1:112" x14ac:dyDescent="0.25">
      <c r="A196" s="4" t="s">
        <v>782</v>
      </c>
      <c r="B196" s="4" t="s">
        <v>782</v>
      </c>
      <c r="C196" s="1" t="s">
        <v>783</v>
      </c>
      <c r="N196" s="8"/>
      <c r="O196" s="6"/>
      <c r="P196" s="8"/>
      <c r="Q196" s="6"/>
      <c r="AA196" s="8"/>
      <c r="AB196" s="6"/>
      <c r="AC196" s="8"/>
      <c r="AD196" s="6"/>
      <c r="AE196" s="8"/>
      <c r="AF196" s="6"/>
      <c r="AG196" s="8"/>
      <c r="AH196" s="6"/>
      <c r="AI196" s="8"/>
      <c r="AJ196" s="6"/>
      <c r="AK196" s="8"/>
      <c r="AL196" s="6"/>
      <c r="AM196" s="8"/>
      <c r="AO196" s="8"/>
      <c r="AR196" s="8"/>
      <c r="AS196" s="6"/>
      <c r="AT196" s="8">
        <v>517006</v>
      </c>
      <c r="AW196" s="6"/>
      <c r="AX196" s="8"/>
      <c r="BA196" s="6"/>
      <c r="BF196" s="6"/>
      <c r="BK196" s="6"/>
      <c r="BL196" s="8"/>
      <c r="BM196" s="6"/>
      <c r="BN196" s="8"/>
      <c r="BO196" s="8"/>
      <c r="BP196" s="6"/>
      <c r="BS196" s="6"/>
      <c r="BT196" s="8"/>
      <c r="BU196" s="8"/>
      <c r="BV196" s="8"/>
      <c r="BW196" s="8"/>
      <c r="BX196" s="8"/>
      <c r="BY196" s="8"/>
      <c r="CA196" s="6"/>
      <c r="CK196" s="8"/>
      <c r="CP196" s="6"/>
      <c r="CX196" s="8"/>
      <c r="CZ196" s="8"/>
      <c r="DA196" s="8"/>
      <c r="DB196" s="8"/>
      <c r="DC196" s="6"/>
      <c r="DF196" s="9">
        <f t="shared" si="4"/>
        <v>517006</v>
      </c>
      <c r="DG196" s="9">
        <v>517006</v>
      </c>
      <c r="DH196" s="9">
        <f t="shared" si="5"/>
        <v>0</v>
      </c>
    </row>
    <row r="197" spans="1:112" x14ac:dyDescent="0.25">
      <c r="A197" s="4" t="s">
        <v>882</v>
      </c>
      <c r="B197" s="4" t="s">
        <v>882</v>
      </c>
      <c r="C197" s="1" t="s">
        <v>942</v>
      </c>
      <c r="N197" s="8"/>
      <c r="O197" s="6"/>
      <c r="P197" s="8"/>
      <c r="Q197" s="6"/>
      <c r="AA197" s="8"/>
      <c r="AB197" s="6"/>
      <c r="AC197" s="8"/>
      <c r="AD197" s="6"/>
      <c r="AE197" s="8"/>
      <c r="AF197" s="6"/>
      <c r="AG197" s="8"/>
      <c r="AH197" s="6"/>
      <c r="AI197" s="8"/>
      <c r="AJ197" s="6"/>
      <c r="AK197" s="8"/>
      <c r="AL197" s="6"/>
      <c r="AM197" s="8"/>
      <c r="AO197" s="8"/>
      <c r="AR197" s="8"/>
      <c r="AS197" s="6"/>
      <c r="AT197" s="8">
        <v>1060012.0799999998</v>
      </c>
      <c r="AW197" s="6"/>
      <c r="AX197" s="8"/>
      <c r="BA197" s="6"/>
      <c r="BF197" s="6"/>
      <c r="BK197" s="6"/>
      <c r="BL197" s="8"/>
      <c r="BM197" s="6"/>
      <c r="BN197" s="8"/>
      <c r="BO197" s="8"/>
      <c r="BP197" s="6"/>
      <c r="BS197" s="6"/>
      <c r="BT197" s="8"/>
      <c r="BU197" s="8"/>
      <c r="BV197" s="8"/>
      <c r="BW197" s="8"/>
      <c r="BX197" s="8"/>
      <c r="BY197" s="8"/>
      <c r="CA197" s="6"/>
      <c r="CK197" s="8"/>
      <c r="CP197" s="6"/>
      <c r="CX197" s="8"/>
      <c r="CZ197" s="8"/>
      <c r="DA197" s="8"/>
      <c r="DB197" s="8"/>
      <c r="DC197" s="6"/>
      <c r="DF197" s="9">
        <f t="shared" si="4"/>
        <v>1060012.0799999998</v>
      </c>
      <c r="DG197" s="9">
        <v>1060012.0799999998</v>
      </c>
      <c r="DH197" s="9">
        <f t="shared" si="5"/>
        <v>0</v>
      </c>
    </row>
    <row r="198" spans="1:112" x14ac:dyDescent="0.25">
      <c r="A198" s="4" t="s">
        <v>883</v>
      </c>
      <c r="B198" s="4" t="s">
        <v>883</v>
      </c>
      <c r="C198" s="1" t="s">
        <v>943</v>
      </c>
      <c r="N198" s="8"/>
      <c r="O198" s="6"/>
      <c r="P198" s="8"/>
      <c r="Q198" s="6"/>
      <c r="AA198" s="8"/>
      <c r="AB198" s="6"/>
      <c r="AC198" s="8"/>
      <c r="AD198" s="6"/>
      <c r="AE198" s="8"/>
      <c r="AF198" s="6"/>
      <c r="AG198" s="8"/>
      <c r="AH198" s="6"/>
      <c r="AI198" s="8"/>
      <c r="AJ198" s="6"/>
      <c r="AK198" s="8"/>
      <c r="AL198" s="6"/>
      <c r="AM198" s="8"/>
      <c r="AO198" s="8"/>
      <c r="AR198" s="8"/>
      <c r="AS198" s="6"/>
      <c r="AT198" s="8">
        <v>4579369.4399999892</v>
      </c>
      <c r="AW198" s="6"/>
      <c r="AX198" s="8"/>
      <c r="BA198" s="6"/>
      <c r="BF198" s="6"/>
      <c r="BK198" s="6"/>
      <c r="BL198" s="8"/>
      <c r="BM198" s="6"/>
      <c r="BN198" s="8"/>
      <c r="BO198" s="8"/>
      <c r="BP198" s="6"/>
      <c r="BS198" s="6"/>
      <c r="BT198" s="8"/>
      <c r="BU198" s="8"/>
      <c r="BV198" s="8"/>
      <c r="BW198" s="8"/>
      <c r="BX198" s="8"/>
      <c r="BY198" s="8"/>
      <c r="CA198" s="6"/>
      <c r="CK198" s="8"/>
      <c r="CP198" s="6"/>
      <c r="CX198" s="8"/>
      <c r="CZ198" s="8"/>
      <c r="DA198" s="8"/>
      <c r="DB198" s="8"/>
      <c r="DC198" s="6"/>
      <c r="DF198" s="9">
        <f t="shared" si="4"/>
        <v>4579369.4399999892</v>
      </c>
      <c r="DG198" s="9">
        <v>4579369.4399999892</v>
      </c>
      <c r="DH198" s="9">
        <f t="shared" si="5"/>
        <v>0</v>
      </c>
    </row>
    <row r="199" spans="1:112" x14ac:dyDescent="0.25">
      <c r="A199" s="4" t="s">
        <v>884</v>
      </c>
      <c r="B199" s="4" t="s">
        <v>884</v>
      </c>
      <c r="C199" s="1" t="s">
        <v>944</v>
      </c>
      <c r="N199" s="8"/>
      <c r="O199" s="6"/>
      <c r="P199" s="8"/>
      <c r="Q199" s="6"/>
      <c r="AA199" s="8"/>
      <c r="AB199" s="6"/>
      <c r="AC199" s="8"/>
      <c r="AD199" s="6"/>
      <c r="AE199" s="8"/>
      <c r="AF199" s="6"/>
      <c r="AG199" s="8"/>
      <c r="AH199" s="6"/>
      <c r="AI199" s="8"/>
      <c r="AJ199" s="6"/>
      <c r="AK199" s="8"/>
      <c r="AL199" s="6"/>
      <c r="AM199" s="8"/>
      <c r="AO199" s="8"/>
      <c r="AR199" s="8"/>
      <c r="AS199" s="6"/>
      <c r="AT199" s="8">
        <v>2680318</v>
      </c>
      <c r="AW199" s="6"/>
      <c r="AX199" s="8"/>
      <c r="BA199" s="6"/>
      <c r="BF199" s="6"/>
      <c r="BK199" s="6"/>
      <c r="BL199" s="8"/>
      <c r="BM199" s="6"/>
      <c r="BN199" s="8"/>
      <c r="BO199" s="8"/>
      <c r="BP199" s="6"/>
      <c r="BS199" s="6"/>
      <c r="BT199" s="8"/>
      <c r="BU199" s="8"/>
      <c r="BV199" s="8"/>
      <c r="BW199" s="8"/>
      <c r="BX199" s="8"/>
      <c r="BY199" s="8"/>
      <c r="CA199" s="6"/>
      <c r="CK199" s="8"/>
      <c r="CP199" s="6"/>
      <c r="CX199" s="8"/>
      <c r="CZ199" s="8"/>
      <c r="DA199" s="8"/>
      <c r="DB199" s="8"/>
      <c r="DC199" s="6"/>
      <c r="DF199" s="9">
        <f t="shared" ref="DF199:DF262" si="6">SUM(D199:DE199)</f>
        <v>2680318</v>
      </c>
      <c r="DG199" s="9">
        <v>2680318</v>
      </c>
      <c r="DH199" s="9">
        <f t="shared" ref="DH199:DH262" si="7">+DF199-DG199</f>
        <v>0</v>
      </c>
    </row>
    <row r="200" spans="1:112" x14ac:dyDescent="0.25">
      <c r="A200" s="4" t="s">
        <v>885</v>
      </c>
      <c r="B200" s="4" t="s">
        <v>885</v>
      </c>
      <c r="C200" s="1" t="s">
        <v>945</v>
      </c>
      <c r="N200" s="8"/>
      <c r="O200" s="6"/>
      <c r="P200" s="8"/>
      <c r="Q200" s="6"/>
      <c r="AA200" s="8"/>
      <c r="AB200" s="6"/>
      <c r="AC200" s="8"/>
      <c r="AD200" s="6"/>
      <c r="AE200" s="8"/>
      <c r="AF200" s="6"/>
      <c r="AG200" s="8"/>
      <c r="AH200" s="6"/>
      <c r="AI200" s="8"/>
      <c r="AJ200" s="6"/>
      <c r="AK200" s="8"/>
      <c r="AL200" s="6"/>
      <c r="AM200" s="8"/>
      <c r="AO200" s="8"/>
      <c r="AR200" s="8"/>
      <c r="AS200" s="6"/>
      <c r="AT200" s="8">
        <v>639057.49000000011</v>
      </c>
      <c r="AW200" s="6"/>
      <c r="AX200" s="8"/>
      <c r="BA200" s="6"/>
      <c r="BF200" s="6"/>
      <c r="BK200" s="6"/>
      <c r="BL200" s="8"/>
      <c r="BM200" s="6"/>
      <c r="BN200" s="8"/>
      <c r="BO200" s="8"/>
      <c r="BP200" s="6"/>
      <c r="BS200" s="6"/>
      <c r="BT200" s="8"/>
      <c r="BU200" s="8"/>
      <c r="BV200" s="8"/>
      <c r="BW200" s="8"/>
      <c r="BX200" s="8"/>
      <c r="BY200" s="8"/>
      <c r="CA200" s="6"/>
      <c r="CK200" s="8"/>
      <c r="CP200" s="6"/>
      <c r="CX200" s="8"/>
      <c r="CZ200" s="8"/>
      <c r="DA200" s="8"/>
      <c r="DB200" s="8"/>
      <c r="DC200" s="6"/>
      <c r="DF200" s="9">
        <f t="shared" si="6"/>
        <v>639057.49000000011</v>
      </c>
      <c r="DG200" s="9">
        <v>639057.49000000011</v>
      </c>
      <c r="DH200" s="9">
        <f t="shared" si="7"/>
        <v>0</v>
      </c>
    </row>
    <row r="201" spans="1:112" x14ac:dyDescent="0.25">
      <c r="A201" s="4" t="s">
        <v>886</v>
      </c>
      <c r="B201" s="4" t="s">
        <v>886</v>
      </c>
      <c r="C201" s="1" t="s">
        <v>946</v>
      </c>
      <c r="N201" s="8"/>
      <c r="O201" s="6"/>
      <c r="P201" s="8"/>
      <c r="Q201" s="6"/>
      <c r="AA201" s="8"/>
      <c r="AB201" s="6"/>
      <c r="AC201" s="8"/>
      <c r="AD201" s="6"/>
      <c r="AE201" s="8"/>
      <c r="AF201" s="6"/>
      <c r="AG201" s="8"/>
      <c r="AH201" s="6"/>
      <c r="AI201" s="8"/>
      <c r="AJ201" s="6"/>
      <c r="AK201" s="8"/>
      <c r="AL201" s="6"/>
      <c r="AM201" s="8"/>
      <c r="AO201" s="8"/>
      <c r="AR201" s="8"/>
      <c r="AS201" s="6"/>
      <c r="AT201" s="8">
        <v>16479656.409999967</v>
      </c>
      <c r="AW201" s="6"/>
      <c r="AX201" s="8"/>
      <c r="BA201" s="6"/>
      <c r="BF201" s="6"/>
      <c r="BK201" s="6"/>
      <c r="BL201" s="8"/>
      <c r="BM201" s="6"/>
      <c r="BN201" s="8"/>
      <c r="BO201" s="8"/>
      <c r="BP201" s="6"/>
      <c r="BS201" s="6"/>
      <c r="BT201" s="8"/>
      <c r="BU201" s="8"/>
      <c r="BV201" s="8"/>
      <c r="BW201" s="8"/>
      <c r="BX201" s="8"/>
      <c r="BY201" s="8"/>
      <c r="CA201" s="6"/>
      <c r="CK201" s="8"/>
      <c r="CP201" s="6"/>
      <c r="CX201" s="8"/>
      <c r="CZ201" s="8"/>
      <c r="DA201" s="8"/>
      <c r="DB201" s="8"/>
      <c r="DC201" s="6"/>
      <c r="DF201" s="9">
        <f t="shared" si="6"/>
        <v>16479656.409999967</v>
      </c>
      <c r="DG201" s="9">
        <v>16479656.409999967</v>
      </c>
      <c r="DH201" s="9">
        <f t="shared" si="7"/>
        <v>0</v>
      </c>
    </row>
    <row r="202" spans="1:112" x14ac:dyDescent="0.25">
      <c r="A202" s="4" t="s">
        <v>1715</v>
      </c>
      <c r="B202" s="4" t="s">
        <v>1715</v>
      </c>
      <c r="C202" s="1" t="s">
        <v>1716</v>
      </c>
      <c r="N202" s="8"/>
      <c r="O202" s="6"/>
      <c r="P202" s="8"/>
      <c r="Q202" s="6"/>
      <c r="AA202" s="8"/>
      <c r="AB202" s="6"/>
      <c r="AC202" s="8"/>
      <c r="AD202" s="6"/>
      <c r="AE202" s="8"/>
      <c r="AF202" s="6"/>
      <c r="AG202" s="8"/>
      <c r="AH202" s="6"/>
      <c r="AI202" s="8"/>
      <c r="AJ202" s="6"/>
      <c r="AK202" s="8"/>
      <c r="AL202" s="6"/>
      <c r="AM202" s="8"/>
      <c r="AO202" s="8"/>
      <c r="AR202" s="8"/>
      <c r="AS202" s="6"/>
      <c r="AT202" s="8">
        <v>80000</v>
      </c>
      <c r="AW202" s="6"/>
      <c r="AX202" s="8"/>
      <c r="BA202" s="6"/>
      <c r="BF202" s="6"/>
      <c r="BK202" s="6"/>
      <c r="BL202" s="8"/>
      <c r="BM202" s="6"/>
      <c r="BN202" s="8"/>
      <c r="BO202" s="8"/>
      <c r="BP202" s="6"/>
      <c r="BS202" s="6"/>
      <c r="BT202" s="8"/>
      <c r="BU202" s="8"/>
      <c r="BV202" s="8"/>
      <c r="BW202" s="8"/>
      <c r="BX202" s="8"/>
      <c r="BY202" s="8"/>
      <c r="CA202" s="6"/>
      <c r="CK202" s="8"/>
      <c r="CP202" s="6"/>
      <c r="CX202" s="8"/>
      <c r="CZ202" s="8"/>
      <c r="DA202" s="8"/>
      <c r="DB202" s="8"/>
      <c r="DC202" s="6"/>
      <c r="DF202" s="9">
        <f t="shared" si="6"/>
        <v>80000</v>
      </c>
      <c r="DG202" s="9">
        <v>80000</v>
      </c>
      <c r="DH202" s="9">
        <f t="shared" si="7"/>
        <v>0</v>
      </c>
    </row>
    <row r="203" spans="1:112" x14ac:dyDescent="0.25">
      <c r="A203" s="4" t="s">
        <v>887</v>
      </c>
      <c r="B203" s="4" t="s">
        <v>887</v>
      </c>
      <c r="C203" s="1" t="s">
        <v>947</v>
      </c>
      <c r="N203" s="8"/>
      <c r="O203" s="6"/>
      <c r="P203" s="8"/>
      <c r="Q203" s="6"/>
      <c r="AA203" s="8"/>
      <c r="AB203" s="6"/>
      <c r="AC203" s="8"/>
      <c r="AD203" s="6"/>
      <c r="AE203" s="8"/>
      <c r="AF203" s="6"/>
      <c r="AG203" s="8"/>
      <c r="AH203" s="6"/>
      <c r="AI203" s="8"/>
      <c r="AJ203" s="6"/>
      <c r="AK203" s="8"/>
      <c r="AL203" s="6"/>
      <c r="AM203" s="8"/>
      <c r="AO203" s="8"/>
      <c r="AR203" s="8"/>
      <c r="AS203" s="6"/>
      <c r="AT203" s="8">
        <v>88224</v>
      </c>
      <c r="AW203" s="6"/>
      <c r="AX203" s="8"/>
      <c r="BA203" s="6"/>
      <c r="BF203" s="6"/>
      <c r="BK203" s="6"/>
      <c r="BL203" s="8"/>
      <c r="BM203" s="6"/>
      <c r="BN203" s="8"/>
      <c r="BO203" s="8"/>
      <c r="BP203" s="6"/>
      <c r="BS203" s="6"/>
      <c r="BT203" s="8"/>
      <c r="BU203" s="8"/>
      <c r="BV203" s="8"/>
      <c r="BW203" s="8"/>
      <c r="BX203" s="8"/>
      <c r="BY203" s="8"/>
      <c r="CA203" s="6"/>
      <c r="CK203" s="8"/>
      <c r="CP203" s="6"/>
      <c r="CX203" s="8"/>
      <c r="CZ203" s="8"/>
      <c r="DA203" s="8"/>
      <c r="DB203" s="8"/>
      <c r="DC203" s="6"/>
      <c r="DF203" s="9">
        <f t="shared" si="6"/>
        <v>88224</v>
      </c>
      <c r="DG203" s="9">
        <v>88224</v>
      </c>
      <c r="DH203" s="9">
        <f t="shared" si="7"/>
        <v>0</v>
      </c>
    </row>
    <row r="204" spans="1:112" x14ac:dyDescent="0.25">
      <c r="A204" s="4" t="s">
        <v>888</v>
      </c>
      <c r="B204" s="4" t="s">
        <v>888</v>
      </c>
      <c r="C204" s="1" t="s">
        <v>948</v>
      </c>
      <c r="N204" s="8"/>
      <c r="O204" s="6"/>
      <c r="P204" s="8"/>
      <c r="Q204" s="6"/>
      <c r="AA204" s="8"/>
      <c r="AB204" s="6"/>
      <c r="AC204" s="8"/>
      <c r="AD204" s="6"/>
      <c r="AE204" s="8"/>
      <c r="AF204" s="6"/>
      <c r="AG204" s="8"/>
      <c r="AH204" s="6"/>
      <c r="AI204" s="8"/>
      <c r="AJ204" s="6"/>
      <c r="AK204" s="8"/>
      <c r="AL204" s="6"/>
      <c r="AM204" s="8"/>
      <c r="AO204" s="8"/>
      <c r="AR204" s="8"/>
      <c r="AS204" s="6"/>
      <c r="AT204" s="8">
        <v>501670.93</v>
      </c>
      <c r="AW204" s="6"/>
      <c r="AX204" s="8"/>
      <c r="BA204" s="6"/>
      <c r="BF204" s="6"/>
      <c r="BK204" s="6"/>
      <c r="BL204" s="8"/>
      <c r="BM204" s="6"/>
      <c r="BN204" s="8"/>
      <c r="BO204" s="8"/>
      <c r="BP204" s="6"/>
      <c r="BS204" s="6"/>
      <c r="BT204" s="8"/>
      <c r="BU204" s="8"/>
      <c r="BV204" s="8"/>
      <c r="BW204" s="8"/>
      <c r="BX204" s="8"/>
      <c r="BY204" s="8"/>
      <c r="CA204" s="6"/>
      <c r="CK204" s="8"/>
      <c r="CP204" s="6"/>
      <c r="CX204" s="8"/>
      <c r="CZ204" s="8"/>
      <c r="DA204" s="8"/>
      <c r="DB204" s="8"/>
      <c r="DC204" s="6"/>
      <c r="DF204" s="9">
        <f t="shared" si="6"/>
        <v>501670.93</v>
      </c>
      <c r="DG204" s="9">
        <v>501670.93</v>
      </c>
      <c r="DH204" s="9">
        <f t="shared" si="7"/>
        <v>0</v>
      </c>
    </row>
    <row r="205" spans="1:112" x14ac:dyDescent="0.25">
      <c r="A205" s="4" t="s">
        <v>1679</v>
      </c>
      <c r="B205" s="4" t="s">
        <v>1679</v>
      </c>
      <c r="C205" s="1" t="s">
        <v>1680</v>
      </c>
      <c r="N205" s="8"/>
      <c r="O205" s="6"/>
      <c r="P205" s="8"/>
      <c r="Q205" s="6"/>
      <c r="AA205" s="8"/>
      <c r="AB205" s="6"/>
      <c r="AC205" s="8"/>
      <c r="AD205" s="6"/>
      <c r="AE205" s="8"/>
      <c r="AF205" s="6"/>
      <c r="AG205" s="8"/>
      <c r="AH205" s="6"/>
      <c r="AI205" s="8"/>
      <c r="AJ205" s="6"/>
      <c r="AK205" s="8"/>
      <c r="AL205" s="6"/>
      <c r="AM205" s="8"/>
      <c r="AO205" s="8"/>
      <c r="AR205" s="8"/>
      <c r="AS205" s="6"/>
      <c r="AT205" s="8">
        <v>249250</v>
      </c>
      <c r="AW205" s="6"/>
      <c r="AX205" s="8"/>
      <c r="BA205" s="6"/>
      <c r="BF205" s="6"/>
      <c r="BK205" s="6"/>
      <c r="BL205" s="8"/>
      <c r="BM205" s="6"/>
      <c r="BN205" s="8"/>
      <c r="BO205" s="8"/>
      <c r="BP205" s="6"/>
      <c r="BS205" s="6"/>
      <c r="BT205" s="8"/>
      <c r="BU205" s="8"/>
      <c r="BV205" s="8"/>
      <c r="BW205" s="8"/>
      <c r="BX205" s="8"/>
      <c r="BY205" s="8"/>
      <c r="CA205" s="6"/>
      <c r="CK205" s="8"/>
      <c r="CP205" s="6"/>
      <c r="CX205" s="8"/>
      <c r="CZ205" s="8"/>
      <c r="DA205" s="8"/>
      <c r="DB205" s="8"/>
      <c r="DC205" s="6"/>
      <c r="DF205" s="9">
        <f t="shared" si="6"/>
        <v>249250</v>
      </c>
      <c r="DG205" s="9">
        <v>249250</v>
      </c>
      <c r="DH205" s="9">
        <f t="shared" si="7"/>
        <v>0</v>
      </c>
    </row>
    <row r="206" spans="1:112" x14ac:dyDescent="0.25">
      <c r="A206" s="4" t="s">
        <v>1681</v>
      </c>
      <c r="B206" s="4" t="s">
        <v>1681</v>
      </c>
      <c r="C206" s="1" t="s">
        <v>346</v>
      </c>
      <c r="N206" s="8"/>
      <c r="O206" s="6"/>
      <c r="P206" s="8"/>
      <c r="Q206" s="6"/>
      <c r="AA206" s="8"/>
      <c r="AB206" s="6"/>
      <c r="AC206" s="8"/>
      <c r="AD206" s="6"/>
      <c r="AE206" s="8"/>
      <c r="AF206" s="6"/>
      <c r="AG206" s="8"/>
      <c r="AH206" s="6"/>
      <c r="AI206" s="8"/>
      <c r="AJ206" s="6"/>
      <c r="AK206" s="8"/>
      <c r="AL206" s="6"/>
      <c r="AM206" s="8"/>
      <c r="AO206" s="8"/>
      <c r="AR206" s="8"/>
      <c r="AS206" s="6"/>
      <c r="AT206" s="8">
        <v>-717176</v>
      </c>
      <c r="AW206" s="6"/>
      <c r="AX206" s="8"/>
      <c r="BA206" s="6"/>
      <c r="BF206" s="6"/>
      <c r="BK206" s="6"/>
      <c r="BL206" s="8"/>
      <c r="BM206" s="6"/>
      <c r="BN206" s="8"/>
      <c r="BO206" s="8"/>
      <c r="BP206" s="6"/>
      <c r="BS206" s="6"/>
      <c r="BT206" s="8"/>
      <c r="BU206" s="8"/>
      <c r="BV206" s="8"/>
      <c r="BW206" s="8"/>
      <c r="BX206" s="8"/>
      <c r="BY206" s="8"/>
      <c r="CA206" s="6"/>
      <c r="CK206" s="8"/>
      <c r="CP206" s="6"/>
      <c r="CX206" s="8"/>
      <c r="CZ206" s="8"/>
      <c r="DA206" s="8"/>
      <c r="DB206" s="8"/>
      <c r="DC206" s="6"/>
      <c r="DF206" s="9">
        <f t="shared" si="6"/>
        <v>-717176</v>
      </c>
      <c r="DG206" s="9">
        <v>-717176</v>
      </c>
      <c r="DH206" s="9">
        <f t="shared" si="7"/>
        <v>0</v>
      </c>
    </row>
    <row r="207" spans="1:112" x14ac:dyDescent="0.25">
      <c r="A207" s="208" t="s">
        <v>1762</v>
      </c>
      <c r="N207" s="8"/>
      <c r="O207" s="6"/>
      <c r="P207" s="8"/>
      <c r="Q207" s="6"/>
      <c r="AA207" s="8"/>
      <c r="AB207" s="6"/>
      <c r="AC207" s="8"/>
      <c r="AD207" s="6"/>
      <c r="AE207" s="8"/>
      <c r="AF207" s="6"/>
      <c r="AG207" s="8"/>
      <c r="AH207" s="6"/>
      <c r="AI207" s="8"/>
      <c r="AJ207" s="6"/>
      <c r="AK207" s="8"/>
      <c r="AL207" s="6"/>
      <c r="AM207" s="8"/>
      <c r="AO207" s="8"/>
      <c r="AR207" s="8"/>
      <c r="AS207" s="6"/>
      <c r="AT207" s="8"/>
      <c r="AW207" s="6"/>
      <c r="AX207" s="8"/>
      <c r="BA207" s="6"/>
      <c r="BF207" s="6"/>
      <c r="BK207" s="6"/>
      <c r="BL207" s="8"/>
      <c r="BM207" s="6"/>
      <c r="BN207" s="8"/>
      <c r="BO207" s="8"/>
      <c r="BP207" s="6"/>
      <c r="BS207" s="6"/>
      <c r="BT207" s="8"/>
      <c r="BU207" s="8"/>
      <c r="BV207" s="8"/>
      <c r="BW207" s="8"/>
      <c r="BX207" s="8"/>
      <c r="BY207" s="8"/>
      <c r="CA207" s="6"/>
      <c r="CK207" s="8"/>
      <c r="CP207" s="6"/>
      <c r="CX207" s="8"/>
      <c r="CZ207" s="8"/>
      <c r="DA207" s="8"/>
      <c r="DB207" s="8"/>
      <c r="DC207" s="6"/>
      <c r="DF207" s="9">
        <f t="shared" si="6"/>
        <v>0</v>
      </c>
      <c r="DG207" s="9"/>
      <c r="DH207" s="9">
        <f t="shared" si="7"/>
        <v>0</v>
      </c>
    </row>
    <row r="208" spans="1:112" x14ac:dyDescent="0.25">
      <c r="A208" s="4" t="s">
        <v>1503</v>
      </c>
      <c r="B208" s="4" t="s">
        <v>1503</v>
      </c>
      <c r="C208" s="1" t="s">
        <v>1504</v>
      </c>
      <c r="N208" s="8"/>
      <c r="O208" s="6"/>
      <c r="P208" s="8"/>
      <c r="Q208" s="6"/>
      <c r="R208" s="8">
        <v>0</v>
      </c>
      <c r="X208" s="8">
        <v>0</v>
      </c>
      <c r="AA208" s="8"/>
      <c r="AB208" s="6"/>
      <c r="AC208" s="8"/>
      <c r="AD208" s="6"/>
      <c r="AE208" s="8"/>
      <c r="AF208" s="6"/>
      <c r="AG208" s="8"/>
      <c r="AH208" s="6"/>
      <c r="AI208" s="8"/>
      <c r="AJ208" s="6"/>
      <c r="AK208" s="8"/>
      <c r="AL208" s="6">
        <v>0</v>
      </c>
      <c r="AM208" s="8"/>
      <c r="AO208" s="8"/>
      <c r="AR208" s="8"/>
      <c r="AS208" s="6"/>
      <c r="AT208" s="8"/>
      <c r="AW208" s="6"/>
      <c r="AX208" s="8"/>
      <c r="BA208" s="6"/>
      <c r="BF208" s="6"/>
      <c r="BK208" s="6"/>
      <c r="BL208" s="8"/>
      <c r="BM208" s="6"/>
      <c r="BN208" s="8"/>
      <c r="BO208" s="8"/>
      <c r="BP208" s="6"/>
      <c r="BS208" s="6"/>
      <c r="BT208" s="8"/>
      <c r="BU208" s="8"/>
      <c r="BV208" s="8"/>
      <c r="BW208" s="8"/>
      <c r="BX208" s="8"/>
      <c r="BY208" s="8"/>
      <c r="CA208" s="6"/>
      <c r="CJ208" s="8">
        <v>0</v>
      </c>
      <c r="CK208" s="8"/>
      <c r="CP208" s="6"/>
      <c r="CX208" s="8"/>
      <c r="CZ208" s="8"/>
      <c r="DA208" s="8"/>
      <c r="DB208" s="8"/>
      <c r="DC208" s="6"/>
      <c r="DF208" s="9">
        <f t="shared" si="6"/>
        <v>0</v>
      </c>
      <c r="DG208" s="9">
        <v>0</v>
      </c>
      <c r="DH208" s="9">
        <f t="shared" si="7"/>
        <v>0</v>
      </c>
    </row>
    <row r="209" spans="1:112" x14ac:dyDescent="0.25">
      <c r="A209" s="4" t="s">
        <v>283</v>
      </c>
      <c r="B209" s="4" t="s">
        <v>283</v>
      </c>
      <c r="C209" s="1" t="s">
        <v>284</v>
      </c>
      <c r="E209" s="8">
        <v>68328</v>
      </c>
      <c r="N209" s="8"/>
      <c r="O209" s="6"/>
      <c r="P209" s="8"/>
      <c r="Q209" s="6"/>
      <c r="AA209" s="8"/>
      <c r="AB209" s="6"/>
      <c r="AC209" s="8"/>
      <c r="AD209" s="6"/>
      <c r="AE209" s="8"/>
      <c r="AF209" s="6"/>
      <c r="AG209" s="8"/>
      <c r="AH209" s="6"/>
      <c r="AI209" s="8"/>
      <c r="AJ209" s="6"/>
      <c r="AK209" s="8"/>
      <c r="AL209" s="6"/>
      <c r="AM209" s="8"/>
      <c r="AO209" s="8"/>
      <c r="AR209" s="8"/>
      <c r="AS209" s="6"/>
      <c r="AT209" s="8"/>
      <c r="AW209" s="6"/>
      <c r="AX209" s="8"/>
      <c r="BA209" s="6"/>
      <c r="BF209" s="6"/>
      <c r="BK209" s="6"/>
      <c r="BL209" s="8"/>
      <c r="BM209" s="6"/>
      <c r="BN209" s="8"/>
      <c r="BO209" s="8"/>
      <c r="BP209" s="6"/>
      <c r="BS209" s="6"/>
      <c r="BT209" s="8"/>
      <c r="BU209" s="8"/>
      <c r="BV209" s="8"/>
      <c r="BW209" s="8"/>
      <c r="BX209" s="8"/>
      <c r="BY209" s="8"/>
      <c r="CA209" s="6"/>
      <c r="CK209" s="8"/>
      <c r="CP209" s="6"/>
      <c r="CX209" s="8"/>
      <c r="CZ209" s="8"/>
      <c r="DA209" s="8"/>
      <c r="DB209" s="8"/>
      <c r="DC209" s="6"/>
      <c r="DF209" s="9">
        <f t="shared" si="6"/>
        <v>68328</v>
      </c>
      <c r="DG209" s="9">
        <v>68328</v>
      </c>
      <c r="DH209" s="9">
        <f t="shared" si="7"/>
        <v>0</v>
      </c>
    </row>
    <row r="210" spans="1:112" x14ac:dyDescent="0.25">
      <c r="A210" s="4" t="s">
        <v>285</v>
      </c>
      <c r="B210" s="4" t="s">
        <v>285</v>
      </c>
      <c r="C210" s="1" t="s">
        <v>286</v>
      </c>
      <c r="E210" s="8">
        <v>17046</v>
      </c>
      <c r="N210" s="8"/>
      <c r="O210" s="6"/>
      <c r="P210" s="8"/>
      <c r="Q210" s="6"/>
      <c r="R210" s="8">
        <v>0</v>
      </c>
      <c r="AA210" s="8"/>
      <c r="AB210" s="6"/>
      <c r="AC210" s="8"/>
      <c r="AD210" s="6"/>
      <c r="AE210" s="8"/>
      <c r="AF210" s="6"/>
      <c r="AG210" s="8"/>
      <c r="AH210" s="6"/>
      <c r="AI210" s="8"/>
      <c r="AJ210" s="6"/>
      <c r="AK210" s="8">
        <v>17793</v>
      </c>
      <c r="AL210" s="6"/>
      <c r="AM210" s="8"/>
      <c r="AO210" s="8"/>
      <c r="AR210" s="8"/>
      <c r="AS210" s="6"/>
      <c r="AT210" s="8"/>
      <c r="AW210" s="6"/>
      <c r="AX210" s="8"/>
      <c r="BA210" s="6"/>
      <c r="BF210" s="6"/>
      <c r="BH210" s="8">
        <v>2237</v>
      </c>
      <c r="BK210" s="6"/>
      <c r="BL210" s="8">
        <v>934.19</v>
      </c>
      <c r="BM210" s="6">
        <v>220</v>
      </c>
      <c r="BN210" s="8"/>
      <c r="BO210" s="8"/>
      <c r="BP210" s="6"/>
      <c r="BS210" s="6"/>
      <c r="BT210" s="8"/>
      <c r="BU210" s="8"/>
      <c r="BV210" s="8"/>
      <c r="BW210" s="8"/>
      <c r="BX210" s="8"/>
      <c r="BY210" s="8"/>
      <c r="CA210" s="6"/>
      <c r="CJ210" s="8">
        <v>474</v>
      </c>
      <c r="CK210" s="8"/>
      <c r="CP210" s="6"/>
      <c r="CR210" s="6">
        <v>405</v>
      </c>
      <c r="CV210" s="6">
        <v>287831</v>
      </c>
      <c r="CX210" s="8"/>
      <c r="CZ210" s="8"/>
      <c r="DA210" s="8"/>
      <c r="DB210" s="8"/>
      <c r="DC210" s="6">
        <v>798.67</v>
      </c>
      <c r="DF210" s="9">
        <f t="shared" si="6"/>
        <v>327738.86</v>
      </c>
      <c r="DG210" s="9">
        <v>327738.86</v>
      </c>
      <c r="DH210" s="9">
        <f t="shared" si="7"/>
        <v>0</v>
      </c>
    </row>
    <row r="211" spans="1:112" x14ac:dyDescent="0.25">
      <c r="A211" s="4" t="s">
        <v>1484</v>
      </c>
      <c r="N211" s="8"/>
      <c r="O211" s="6"/>
      <c r="P211" s="8"/>
      <c r="Q211" s="6"/>
      <c r="AA211" s="8"/>
      <c r="AB211" s="6"/>
      <c r="AC211" s="8"/>
      <c r="AD211" s="6"/>
      <c r="AE211" s="8"/>
      <c r="AF211" s="6"/>
      <c r="AG211" s="8"/>
      <c r="AH211" s="6"/>
      <c r="AI211" s="8"/>
      <c r="AJ211" s="6"/>
      <c r="AK211" s="8"/>
      <c r="AL211" s="6"/>
      <c r="AM211" s="8"/>
      <c r="AO211" s="8"/>
      <c r="AR211" s="8"/>
      <c r="AS211" s="6"/>
      <c r="AT211" s="8"/>
      <c r="AW211" s="6"/>
      <c r="AX211" s="8"/>
      <c r="BA211" s="6"/>
      <c r="BF211" s="6"/>
      <c r="BK211" s="6"/>
      <c r="BL211" s="8"/>
      <c r="BM211" s="6"/>
      <c r="BN211" s="8"/>
      <c r="BO211" s="8"/>
      <c r="BP211" s="6"/>
      <c r="BS211" s="6"/>
      <c r="BT211" s="8"/>
      <c r="BU211" s="8"/>
      <c r="BV211" s="8"/>
      <c r="BW211" s="8"/>
      <c r="BX211" s="8"/>
      <c r="BY211" s="8"/>
      <c r="CA211" s="6"/>
      <c r="CK211" s="8"/>
      <c r="CP211" s="6"/>
      <c r="CX211" s="8"/>
      <c r="CZ211" s="8"/>
      <c r="DA211" s="8"/>
      <c r="DB211" s="8"/>
      <c r="DC211" s="6"/>
      <c r="DF211" s="9">
        <f t="shared" si="6"/>
        <v>0</v>
      </c>
      <c r="DG211" s="9"/>
      <c r="DH211" s="9">
        <f t="shared" si="7"/>
        <v>0</v>
      </c>
    </row>
    <row r="212" spans="1:112" x14ac:dyDescent="0.25">
      <c r="A212" s="4" t="s">
        <v>287</v>
      </c>
      <c r="B212" s="4" t="s">
        <v>287</v>
      </c>
      <c r="E212" s="8">
        <v>17000</v>
      </c>
      <c r="N212" s="8"/>
      <c r="O212" s="6"/>
      <c r="P212" s="8"/>
      <c r="Q212" s="6"/>
      <c r="AA212" s="8"/>
      <c r="AB212" s="6"/>
      <c r="AC212" s="8"/>
      <c r="AD212" s="6"/>
      <c r="AE212" s="8"/>
      <c r="AF212" s="6"/>
      <c r="AG212" s="8"/>
      <c r="AH212" s="6"/>
      <c r="AI212" s="8"/>
      <c r="AJ212" s="6"/>
      <c r="AK212" s="8"/>
      <c r="AL212" s="6"/>
      <c r="AM212" s="8"/>
      <c r="AO212" s="8"/>
      <c r="AR212" s="8"/>
      <c r="AS212" s="6"/>
      <c r="AT212" s="8"/>
      <c r="AW212" s="6"/>
      <c r="AX212" s="8"/>
      <c r="BA212" s="6"/>
      <c r="BF212" s="6"/>
      <c r="BK212" s="6"/>
      <c r="BL212" s="8"/>
      <c r="BM212" s="6"/>
      <c r="BN212" s="8"/>
      <c r="BO212" s="8"/>
      <c r="BP212" s="6"/>
      <c r="BS212" s="6"/>
      <c r="BT212" s="8"/>
      <c r="BU212" s="8"/>
      <c r="BV212" s="8"/>
      <c r="BW212" s="8"/>
      <c r="BX212" s="8"/>
      <c r="BY212" s="8"/>
      <c r="CA212" s="6"/>
      <c r="CK212" s="8"/>
      <c r="CP212" s="6"/>
      <c r="CX212" s="8"/>
      <c r="CZ212" s="8"/>
      <c r="DA212" s="8"/>
      <c r="DB212" s="8"/>
      <c r="DC212" s="6"/>
      <c r="DF212" s="9">
        <f t="shared" si="6"/>
        <v>17000</v>
      </c>
      <c r="DG212" s="9">
        <v>17000</v>
      </c>
      <c r="DH212" s="9">
        <f t="shared" si="7"/>
        <v>0</v>
      </c>
    </row>
    <row r="213" spans="1:112" x14ac:dyDescent="0.25">
      <c r="A213" s="4" t="s">
        <v>289</v>
      </c>
      <c r="B213" s="4" t="s">
        <v>289</v>
      </c>
      <c r="C213" s="1" t="s">
        <v>290</v>
      </c>
      <c r="E213" s="8">
        <v>180255</v>
      </c>
      <c r="N213" s="8"/>
      <c r="O213" s="6"/>
      <c r="P213" s="8"/>
      <c r="Q213" s="6"/>
      <c r="AA213" s="8"/>
      <c r="AB213" s="6"/>
      <c r="AC213" s="8"/>
      <c r="AD213" s="6"/>
      <c r="AE213" s="8">
        <v>1</v>
      </c>
      <c r="AF213" s="6"/>
      <c r="AG213" s="8"/>
      <c r="AH213" s="6"/>
      <c r="AI213" s="8"/>
      <c r="AJ213" s="6"/>
      <c r="AK213" s="8"/>
      <c r="AL213" s="6"/>
      <c r="AM213" s="8"/>
      <c r="AO213" s="8"/>
      <c r="AR213" s="8"/>
      <c r="AS213" s="6"/>
      <c r="AT213" s="8">
        <v>16</v>
      </c>
      <c r="AW213" s="6"/>
      <c r="AX213" s="8"/>
      <c r="BA213" s="6">
        <v>1</v>
      </c>
      <c r="BF213" s="6"/>
      <c r="BK213" s="6"/>
      <c r="BL213" s="8"/>
      <c r="BM213" s="6"/>
      <c r="BN213" s="8"/>
      <c r="BO213" s="8"/>
      <c r="BP213" s="6"/>
      <c r="BS213" s="6"/>
      <c r="BT213" s="8"/>
      <c r="BU213" s="8"/>
      <c r="BV213" s="8"/>
      <c r="BW213" s="8"/>
      <c r="BX213" s="8"/>
      <c r="BY213" s="8"/>
      <c r="CA213" s="6"/>
      <c r="CK213" s="8"/>
      <c r="CM213" s="6">
        <v>1612</v>
      </c>
      <c r="CO213" s="8">
        <v>0.47</v>
      </c>
      <c r="CP213" s="6"/>
      <c r="CV213" s="6">
        <v>0</v>
      </c>
      <c r="CX213" s="8"/>
      <c r="CZ213" s="8"/>
      <c r="DA213" s="8"/>
      <c r="DB213" s="8"/>
      <c r="DC213" s="6"/>
      <c r="DF213" s="9">
        <f t="shared" si="6"/>
        <v>181885.47</v>
      </c>
      <c r="DG213" s="9">
        <v>181885.41</v>
      </c>
      <c r="DH213" s="9">
        <f t="shared" si="7"/>
        <v>5.9999999997671694E-2</v>
      </c>
    </row>
    <row r="214" spans="1:112" x14ac:dyDescent="0.25">
      <c r="A214" s="4" t="s">
        <v>1857</v>
      </c>
      <c r="B214" s="4" t="s">
        <v>1857</v>
      </c>
      <c r="C214" s="1" t="s">
        <v>1858</v>
      </c>
      <c r="N214" s="8"/>
      <c r="O214" s="6"/>
      <c r="P214" s="8"/>
      <c r="Q214" s="6"/>
      <c r="AA214" s="8"/>
      <c r="AB214" s="6"/>
      <c r="AC214" s="8"/>
      <c r="AD214" s="6"/>
      <c r="AE214" s="8"/>
      <c r="AF214" s="6"/>
      <c r="AG214" s="8"/>
      <c r="AH214" s="6"/>
      <c r="AI214" s="8"/>
      <c r="AJ214" s="6"/>
      <c r="AK214" s="8"/>
      <c r="AL214" s="6"/>
      <c r="AM214" s="8"/>
      <c r="AO214" s="8"/>
      <c r="AR214" s="8"/>
      <c r="AS214" s="6"/>
      <c r="AT214" s="8"/>
      <c r="AW214" s="6"/>
      <c r="AX214" s="8"/>
      <c r="BA214" s="6"/>
      <c r="BF214" s="6"/>
      <c r="BK214" s="6"/>
      <c r="BL214" s="8"/>
      <c r="BM214" s="6"/>
      <c r="BN214" s="8"/>
      <c r="BO214" s="8"/>
      <c r="BP214" s="6"/>
      <c r="BS214" s="6"/>
      <c r="BT214" s="8"/>
      <c r="BU214" s="8"/>
      <c r="BV214" s="8"/>
      <c r="BW214" s="8"/>
      <c r="BX214" s="8"/>
      <c r="BY214" s="8"/>
      <c r="CA214" s="6"/>
      <c r="CK214" s="8"/>
      <c r="CP214" s="6"/>
      <c r="CR214" s="6">
        <v>77640</v>
      </c>
      <c r="CX214" s="8"/>
      <c r="CZ214" s="8"/>
      <c r="DA214" s="8"/>
      <c r="DB214" s="8"/>
      <c r="DC214" s="6"/>
      <c r="DF214" s="9">
        <f t="shared" si="6"/>
        <v>77640</v>
      </c>
      <c r="DG214" s="9">
        <v>77640</v>
      </c>
      <c r="DH214" s="9">
        <f t="shared" si="7"/>
        <v>0</v>
      </c>
    </row>
    <row r="215" spans="1:112" x14ac:dyDescent="0.25">
      <c r="A215" s="4" t="s">
        <v>716</v>
      </c>
      <c r="B215" s="4" t="s">
        <v>716</v>
      </c>
      <c r="C215" s="1" t="s">
        <v>717</v>
      </c>
      <c r="E215" s="8">
        <v>2197624</v>
      </c>
      <c r="N215" s="8"/>
      <c r="O215" s="6"/>
      <c r="P215" s="8"/>
      <c r="Q215" s="6"/>
      <c r="AA215" s="8"/>
      <c r="AB215" s="6"/>
      <c r="AC215" s="8"/>
      <c r="AD215" s="6"/>
      <c r="AE215" s="8"/>
      <c r="AF215" s="6"/>
      <c r="AG215" s="8"/>
      <c r="AH215" s="6"/>
      <c r="AI215" s="8"/>
      <c r="AJ215" s="6"/>
      <c r="AK215" s="8"/>
      <c r="AL215" s="6"/>
      <c r="AM215" s="8"/>
      <c r="AO215" s="8"/>
      <c r="AR215" s="8"/>
      <c r="AS215" s="6"/>
      <c r="AT215" s="8"/>
      <c r="AW215" s="6"/>
      <c r="AX215" s="8"/>
      <c r="BA215" s="6"/>
      <c r="BF215" s="6"/>
      <c r="BK215" s="6"/>
      <c r="BL215" s="8"/>
      <c r="BM215" s="6"/>
      <c r="BN215" s="8"/>
      <c r="BO215" s="8"/>
      <c r="BP215" s="6"/>
      <c r="BS215" s="6"/>
      <c r="BT215" s="8"/>
      <c r="BU215" s="8"/>
      <c r="BV215" s="8"/>
      <c r="BW215" s="8"/>
      <c r="BX215" s="8"/>
      <c r="BY215" s="8"/>
      <c r="CA215" s="6"/>
      <c r="CK215" s="8"/>
      <c r="CP215" s="6"/>
      <c r="CX215" s="8"/>
      <c r="CZ215" s="8"/>
      <c r="DA215" s="8"/>
      <c r="DB215" s="8"/>
      <c r="DC215" s="6"/>
      <c r="DF215" s="9">
        <f t="shared" si="6"/>
        <v>2197624</v>
      </c>
      <c r="DG215" s="9">
        <v>2197624</v>
      </c>
      <c r="DH215" s="9">
        <f t="shared" si="7"/>
        <v>0</v>
      </c>
    </row>
    <row r="216" spans="1:112" x14ac:dyDescent="0.25">
      <c r="A216" s="4" t="s">
        <v>291</v>
      </c>
      <c r="B216" s="4" t="s">
        <v>291</v>
      </c>
      <c r="C216" s="1" t="s">
        <v>292</v>
      </c>
      <c r="E216" s="8">
        <v>15759258.66</v>
      </c>
      <c r="N216" s="8"/>
      <c r="O216" s="6"/>
      <c r="P216" s="8"/>
      <c r="Q216" s="6"/>
      <c r="AA216" s="8"/>
      <c r="AB216" s="6"/>
      <c r="AC216" s="8"/>
      <c r="AD216" s="6"/>
      <c r="AE216" s="8"/>
      <c r="AF216" s="6"/>
      <c r="AG216" s="8"/>
      <c r="AH216" s="6"/>
      <c r="AI216" s="8"/>
      <c r="AJ216" s="6"/>
      <c r="AK216" s="8"/>
      <c r="AL216" s="6"/>
      <c r="AM216" s="8"/>
      <c r="AO216" s="8"/>
      <c r="AR216" s="8"/>
      <c r="AS216" s="6"/>
      <c r="AT216" s="8"/>
      <c r="AW216" s="6"/>
      <c r="AX216" s="8"/>
      <c r="BA216" s="6"/>
      <c r="BF216" s="6"/>
      <c r="BK216" s="6"/>
      <c r="BL216" s="8"/>
      <c r="BM216" s="6"/>
      <c r="BN216" s="8"/>
      <c r="BO216" s="8"/>
      <c r="BP216" s="6"/>
      <c r="BS216" s="6"/>
      <c r="BT216" s="8"/>
      <c r="BU216" s="8"/>
      <c r="BV216" s="8"/>
      <c r="BW216" s="8"/>
      <c r="BX216" s="8"/>
      <c r="BY216" s="8"/>
      <c r="CA216" s="6"/>
      <c r="CK216" s="8"/>
      <c r="CP216" s="6"/>
      <c r="CX216" s="8"/>
      <c r="CZ216" s="8"/>
      <c r="DA216" s="8"/>
      <c r="DB216" s="8"/>
      <c r="DC216" s="6"/>
      <c r="DF216" s="9">
        <f t="shared" si="6"/>
        <v>15759258.66</v>
      </c>
      <c r="DG216" s="9">
        <v>15759258.66</v>
      </c>
      <c r="DH216" s="9">
        <f t="shared" si="7"/>
        <v>0</v>
      </c>
    </row>
    <row r="217" spans="1:112" s="551" customFormat="1" x14ac:dyDescent="0.25">
      <c r="A217" s="1005" t="s">
        <v>1631</v>
      </c>
      <c r="B217" s="4" t="s">
        <v>1631</v>
      </c>
      <c r="C217" s="1" t="s">
        <v>1632</v>
      </c>
      <c r="D217" s="6"/>
      <c r="E217" s="8">
        <v>27673.460000000021</v>
      </c>
      <c r="F217" s="6"/>
      <c r="G217" s="8"/>
      <c r="H217" s="6"/>
      <c r="I217" s="8"/>
      <c r="J217" s="6"/>
      <c r="K217" s="8">
        <v>9340.42</v>
      </c>
      <c r="L217" s="6"/>
      <c r="M217" s="8"/>
      <c r="N217" s="8"/>
      <c r="O217" s="6"/>
      <c r="P217" s="8"/>
      <c r="Q217" s="6"/>
      <c r="R217" s="8">
        <v>157585.46999999997</v>
      </c>
      <c r="S217" s="6"/>
      <c r="T217" s="8"/>
      <c r="U217" s="6"/>
      <c r="V217" s="8"/>
      <c r="W217" s="6">
        <v>13714.33</v>
      </c>
      <c r="X217" s="8"/>
      <c r="Y217" s="6"/>
      <c r="Z217" s="8"/>
      <c r="AA217" s="8"/>
      <c r="AB217" s="6"/>
      <c r="AC217" s="8"/>
      <c r="AD217" s="6"/>
      <c r="AE217" s="8"/>
      <c r="AF217" s="6"/>
      <c r="AG217" s="8"/>
      <c r="AH217" s="6"/>
      <c r="AI217" s="8"/>
      <c r="AJ217" s="6"/>
      <c r="AK217" s="8"/>
      <c r="AL217" s="6"/>
      <c r="AM217" s="8"/>
      <c r="AN217" s="8"/>
      <c r="AO217" s="8"/>
      <c r="AP217" s="6"/>
      <c r="AQ217" s="8"/>
      <c r="AR217" s="8"/>
      <c r="AS217" s="6"/>
      <c r="AT217" s="8">
        <v>520</v>
      </c>
      <c r="AU217" s="8"/>
      <c r="AV217" s="6"/>
      <c r="AW217" s="6"/>
      <c r="AX217" s="8"/>
      <c r="AY217" s="6"/>
      <c r="AZ217" s="8">
        <v>40682.620000000003</v>
      </c>
      <c r="BA217" s="6"/>
      <c r="BB217" s="8"/>
      <c r="BC217" s="6"/>
      <c r="BD217" s="8"/>
      <c r="BE217" s="6"/>
      <c r="BF217" s="6"/>
      <c r="BG217" s="6"/>
      <c r="BH217" s="8"/>
      <c r="BI217" s="6"/>
      <c r="BJ217" s="8"/>
      <c r="BK217" s="6"/>
      <c r="BL217" s="8">
        <v>196613.98</v>
      </c>
      <c r="BM217" s="6">
        <v>55420.089999999982</v>
      </c>
      <c r="BN217" s="8"/>
      <c r="BO217" s="8"/>
      <c r="BP217" s="6"/>
      <c r="BQ217" s="6"/>
      <c r="BR217" s="8"/>
      <c r="BS217" s="6"/>
      <c r="BT217" s="8"/>
      <c r="BU217" s="8"/>
      <c r="BV217" s="8"/>
      <c r="BW217" s="8"/>
      <c r="BX217" s="8"/>
      <c r="BY217" s="8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8">
        <v>483379.94</v>
      </c>
      <c r="CK217" s="8"/>
      <c r="CL217" s="8"/>
      <c r="CM217" s="6">
        <v>514.08000000000004</v>
      </c>
      <c r="CN217" s="6"/>
      <c r="CO217" s="8">
        <v>47396.6</v>
      </c>
      <c r="CP217" s="6"/>
      <c r="CQ217" s="8"/>
      <c r="CR217" s="6">
        <v>1716674.76</v>
      </c>
      <c r="CS217" s="8"/>
      <c r="CT217" s="6">
        <v>214.86999999999989</v>
      </c>
      <c r="CU217" s="8"/>
      <c r="CV217" s="6">
        <v>2126297.9900000002</v>
      </c>
      <c r="CW217" s="8">
        <v>-55831</v>
      </c>
      <c r="CX217" s="8"/>
      <c r="CY217" s="8"/>
      <c r="CZ217" s="8"/>
      <c r="DA217" s="8"/>
      <c r="DB217" s="8"/>
      <c r="DC217" s="6">
        <v>6891.8</v>
      </c>
      <c r="DD217" s="8"/>
      <c r="DE217" s="6"/>
      <c r="DF217" s="9">
        <f t="shared" si="6"/>
        <v>4827089.41</v>
      </c>
      <c r="DG217" s="9">
        <v>4827089.41</v>
      </c>
      <c r="DH217" s="9">
        <f t="shared" si="7"/>
        <v>0</v>
      </c>
    </row>
    <row r="218" spans="1:112" x14ac:dyDescent="0.25">
      <c r="A218" s="4" t="s">
        <v>715</v>
      </c>
      <c r="B218" s="4" t="s">
        <v>715</v>
      </c>
      <c r="C218" s="1" t="s">
        <v>718</v>
      </c>
      <c r="E218" s="8">
        <v>14650826</v>
      </c>
      <c r="N218" s="8"/>
      <c r="O218" s="6"/>
      <c r="P218" s="8"/>
      <c r="Q218" s="6"/>
      <c r="AA218" s="8"/>
      <c r="AB218" s="6"/>
      <c r="AC218" s="8"/>
      <c r="AD218" s="6"/>
      <c r="AE218" s="8"/>
      <c r="AF218" s="6"/>
      <c r="AG218" s="8"/>
      <c r="AH218" s="6"/>
      <c r="AI218" s="8"/>
      <c r="AJ218" s="6"/>
      <c r="AK218" s="8"/>
      <c r="AL218" s="6"/>
      <c r="AM218" s="8"/>
      <c r="AO218" s="8"/>
      <c r="AR218" s="8"/>
      <c r="AS218" s="6"/>
      <c r="AT218" s="8"/>
      <c r="AW218" s="6"/>
      <c r="AX218" s="8"/>
      <c r="BA218" s="6"/>
      <c r="BF218" s="6"/>
      <c r="BK218" s="6"/>
      <c r="BL218" s="8"/>
      <c r="BM218" s="6"/>
      <c r="BN218" s="8"/>
      <c r="BO218" s="8"/>
      <c r="BP218" s="6"/>
      <c r="BS218" s="6"/>
      <c r="BT218" s="8"/>
      <c r="BU218" s="8"/>
      <c r="BV218" s="8"/>
      <c r="BW218" s="8"/>
      <c r="BX218" s="8"/>
      <c r="BY218" s="8"/>
      <c r="CA218" s="6"/>
      <c r="CK218" s="8"/>
      <c r="CP218" s="6"/>
      <c r="CX218" s="8"/>
      <c r="CZ218" s="8"/>
      <c r="DA218" s="8"/>
      <c r="DB218" s="8"/>
      <c r="DC218" s="6"/>
      <c r="DF218" s="9">
        <f t="shared" si="6"/>
        <v>14650826</v>
      </c>
      <c r="DG218" s="9">
        <v>14650826</v>
      </c>
      <c r="DH218" s="9">
        <f t="shared" si="7"/>
        <v>0</v>
      </c>
    </row>
    <row r="219" spans="1:112" x14ac:dyDescent="0.25">
      <c r="A219" s="4" t="s">
        <v>293</v>
      </c>
      <c r="B219" s="4" t="s">
        <v>293</v>
      </c>
      <c r="C219" s="1" t="s">
        <v>294</v>
      </c>
      <c r="E219" s="8">
        <v>1398259</v>
      </c>
      <c r="N219" s="8"/>
      <c r="O219" s="6"/>
      <c r="P219" s="8"/>
      <c r="Q219" s="6"/>
      <c r="AA219" s="8"/>
      <c r="AB219" s="6"/>
      <c r="AC219" s="8"/>
      <c r="AD219" s="6"/>
      <c r="AE219" s="8"/>
      <c r="AF219" s="6"/>
      <c r="AG219" s="8"/>
      <c r="AH219" s="6"/>
      <c r="AI219" s="8"/>
      <c r="AJ219" s="6"/>
      <c r="AK219" s="8"/>
      <c r="AL219" s="6"/>
      <c r="AM219" s="8"/>
      <c r="AO219" s="8"/>
      <c r="AR219" s="8"/>
      <c r="AS219" s="6"/>
      <c r="AT219" s="8"/>
      <c r="AW219" s="6"/>
      <c r="AX219" s="8"/>
      <c r="BA219" s="6"/>
      <c r="BF219" s="6"/>
      <c r="BK219" s="6"/>
      <c r="BL219" s="8"/>
      <c r="BM219" s="6"/>
      <c r="BN219" s="8"/>
      <c r="BO219" s="8"/>
      <c r="BP219" s="6"/>
      <c r="BS219" s="6"/>
      <c r="BT219" s="8"/>
      <c r="BU219" s="8"/>
      <c r="BV219" s="8"/>
      <c r="BW219" s="8"/>
      <c r="BX219" s="8"/>
      <c r="BY219" s="8"/>
      <c r="CA219" s="6"/>
      <c r="CK219" s="8"/>
      <c r="CP219" s="6"/>
      <c r="CX219" s="8"/>
      <c r="CZ219" s="8"/>
      <c r="DA219" s="8"/>
      <c r="DB219" s="8"/>
      <c r="DC219" s="6"/>
      <c r="DF219" s="9">
        <f t="shared" si="6"/>
        <v>1398259</v>
      </c>
      <c r="DG219" s="9">
        <v>1398259</v>
      </c>
      <c r="DH219" s="9">
        <f t="shared" si="7"/>
        <v>0</v>
      </c>
    </row>
    <row r="220" spans="1:112" x14ac:dyDescent="0.25">
      <c r="A220" s="4" t="s">
        <v>295</v>
      </c>
      <c r="N220" s="8"/>
      <c r="O220" s="6"/>
      <c r="P220" s="8"/>
      <c r="Q220" s="6"/>
      <c r="AA220" s="8"/>
      <c r="AB220" s="6"/>
      <c r="AC220" s="8"/>
      <c r="AD220" s="6"/>
      <c r="AE220" s="8"/>
      <c r="AF220" s="6"/>
      <c r="AG220" s="8"/>
      <c r="AH220" s="6"/>
      <c r="AI220" s="8"/>
      <c r="AJ220" s="6"/>
      <c r="AK220" s="8"/>
      <c r="AL220" s="6"/>
      <c r="AM220" s="8"/>
      <c r="AO220" s="8"/>
      <c r="AR220" s="8"/>
      <c r="AS220" s="6"/>
      <c r="AT220" s="8"/>
      <c r="AW220" s="6"/>
      <c r="AX220" s="8"/>
      <c r="BA220" s="6"/>
      <c r="BF220" s="6"/>
      <c r="BK220" s="6"/>
      <c r="BL220" s="8"/>
      <c r="BM220" s="6"/>
      <c r="BN220" s="8"/>
      <c r="BO220" s="8"/>
      <c r="BP220" s="6"/>
      <c r="BS220" s="6"/>
      <c r="BT220" s="8"/>
      <c r="BU220" s="8"/>
      <c r="BV220" s="8"/>
      <c r="BW220" s="8"/>
      <c r="BX220" s="8"/>
      <c r="BY220" s="8"/>
      <c r="CA220" s="6"/>
      <c r="CK220" s="8"/>
      <c r="CP220" s="6"/>
      <c r="CX220" s="8"/>
      <c r="CZ220" s="8"/>
      <c r="DA220" s="8"/>
      <c r="DB220" s="8"/>
      <c r="DC220" s="6"/>
      <c r="DF220" s="9">
        <f t="shared" si="6"/>
        <v>0</v>
      </c>
      <c r="DG220" s="9"/>
      <c r="DH220" s="9">
        <f t="shared" si="7"/>
        <v>0</v>
      </c>
    </row>
    <row r="221" spans="1:112" x14ac:dyDescent="0.25">
      <c r="A221" s="4" t="s">
        <v>889</v>
      </c>
      <c r="N221" s="8"/>
      <c r="O221" s="6"/>
      <c r="P221" s="8"/>
      <c r="Q221" s="6"/>
      <c r="AA221" s="8"/>
      <c r="AB221" s="6"/>
      <c r="AC221" s="8"/>
      <c r="AD221" s="6"/>
      <c r="AE221" s="8"/>
      <c r="AF221" s="6"/>
      <c r="AG221" s="8"/>
      <c r="AH221" s="6"/>
      <c r="AI221" s="8"/>
      <c r="AJ221" s="6"/>
      <c r="AK221" s="8"/>
      <c r="AL221" s="6"/>
      <c r="AM221" s="8"/>
      <c r="AO221" s="8"/>
      <c r="AR221" s="8"/>
      <c r="AS221" s="6"/>
      <c r="AT221" s="8"/>
      <c r="AW221" s="6"/>
      <c r="AX221" s="8"/>
      <c r="BA221" s="6"/>
      <c r="BF221" s="6"/>
      <c r="BK221" s="6"/>
      <c r="BL221" s="8"/>
      <c r="BM221" s="6"/>
      <c r="BN221" s="8"/>
      <c r="BO221" s="8"/>
      <c r="BP221" s="6"/>
      <c r="BS221" s="6"/>
      <c r="BT221" s="8"/>
      <c r="BU221" s="8"/>
      <c r="BV221" s="8"/>
      <c r="BW221" s="8"/>
      <c r="BX221" s="8"/>
      <c r="BY221" s="8"/>
      <c r="CA221" s="6"/>
      <c r="CK221" s="8"/>
      <c r="CP221" s="6"/>
      <c r="CX221" s="8"/>
      <c r="CZ221" s="8"/>
      <c r="DA221" s="8"/>
      <c r="DB221" s="8"/>
      <c r="DC221" s="6"/>
      <c r="DF221" s="9">
        <f t="shared" si="6"/>
        <v>0</v>
      </c>
      <c r="DG221" s="9"/>
      <c r="DH221" s="9">
        <f t="shared" si="7"/>
        <v>0</v>
      </c>
    </row>
    <row r="222" spans="1:112" x14ac:dyDescent="0.25">
      <c r="A222" s="4" t="s">
        <v>1522</v>
      </c>
      <c r="B222" s="4" t="s">
        <v>1522</v>
      </c>
      <c r="C222" s="1" t="s">
        <v>1523</v>
      </c>
      <c r="E222" s="8">
        <v>31631</v>
      </c>
      <c r="F222" s="6">
        <v>272796</v>
      </c>
      <c r="N222" s="8"/>
      <c r="O222" s="6"/>
      <c r="P222" s="8"/>
      <c r="Q222" s="6"/>
      <c r="AA222" s="8"/>
      <c r="AB222" s="6"/>
      <c r="AC222" s="8"/>
      <c r="AD222" s="6"/>
      <c r="AE222" s="8"/>
      <c r="AF222" s="6"/>
      <c r="AG222" s="8"/>
      <c r="AH222" s="6"/>
      <c r="AI222" s="8"/>
      <c r="AJ222" s="6"/>
      <c r="AK222" s="8"/>
      <c r="AL222" s="6"/>
      <c r="AM222" s="8"/>
      <c r="AO222" s="8"/>
      <c r="AR222" s="8"/>
      <c r="AS222" s="6"/>
      <c r="AT222" s="8"/>
      <c r="AW222" s="6"/>
      <c r="AX222" s="8"/>
      <c r="BA222" s="6"/>
      <c r="BF222" s="6"/>
      <c r="BH222" s="8">
        <v>29952</v>
      </c>
      <c r="BK222" s="6"/>
      <c r="BL222" s="8"/>
      <c r="BM222" s="6"/>
      <c r="BN222" s="8"/>
      <c r="BO222" s="8"/>
      <c r="BP222" s="6"/>
      <c r="BS222" s="6"/>
      <c r="BT222" s="8"/>
      <c r="BU222" s="8"/>
      <c r="BV222" s="8"/>
      <c r="BW222" s="8"/>
      <c r="BX222" s="8"/>
      <c r="BY222" s="8"/>
      <c r="CA222" s="6"/>
      <c r="CK222" s="8"/>
      <c r="CP222" s="6"/>
      <c r="CX222" s="8"/>
      <c r="CZ222" s="8"/>
      <c r="DA222" s="8"/>
      <c r="DB222" s="8"/>
      <c r="DC222" s="6"/>
      <c r="DF222" s="9">
        <f t="shared" si="6"/>
        <v>334379</v>
      </c>
      <c r="DG222" s="9">
        <v>334379</v>
      </c>
      <c r="DH222" s="9">
        <f t="shared" si="7"/>
        <v>0</v>
      </c>
    </row>
    <row r="223" spans="1:112" x14ac:dyDescent="0.25">
      <c r="A223" s="4" t="s">
        <v>999</v>
      </c>
      <c r="B223" s="4" t="s">
        <v>999</v>
      </c>
      <c r="C223" s="1" t="s">
        <v>1000</v>
      </c>
      <c r="D223" s="6">
        <v>0</v>
      </c>
      <c r="E223" s="8">
        <v>1958</v>
      </c>
      <c r="F223" s="6">
        <v>0</v>
      </c>
      <c r="G223" s="8">
        <v>0</v>
      </c>
      <c r="K223" s="8">
        <v>0</v>
      </c>
      <c r="N223" s="8"/>
      <c r="O223" s="6">
        <v>0</v>
      </c>
      <c r="P223" s="8"/>
      <c r="Q223" s="6"/>
      <c r="R223" s="8">
        <v>0</v>
      </c>
      <c r="V223" s="8">
        <v>0</v>
      </c>
      <c r="W223" s="6">
        <v>0</v>
      </c>
      <c r="X223" s="8">
        <v>0</v>
      </c>
      <c r="AA223" s="8"/>
      <c r="AB223" s="6"/>
      <c r="AC223" s="8"/>
      <c r="AD223" s="6"/>
      <c r="AE223" s="8"/>
      <c r="AF223" s="6"/>
      <c r="AG223" s="8">
        <v>0</v>
      </c>
      <c r="AH223" s="6"/>
      <c r="AI223" s="8"/>
      <c r="AJ223" s="6"/>
      <c r="AK223" s="8">
        <v>0</v>
      </c>
      <c r="AL223" s="6"/>
      <c r="AM223" s="8">
        <v>0</v>
      </c>
      <c r="AO223" s="8"/>
      <c r="AR223" s="8"/>
      <c r="AS223" s="6"/>
      <c r="AT223" s="8"/>
      <c r="AW223" s="6"/>
      <c r="AX223" s="8"/>
      <c r="BA223" s="6">
        <v>0</v>
      </c>
      <c r="BD223" s="8">
        <v>0</v>
      </c>
      <c r="BE223" s="6">
        <v>0</v>
      </c>
      <c r="BF223" s="6"/>
      <c r="BK223" s="6"/>
      <c r="BL223" s="8"/>
      <c r="BM223" s="6"/>
      <c r="BN223" s="8"/>
      <c r="BO223" s="8"/>
      <c r="BP223" s="6"/>
      <c r="BS223" s="6"/>
      <c r="BT223" s="8"/>
      <c r="BU223" s="8"/>
      <c r="BV223" s="8"/>
      <c r="BW223" s="8"/>
      <c r="BX223" s="8"/>
      <c r="BY223" s="8"/>
      <c r="CA223" s="6"/>
      <c r="CJ223" s="8">
        <v>0</v>
      </c>
      <c r="CK223" s="8"/>
      <c r="CP223" s="6"/>
      <c r="CR223" s="6">
        <v>0</v>
      </c>
      <c r="CU223" s="8">
        <v>0</v>
      </c>
      <c r="CX223" s="8"/>
      <c r="CZ223" s="8"/>
      <c r="DA223" s="8"/>
      <c r="DB223" s="8"/>
      <c r="DC223" s="6">
        <v>0</v>
      </c>
      <c r="DF223" s="9">
        <f t="shared" si="6"/>
        <v>1958</v>
      </c>
      <c r="DG223" s="9">
        <v>1958</v>
      </c>
      <c r="DH223" s="9">
        <f t="shared" si="7"/>
        <v>0</v>
      </c>
    </row>
    <row r="224" spans="1:112" x14ac:dyDescent="0.25">
      <c r="A224" s="4" t="s">
        <v>297</v>
      </c>
      <c r="B224" s="4" t="s">
        <v>297</v>
      </c>
      <c r="C224" s="1" t="s">
        <v>298</v>
      </c>
      <c r="D224" s="6">
        <v>-35</v>
      </c>
      <c r="E224" s="8">
        <v>15</v>
      </c>
      <c r="G224" s="8">
        <v>2</v>
      </c>
      <c r="K224" s="8">
        <v>1</v>
      </c>
      <c r="N224" s="8"/>
      <c r="O224" s="6">
        <v>-1</v>
      </c>
      <c r="P224" s="8"/>
      <c r="Q224" s="6"/>
      <c r="R224" s="8">
        <v>-1</v>
      </c>
      <c r="V224" s="8">
        <v>2</v>
      </c>
      <c r="W224" s="6">
        <v>1</v>
      </c>
      <c r="AA224" s="8"/>
      <c r="AB224" s="6"/>
      <c r="AC224" s="8"/>
      <c r="AD224" s="6"/>
      <c r="AE224" s="8"/>
      <c r="AF224" s="6"/>
      <c r="AG224" s="8">
        <v>1</v>
      </c>
      <c r="AH224" s="6"/>
      <c r="AI224" s="8"/>
      <c r="AJ224" s="6">
        <v>-1</v>
      </c>
      <c r="AK224" s="8"/>
      <c r="AL224" s="6">
        <v>1</v>
      </c>
      <c r="AM224" s="8"/>
      <c r="AO224" s="8"/>
      <c r="AR224" s="8"/>
      <c r="AS224" s="6"/>
      <c r="AT224" s="8"/>
      <c r="AW224" s="6"/>
      <c r="AX224" s="8"/>
      <c r="BA224" s="6">
        <v>3</v>
      </c>
      <c r="BF224" s="6"/>
      <c r="BI224" s="6">
        <v>1</v>
      </c>
      <c r="BJ224" s="8">
        <v>-1</v>
      </c>
      <c r="BK224" s="6"/>
      <c r="BL224" s="8">
        <v>-5</v>
      </c>
      <c r="BM224" s="6"/>
      <c r="BN224" s="8"/>
      <c r="BO224" s="8"/>
      <c r="BP224" s="6"/>
      <c r="BS224" s="6"/>
      <c r="BT224" s="8"/>
      <c r="BU224" s="8"/>
      <c r="BV224" s="8"/>
      <c r="BW224" s="8"/>
      <c r="BX224" s="8"/>
      <c r="BY224" s="8"/>
      <c r="CA224" s="6"/>
      <c r="CJ224" s="8">
        <v>1</v>
      </c>
      <c r="CK224" s="8"/>
      <c r="CO224" s="8">
        <v>2</v>
      </c>
      <c r="CP224" s="6"/>
      <c r="CQ224" s="8">
        <v>-3</v>
      </c>
      <c r="CR224" s="6">
        <v>-1</v>
      </c>
      <c r="CV224" s="6">
        <v>1</v>
      </c>
      <c r="CX224" s="8"/>
      <c r="CZ224" s="8"/>
      <c r="DA224" s="8"/>
      <c r="DB224" s="8"/>
      <c r="DC224" s="6">
        <v>-7</v>
      </c>
      <c r="DF224" s="9">
        <f t="shared" si="6"/>
        <v>-24</v>
      </c>
      <c r="DG224" s="9">
        <v>-24</v>
      </c>
      <c r="DH224" s="9">
        <f t="shared" si="7"/>
        <v>0</v>
      </c>
    </row>
    <row r="225" spans="1:112" x14ac:dyDescent="0.25">
      <c r="A225" s="4" t="s">
        <v>1838</v>
      </c>
      <c r="B225" s="4" t="s">
        <v>1838</v>
      </c>
      <c r="C225" s="1" t="s">
        <v>1839</v>
      </c>
      <c r="N225" s="8"/>
      <c r="O225" s="6"/>
      <c r="P225" s="8"/>
      <c r="Q225" s="6"/>
      <c r="AA225" s="8"/>
      <c r="AB225" s="6"/>
      <c r="AC225" s="8"/>
      <c r="AD225" s="6"/>
      <c r="AE225" s="8"/>
      <c r="AF225" s="6"/>
      <c r="AG225" s="8"/>
      <c r="AH225" s="6"/>
      <c r="AI225" s="8"/>
      <c r="AJ225" s="6"/>
      <c r="AK225" s="8"/>
      <c r="AL225" s="6"/>
      <c r="AM225" s="8"/>
      <c r="AO225" s="8"/>
      <c r="AR225" s="8"/>
      <c r="AS225" s="6"/>
      <c r="AT225" s="8"/>
      <c r="AW225" s="6"/>
      <c r="AX225" s="8"/>
      <c r="BA225" s="6"/>
      <c r="BF225" s="6"/>
      <c r="BJ225" s="8">
        <v>19845.54</v>
      </c>
      <c r="BK225" s="6"/>
      <c r="BL225" s="8">
        <v>129664.45999999999</v>
      </c>
      <c r="BM225" s="6"/>
      <c r="BN225" s="8"/>
      <c r="BO225" s="8"/>
      <c r="BP225" s="6"/>
      <c r="BS225" s="6"/>
      <c r="BT225" s="8"/>
      <c r="BU225" s="8"/>
      <c r="BV225" s="8"/>
      <c r="BW225" s="8"/>
      <c r="BX225" s="8"/>
      <c r="BY225" s="8"/>
      <c r="CA225" s="6"/>
      <c r="CJ225" s="8">
        <v>149039.00000000003</v>
      </c>
      <c r="CK225" s="8"/>
      <c r="CP225" s="6"/>
      <c r="CX225" s="8"/>
      <c r="CZ225" s="8"/>
      <c r="DA225" s="8"/>
      <c r="DB225" s="8"/>
      <c r="DC225" s="6"/>
      <c r="DF225" s="9">
        <f t="shared" si="6"/>
        <v>298549</v>
      </c>
      <c r="DG225" s="9">
        <v>298549</v>
      </c>
      <c r="DH225" s="9">
        <f t="shared" si="7"/>
        <v>0</v>
      </c>
    </row>
    <row r="226" spans="1:112" x14ac:dyDescent="0.25">
      <c r="A226" s="4" t="s">
        <v>299</v>
      </c>
      <c r="B226" s="4" t="s">
        <v>299</v>
      </c>
      <c r="C226" s="1" t="s">
        <v>300</v>
      </c>
      <c r="N226" s="8"/>
      <c r="O226" s="6"/>
      <c r="P226" s="8"/>
      <c r="Q226" s="6"/>
      <c r="AA226" s="8"/>
      <c r="AB226" s="6"/>
      <c r="AC226" s="8"/>
      <c r="AD226" s="6">
        <v>-47213484</v>
      </c>
      <c r="AE226" s="8">
        <v>-43115154</v>
      </c>
      <c r="AF226" s="6"/>
      <c r="AG226" s="8"/>
      <c r="AH226" s="6"/>
      <c r="AI226" s="8"/>
      <c r="AJ226" s="6"/>
      <c r="AK226" s="8"/>
      <c r="AL226" s="6"/>
      <c r="AM226" s="8"/>
      <c r="AO226" s="8"/>
      <c r="AR226" s="8"/>
      <c r="AS226" s="6"/>
      <c r="AT226" s="8"/>
      <c r="AW226" s="6"/>
      <c r="AX226" s="8"/>
      <c r="BA226" s="6"/>
      <c r="BF226" s="6"/>
      <c r="BK226" s="6"/>
      <c r="BL226" s="8"/>
      <c r="BM226" s="6"/>
      <c r="BN226" s="8"/>
      <c r="BO226" s="8"/>
      <c r="BP226" s="6"/>
      <c r="BS226" s="6"/>
      <c r="BT226" s="8"/>
      <c r="BU226" s="8"/>
      <c r="BV226" s="8"/>
      <c r="BW226" s="8"/>
      <c r="BX226" s="8"/>
      <c r="BY226" s="8"/>
      <c r="CA226" s="6"/>
      <c r="CK226" s="8"/>
      <c r="CP226" s="6"/>
      <c r="CX226" s="8"/>
      <c r="CZ226" s="8"/>
      <c r="DA226" s="8"/>
      <c r="DB226" s="8"/>
      <c r="DC226" s="6"/>
      <c r="DF226" s="9">
        <f t="shared" si="6"/>
        <v>-90328638</v>
      </c>
      <c r="DG226" s="9">
        <v>-90328638</v>
      </c>
      <c r="DH226" s="9">
        <f t="shared" si="7"/>
        <v>0</v>
      </c>
    </row>
    <row r="227" spans="1:112" x14ac:dyDescent="0.25">
      <c r="A227" s="4" t="s">
        <v>301</v>
      </c>
      <c r="B227" s="4" t="s">
        <v>301</v>
      </c>
      <c r="C227" s="1" t="s">
        <v>302</v>
      </c>
      <c r="N227" s="8"/>
      <c r="O227" s="6"/>
      <c r="P227" s="8"/>
      <c r="Q227" s="6"/>
      <c r="AA227" s="8"/>
      <c r="AB227" s="6"/>
      <c r="AC227" s="8"/>
      <c r="AD227" s="6">
        <v>-1148652</v>
      </c>
      <c r="AE227" s="8">
        <v>-1690020</v>
      </c>
      <c r="AF227" s="6"/>
      <c r="AG227" s="8"/>
      <c r="AH227" s="6"/>
      <c r="AI227" s="8"/>
      <c r="AJ227" s="6"/>
      <c r="AK227" s="8"/>
      <c r="AL227" s="6"/>
      <c r="AM227" s="8"/>
      <c r="AO227" s="8"/>
      <c r="AR227" s="8"/>
      <c r="AS227" s="6"/>
      <c r="AT227" s="8"/>
      <c r="AW227" s="6"/>
      <c r="AX227" s="8"/>
      <c r="BA227" s="6"/>
      <c r="BF227" s="6"/>
      <c r="BK227" s="6"/>
      <c r="BL227" s="8"/>
      <c r="BM227" s="6"/>
      <c r="BN227" s="8"/>
      <c r="BO227" s="8"/>
      <c r="BP227" s="6"/>
      <c r="BS227" s="6"/>
      <c r="BT227" s="8"/>
      <c r="BU227" s="8"/>
      <c r="BV227" s="8"/>
      <c r="BW227" s="8"/>
      <c r="BX227" s="8"/>
      <c r="BY227" s="8"/>
      <c r="CA227" s="6"/>
      <c r="CK227" s="8"/>
      <c r="CP227" s="6"/>
      <c r="CX227" s="8"/>
      <c r="CZ227" s="8"/>
      <c r="DA227" s="8"/>
      <c r="DB227" s="8"/>
      <c r="DC227" s="6"/>
      <c r="DF227" s="9">
        <f t="shared" si="6"/>
        <v>-2838672</v>
      </c>
      <c r="DG227" s="9">
        <v>-2838672</v>
      </c>
      <c r="DH227" s="9">
        <f t="shared" si="7"/>
        <v>0</v>
      </c>
    </row>
    <row r="228" spans="1:112" x14ac:dyDescent="0.25">
      <c r="A228" s="4" t="s">
        <v>303</v>
      </c>
      <c r="B228" s="4" t="s">
        <v>303</v>
      </c>
      <c r="C228" s="1" t="s">
        <v>304</v>
      </c>
      <c r="N228" s="8"/>
      <c r="O228" s="6"/>
      <c r="P228" s="8"/>
      <c r="Q228" s="6"/>
      <c r="AA228" s="8"/>
      <c r="AB228" s="6"/>
      <c r="AC228" s="8"/>
      <c r="AD228" s="6">
        <v>-5617324</v>
      </c>
      <c r="AE228" s="8">
        <v>-3440388</v>
      </c>
      <c r="AF228" s="6"/>
      <c r="AG228" s="8"/>
      <c r="AH228" s="6"/>
      <c r="AI228" s="8"/>
      <c r="AJ228" s="6"/>
      <c r="AK228" s="8"/>
      <c r="AL228" s="6"/>
      <c r="AM228" s="8"/>
      <c r="AO228" s="8"/>
      <c r="AR228" s="8"/>
      <c r="AS228" s="6"/>
      <c r="AT228" s="8"/>
      <c r="AW228" s="6"/>
      <c r="AX228" s="8"/>
      <c r="BA228" s="6"/>
      <c r="BF228" s="6"/>
      <c r="BK228" s="6"/>
      <c r="BL228" s="8"/>
      <c r="BM228" s="6"/>
      <c r="BN228" s="8"/>
      <c r="BO228" s="8"/>
      <c r="BP228" s="6"/>
      <c r="BS228" s="6"/>
      <c r="BT228" s="8"/>
      <c r="BU228" s="8"/>
      <c r="BV228" s="8"/>
      <c r="BW228" s="8"/>
      <c r="BX228" s="8"/>
      <c r="BY228" s="8"/>
      <c r="CA228" s="6"/>
      <c r="CK228" s="8"/>
      <c r="CP228" s="6"/>
      <c r="CX228" s="8"/>
      <c r="CZ228" s="8"/>
      <c r="DA228" s="8"/>
      <c r="DB228" s="8"/>
      <c r="DC228" s="6"/>
      <c r="DF228" s="9">
        <f t="shared" si="6"/>
        <v>-9057712</v>
      </c>
      <c r="DG228" s="9">
        <v>-9057712</v>
      </c>
      <c r="DH228" s="9">
        <f t="shared" si="7"/>
        <v>0</v>
      </c>
    </row>
    <row r="229" spans="1:112" x14ac:dyDescent="0.25">
      <c r="A229" s="4" t="s">
        <v>305</v>
      </c>
      <c r="N229" s="8"/>
      <c r="O229" s="6"/>
      <c r="P229" s="8"/>
      <c r="Q229" s="6"/>
      <c r="AA229" s="8"/>
      <c r="AB229" s="6"/>
      <c r="AC229" s="8"/>
      <c r="AD229" s="6"/>
      <c r="AE229" s="8"/>
      <c r="AF229" s="6"/>
      <c r="AG229" s="8"/>
      <c r="AH229" s="6"/>
      <c r="AI229" s="8"/>
      <c r="AJ229" s="6"/>
      <c r="AK229" s="8"/>
      <c r="AL229" s="6"/>
      <c r="AM229" s="8"/>
      <c r="AO229" s="8"/>
      <c r="AR229" s="8"/>
      <c r="AS229" s="6"/>
      <c r="AT229" s="8"/>
      <c r="AW229" s="6"/>
      <c r="AX229" s="8"/>
      <c r="BA229" s="6"/>
      <c r="BF229" s="6"/>
      <c r="BK229" s="6"/>
      <c r="BL229" s="8"/>
      <c r="BM229" s="6"/>
      <c r="BN229" s="8"/>
      <c r="BO229" s="8"/>
      <c r="BP229" s="6"/>
      <c r="BS229" s="6"/>
      <c r="BT229" s="8"/>
      <c r="BU229" s="8"/>
      <c r="BV229" s="8"/>
      <c r="BW229" s="8"/>
      <c r="BX229" s="8"/>
      <c r="BY229" s="8"/>
      <c r="CA229" s="6"/>
      <c r="CK229" s="8"/>
      <c r="CP229" s="6"/>
      <c r="CX229" s="8"/>
      <c r="CZ229" s="8"/>
      <c r="DA229" s="8"/>
      <c r="DB229" s="8"/>
      <c r="DC229" s="6"/>
      <c r="DF229" s="9">
        <f t="shared" si="6"/>
        <v>0</v>
      </c>
      <c r="DG229" s="9"/>
      <c r="DH229" s="9">
        <f t="shared" si="7"/>
        <v>0</v>
      </c>
    </row>
    <row r="230" spans="1:112" x14ac:dyDescent="0.25">
      <c r="A230" s="4" t="s">
        <v>307</v>
      </c>
      <c r="B230" s="4" t="s">
        <v>307</v>
      </c>
      <c r="C230" s="1" t="s">
        <v>308</v>
      </c>
      <c r="N230" s="8"/>
      <c r="O230" s="6"/>
      <c r="P230" s="8"/>
      <c r="Q230" s="6"/>
      <c r="AA230" s="8"/>
      <c r="AB230" s="6"/>
      <c r="AC230" s="8"/>
      <c r="AD230" s="6"/>
      <c r="AE230" s="8"/>
      <c r="AF230" s="6"/>
      <c r="AG230" s="8"/>
      <c r="AH230" s="6"/>
      <c r="AI230" s="8"/>
      <c r="AJ230" s="6"/>
      <c r="AK230" s="8"/>
      <c r="AL230" s="6"/>
      <c r="AM230" s="8"/>
      <c r="AO230" s="8"/>
      <c r="AR230" s="8"/>
      <c r="AS230" s="6"/>
      <c r="AT230" s="8"/>
      <c r="AW230" s="6"/>
      <c r="AX230" s="8"/>
      <c r="BA230" s="6"/>
      <c r="BD230" s="8">
        <v>-192500</v>
      </c>
      <c r="BF230" s="6"/>
      <c r="BK230" s="6"/>
      <c r="BL230" s="8"/>
      <c r="BM230" s="6"/>
      <c r="BN230" s="8"/>
      <c r="BO230" s="8"/>
      <c r="BP230" s="6"/>
      <c r="BS230" s="6"/>
      <c r="BT230" s="8"/>
      <c r="BU230" s="8"/>
      <c r="BV230" s="8"/>
      <c r="BW230" s="8"/>
      <c r="BX230" s="8"/>
      <c r="BY230" s="8"/>
      <c r="CA230" s="6"/>
      <c r="CK230" s="8"/>
      <c r="CP230" s="6"/>
      <c r="CX230" s="8"/>
      <c r="CZ230" s="8"/>
      <c r="DA230" s="8"/>
      <c r="DB230" s="8"/>
      <c r="DC230" s="6"/>
      <c r="DF230" s="9">
        <f t="shared" si="6"/>
        <v>-192500</v>
      </c>
      <c r="DG230" s="9">
        <v>-192500</v>
      </c>
      <c r="DH230" s="9">
        <f t="shared" si="7"/>
        <v>0</v>
      </c>
    </row>
    <row r="231" spans="1:112" x14ac:dyDescent="0.25">
      <c r="A231" s="4" t="s">
        <v>309</v>
      </c>
      <c r="B231" s="4" t="s">
        <v>309</v>
      </c>
      <c r="C231" s="1" t="s">
        <v>310</v>
      </c>
      <c r="D231" s="6">
        <v>0</v>
      </c>
      <c r="N231" s="8"/>
      <c r="O231" s="6"/>
      <c r="P231" s="8"/>
      <c r="Q231" s="6"/>
      <c r="AA231" s="8"/>
      <c r="AB231" s="6"/>
      <c r="AC231" s="8"/>
      <c r="AD231" s="6"/>
      <c r="AE231" s="8"/>
      <c r="AF231" s="6"/>
      <c r="AG231" s="8"/>
      <c r="AH231" s="6"/>
      <c r="AI231" s="8"/>
      <c r="AJ231" s="6"/>
      <c r="AK231" s="8"/>
      <c r="AL231" s="6"/>
      <c r="AM231" s="8"/>
      <c r="AO231" s="8"/>
      <c r="AR231" s="8"/>
      <c r="AS231" s="6"/>
      <c r="AT231" s="8"/>
      <c r="AW231" s="6"/>
      <c r="AX231" s="8"/>
      <c r="BA231" s="6"/>
      <c r="BD231" s="8">
        <v>-150000</v>
      </c>
      <c r="BE231" s="6">
        <v>-1180000</v>
      </c>
      <c r="BF231" s="6"/>
      <c r="BK231" s="6"/>
      <c r="BL231" s="8"/>
      <c r="BM231" s="6"/>
      <c r="BN231" s="8"/>
      <c r="BO231" s="8"/>
      <c r="BP231" s="6"/>
      <c r="BS231" s="6"/>
      <c r="BT231" s="8"/>
      <c r="BU231" s="8"/>
      <c r="BV231" s="8"/>
      <c r="BW231" s="8"/>
      <c r="BX231" s="8"/>
      <c r="BY231" s="8"/>
      <c r="CA231" s="6"/>
      <c r="CK231" s="8"/>
      <c r="CP231" s="6"/>
      <c r="CX231" s="8"/>
      <c r="CZ231" s="8"/>
      <c r="DA231" s="8"/>
      <c r="DB231" s="8"/>
      <c r="DC231" s="6"/>
      <c r="DF231" s="9">
        <f t="shared" si="6"/>
        <v>-1330000</v>
      </c>
      <c r="DG231" s="9">
        <v>-1330000</v>
      </c>
      <c r="DH231" s="9">
        <f t="shared" si="7"/>
        <v>0</v>
      </c>
    </row>
    <row r="232" spans="1:112" x14ac:dyDescent="0.25">
      <c r="A232" s="4" t="s">
        <v>311</v>
      </c>
      <c r="B232" s="4" t="s">
        <v>311</v>
      </c>
      <c r="C232" s="1" t="s">
        <v>312</v>
      </c>
      <c r="N232" s="8"/>
      <c r="O232" s="6"/>
      <c r="P232" s="8"/>
      <c r="Q232" s="6"/>
      <c r="AA232" s="8"/>
      <c r="AB232" s="6"/>
      <c r="AC232" s="8"/>
      <c r="AD232" s="6"/>
      <c r="AE232" s="8"/>
      <c r="AF232" s="6"/>
      <c r="AG232" s="8"/>
      <c r="AH232" s="6"/>
      <c r="AI232" s="8"/>
      <c r="AJ232" s="6"/>
      <c r="AK232" s="8"/>
      <c r="AL232" s="6"/>
      <c r="AM232" s="8"/>
      <c r="AO232" s="8"/>
      <c r="AR232" s="8"/>
      <c r="AS232" s="6"/>
      <c r="AT232" s="8"/>
      <c r="AW232" s="6"/>
      <c r="AX232" s="8"/>
      <c r="BA232" s="6"/>
      <c r="BD232" s="8">
        <v>-697263</v>
      </c>
      <c r="BF232" s="6"/>
      <c r="BK232" s="6"/>
      <c r="BL232" s="8"/>
      <c r="BM232" s="6"/>
      <c r="BN232" s="8"/>
      <c r="BO232" s="8"/>
      <c r="BP232" s="6"/>
      <c r="BS232" s="6"/>
      <c r="BT232" s="8"/>
      <c r="BU232" s="8"/>
      <c r="BV232" s="8"/>
      <c r="BW232" s="8"/>
      <c r="BX232" s="8"/>
      <c r="BY232" s="8"/>
      <c r="CA232" s="6"/>
      <c r="CK232" s="8"/>
      <c r="CP232" s="6"/>
      <c r="CX232" s="8"/>
      <c r="CZ232" s="8"/>
      <c r="DA232" s="8"/>
      <c r="DB232" s="8"/>
      <c r="DC232" s="6"/>
      <c r="DF232" s="9">
        <f t="shared" si="6"/>
        <v>-697263</v>
      </c>
      <c r="DG232" s="9">
        <v>-697263</v>
      </c>
      <c r="DH232" s="9">
        <f t="shared" si="7"/>
        <v>0</v>
      </c>
    </row>
    <row r="233" spans="1:112" x14ac:dyDescent="0.25">
      <c r="A233" s="4" t="s">
        <v>313</v>
      </c>
      <c r="B233" s="4" t="s">
        <v>313</v>
      </c>
      <c r="C233" s="1" t="s">
        <v>314</v>
      </c>
      <c r="K233" s="8">
        <v>-97028933</v>
      </c>
      <c r="N233" s="8"/>
      <c r="O233" s="6"/>
      <c r="P233" s="8"/>
      <c r="Q233" s="6"/>
      <c r="AA233" s="8"/>
      <c r="AB233" s="6"/>
      <c r="AC233" s="8"/>
      <c r="AD233" s="6"/>
      <c r="AE233" s="8"/>
      <c r="AF233" s="6"/>
      <c r="AG233" s="8"/>
      <c r="AH233" s="6"/>
      <c r="AI233" s="8"/>
      <c r="AJ233" s="6"/>
      <c r="AK233" s="8"/>
      <c r="AL233" s="6"/>
      <c r="AM233" s="8"/>
      <c r="AO233" s="8"/>
      <c r="AR233" s="8"/>
      <c r="AS233" s="6"/>
      <c r="AT233" s="8"/>
      <c r="AW233" s="6"/>
      <c r="AX233" s="8"/>
      <c r="BA233" s="6"/>
      <c r="BF233" s="6"/>
      <c r="BK233" s="6"/>
      <c r="BL233" s="8"/>
      <c r="BM233" s="6"/>
      <c r="BN233" s="8"/>
      <c r="BO233" s="8"/>
      <c r="BP233" s="6"/>
      <c r="BS233" s="6"/>
      <c r="BT233" s="8"/>
      <c r="BU233" s="8"/>
      <c r="BV233" s="8"/>
      <c r="BW233" s="8"/>
      <c r="BX233" s="8"/>
      <c r="BY233" s="8"/>
      <c r="CA233" s="6"/>
      <c r="CK233" s="8"/>
      <c r="CP233" s="6"/>
      <c r="CX233" s="8"/>
      <c r="CZ233" s="8"/>
      <c r="DA233" s="8"/>
      <c r="DB233" s="8"/>
      <c r="DC233" s="6"/>
      <c r="DF233" s="9">
        <f t="shared" si="6"/>
        <v>-97028933</v>
      </c>
      <c r="DG233" s="9">
        <v>-97028933</v>
      </c>
      <c r="DH233" s="9">
        <f t="shared" si="7"/>
        <v>0</v>
      </c>
    </row>
    <row r="234" spans="1:112" x14ac:dyDescent="0.25">
      <c r="A234" s="4" t="s">
        <v>315</v>
      </c>
      <c r="B234" s="4" t="s">
        <v>315</v>
      </c>
      <c r="C234" s="1" t="s">
        <v>316</v>
      </c>
      <c r="E234" s="8">
        <v>-1350000</v>
      </c>
      <c r="K234" s="8">
        <v>0</v>
      </c>
      <c r="N234" s="8"/>
      <c r="O234" s="6"/>
      <c r="P234" s="8"/>
      <c r="Q234" s="6"/>
      <c r="AA234" s="8"/>
      <c r="AB234" s="6"/>
      <c r="AC234" s="8"/>
      <c r="AD234" s="6"/>
      <c r="AE234" s="8"/>
      <c r="AF234" s="6"/>
      <c r="AG234" s="8"/>
      <c r="AH234" s="6"/>
      <c r="AI234" s="8"/>
      <c r="AJ234" s="6"/>
      <c r="AK234" s="8"/>
      <c r="AL234" s="6"/>
      <c r="AM234" s="8"/>
      <c r="AO234" s="8"/>
      <c r="AR234" s="8"/>
      <c r="AS234" s="6"/>
      <c r="AT234" s="8"/>
      <c r="AV234" s="6">
        <v>-2100000</v>
      </c>
      <c r="AW234" s="6"/>
      <c r="AX234" s="8"/>
      <c r="BA234" s="6"/>
      <c r="BF234" s="6"/>
      <c r="BK234" s="6"/>
      <c r="BL234" s="8"/>
      <c r="BM234" s="6"/>
      <c r="BN234" s="8"/>
      <c r="BO234" s="8"/>
      <c r="BP234" s="6"/>
      <c r="BS234" s="6"/>
      <c r="BT234" s="8"/>
      <c r="BU234" s="8"/>
      <c r="BV234" s="8"/>
      <c r="BW234" s="8"/>
      <c r="BX234" s="8"/>
      <c r="BY234" s="8"/>
      <c r="CA234" s="6"/>
      <c r="CK234" s="8"/>
      <c r="CP234" s="6"/>
      <c r="CX234" s="8"/>
      <c r="CZ234" s="8"/>
      <c r="DA234" s="8"/>
      <c r="DB234" s="8"/>
      <c r="DC234" s="6"/>
      <c r="DF234" s="9">
        <f t="shared" si="6"/>
        <v>-3450000</v>
      </c>
      <c r="DG234" s="9">
        <v>-3450000</v>
      </c>
      <c r="DH234" s="9">
        <f t="shared" si="7"/>
        <v>0</v>
      </c>
    </row>
    <row r="235" spans="1:112" x14ac:dyDescent="0.25">
      <c r="A235" s="4" t="s">
        <v>962</v>
      </c>
      <c r="B235" s="4" t="s">
        <v>962</v>
      </c>
      <c r="C235" s="1" t="s">
        <v>963</v>
      </c>
      <c r="K235" s="8">
        <v>-97028714</v>
      </c>
      <c r="N235" s="8"/>
      <c r="O235" s="6"/>
      <c r="P235" s="8"/>
      <c r="Q235" s="6"/>
      <c r="AA235" s="8"/>
      <c r="AB235" s="6"/>
      <c r="AC235" s="8"/>
      <c r="AD235" s="6"/>
      <c r="AE235" s="8"/>
      <c r="AF235" s="6"/>
      <c r="AG235" s="8"/>
      <c r="AH235" s="6"/>
      <c r="AI235" s="8"/>
      <c r="AJ235" s="6"/>
      <c r="AK235" s="8"/>
      <c r="AL235" s="6"/>
      <c r="AM235" s="8"/>
      <c r="AO235" s="8"/>
      <c r="AR235" s="8"/>
      <c r="AS235" s="6"/>
      <c r="AT235" s="8"/>
      <c r="AW235" s="6"/>
      <c r="AX235" s="8"/>
      <c r="BA235" s="6"/>
      <c r="BF235" s="6"/>
      <c r="BK235" s="6"/>
      <c r="BL235" s="8"/>
      <c r="BM235" s="6"/>
      <c r="BN235" s="8"/>
      <c r="BO235" s="8"/>
      <c r="BP235" s="6"/>
      <c r="BS235" s="6"/>
      <c r="BT235" s="8"/>
      <c r="BU235" s="8"/>
      <c r="BV235" s="8"/>
      <c r="BW235" s="8"/>
      <c r="BX235" s="8"/>
      <c r="BY235" s="8"/>
      <c r="CA235" s="6"/>
      <c r="CK235" s="8"/>
      <c r="CP235" s="6"/>
      <c r="CX235" s="8"/>
      <c r="CZ235" s="8"/>
      <c r="DA235" s="8"/>
      <c r="DB235" s="8"/>
      <c r="DC235" s="6"/>
      <c r="DF235" s="9">
        <f t="shared" si="6"/>
        <v>-97028714</v>
      </c>
      <c r="DG235" s="9">
        <v>-97028714</v>
      </c>
      <c r="DH235" s="9">
        <f t="shared" si="7"/>
        <v>0</v>
      </c>
    </row>
    <row r="236" spans="1:112" x14ac:dyDescent="0.25">
      <c r="A236" s="4" t="s">
        <v>964</v>
      </c>
      <c r="B236" s="4" t="s">
        <v>964</v>
      </c>
      <c r="C236" s="1" t="s">
        <v>965</v>
      </c>
      <c r="K236" s="8">
        <v>-293091774</v>
      </c>
      <c r="N236" s="8"/>
      <c r="O236" s="6"/>
      <c r="P236" s="8"/>
      <c r="Q236" s="6"/>
      <c r="AA236" s="8"/>
      <c r="AB236" s="6"/>
      <c r="AC236" s="8"/>
      <c r="AD236" s="6"/>
      <c r="AE236" s="8"/>
      <c r="AF236" s="6"/>
      <c r="AG236" s="8"/>
      <c r="AH236" s="6"/>
      <c r="AI236" s="8"/>
      <c r="AJ236" s="6"/>
      <c r="AK236" s="8"/>
      <c r="AL236" s="6"/>
      <c r="AM236" s="8"/>
      <c r="AO236" s="8"/>
      <c r="AR236" s="8"/>
      <c r="AS236" s="6"/>
      <c r="AT236" s="8"/>
      <c r="AW236" s="6"/>
      <c r="AX236" s="8"/>
      <c r="BA236" s="6"/>
      <c r="BF236" s="6"/>
      <c r="BK236" s="6"/>
      <c r="BL236" s="8"/>
      <c r="BM236" s="6"/>
      <c r="BN236" s="8"/>
      <c r="BO236" s="8"/>
      <c r="BP236" s="6"/>
      <c r="BS236" s="6"/>
      <c r="BT236" s="8"/>
      <c r="BU236" s="8"/>
      <c r="BV236" s="8"/>
      <c r="BW236" s="8"/>
      <c r="BX236" s="8"/>
      <c r="BY236" s="8"/>
      <c r="CA236" s="6"/>
      <c r="CK236" s="8"/>
      <c r="CP236" s="6"/>
      <c r="CX236" s="8"/>
      <c r="CZ236" s="8"/>
      <c r="DA236" s="8"/>
      <c r="DB236" s="8"/>
      <c r="DC236" s="6"/>
      <c r="DF236" s="9">
        <f t="shared" si="6"/>
        <v>-293091774</v>
      </c>
      <c r="DG236" s="9">
        <v>-293091774</v>
      </c>
      <c r="DH236" s="9">
        <f t="shared" si="7"/>
        <v>0</v>
      </c>
    </row>
    <row r="237" spans="1:112" x14ac:dyDescent="0.25">
      <c r="A237" s="4" t="s">
        <v>966</v>
      </c>
      <c r="B237" s="4" t="s">
        <v>966</v>
      </c>
      <c r="C237" s="1" t="s">
        <v>967</v>
      </c>
      <c r="K237" s="8">
        <v>-168448666.47999993</v>
      </c>
      <c r="N237" s="8"/>
      <c r="O237" s="6"/>
      <c r="P237" s="8"/>
      <c r="Q237" s="6"/>
      <c r="AA237" s="8"/>
      <c r="AB237" s="6"/>
      <c r="AC237" s="8"/>
      <c r="AD237" s="6"/>
      <c r="AE237" s="8"/>
      <c r="AF237" s="6"/>
      <c r="AG237" s="8"/>
      <c r="AH237" s="6"/>
      <c r="AI237" s="8"/>
      <c r="AJ237" s="6"/>
      <c r="AK237" s="8"/>
      <c r="AL237" s="6"/>
      <c r="AM237" s="8"/>
      <c r="AO237" s="8"/>
      <c r="AR237" s="8"/>
      <c r="AS237" s="6"/>
      <c r="AT237" s="8"/>
      <c r="AW237" s="6"/>
      <c r="AX237" s="8"/>
      <c r="BA237" s="6"/>
      <c r="BF237" s="6"/>
      <c r="BK237" s="6"/>
      <c r="BL237" s="8"/>
      <c r="BM237" s="6"/>
      <c r="BN237" s="8"/>
      <c r="BO237" s="8"/>
      <c r="BP237" s="6"/>
      <c r="BS237" s="6"/>
      <c r="BT237" s="8"/>
      <c r="BU237" s="8"/>
      <c r="BV237" s="8"/>
      <c r="BW237" s="8"/>
      <c r="BX237" s="8"/>
      <c r="BY237" s="8"/>
      <c r="CA237" s="6"/>
      <c r="CK237" s="8"/>
      <c r="CP237" s="6"/>
      <c r="CX237" s="8"/>
      <c r="CZ237" s="8"/>
      <c r="DA237" s="8"/>
      <c r="DB237" s="8"/>
      <c r="DC237" s="6"/>
      <c r="DF237" s="9">
        <f t="shared" si="6"/>
        <v>-168448666.47999993</v>
      </c>
      <c r="DG237" s="9">
        <v>-168448666.47999993</v>
      </c>
      <c r="DH237" s="9">
        <f t="shared" si="7"/>
        <v>0</v>
      </c>
    </row>
    <row r="238" spans="1:112" x14ac:dyDescent="0.25">
      <c r="A238" s="4" t="s">
        <v>968</v>
      </c>
      <c r="B238" s="4" t="s">
        <v>968</v>
      </c>
      <c r="C238" s="1" t="s">
        <v>969</v>
      </c>
      <c r="K238" s="8">
        <v>-69398271.049999997</v>
      </c>
      <c r="N238" s="8"/>
      <c r="O238" s="6"/>
      <c r="P238" s="8"/>
      <c r="Q238" s="6"/>
      <c r="AA238" s="8"/>
      <c r="AB238" s="6"/>
      <c r="AC238" s="8"/>
      <c r="AD238" s="6"/>
      <c r="AE238" s="8"/>
      <c r="AF238" s="6"/>
      <c r="AG238" s="8"/>
      <c r="AH238" s="6"/>
      <c r="AI238" s="8"/>
      <c r="AJ238" s="6"/>
      <c r="AK238" s="8"/>
      <c r="AL238" s="6"/>
      <c r="AM238" s="8"/>
      <c r="AO238" s="8"/>
      <c r="AR238" s="8"/>
      <c r="AS238" s="6"/>
      <c r="AT238" s="8"/>
      <c r="AW238" s="6"/>
      <c r="AX238" s="8"/>
      <c r="BA238" s="6"/>
      <c r="BF238" s="6"/>
      <c r="BK238" s="6"/>
      <c r="BL238" s="8"/>
      <c r="BM238" s="6"/>
      <c r="BN238" s="8"/>
      <c r="BO238" s="8"/>
      <c r="BP238" s="6"/>
      <c r="BS238" s="6"/>
      <c r="BT238" s="8"/>
      <c r="BU238" s="8"/>
      <c r="BV238" s="8"/>
      <c r="BW238" s="8"/>
      <c r="BX238" s="8"/>
      <c r="BY238" s="8"/>
      <c r="CA238" s="6"/>
      <c r="CK238" s="8"/>
      <c r="CP238" s="6"/>
      <c r="CX238" s="8"/>
      <c r="CZ238" s="8"/>
      <c r="DA238" s="8"/>
      <c r="DB238" s="8"/>
      <c r="DC238" s="6"/>
      <c r="DF238" s="9">
        <f t="shared" si="6"/>
        <v>-69398271.049999997</v>
      </c>
      <c r="DG238" s="9">
        <v>-69398271.049999997</v>
      </c>
      <c r="DH238" s="9">
        <f t="shared" si="7"/>
        <v>0</v>
      </c>
    </row>
    <row r="239" spans="1:112" x14ac:dyDescent="0.25">
      <c r="A239" s="4" t="s">
        <v>970</v>
      </c>
      <c r="B239" s="4" t="s">
        <v>970</v>
      </c>
      <c r="C239" s="1" t="s">
        <v>971</v>
      </c>
      <c r="K239" s="8">
        <v>-343731436.46999991</v>
      </c>
      <c r="N239" s="8"/>
      <c r="O239" s="6"/>
      <c r="P239" s="8"/>
      <c r="Q239" s="6"/>
      <c r="AA239" s="8"/>
      <c r="AB239" s="6"/>
      <c r="AC239" s="8"/>
      <c r="AD239" s="6"/>
      <c r="AE239" s="8"/>
      <c r="AF239" s="6"/>
      <c r="AG239" s="8"/>
      <c r="AH239" s="6"/>
      <c r="AI239" s="8"/>
      <c r="AJ239" s="6"/>
      <c r="AK239" s="8"/>
      <c r="AL239" s="6"/>
      <c r="AM239" s="8"/>
      <c r="AO239" s="8"/>
      <c r="AR239" s="8"/>
      <c r="AS239" s="6"/>
      <c r="AT239" s="8"/>
      <c r="AW239" s="6"/>
      <c r="AX239" s="8"/>
      <c r="AY239" s="6">
        <v>-6190000</v>
      </c>
      <c r="BA239" s="6"/>
      <c r="BF239" s="6"/>
      <c r="BK239" s="6"/>
      <c r="BL239" s="8"/>
      <c r="BM239" s="6"/>
      <c r="BN239" s="8"/>
      <c r="BO239" s="8"/>
      <c r="BP239" s="6"/>
      <c r="BS239" s="6"/>
      <c r="BT239" s="8"/>
      <c r="BU239" s="8"/>
      <c r="BV239" s="8"/>
      <c r="BW239" s="8"/>
      <c r="BX239" s="8"/>
      <c r="BY239" s="8"/>
      <c r="CA239" s="6"/>
      <c r="CK239" s="8"/>
      <c r="CP239" s="6"/>
      <c r="CX239" s="8"/>
      <c r="CZ239" s="8"/>
      <c r="DA239" s="8"/>
      <c r="DB239" s="8"/>
      <c r="DC239" s="6"/>
      <c r="DF239" s="9">
        <f t="shared" si="6"/>
        <v>-349921436.46999991</v>
      </c>
      <c r="DG239" s="9">
        <v>-349921436.46999991</v>
      </c>
      <c r="DH239" s="9">
        <f t="shared" si="7"/>
        <v>0</v>
      </c>
    </row>
    <row r="240" spans="1:112" x14ac:dyDescent="0.25">
      <c r="A240" s="4" t="s">
        <v>317</v>
      </c>
      <c r="N240" s="8"/>
      <c r="O240" s="6"/>
      <c r="P240" s="8"/>
      <c r="Q240" s="6"/>
      <c r="AA240" s="8"/>
      <c r="AB240" s="6"/>
      <c r="AC240" s="8"/>
      <c r="AD240" s="6"/>
      <c r="AE240" s="8"/>
      <c r="AF240" s="6"/>
      <c r="AG240" s="8"/>
      <c r="AH240" s="6"/>
      <c r="AI240" s="8"/>
      <c r="AJ240" s="6"/>
      <c r="AK240" s="8"/>
      <c r="AL240" s="6"/>
      <c r="AM240" s="8"/>
      <c r="AO240" s="8"/>
      <c r="AR240" s="8"/>
      <c r="AS240" s="6"/>
      <c r="AT240" s="8"/>
      <c r="AW240" s="6"/>
      <c r="AX240" s="8"/>
      <c r="BA240" s="6"/>
      <c r="BF240" s="6"/>
      <c r="BK240" s="6"/>
      <c r="BL240" s="8"/>
      <c r="BM240" s="6"/>
      <c r="BN240" s="8"/>
      <c r="BO240" s="8"/>
      <c r="BP240" s="6"/>
      <c r="BS240" s="6"/>
      <c r="BT240" s="8"/>
      <c r="BU240" s="8"/>
      <c r="BV240" s="8"/>
      <c r="BW240" s="8"/>
      <c r="BX240" s="8"/>
      <c r="BY240" s="8"/>
      <c r="CA240" s="6"/>
      <c r="CK240" s="8"/>
      <c r="CP240" s="6"/>
      <c r="CX240" s="8"/>
      <c r="CZ240" s="8"/>
      <c r="DA240" s="8"/>
      <c r="DB240" s="8"/>
      <c r="DC240" s="6"/>
      <c r="DF240" s="9">
        <f t="shared" si="6"/>
        <v>0</v>
      </c>
      <c r="DG240" s="9"/>
      <c r="DH240" s="9">
        <f t="shared" si="7"/>
        <v>0</v>
      </c>
    </row>
    <row r="241" spans="1:112" x14ac:dyDescent="0.25">
      <c r="A241" s="4" t="s">
        <v>319</v>
      </c>
      <c r="N241" s="8"/>
      <c r="O241" s="6"/>
      <c r="P241" s="8"/>
      <c r="Q241" s="6"/>
      <c r="AA241" s="8"/>
      <c r="AB241" s="6"/>
      <c r="AC241" s="8"/>
      <c r="AD241" s="6"/>
      <c r="AE241" s="8"/>
      <c r="AF241" s="6"/>
      <c r="AG241" s="8"/>
      <c r="AH241" s="6"/>
      <c r="AI241" s="8"/>
      <c r="AJ241" s="6"/>
      <c r="AK241" s="8"/>
      <c r="AL241" s="6"/>
      <c r="AM241" s="8"/>
      <c r="AO241" s="8"/>
      <c r="AR241" s="8"/>
      <c r="AS241" s="6"/>
      <c r="AT241" s="8"/>
      <c r="AW241" s="6"/>
      <c r="AX241" s="8"/>
      <c r="BA241" s="6"/>
      <c r="BF241" s="6"/>
      <c r="BK241" s="6"/>
      <c r="BL241" s="8"/>
      <c r="BM241" s="6"/>
      <c r="BN241" s="8"/>
      <c r="BO241" s="8"/>
      <c r="BP241" s="6"/>
      <c r="BS241" s="6"/>
      <c r="BT241" s="8"/>
      <c r="BU241" s="8"/>
      <c r="BV241" s="8"/>
      <c r="BW241" s="8"/>
      <c r="BX241" s="8"/>
      <c r="BY241" s="8"/>
      <c r="CA241" s="6"/>
      <c r="CK241" s="8"/>
      <c r="CP241" s="6"/>
      <c r="CX241" s="8"/>
      <c r="CZ241" s="8"/>
      <c r="DA241" s="8"/>
      <c r="DB241" s="8"/>
      <c r="DC241" s="6"/>
      <c r="DF241" s="9">
        <f t="shared" si="6"/>
        <v>0</v>
      </c>
      <c r="DG241" s="9"/>
      <c r="DH241" s="9">
        <f t="shared" si="7"/>
        <v>0</v>
      </c>
    </row>
    <row r="242" spans="1:112" s="3" customFormat="1" ht="12.75" customHeight="1" x14ac:dyDescent="0.3">
      <c r="A242" s="4" t="s">
        <v>321</v>
      </c>
      <c r="B242" s="4" t="s">
        <v>321</v>
      </c>
      <c r="C242" s="1" t="s">
        <v>322</v>
      </c>
      <c r="D242" s="6"/>
      <c r="E242" s="8"/>
      <c r="F242" s="6"/>
      <c r="G242" s="8"/>
      <c r="H242" s="6"/>
      <c r="I242" s="8">
        <v>-655251110</v>
      </c>
      <c r="J242" s="6"/>
      <c r="K242" s="8"/>
      <c r="L242" s="6"/>
      <c r="M242" s="8"/>
      <c r="N242" s="8"/>
      <c r="O242" s="6"/>
      <c r="P242" s="8"/>
      <c r="Q242" s="6"/>
      <c r="R242" s="8"/>
      <c r="S242" s="6"/>
      <c r="T242" s="8"/>
      <c r="U242" s="6"/>
      <c r="V242" s="8"/>
      <c r="W242" s="6"/>
      <c r="X242" s="8"/>
      <c r="Y242" s="6"/>
      <c r="Z242" s="8"/>
      <c r="AA242" s="8"/>
      <c r="AB242" s="6"/>
      <c r="AC242" s="8"/>
      <c r="AD242" s="6"/>
      <c r="AE242" s="8"/>
      <c r="AF242" s="6"/>
      <c r="AG242" s="8"/>
      <c r="AH242" s="6"/>
      <c r="AI242" s="8"/>
      <c r="AJ242" s="6"/>
      <c r="AK242" s="8"/>
      <c r="AL242" s="6"/>
      <c r="AM242" s="8"/>
      <c r="AN242" s="8"/>
      <c r="AO242" s="8"/>
      <c r="AP242" s="6"/>
      <c r="AQ242" s="8"/>
      <c r="AR242" s="8"/>
      <c r="AS242" s="6"/>
      <c r="AT242" s="8"/>
      <c r="AU242" s="8"/>
      <c r="AV242" s="6"/>
      <c r="AW242" s="6"/>
      <c r="AX242" s="8"/>
      <c r="AY242" s="6"/>
      <c r="AZ242" s="8"/>
      <c r="BA242" s="6"/>
      <c r="BB242" s="8"/>
      <c r="BC242" s="6"/>
      <c r="BD242" s="8"/>
      <c r="BE242" s="6"/>
      <c r="BF242" s="6"/>
      <c r="BG242" s="6"/>
      <c r="BH242" s="8"/>
      <c r="BI242" s="6"/>
      <c r="BJ242" s="8"/>
      <c r="BK242" s="6"/>
      <c r="BL242" s="8"/>
      <c r="BM242" s="6"/>
      <c r="BN242" s="8"/>
      <c r="BO242" s="8"/>
      <c r="BP242" s="6"/>
      <c r="BQ242" s="6"/>
      <c r="BR242" s="8"/>
      <c r="BS242" s="6"/>
      <c r="BT242" s="8"/>
      <c r="BU242" s="8"/>
      <c r="BV242" s="8"/>
      <c r="BW242" s="8"/>
      <c r="BX242" s="8"/>
      <c r="BY242" s="8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8"/>
      <c r="CK242" s="8"/>
      <c r="CL242" s="8"/>
      <c r="CM242" s="6"/>
      <c r="CN242" s="6"/>
      <c r="CO242" s="8"/>
      <c r="CP242" s="6"/>
      <c r="CQ242" s="8"/>
      <c r="CR242" s="6"/>
      <c r="CS242" s="8"/>
      <c r="CT242" s="6"/>
      <c r="CU242" s="8"/>
      <c r="CV242" s="6"/>
      <c r="CW242" s="8"/>
      <c r="CX242" s="8"/>
      <c r="CY242" s="8"/>
      <c r="CZ242" s="8"/>
      <c r="DA242" s="8"/>
      <c r="DB242" s="8"/>
      <c r="DC242" s="6"/>
      <c r="DD242" s="8"/>
      <c r="DE242" s="6"/>
      <c r="DF242" s="9">
        <f t="shared" si="6"/>
        <v>-655251110</v>
      </c>
      <c r="DG242" s="9">
        <v>-655251110</v>
      </c>
      <c r="DH242" s="9">
        <f t="shared" si="7"/>
        <v>0</v>
      </c>
    </row>
    <row r="243" spans="1:112" x14ac:dyDescent="0.25">
      <c r="A243" s="4" t="s">
        <v>323</v>
      </c>
      <c r="B243" s="4" t="s">
        <v>323</v>
      </c>
      <c r="C243" s="1" t="s">
        <v>324</v>
      </c>
      <c r="N243" s="8"/>
      <c r="O243" s="6"/>
      <c r="P243" s="8"/>
      <c r="Q243" s="6"/>
      <c r="AA243" s="8"/>
      <c r="AB243" s="6"/>
      <c r="AC243" s="8"/>
      <c r="AD243" s="6"/>
      <c r="AE243" s="8"/>
      <c r="AF243" s="6"/>
      <c r="AG243" s="8"/>
      <c r="AH243" s="6"/>
      <c r="AI243" s="8"/>
      <c r="AJ243" s="6"/>
      <c r="AK243" s="8"/>
      <c r="AL243" s="6"/>
      <c r="AM243" s="8"/>
      <c r="AO243" s="8"/>
      <c r="AR243" s="8"/>
      <c r="AS243" s="6"/>
      <c r="AT243" s="8"/>
      <c r="AW243" s="6"/>
      <c r="AX243" s="8"/>
      <c r="BA243" s="6"/>
      <c r="BF243" s="6"/>
      <c r="BK243" s="6"/>
      <c r="BL243" s="8"/>
      <c r="BM243" s="6"/>
      <c r="BN243" s="8">
        <v>-781847</v>
      </c>
      <c r="BO243" s="8"/>
      <c r="BP243" s="6"/>
      <c r="BS243" s="6"/>
      <c r="BT243" s="8"/>
      <c r="BU243" s="8"/>
      <c r="BV243" s="8"/>
      <c r="BW243" s="8"/>
      <c r="BX243" s="8"/>
      <c r="BY243" s="8"/>
      <c r="BZ243" s="6">
        <v>-38400000</v>
      </c>
      <c r="CA243" s="6"/>
      <c r="CK243" s="8"/>
      <c r="CP243" s="6"/>
      <c r="CX243" s="8"/>
      <c r="CZ243" s="8"/>
      <c r="DA243" s="8"/>
      <c r="DB243" s="8"/>
      <c r="DC243" s="6"/>
      <c r="DF243" s="9">
        <f t="shared" si="6"/>
        <v>-39181847</v>
      </c>
      <c r="DG243" s="9">
        <v>-39181847</v>
      </c>
      <c r="DH243" s="9">
        <f t="shared" si="7"/>
        <v>0</v>
      </c>
    </row>
    <row r="244" spans="1:112" s="3" customFormat="1" ht="12.75" customHeight="1" x14ac:dyDescent="0.3">
      <c r="A244" s="4" t="s">
        <v>325</v>
      </c>
      <c r="B244" s="4" t="s">
        <v>325</v>
      </c>
      <c r="C244" s="1" t="s">
        <v>326</v>
      </c>
      <c r="D244" s="6"/>
      <c r="E244" s="8"/>
      <c r="F244" s="6"/>
      <c r="G244" s="8"/>
      <c r="H244" s="6"/>
      <c r="I244" s="8"/>
      <c r="J244" s="6"/>
      <c r="K244" s="8"/>
      <c r="L244" s="6"/>
      <c r="M244" s="8"/>
      <c r="N244" s="8"/>
      <c r="O244" s="6"/>
      <c r="P244" s="8"/>
      <c r="Q244" s="6"/>
      <c r="R244" s="8"/>
      <c r="S244" s="6"/>
      <c r="T244" s="8"/>
      <c r="U244" s="6"/>
      <c r="V244" s="8"/>
      <c r="W244" s="6"/>
      <c r="X244" s="8"/>
      <c r="Y244" s="6"/>
      <c r="Z244" s="8"/>
      <c r="AA244" s="8"/>
      <c r="AB244" s="6"/>
      <c r="AC244" s="8"/>
      <c r="AD244" s="6"/>
      <c r="AE244" s="8"/>
      <c r="AF244" s="6"/>
      <c r="AG244" s="8"/>
      <c r="AH244" s="6"/>
      <c r="AI244" s="8"/>
      <c r="AJ244" s="6"/>
      <c r="AK244" s="8"/>
      <c r="AL244" s="6"/>
      <c r="AM244" s="8"/>
      <c r="AN244" s="8"/>
      <c r="AO244" s="8"/>
      <c r="AP244" s="6"/>
      <c r="AQ244" s="8"/>
      <c r="AR244" s="8"/>
      <c r="AS244" s="6"/>
      <c r="AT244" s="8"/>
      <c r="AU244" s="8"/>
      <c r="AV244" s="6"/>
      <c r="AW244" s="6"/>
      <c r="AX244" s="8"/>
      <c r="AY244" s="6"/>
      <c r="AZ244" s="8"/>
      <c r="BA244" s="6"/>
      <c r="BB244" s="8"/>
      <c r="BC244" s="6"/>
      <c r="BD244" s="8"/>
      <c r="BE244" s="6"/>
      <c r="BF244" s="6"/>
      <c r="BG244" s="6"/>
      <c r="BH244" s="8"/>
      <c r="BI244" s="6"/>
      <c r="BJ244" s="8"/>
      <c r="BK244" s="6"/>
      <c r="BL244" s="8"/>
      <c r="BM244" s="6"/>
      <c r="BN244" s="8"/>
      <c r="BO244" s="8"/>
      <c r="BP244" s="6"/>
      <c r="BQ244" s="6"/>
      <c r="BR244" s="8"/>
      <c r="BS244" s="6"/>
      <c r="BT244" s="8"/>
      <c r="BU244" s="8"/>
      <c r="BV244" s="8"/>
      <c r="BW244" s="8"/>
      <c r="BX244" s="8"/>
      <c r="BY244" s="8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8"/>
      <c r="CK244" s="8"/>
      <c r="CL244" s="8"/>
      <c r="CM244" s="6"/>
      <c r="CN244" s="6"/>
      <c r="CO244" s="8"/>
      <c r="CP244" s="6"/>
      <c r="CQ244" s="8"/>
      <c r="CR244" s="6">
        <v>-831621</v>
      </c>
      <c r="CS244" s="8"/>
      <c r="CT244" s="6"/>
      <c r="CU244" s="8"/>
      <c r="CV244" s="6"/>
      <c r="CW244" s="8"/>
      <c r="CX244" s="8"/>
      <c r="CY244" s="8"/>
      <c r="CZ244" s="8"/>
      <c r="DA244" s="8"/>
      <c r="DB244" s="8"/>
      <c r="DC244" s="6"/>
      <c r="DD244" s="8"/>
      <c r="DE244" s="6"/>
      <c r="DF244" s="9">
        <f t="shared" si="6"/>
        <v>-831621</v>
      </c>
      <c r="DG244" s="9">
        <v>-831621</v>
      </c>
      <c r="DH244" s="9">
        <f t="shared" si="7"/>
        <v>0</v>
      </c>
    </row>
    <row r="245" spans="1:112" s="3" customFormat="1" ht="12.75" customHeight="1" x14ac:dyDescent="0.3">
      <c r="A245" s="4" t="s">
        <v>1486</v>
      </c>
      <c r="B245" s="4" t="s">
        <v>1486</v>
      </c>
      <c r="C245" s="1" t="s">
        <v>1487</v>
      </c>
      <c r="D245" s="6"/>
      <c r="E245" s="8"/>
      <c r="F245" s="6"/>
      <c r="G245" s="8"/>
      <c r="H245" s="6"/>
      <c r="I245" s="8"/>
      <c r="J245" s="6"/>
      <c r="K245" s="8"/>
      <c r="L245" s="6"/>
      <c r="M245" s="8"/>
      <c r="N245" s="8"/>
      <c r="O245" s="6"/>
      <c r="P245" s="8"/>
      <c r="Q245" s="6"/>
      <c r="R245" s="8"/>
      <c r="S245" s="6"/>
      <c r="T245" s="8"/>
      <c r="U245" s="6"/>
      <c r="V245" s="8"/>
      <c r="W245" s="6"/>
      <c r="X245" s="8"/>
      <c r="Y245" s="6"/>
      <c r="Z245" s="8"/>
      <c r="AA245" s="8"/>
      <c r="AB245" s="6"/>
      <c r="AC245" s="8"/>
      <c r="AD245" s="6"/>
      <c r="AE245" s="8"/>
      <c r="AF245" s="6"/>
      <c r="AG245" s="8"/>
      <c r="AH245" s="6"/>
      <c r="AI245" s="8"/>
      <c r="AJ245" s="6"/>
      <c r="AK245" s="8"/>
      <c r="AL245" s="6"/>
      <c r="AM245" s="8"/>
      <c r="AN245" s="8"/>
      <c r="AO245" s="8"/>
      <c r="AP245" s="6"/>
      <c r="AQ245" s="8"/>
      <c r="AR245" s="8"/>
      <c r="AS245" s="6"/>
      <c r="AT245" s="8"/>
      <c r="AU245" s="8"/>
      <c r="AV245" s="6"/>
      <c r="AW245" s="6"/>
      <c r="AX245" s="8"/>
      <c r="AY245" s="6"/>
      <c r="AZ245" s="8"/>
      <c r="BA245" s="6"/>
      <c r="BB245" s="8"/>
      <c r="BC245" s="6"/>
      <c r="BD245" s="8"/>
      <c r="BE245" s="6"/>
      <c r="BF245" s="6"/>
      <c r="BG245" s="6"/>
      <c r="BH245" s="8"/>
      <c r="BI245" s="6"/>
      <c r="BJ245" s="8"/>
      <c r="BK245" s="6"/>
      <c r="BL245" s="8"/>
      <c r="BM245" s="6"/>
      <c r="BN245" s="8"/>
      <c r="BO245" s="8"/>
      <c r="BP245" s="6"/>
      <c r="BQ245" s="6"/>
      <c r="BR245" s="8"/>
      <c r="BS245" s="6"/>
      <c r="BT245" s="8"/>
      <c r="BU245" s="8"/>
      <c r="BV245" s="8"/>
      <c r="BW245" s="8"/>
      <c r="BX245" s="8"/>
      <c r="BY245" s="8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8"/>
      <c r="CK245" s="8"/>
      <c r="CL245" s="8"/>
      <c r="CM245" s="6"/>
      <c r="CN245" s="6"/>
      <c r="CO245" s="8"/>
      <c r="CP245" s="6"/>
      <c r="CQ245" s="8"/>
      <c r="CR245" s="6">
        <v>-918867</v>
      </c>
      <c r="CS245" s="8"/>
      <c r="CT245" s="6">
        <v>-200767</v>
      </c>
      <c r="CU245" s="8"/>
      <c r="CV245" s="6"/>
      <c r="CW245" s="8"/>
      <c r="CX245" s="8"/>
      <c r="CY245" s="8"/>
      <c r="CZ245" s="8"/>
      <c r="DA245" s="8"/>
      <c r="DB245" s="8"/>
      <c r="DC245" s="6"/>
      <c r="DD245" s="8"/>
      <c r="DE245" s="6"/>
      <c r="DF245" s="9">
        <f t="shared" si="6"/>
        <v>-1119634</v>
      </c>
      <c r="DG245" s="9">
        <v>-1119634</v>
      </c>
      <c r="DH245" s="9">
        <f t="shared" si="7"/>
        <v>0</v>
      </c>
    </row>
    <row r="246" spans="1:112" x14ac:dyDescent="0.25">
      <c r="A246" s="4" t="s">
        <v>327</v>
      </c>
      <c r="B246" s="4" t="s">
        <v>327</v>
      </c>
      <c r="C246" s="1" t="s">
        <v>328</v>
      </c>
      <c r="M246" s="8">
        <v>-153133467.5</v>
      </c>
      <c r="N246" s="8"/>
      <c r="O246" s="6"/>
      <c r="P246" s="8"/>
      <c r="Q246" s="6"/>
      <c r="AA246" s="8"/>
      <c r="AB246" s="6"/>
      <c r="AC246" s="8"/>
      <c r="AD246" s="6"/>
      <c r="AE246" s="8"/>
      <c r="AF246" s="6"/>
      <c r="AG246" s="8"/>
      <c r="AH246" s="6"/>
      <c r="AI246" s="8"/>
      <c r="AJ246" s="6"/>
      <c r="AK246" s="8"/>
      <c r="AL246" s="6"/>
      <c r="AM246" s="8"/>
      <c r="AO246" s="8"/>
      <c r="AR246" s="8"/>
      <c r="AS246" s="6"/>
      <c r="AT246" s="8"/>
      <c r="AW246" s="6"/>
      <c r="AX246" s="8"/>
      <c r="BA246" s="6"/>
      <c r="BF246" s="6"/>
      <c r="BK246" s="6"/>
      <c r="BL246" s="8"/>
      <c r="BM246" s="6"/>
      <c r="BN246" s="8"/>
      <c r="BO246" s="8"/>
      <c r="BP246" s="6"/>
      <c r="BS246" s="6"/>
      <c r="BT246" s="8"/>
      <c r="BU246" s="8"/>
      <c r="BV246" s="8"/>
      <c r="BW246" s="8"/>
      <c r="BX246" s="8"/>
      <c r="BY246" s="8"/>
      <c r="CA246" s="6"/>
      <c r="CK246" s="8"/>
      <c r="CP246" s="6"/>
      <c r="CX246" s="8"/>
      <c r="CZ246" s="8"/>
      <c r="DA246" s="8"/>
      <c r="DB246" s="8"/>
      <c r="DC246" s="6">
        <v>0</v>
      </c>
      <c r="DD246" s="8">
        <v>-1446500</v>
      </c>
      <c r="DF246" s="9">
        <f t="shared" si="6"/>
        <v>-154579967.5</v>
      </c>
      <c r="DG246" s="9">
        <v>-154579967.5</v>
      </c>
      <c r="DH246" s="9">
        <f t="shared" si="7"/>
        <v>0</v>
      </c>
    </row>
    <row r="247" spans="1:112" x14ac:dyDescent="0.25">
      <c r="A247" s="4" t="s">
        <v>329</v>
      </c>
      <c r="N247" s="8"/>
      <c r="O247" s="6"/>
      <c r="P247" s="8"/>
      <c r="Q247" s="6"/>
      <c r="AA247" s="8"/>
      <c r="AB247" s="6"/>
      <c r="AC247" s="8"/>
      <c r="AD247" s="6"/>
      <c r="AE247" s="8"/>
      <c r="AF247" s="6"/>
      <c r="AG247" s="8"/>
      <c r="AH247" s="6"/>
      <c r="AI247" s="8"/>
      <c r="AJ247" s="6"/>
      <c r="AK247" s="8"/>
      <c r="AL247" s="6"/>
      <c r="AM247" s="8"/>
      <c r="AO247" s="8"/>
      <c r="AR247" s="8"/>
      <c r="AS247" s="6"/>
      <c r="AT247" s="8"/>
      <c r="AW247" s="6"/>
      <c r="AX247" s="8"/>
      <c r="BA247" s="6"/>
      <c r="BF247" s="6"/>
      <c r="BK247" s="6"/>
      <c r="BL247" s="8"/>
      <c r="BM247" s="6"/>
      <c r="BN247" s="8"/>
      <c r="BO247" s="8"/>
      <c r="BP247" s="6"/>
      <c r="BS247" s="6"/>
      <c r="BT247" s="8"/>
      <c r="BU247" s="8"/>
      <c r="BV247" s="8"/>
      <c r="BW247" s="8"/>
      <c r="BX247" s="8"/>
      <c r="BY247" s="8"/>
      <c r="CA247" s="6"/>
      <c r="CK247" s="8"/>
      <c r="CP247" s="6"/>
      <c r="CX247" s="8"/>
      <c r="CZ247" s="8"/>
      <c r="DA247" s="8"/>
      <c r="DB247" s="8"/>
      <c r="DC247" s="6"/>
      <c r="DF247" s="9">
        <f t="shared" si="6"/>
        <v>0</v>
      </c>
      <c r="DG247" s="9"/>
      <c r="DH247" s="9">
        <f t="shared" si="7"/>
        <v>0</v>
      </c>
    </row>
    <row r="248" spans="1:112" x14ac:dyDescent="0.25">
      <c r="A248" s="4" t="s">
        <v>331</v>
      </c>
      <c r="B248" s="4" t="s">
        <v>331</v>
      </c>
      <c r="C248" s="1" t="s">
        <v>332</v>
      </c>
      <c r="E248" s="8">
        <v>-15185</v>
      </c>
      <c r="N248" s="8"/>
      <c r="O248" s="6"/>
      <c r="P248" s="8"/>
      <c r="Q248" s="6"/>
      <c r="R248" s="8">
        <v>-1148</v>
      </c>
      <c r="W248" s="6">
        <v>-7042</v>
      </c>
      <c r="Y248" s="6">
        <v>-2309</v>
      </c>
      <c r="AA248" s="8"/>
      <c r="AB248" s="6"/>
      <c r="AC248" s="8"/>
      <c r="AD248" s="6"/>
      <c r="AE248" s="8"/>
      <c r="AF248" s="6"/>
      <c r="AG248" s="8">
        <v>-12193</v>
      </c>
      <c r="AH248" s="6"/>
      <c r="AI248" s="8"/>
      <c r="AJ248" s="6"/>
      <c r="AK248" s="8">
        <v>-60000</v>
      </c>
      <c r="AL248" s="6"/>
      <c r="AM248" s="8"/>
      <c r="AO248" s="8"/>
      <c r="AR248" s="8"/>
      <c r="AS248" s="6"/>
      <c r="AT248" s="8"/>
      <c r="AV248" s="6">
        <v>-1002</v>
      </c>
      <c r="AW248" s="6"/>
      <c r="AX248" s="8"/>
      <c r="BA248" s="6"/>
      <c r="BE248" s="6">
        <v>-841</v>
      </c>
      <c r="BF248" s="6"/>
      <c r="BH248" s="8">
        <v>-31390</v>
      </c>
      <c r="BK248" s="6"/>
      <c r="BL248" s="8"/>
      <c r="BM248" s="6">
        <v>-1036</v>
      </c>
      <c r="BN248" s="8"/>
      <c r="BO248" s="8"/>
      <c r="BP248" s="6"/>
      <c r="BS248" s="6"/>
      <c r="BT248" s="8">
        <v>-283068</v>
      </c>
      <c r="BU248" s="8"/>
      <c r="BV248" s="8"/>
      <c r="BW248" s="8"/>
      <c r="BX248" s="8"/>
      <c r="BY248" s="8"/>
      <c r="CA248" s="6"/>
      <c r="CK248" s="8"/>
      <c r="CP248" s="6"/>
      <c r="CV248" s="6">
        <v>-110264</v>
      </c>
      <c r="CX248" s="8"/>
      <c r="CZ248" s="8"/>
      <c r="DA248" s="8"/>
      <c r="DB248" s="8"/>
      <c r="DC248" s="6"/>
      <c r="DF248" s="9">
        <f t="shared" si="6"/>
        <v>-525478</v>
      </c>
      <c r="DG248" s="9">
        <v>-525478</v>
      </c>
      <c r="DH248" s="9">
        <f t="shared" si="7"/>
        <v>0</v>
      </c>
    </row>
    <row r="249" spans="1:112" x14ac:dyDescent="0.25">
      <c r="A249" s="4" t="s">
        <v>1682</v>
      </c>
      <c r="N249" s="8"/>
      <c r="O249" s="6"/>
      <c r="P249" s="8"/>
      <c r="Q249" s="6"/>
      <c r="AA249" s="8"/>
      <c r="AB249" s="6"/>
      <c r="AC249" s="8"/>
      <c r="AD249" s="6"/>
      <c r="AE249" s="8"/>
      <c r="AF249" s="6"/>
      <c r="AG249" s="8"/>
      <c r="AH249" s="6"/>
      <c r="AI249" s="8"/>
      <c r="AJ249" s="6"/>
      <c r="AK249" s="8"/>
      <c r="AL249" s="6"/>
      <c r="AM249" s="8"/>
      <c r="AO249" s="8"/>
      <c r="AR249" s="8"/>
      <c r="AS249" s="6"/>
      <c r="AT249" s="8"/>
      <c r="AW249" s="6"/>
      <c r="AX249" s="8"/>
      <c r="BA249" s="6"/>
      <c r="BF249" s="6"/>
      <c r="BK249" s="6"/>
      <c r="BL249" s="8"/>
      <c r="BM249" s="6"/>
      <c r="BN249" s="8"/>
      <c r="BO249" s="8"/>
      <c r="BP249" s="6"/>
      <c r="BS249" s="6"/>
      <c r="BT249" s="8"/>
      <c r="BU249" s="8"/>
      <c r="BV249" s="8"/>
      <c r="BW249" s="8"/>
      <c r="BX249" s="8"/>
      <c r="BY249" s="8"/>
      <c r="CA249" s="6"/>
      <c r="CK249" s="8"/>
      <c r="CP249" s="6"/>
      <c r="CX249" s="8"/>
      <c r="CZ249" s="8"/>
      <c r="DA249" s="8"/>
      <c r="DB249" s="8"/>
      <c r="DC249" s="6"/>
      <c r="DF249" s="9">
        <f t="shared" si="6"/>
        <v>0</v>
      </c>
      <c r="DG249" s="9"/>
      <c r="DH249" s="9">
        <f t="shared" si="7"/>
        <v>0</v>
      </c>
    </row>
    <row r="250" spans="1:112" x14ac:dyDescent="0.25">
      <c r="A250" s="4" t="s">
        <v>333</v>
      </c>
      <c r="B250" s="4" t="s">
        <v>333</v>
      </c>
      <c r="N250" s="8"/>
      <c r="O250" s="6"/>
      <c r="P250" s="8"/>
      <c r="Q250" s="6"/>
      <c r="AA250" s="8"/>
      <c r="AB250" s="6"/>
      <c r="AC250" s="8"/>
      <c r="AD250" s="6"/>
      <c r="AE250" s="8"/>
      <c r="AF250" s="6"/>
      <c r="AG250" s="8"/>
      <c r="AH250" s="6"/>
      <c r="AI250" s="8"/>
      <c r="AJ250" s="6"/>
      <c r="AK250" s="8"/>
      <c r="AL250" s="6"/>
      <c r="AM250" s="8"/>
      <c r="AO250" s="8"/>
      <c r="AR250" s="8"/>
      <c r="AS250" s="6"/>
      <c r="AT250" s="8"/>
      <c r="AW250" s="6"/>
      <c r="AX250" s="8"/>
      <c r="BA250" s="6">
        <v>-616500</v>
      </c>
      <c r="BF250" s="6"/>
      <c r="BK250" s="6"/>
      <c r="BL250" s="8"/>
      <c r="BM250" s="6"/>
      <c r="BN250" s="8"/>
      <c r="BO250" s="8"/>
      <c r="BP250" s="6"/>
      <c r="BS250" s="6"/>
      <c r="BT250" s="8"/>
      <c r="BU250" s="8"/>
      <c r="BV250" s="8"/>
      <c r="BW250" s="8"/>
      <c r="BX250" s="8"/>
      <c r="BY250" s="8"/>
      <c r="CA250" s="6"/>
      <c r="CK250" s="8"/>
      <c r="CP250" s="6"/>
      <c r="CX250" s="8"/>
      <c r="CZ250" s="8"/>
      <c r="DA250" s="8"/>
      <c r="DB250" s="8"/>
      <c r="DC250" s="6"/>
      <c r="DF250" s="9">
        <f t="shared" si="6"/>
        <v>-616500</v>
      </c>
      <c r="DG250" s="9">
        <v>-616500</v>
      </c>
      <c r="DH250" s="9">
        <f t="shared" si="7"/>
        <v>0</v>
      </c>
    </row>
    <row r="251" spans="1:112" x14ac:dyDescent="0.25">
      <c r="A251" s="4" t="s">
        <v>335</v>
      </c>
      <c r="B251" s="4" t="s">
        <v>335</v>
      </c>
      <c r="C251" s="1" t="s">
        <v>336</v>
      </c>
      <c r="N251" s="8"/>
      <c r="O251" s="6"/>
      <c r="P251" s="8"/>
      <c r="Q251" s="6"/>
      <c r="AA251" s="8"/>
      <c r="AB251" s="6"/>
      <c r="AC251" s="8"/>
      <c r="AD251" s="6"/>
      <c r="AE251" s="8"/>
      <c r="AF251" s="6"/>
      <c r="AG251" s="8"/>
      <c r="AH251" s="6"/>
      <c r="AI251" s="8"/>
      <c r="AJ251" s="6"/>
      <c r="AK251" s="8"/>
      <c r="AL251" s="6"/>
      <c r="AM251" s="8"/>
      <c r="AO251" s="8"/>
      <c r="AR251" s="8"/>
      <c r="AS251" s="6"/>
      <c r="AT251" s="8"/>
      <c r="AV251" s="6">
        <v>-9299212.5099999998</v>
      </c>
      <c r="AW251" s="6"/>
      <c r="AX251" s="8"/>
      <c r="BA251" s="6">
        <v>-11023621</v>
      </c>
      <c r="BF251" s="6"/>
      <c r="BK251" s="6"/>
      <c r="BL251" s="8"/>
      <c r="BM251" s="6"/>
      <c r="BN251" s="8"/>
      <c r="BO251" s="8"/>
      <c r="BP251" s="6"/>
      <c r="BS251" s="6"/>
      <c r="BT251" s="8"/>
      <c r="BU251" s="8"/>
      <c r="BV251" s="8"/>
      <c r="BW251" s="8"/>
      <c r="BX251" s="8"/>
      <c r="BY251" s="8"/>
      <c r="CA251" s="6"/>
      <c r="CK251" s="8"/>
      <c r="CO251" s="8">
        <v>-18110236</v>
      </c>
      <c r="CP251" s="6"/>
      <c r="CQ251" s="8">
        <v>-2314961</v>
      </c>
      <c r="CV251" s="6">
        <v>-24834646</v>
      </c>
      <c r="CW251" s="8">
        <v>-1574803</v>
      </c>
      <c r="CX251" s="8"/>
      <c r="CZ251" s="8"/>
      <c r="DA251" s="8"/>
      <c r="DB251" s="8"/>
      <c r="DC251" s="6"/>
      <c r="DF251" s="9">
        <f t="shared" si="6"/>
        <v>-67157479.50999999</v>
      </c>
      <c r="DG251" s="9">
        <v>-67157479.50999999</v>
      </c>
      <c r="DH251" s="9">
        <f t="shared" si="7"/>
        <v>0</v>
      </c>
    </row>
    <row r="252" spans="1:112" x14ac:dyDescent="0.25">
      <c r="A252" s="4" t="s">
        <v>337</v>
      </c>
      <c r="B252" s="4" t="s">
        <v>337</v>
      </c>
      <c r="C252" s="1" t="s">
        <v>338</v>
      </c>
      <c r="N252" s="8"/>
      <c r="O252" s="6"/>
      <c r="P252" s="8"/>
      <c r="Q252" s="6"/>
      <c r="AA252" s="8"/>
      <c r="AB252" s="6"/>
      <c r="AC252" s="8"/>
      <c r="AD252" s="6"/>
      <c r="AE252" s="8"/>
      <c r="AF252" s="6"/>
      <c r="AG252" s="8"/>
      <c r="AH252" s="6"/>
      <c r="AI252" s="8"/>
      <c r="AJ252" s="6"/>
      <c r="AK252" s="8"/>
      <c r="AL252" s="6"/>
      <c r="AM252" s="8"/>
      <c r="AO252" s="8"/>
      <c r="AR252" s="8"/>
      <c r="AS252" s="6"/>
      <c r="AT252" s="8"/>
      <c r="AW252" s="6"/>
      <c r="AX252" s="8"/>
      <c r="BA252" s="6">
        <v>-75000</v>
      </c>
      <c r="BF252" s="6"/>
      <c r="BK252" s="6"/>
      <c r="BL252" s="8"/>
      <c r="BM252" s="6"/>
      <c r="BN252" s="8"/>
      <c r="BO252" s="8"/>
      <c r="BP252" s="6"/>
      <c r="BR252" s="8">
        <v>-286260</v>
      </c>
      <c r="BS252" s="6"/>
      <c r="BT252" s="8"/>
      <c r="BU252" s="8"/>
      <c r="BV252" s="8"/>
      <c r="BW252" s="8"/>
      <c r="BX252" s="8"/>
      <c r="BY252" s="8"/>
      <c r="CA252" s="6"/>
      <c r="CK252" s="8"/>
      <c r="CP252" s="6"/>
      <c r="CX252" s="8"/>
      <c r="CZ252" s="8"/>
      <c r="DA252" s="8"/>
      <c r="DB252" s="8"/>
      <c r="DC252" s="6"/>
      <c r="DF252" s="9">
        <f t="shared" si="6"/>
        <v>-361260</v>
      </c>
      <c r="DG252" s="9">
        <v>-361260</v>
      </c>
      <c r="DH252" s="9">
        <f t="shared" si="7"/>
        <v>0</v>
      </c>
    </row>
    <row r="253" spans="1:112" x14ac:dyDescent="0.25">
      <c r="A253" s="4" t="s">
        <v>1778</v>
      </c>
      <c r="B253" s="4" t="s">
        <v>1778</v>
      </c>
      <c r="C253" s="1" t="s">
        <v>1779</v>
      </c>
      <c r="N253" s="8"/>
      <c r="O253" s="6"/>
      <c r="P253" s="8"/>
      <c r="Q253" s="6"/>
      <c r="AA253" s="8"/>
      <c r="AB253" s="6"/>
      <c r="AC253" s="8"/>
      <c r="AD253" s="6"/>
      <c r="AE253" s="8"/>
      <c r="AF253" s="6"/>
      <c r="AG253" s="8"/>
      <c r="AH253" s="6"/>
      <c r="AI253" s="8"/>
      <c r="AJ253" s="6"/>
      <c r="AK253" s="8">
        <v>0</v>
      </c>
      <c r="AL253" s="6"/>
      <c r="AM253" s="8"/>
      <c r="AO253" s="8"/>
      <c r="AR253" s="8"/>
      <c r="AS253" s="6"/>
      <c r="AT253" s="8"/>
      <c r="AW253" s="6"/>
      <c r="AX253" s="8"/>
      <c r="BA253" s="6"/>
      <c r="BF253" s="6"/>
      <c r="BK253" s="6"/>
      <c r="BL253" s="8"/>
      <c r="BM253" s="6"/>
      <c r="BN253" s="8"/>
      <c r="BO253" s="8"/>
      <c r="BP253" s="6"/>
      <c r="BS253" s="6"/>
      <c r="BT253" s="8"/>
      <c r="BU253" s="8"/>
      <c r="BV253" s="8"/>
      <c r="BW253" s="8"/>
      <c r="BX253" s="8"/>
      <c r="BY253" s="8"/>
      <c r="CA253" s="6"/>
      <c r="CK253" s="8"/>
      <c r="CP253" s="6"/>
      <c r="CX253" s="8"/>
      <c r="CZ253" s="8"/>
      <c r="DA253" s="8"/>
      <c r="DB253" s="8"/>
      <c r="DC253" s="6"/>
      <c r="DF253" s="9">
        <f t="shared" si="6"/>
        <v>0</v>
      </c>
      <c r="DG253" s="9">
        <v>0</v>
      </c>
      <c r="DH253" s="9">
        <f t="shared" si="7"/>
        <v>0</v>
      </c>
    </row>
    <row r="254" spans="1:112" x14ac:dyDescent="0.25">
      <c r="A254" s="4" t="s">
        <v>784</v>
      </c>
      <c r="B254" s="4" t="s">
        <v>784</v>
      </c>
      <c r="C254" s="1" t="s">
        <v>785</v>
      </c>
      <c r="N254" s="8"/>
      <c r="O254" s="6"/>
      <c r="P254" s="8"/>
      <c r="Q254" s="6"/>
      <c r="AA254" s="8"/>
      <c r="AB254" s="6"/>
      <c r="AC254" s="8"/>
      <c r="AD254" s="6"/>
      <c r="AE254" s="8"/>
      <c r="AF254" s="6"/>
      <c r="AG254" s="8"/>
      <c r="AH254" s="6"/>
      <c r="AI254" s="8"/>
      <c r="AJ254" s="6"/>
      <c r="AK254" s="8"/>
      <c r="AL254" s="6"/>
      <c r="AM254" s="8"/>
      <c r="AO254" s="8"/>
      <c r="AR254" s="8"/>
      <c r="AS254" s="6"/>
      <c r="AT254" s="8">
        <v>-237947713</v>
      </c>
      <c r="AW254" s="6"/>
      <c r="AX254" s="8"/>
      <c r="BA254" s="6"/>
      <c r="BF254" s="6"/>
      <c r="BK254" s="6"/>
      <c r="BL254" s="8"/>
      <c r="BM254" s="6"/>
      <c r="BN254" s="8"/>
      <c r="BO254" s="8"/>
      <c r="BP254" s="6"/>
      <c r="BS254" s="6"/>
      <c r="BT254" s="8"/>
      <c r="BU254" s="8"/>
      <c r="BV254" s="8"/>
      <c r="BW254" s="8"/>
      <c r="BX254" s="8"/>
      <c r="BY254" s="8"/>
      <c r="CA254" s="6"/>
      <c r="CK254" s="8"/>
      <c r="CP254" s="6"/>
      <c r="CX254" s="8"/>
      <c r="CZ254" s="8"/>
      <c r="DA254" s="8"/>
      <c r="DB254" s="8"/>
      <c r="DC254" s="6"/>
      <c r="DF254" s="9">
        <f t="shared" si="6"/>
        <v>-237947713</v>
      </c>
      <c r="DG254" s="9">
        <v>-237947713</v>
      </c>
      <c r="DH254" s="9">
        <f t="shared" si="7"/>
        <v>0</v>
      </c>
    </row>
    <row r="255" spans="1:112" x14ac:dyDescent="0.25">
      <c r="A255" s="4" t="s">
        <v>890</v>
      </c>
      <c r="B255" s="4" t="s">
        <v>890</v>
      </c>
      <c r="C255" s="1" t="s">
        <v>919</v>
      </c>
      <c r="N255" s="8"/>
      <c r="O255" s="6"/>
      <c r="P255" s="8"/>
      <c r="Q255" s="6"/>
      <c r="AA255" s="8"/>
      <c r="AB255" s="6"/>
      <c r="AC255" s="8"/>
      <c r="AD255" s="6"/>
      <c r="AE255" s="8"/>
      <c r="AF255" s="6"/>
      <c r="AG255" s="8"/>
      <c r="AH255" s="6"/>
      <c r="AI255" s="8"/>
      <c r="AJ255" s="6"/>
      <c r="AK255" s="8"/>
      <c r="AL255" s="6"/>
      <c r="AM255" s="8"/>
      <c r="AO255" s="8"/>
      <c r="AR255" s="8"/>
      <c r="AS255" s="6"/>
      <c r="AT255" s="8">
        <v>-408997043</v>
      </c>
      <c r="AW255" s="6"/>
      <c r="AX255" s="8"/>
      <c r="BA255" s="6"/>
      <c r="BF255" s="6"/>
      <c r="BK255" s="6"/>
      <c r="BL255" s="8"/>
      <c r="BM255" s="6"/>
      <c r="BN255" s="8"/>
      <c r="BO255" s="8"/>
      <c r="BP255" s="6"/>
      <c r="BS255" s="6"/>
      <c r="BT255" s="8"/>
      <c r="BU255" s="8"/>
      <c r="BV255" s="8"/>
      <c r="BW255" s="8"/>
      <c r="BX255" s="8"/>
      <c r="BY255" s="8"/>
      <c r="CA255" s="6"/>
      <c r="CK255" s="8"/>
      <c r="CP255" s="6"/>
      <c r="CX255" s="8"/>
      <c r="CZ255" s="8"/>
      <c r="DA255" s="8"/>
      <c r="DB255" s="8"/>
      <c r="DC255" s="6"/>
      <c r="DF255" s="9">
        <f t="shared" si="6"/>
        <v>-408997043</v>
      </c>
      <c r="DG255" s="9">
        <v>-408997043</v>
      </c>
      <c r="DH255" s="9">
        <f t="shared" si="7"/>
        <v>0</v>
      </c>
    </row>
    <row r="256" spans="1:112" x14ac:dyDescent="0.25">
      <c r="A256" s="4" t="s">
        <v>1593</v>
      </c>
      <c r="B256" s="4" t="s">
        <v>1593</v>
      </c>
      <c r="C256" s="1" t="s">
        <v>1594</v>
      </c>
      <c r="N256" s="8"/>
      <c r="O256" s="6"/>
      <c r="P256" s="8"/>
      <c r="Q256" s="6"/>
      <c r="AA256" s="8"/>
      <c r="AB256" s="6"/>
      <c r="AC256" s="8"/>
      <c r="AD256" s="6"/>
      <c r="AE256" s="8"/>
      <c r="AF256" s="6"/>
      <c r="AG256" s="8"/>
      <c r="AH256" s="6"/>
      <c r="AI256" s="8"/>
      <c r="AJ256" s="6"/>
      <c r="AK256" s="8"/>
      <c r="AL256" s="6"/>
      <c r="AM256" s="8"/>
      <c r="AO256" s="8"/>
      <c r="AR256" s="8"/>
      <c r="AS256" s="6"/>
      <c r="AT256" s="8">
        <v>-758023</v>
      </c>
      <c r="AW256" s="6"/>
      <c r="AX256" s="8"/>
      <c r="BA256" s="6"/>
      <c r="BF256" s="6"/>
      <c r="BK256" s="6"/>
      <c r="BL256" s="8"/>
      <c r="BM256" s="6"/>
      <c r="BN256" s="8"/>
      <c r="BO256" s="8"/>
      <c r="BP256" s="6"/>
      <c r="BS256" s="6"/>
      <c r="BT256" s="8"/>
      <c r="BU256" s="8"/>
      <c r="BV256" s="8"/>
      <c r="BW256" s="8"/>
      <c r="BX256" s="8"/>
      <c r="BY256" s="8"/>
      <c r="CA256" s="6"/>
      <c r="CK256" s="8"/>
      <c r="CP256" s="6"/>
      <c r="CX256" s="8"/>
      <c r="CZ256" s="8"/>
      <c r="DA256" s="8"/>
      <c r="DB256" s="8"/>
      <c r="DC256" s="6"/>
      <c r="DF256" s="9">
        <f t="shared" si="6"/>
        <v>-758023</v>
      </c>
      <c r="DG256" s="9">
        <v>-758023</v>
      </c>
      <c r="DH256" s="9">
        <f t="shared" si="7"/>
        <v>0</v>
      </c>
    </row>
    <row r="257" spans="1:112" x14ac:dyDescent="0.25">
      <c r="A257" s="4" t="s">
        <v>339</v>
      </c>
      <c r="B257" s="4" t="s">
        <v>339</v>
      </c>
      <c r="C257" s="1" t="s">
        <v>340</v>
      </c>
      <c r="N257" s="8"/>
      <c r="O257" s="6"/>
      <c r="P257" s="8"/>
      <c r="Q257" s="6"/>
      <c r="AA257" s="8"/>
      <c r="AB257" s="6"/>
      <c r="AC257" s="8"/>
      <c r="AD257" s="6"/>
      <c r="AE257" s="8"/>
      <c r="AF257" s="6"/>
      <c r="AG257" s="8"/>
      <c r="AH257" s="6"/>
      <c r="AI257" s="8"/>
      <c r="AJ257" s="6"/>
      <c r="AK257" s="8"/>
      <c r="AL257" s="6"/>
      <c r="AM257" s="8"/>
      <c r="AO257" s="8"/>
      <c r="AR257" s="8"/>
      <c r="AS257" s="6"/>
      <c r="AT257" s="8"/>
      <c r="AW257" s="6"/>
      <c r="AX257" s="8"/>
      <c r="BA257" s="6"/>
      <c r="BF257" s="6"/>
      <c r="BK257" s="6"/>
      <c r="BL257" s="8"/>
      <c r="BM257" s="6"/>
      <c r="BN257" s="8"/>
      <c r="BO257" s="8"/>
      <c r="BP257" s="6"/>
      <c r="BS257" s="6"/>
      <c r="BT257" s="8"/>
      <c r="BU257" s="8"/>
      <c r="BV257" s="8"/>
      <c r="BW257" s="8"/>
      <c r="BX257" s="8"/>
      <c r="BY257" s="8"/>
      <c r="CA257" s="6"/>
      <c r="CK257" s="8"/>
      <c r="CO257" s="8">
        <v>-47500</v>
      </c>
      <c r="CP257" s="6"/>
      <c r="CR257" s="6">
        <v>-784170</v>
      </c>
      <c r="CX257" s="8"/>
      <c r="CZ257" s="8"/>
      <c r="DA257" s="8"/>
      <c r="DB257" s="8"/>
      <c r="DC257" s="6"/>
      <c r="DF257" s="9">
        <f t="shared" si="6"/>
        <v>-831670</v>
      </c>
      <c r="DG257" s="9">
        <v>-831670</v>
      </c>
      <c r="DH257" s="9">
        <f t="shared" si="7"/>
        <v>0</v>
      </c>
    </row>
    <row r="258" spans="1:112" x14ac:dyDescent="0.25">
      <c r="A258" s="4" t="s">
        <v>341</v>
      </c>
      <c r="N258" s="8"/>
      <c r="O258" s="6"/>
      <c r="P258" s="8"/>
      <c r="Q258" s="6"/>
      <c r="AA258" s="8"/>
      <c r="AB258" s="6"/>
      <c r="AC258" s="8"/>
      <c r="AD258" s="6"/>
      <c r="AE258" s="8"/>
      <c r="AF258" s="6"/>
      <c r="AG258" s="8"/>
      <c r="AH258" s="6"/>
      <c r="AI258" s="8"/>
      <c r="AJ258" s="6"/>
      <c r="AK258" s="8"/>
      <c r="AL258" s="6"/>
      <c r="AM258" s="8"/>
      <c r="AO258" s="8"/>
      <c r="AR258" s="8"/>
      <c r="AS258" s="6"/>
      <c r="AT258" s="8"/>
      <c r="AW258" s="6"/>
      <c r="AX258" s="8"/>
      <c r="BA258" s="6"/>
      <c r="BF258" s="6"/>
      <c r="BK258" s="6"/>
      <c r="BL258" s="8"/>
      <c r="BM258" s="6"/>
      <c r="BN258" s="8"/>
      <c r="BO258" s="8"/>
      <c r="BP258" s="6"/>
      <c r="BS258" s="6"/>
      <c r="BT258" s="8"/>
      <c r="BU258" s="8"/>
      <c r="BV258" s="8"/>
      <c r="BW258" s="8"/>
      <c r="BX258" s="8"/>
      <c r="BY258" s="8"/>
      <c r="CA258" s="6"/>
      <c r="CK258" s="8"/>
      <c r="CP258" s="6"/>
      <c r="CX258" s="8"/>
      <c r="CZ258" s="8"/>
      <c r="DA258" s="8"/>
      <c r="DB258" s="8"/>
      <c r="DC258" s="6"/>
      <c r="DF258" s="9">
        <f t="shared" si="6"/>
        <v>0</v>
      </c>
      <c r="DG258" s="9"/>
      <c r="DH258" s="9">
        <f t="shared" si="7"/>
        <v>0</v>
      </c>
    </row>
    <row r="259" spans="1:112" x14ac:dyDescent="0.25">
      <c r="A259" s="4" t="s">
        <v>786</v>
      </c>
      <c r="B259" s="4" t="s">
        <v>786</v>
      </c>
      <c r="C259" s="1" t="s">
        <v>787</v>
      </c>
      <c r="N259" s="8"/>
      <c r="O259" s="6"/>
      <c r="P259" s="8"/>
      <c r="Q259" s="6"/>
      <c r="R259" s="8">
        <v>-31496</v>
      </c>
      <c r="X259" s="8">
        <v>-86614</v>
      </c>
      <c r="AA259" s="8"/>
      <c r="AB259" s="6"/>
      <c r="AC259" s="8"/>
      <c r="AD259" s="6"/>
      <c r="AE259" s="8"/>
      <c r="AF259" s="6"/>
      <c r="AG259" s="8"/>
      <c r="AH259" s="6"/>
      <c r="AI259" s="8"/>
      <c r="AJ259" s="6"/>
      <c r="AK259" s="8"/>
      <c r="AL259" s="6"/>
      <c r="AM259" s="8"/>
      <c r="AO259" s="8"/>
      <c r="AR259" s="8"/>
      <c r="AS259" s="6"/>
      <c r="AT259" s="8"/>
      <c r="AW259" s="6"/>
      <c r="AX259" s="8"/>
      <c r="BA259" s="6"/>
      <c r="BE259" s="6">
        <v>-11811</v>
      </c>
      <c r="BF259" s="6"/>
      <c r="BK259" s="6"/>
      <c r="BL259" s="8"/>
      <c r="BM259" s="6"/>
      <c r="BN259" s="8"/>
      <c r="BO259" s="8"/>
      <c r="BP259" s="6"/>
      <c r="BS259" s="6"/>
      <c r="BT259" s="8"/>
      <c r="BU259" s="8"/>
      <c r="BV259" s="8"/>
      <c r="BW259" s="8"/>
      <c r="BX259" s="8"/>
      <c r="BY259" s="8"/>
      <c r="CA259" s="6"/>
      <c r="CJ259" s="8">
        <v>-43307</v>
      </c>
      <c r="CK259" s="8"/>
      <c r="CP259" s="6"/>
      <c r="CX259" s="8"/>
      <c r="CZ259" s="8"/>
      <c r="DA259" s="8"/>
      <c r="DB259" s="8"/>
      <c r="DC259" s="6"/>
      <c r="DF259" s="9">
        <f t="shared" si="6"/>
        <v>-173228</v>
      </c>
      <c r="DG259" s="9">
        <v>-173228</v>
      </c>
      <c r="DH259" s="9">
        <f t="shared" si="7"/>
        <v>0</v>
      </c>
    </row>
    <row r="260" spans="1:112" x14ac:dyDescent="0.25">
      <c r="A260" s="4" t="s">
        <v>343</v>
      </c>
      <c r="B260" s="4" t="s">
        <v>343</v>
      </c>
      <c r="C260" s="1" t="s">
        <v>344</v>
      </c>
      <c r="E260" s="8">
        <v>-130577</v>
      </c>
      <c r="I260" s="8">
        <v>-601785</v>
      </c>
      <c r="N260" s="8"/>
      <c r="O260" s="6"/>
      <c r="P260" s="8"/>
      <c r="Q260" s="6"/>
      <c r="W260" s="6">
        <v>-6929</v>
      </c>
      <c r="AA260" s="8"/>
      <c r="AB260" s="6"/>
      <c r="AC260" s="8"/>
      <c r="AD260" s="6"/>
      <c r="AE260" s="8"/>
      <c r="AF260" s="6"/>
      <c r="AG260" s="8"/>
      <c r="AH260" s="6"/>
      <c r="AI260" s="8"/>
      <c r="AJ260" s="6"/>
      <c r="AK260" s="8"/>
      <c r="AL260" s="6"/>
      <c r="AM260" s="8"/>
      <c r="AO260" s="8"/>
      <c r="AR260" s="8"/>
      <c r="AS260" s="6"/>
      <c r="AT260" s="8"/>
      <c r="AW260" s="6"/>
      <c r="AX260" s="8"/>
      <c r="BA260" s="6"/>
      <c r="BF260" s="6"/>
      <c r="BK260" s="6"/>
      <c r="BL260" s="8"/>
      <c r="BM260" s="6"/>
      <c r="BN260" s="8"/>
      <c r="BO260" s="8"/>
      <c r="BP260" s="6"/>
      <c r="BS260" s="6"/>
      <c r="BT260" s="8"/>
      <c r="BU260" s="8"/>
      <c r="BV260" s="8"/>
      <c r="BW260" s="8"/>
      <c r="BX260" s="8"/>
      <c r="BY260" s="8"/>
      <c r="CA260" s="6"/>
      <c r="CK260" s="8"/>
      <c r="CP260" s="6"/>
      <c r="CR260" s="6">
        <v>-186380</v>
      </c>
      <c r="CX260" s="8"/>
      <c r="CZ260" s="8"/>
      <c r="DA260" s="8"/>
      <c r="DB260" s="8"/>
      <c r="DC260" s="6"/>
      <c r="DF260" s="9">
        <f t="shared" si="6"/>
        <v>-925671</v>
      </c>
      <c r="DG260" s="9">
        <v>-925671</v>
      </c>
      <c r="DH260" s="9">
        <f t="shared" si="7"/>
        <v>0</v>
      </c>
    </row>
    <row r="261" spans="1:112" x14ac:dyDescent="0.25">
      <c r="A261" s="4" t="s">
        <v>345</v>
      </c>
      <c r="B261" s="4" t="s">
        <v>345</v>
      </c>
      <c r="C261" s="1" t="s">
        <v>346</v>
      </c>
      <c r="N261" s="8"/>
      <c r="O261" s="6"/>
      <c r="P261" s="8"/>
      <c r="Q261" s="6"/>
      <c r="AA261" s="8"/>
      <c r="AB261" s="6"/>
      <c r="AC261" s="8"/>
      <c r="AD261" s="6"/>
      <c r="AE261" s="8"/>
      <c r="AF261" s="6"/>
      <c r="AG261" s="8"/>
      <c r="AH261" s="6"/>
      <c r="AI261" s="8"/>
      <c r="AJ261" s="6"/>
      <c r="AK261" s="8"/>
      <c r="AL261" s="6"/>
      <c r="AM261" s="8"/>
      <c r="AO261" s="8"/>
      <c r="AR261" s="8"/>
      <c r="AS261" s="6"/>
      <c r="AT261" s="8"/>
      <c r="AW261" s="6"/>
      <c r="AX261" s="8"/>
      <c r="BA261" s="6">
        <v>-13400</v>
      </c>
      <c r="BF261" s="6"/>
      <c r="BK261" s="6"/>
      <c r="BL261" s="8"/>
      <c r="BM261" s="6">
        <v>-157668</v>
      </c>
      <c r="BN261" s="8"/>
      <c r="BO261" s="8"/>
      <c r="BP261" s="6"/>
      <c r="BS261" s="6"/>
      <c r="BT261" s="8"/>
      <c r="BU261" s="8"/>
      <c r="BV261" s="8"/>
      <c r="BW261" s="8"/>
      <c r="BX261" s="8"/>
      <c r="BY261" s="8"/>
      <c r="CA261" s="6"/>
      <c r="CK261" s="8"/>
      <c r="CP261" s="6"/>
      <c r="CV261" s="6">
        <v>-10000</v>
      </c>
      <c r="CX261" s="8"/>
      <c r="CZ261" s="8"/>
      <c r="DA261" s="8"/>
      <c r="DB261" s="8"/>
      <c r="DC261" s="6"/>
      <c r="DF261" s="9">
        <f t="shared" si="6"/>
        <v>-181068</v>
      </c>
      <c r="DG261" s="9">
        <v>-181068</v>
      </c>
      <c r="DH261" s="9">
        <f t="shared" si="7"/>
        <v>0</v>
      </c>
    </row>
    <row r="262" spans="1:112" x14ac:dyDescent="0.25">
      <c r="A262" s="4" t="s">
        <v>788</v>
      </c>
      <c r="N262" s="8"/>
      <c r="O262" s="6"/>
      <c r="P262" s="8"/>
      <c r="Q262" s="6"/>
      <c r="AA262" s="8"/>
      <c r="AB262" s="6"/>
      <c r="AC262" s="8"/>
      <c r="AD262" s="6"/>
      <c r="AE262" s="8"/>
      <c r="AF262" s="6"/>
      <c r="AG262" s="8"/>
      <c r="AH262" s="6"/>
      <c r="AI262" s="8"/>
      <c r="AJ262" s="6"/>
      <c r="AK262" s="8"/>
      <c r="AL262" s="6"/>
      <c r="AM262" s="8"/>
      <c r="AO262" s="8"/>
      <c r="AR262" s="8"/>
      <c r="AS262" s="6"/>
      <c r="AT262" s="8"/>
      <c r="AW262" s="6"/>
      <c r="AX262" s="8"/>
      <c r="BA262" s="6"/>
      <c r="BF262" s="6"/>
      <c r="BK262" s="6"/>
      <c r="BL262" s="8"/>
      <c r="BM262" s="6"/>
      <c r="BN262" s="8"/>
      <c r="BO262" s="8"/>
      <c r="BP262" s="6"/>
      <c r="BS262" s="6"/>
      <c r="BT262" s="8"/>
      <c r="BU262" s="8"/>
      <c r="BV262" s="8"/>
      <c r="BW262" s="8"/>
      <c r="BX262" s="8"/>
      <c r="BY262" s="8"/>
      <c r="CA262" s="6"/>
      <c r="CK262" s="8"/>
      <c r="CP262" s="6"/>
      <c r="CX262" s="8"/>
      <c r="CZ262" s="8"/>
      <c r="DA262" s="8"/>
      <c r="DB262" s="8"/>
      <c r="DC262" s="6"/>
      <c r="DF262" s="9">
        <f t="shared" si="6"/>
        <v>0</v>
      </c>
      <c r="DG262" s="9"/>
      <c r="DH262" s="9">
        <f t="shared" si="7"/>
        <v>0</v>
      </c>
    </row>
    <row r="263" spans="1:112" x14ac:dyDescent="0.25">
      <c r="A263" s="4" t="s">
        <v>347</v>
      </c>
      <c r="N263" s="8"/>
      <c r="O263" s="6"/>
      <c r="P263" s="8"/>
      <c r="Q263" s="6"/>
      <c r="AA263" s="8"/>
      <c r="AB263" s="6"/>
      <c r="AC263" s="8"/>
      <c r="AD263" s="6"/>
      <c r="AE263" s="8"/>
      <c r="AF263" s="6"/>
      <c r="AG263" s="8"/>
      <c r="AH263" s="6"/>
      <c r="AI263" s="8"/>
      <c r="AJ263" s="6"/>
      <c r="AK263" s="8"/>
      <c r="AL263" s="6"/>
      <c r="AM263" s="8"/>
      <c r="AO263" s="8"/>
      <c r="AR263" s="8"/>
      <c r="AS263" s="6"/>
      <c r="AT263" s="8"/>
      <c r="AW263" s="6"/>
      <c r="AX263" s="8"/>
      <c r="BA263" s="6"/>
      <c r="BF263" s="6"/>
      <c r="BK263" s="6"/>
      <c r="BL263" s="8"/>
      <c r="BM263" s="6"/>
      <c r="BN263" s="8"/>
      <c r="BO263" s="8"/>
      <c r="BP263" s="6"/>
      <c r="BS263" s="6"/>
      <c r="BT263" s="8"/>
      <c r="BU263" s="8"/>
      <c r="BV263" s="8"/>
      <c r="BW263" s="8"/>
      <c r="BX263" s="8"/>
      <c r="BY263" s="8"/>
      <c r="CA263" s="6"/>
      <c r="CK263" s="8"/>
      <c r="CP263" s="6"/>
      <c r="CX263" s="8"/>
      <c r="CZ263" s="8"/>
      <c r="DA263" s="8"/>
      <c r="DB263" s="8"/>
      <c r="DC263" s="6"/>
      <c r="DF263" s="9">
        <f t="shared" ref="DF263:DF280" si="8">SUM(D263:DE263)</f>
        <v>0</v>
      </c>
      <c r="DG263" s="9"/>
      <c r="DH263" s="9">
        <f t="shared" ref="DH263:DH280" si="9">+DF263-DG263</f>
        <v>0</v>
      </c>
    </row>
    <row r="264" spans="1:112" x14ac:dyDescent="0.25">
      <c r="A264" s="4" t="s">
        <v>349</v>
      </c>
      <c r="B264" s="4" t="s">
        <v>349</v>
      </c>
      <c r="C264" s="1" t="s">
        <v>350</v>
      </c>
      <c r="D264" s="6">
        <v>0</v>
      </c>
      <c r="E264" s="8">
        <v>-407439</v>
      </c>
      <c r="N264" s="8"/>
      <c r="O264" s="6"/>
      <c r="P264" s="8"/>
      <c r="Q264" s="6"/>
      <c r="AA264" s="8"/>
      <c r="AB264" s="6"/>
      <c r="AC264" s="8"/>
      <c r="AD264" s="6"/>
      <c r="AE264" s="8"/>
      <c r="AF264" s="6"/>
      <c r="AG264" s="8"/>
      <c r="AH264" s="6"/>
      <c r="AI264" s="8"/>
      <c r="AJ264" s="6"/>
      <c r="AK264" s="8"/>
      <c r="AL264" s="6"/>
      <c r="AM264" s="8"/>
      <c r="AO264" s="8"/>
      <c r="AR264" s="8"/>
      <c r="AS264" s="6"/>
      <c r="AT264" s="8"/>
      <c r="AW264" s="6"/>
      <c r="AX264" s="8"/>
      <c r="BA264" s="6">
        <v>-6600</v>
      </c>
      <c r="BF264" s="6"/>
      <c r="BK264" s="6"/>
      <c r="BL264" s="8"/>
      <c r="BM264" s="6"/>
      <c r="BN264" s="8"/>
      <c r="BO264" s="8"/>
      <c r="BP264" s="6"/>
      <c r="BS264" s="6"/>
      <c r="BT264" s="8"/>
      <c r="BU264" s="8"/>
      <c r="BV264" s="8"/>
      <c r="BW264" s="8"/>
      <c r="BX264" s="8"/>
      <c r="BY264" s="8"/>
      <c r="CA264" s="6"/>
      <c r="CK264" s="8"/>
      <c r="CP264" s="6"/>
      <c r="CX264" s="8"/>
      <c r="CZ264" s="8"/>
      <c r="DA264" s="8"/>
      <c r="DB264" s="8"/>
      <c r="DC264" s="6"/>
      <c r="DF264" s="9">
        <f t="shared" si="8"/>
        <v>-414039</v>
      </c>
      <c r="DG264" s="9">
        <v>-414039</v>
      </c>
      <c r="DH264" s="9">
        <f t="shared" si="9"/>
        <v>0</v>
      </c>
    </row>
    <row r="265" spans="1:112" x14ac:dyDescent="0.25">
      <c r="A265" s="4" t="s">
        <v>351</v>
      </c>
      <c r="B265" s="4" t="s">
        <v>351</v>
      </c>
      <c r="C265" s="1" t="s">
        <v>352</v>
      </c>
      <c r="E265" s="8">
        <v>-30000</v>
      </c>
      <c r="K265" s="8">
        <v>-3850</v>
      </c>
      <c r="N265" s="8"/>
      <c r="O265" s="6"/>
      <c r="P265" s="8"/>
      <c r="Q265" s="6"/>
      <c r="R265" s="8">
        <v>-700</v>
      </c>
      <c r="V265" s="8">
        <v>-3850</v>
      </c>
      <c r="X265" s="8">
        <v>-8750</v>
      </c>
      <c r="Z265" s="8">
        <v>-1750</v>
      </c>
      <c r="AA265" s="8"/>
      <c r="AB265" s="6"/>
      <c r="AC265" s="8"/>
      <c r="AD265" s="6"/>
      <c r="AE265" s="8"/>
      <c r="AF265" s="6"/>
      <c r="AG265" s="8"/>
      <c r="AH265" s="6">
        <v>-90000</v>
      </c>
      <c r="AI265" s="8"/>
      <c r="AJ265" s="6"/>
      <c r="AK265" s="8"/>
      <c r="AL265" s="6"/>
      <c r="AM265" s="8">
        <v>-7350</v>
      </c>
      <c r="AO265" s="8"/>
      <c r="AR265" s="8"/>
      <c r="AS265" s="6"/>
      <c r="AT265" s="8"/>
      <c r="AW265" s="6"/>
      <c r="AX265" s="8"/>
      <c r="BA265" s="6">
        <v>-7023</v>
      </c>
      <c r="BB265" s="8">
        <v>-1750</v>
      </c>
      <c r="BE265" s="6">
        <v>-12950</v>
      </c>
      <c r="BF265" s="6"/>
      <c r="BK265" s="6"/>
      <c r="BL265" s="8"/>
      <c r="BM265" s="6"/>
      <c r="BN265" s="8">
        <v>-3350</v>
      </c>
      <c r="BO265" s="8"/>
      <c r="BP265" s="6"/>
      <c r="BS265" s="6"/>
      <c r="BT265" s="8"/>
      <c r="BU265" s="8"/>
      <c r="BV265" s="8"/>
      <c r="BW265" s="8"/>
      <c r="BX265" s="8"/>
      <c r="BY265" s="8"/>
      <c r="CA265" s="6"/>
      <c r="CK265" s="8"/>
      <c r="CP265" s="6"/>
      <c r="CR265" s="6">
        <v>-13191</v>
      </c>
      <c r="CX265" s="8"/>
      <c r="CZ265" s="8"/>
      <c r="DA265" s="8"/>
      <c r="DB265" s="8"/>
      <c r="DC265" s="6"/>
      <c r="DF265" s="9">
        <f t="shared" si="8"/>
        <v>-184514</v>
      </c>
      <c r="DG265" s="9">
        <v>-184514</v>
      </c>
      <c r="DH265" s="9">
        <f t="shared" si="9"/>
        <v>0</v>
      </c>
    </row>
    <row r="266" spans="1:112" x14ac:dyDescent="0.25">
      <c r="A266" s="4" t="s">
        <v>353</v>
      </c>
      <c r="N266" s="8"/>
      <c r="O266" s="6"/>
      <c r="P266" s="8"/>
      <c r="Q266" s="6"/>
      <c r="AA266" s="8"/>
      <c r="AB266" s="6"/>
      <c r="AC266" s="8"/>
      <c r="AD266" s="6"/>
      <c r="AE266" s="8"/>
      <c r="AF266" s="6"/>
      <c r="AG266" s="8"/>
      <c r="AH266" s="6"/>
      <c r="AI266" s="8"/>
      <c r="AJ266" s="6"/>
      <c r="AK266" s="8"/>
      <c r="AL266" s="6"/>
      <c r="AM266" s="8"/>
      <c r="AO266" s="8"/>
      <c r="AR266" s="8"/>
      <c r="AS266" s="6"/>
      <c r="AT266" s="8"/>
      <c r="AW266" s="6"/>
      <c r="AX266" s="8"/>
      <c r="BA266" s="6"/>
      <c r="BF266" s="6"/>
      <c r="BK266" s="6"/>
      <c r="BL266" s="8"/>
      <c r="BM266" s="6"/>
      <c r="BN266" s="8"/>
      <c r="BO266" s="8"/>
      <c r="BP266" s="6"/>
      <c r="BS266" s="6"/>
      <c r="BT266" s="8"/>
      <c r="BU266" s="8"/>
      <c r="BV266" s="8"/>
      <c r="BW266" s="8"/>
      <c r="BX266" s="8"/>
      <c r="BY266" s="8"/>
      <c r="CA266" s="6"/>
      <c r="CK266" s="8"/>
      <c r="CP266" s="6"/>
      <c r="CX266" s="8"/>
      <c r="CZ266" s="8"/>
      <c r="DA266" s="8"/>
      <c r="DB266" s="8"/>
      <c r="DC266" s="6"/>
      <c r="DF266" s="9">
        <f t="shared" si="8"/>
        <v>0</v>
      </c>
      <c r="DG266" s="9"/>
      <c r="DH266" s="9">
        <f t="shared" si="9"/>
        <v>0</v>
      </c>
    </row>
    <row r="267" spans="1:112" x14ac:dyDescent="0.25">
      <c r="A267" s="4" t="s">
        <v>904</v>
      </c>
      <c r="N267" s="8"/>
      <c r="O267" s="6"/>
      <c r="P267" s="8"/>
      <c r="Q267" s="6"/>
      <c r="AA267" s="8"/>
      <c r="AB267" s="6"/>
      <c r="AC267" s="8"/>
      <c r="AD267" s="6"/>
      <c r="AE267" s="8"/>
      <c r="AF267" s="6"/>
      <c r="AG267" s="8"/>
      <c r="AH267" s="6"/>
      <c r="AI267" s="8"/>
      <c r="AJ267" s="6"/>
      <c r="AK267" s="8"/>
      <c r="AL267" s="6"/>
      <c r="AM267" s="8"/>
      <c r="AO267" s="8"/>
      <c r="AR267" s="8"/>
      <c r="AS267" s="6"/>
      <c r="AT267" s="8"/>
      <c r="AW267" s="6"/>
      <c r="AX267" s="8"/>
      <c r="BA267" s="6"/>
      <c r="BF267" s="6"/>
      <c r="BK267" s="6"/>
      <c r="BL267" s="8"/>
      <c r="BM267" s="6"/>
      <c r="BN267" s="8"/>
      <c r="BO267" s="8"/>
      <c r="BP267" s="6"/>
      <c r="BS267" s="6"/>
      <c r="BT267" s="8"/>
      <c r="BU267" s="8"/>
      <c r="BV267" s="8"/>
      <c r="BW267" s="8"/>
      <c r="BX267" s="8"/>
      <c r="BY267" s="8"/>
      <c r="CA267" s="6"/>
      <c r="CK267" s="8"/>
      <c r="CP267" s="6"/>
      <c r="CX267" s="8"/>
      <c r="CZ267" s="8"/>
      <c r="DA267" s="8"/>
      <c r="DB267" s="8"/>
      <c r="DC267" s="6"/>
      <c r="DF267" s="9">
        <f t="shared" si="8"/>
        <v>0</v>
      </c>
      <c r="DG267" s="9"/>
      <c r="DH267" s="9">
        <f t="shared" si="9"/>
        <v>0</v>
      </c>
    </row>
    <row r="268" spans="1:112" x14ac:dyDescent="0.25">
      <c r="A268" s="4" t="s">
        <v>984</v>
      </c>
      <c r="B268" s="4" t="s">
        <v>984</v>
      </c>
      <c r="C268" s="1" t="s">
        <v>1854</v>
      </c>
      <c r="E268" s="8">
        <v>-381057</v>
      </c>
      <c r="N268" s="8"/>
      <c r="O268" s="6"/>
      <c r="P268" s="8"/>
      <c r="Q268" s="6"/>
      <c r="AA268" s="8"/>
      <c r="AB268" s="6"/>
      <c r="AC268" s="8"/>
      <c r="AD268" s="6"/>
      <c r="AE268" s="8"/>
      <c r="AF268" s="6"/>
      <c r="AG268" s="8"/>
      <c r="AH268" s="6"/>
      <c r="AI268" s="8"/>
      <c r="AJ268" s="6"/>
      <c r="AK268" s="8"/>
      <c r="AL268" s="6"/>
      <c r="AM268" s="8"/>
      <c r="AO268" s="8"/>
      <c r="AR268" s="8"/>
      <c r="AS268" s="6"/>
      <c r="AT268" s="8"/>
      <c r="AW268" s="6"/>
      <c r="AX268" s="8"/>
      <c r="BA268" s="6"/>
      <c r="BF268" s="6"/>
      <c r="BK268" s="6"/>
      <c r="BL268" s="8"/>
      <c r="BM268" s="6"/>
      <c r="BN268" s="8"/>
      <c r="BO268" s="8"/>
      <c r="BP268" s="6"/>
      <c r="BS268" s="6"/>
      <c r="BT268" s="8"/>
      <c r="BU268" s="8"/>
      <c r="BV268" s="8"/>
      <c r="BW268" s="8"/>
      <c r="BX268" s="8"/>
      <c r="BY268" s="8"/>
      <c r="CA268" s="6"/>
      <c r="CK268" s="8"/>
      <c r="CP268" s="6"/>
      <c r="CX268" s="8"/>
      <c r="CZ268" s="8"/>
      <c r="DA268" s="8"/>
      <c r="DB268" s="8"/>
      <c r="DC268" s="6"/>
      <c r="DF268" s="9">
        <f t="shared" si="8"/>
        <v>-381057</v>
      </c>
      <c r="DG268" s="9">
        <v>-381057</v>
      </c>
      <c r="DH268" s="9">
        <f t="shared" si="9"/>
        <v>0</v>
      </c>
    </row>
    <row r="269" spans="1:112" x14ac:dyDescent="0.25">
      <c r="A269" s="4" t="s">
        <v>1684</v>
      </c>
      <c r="B269" s="4" t="s">
        <v>1684</v>
      </c>
      <c r="C269" s="1" t="s">
        <v>738</v>
      </c>
      <c r="J269" s="6">
        <v>0</v>
      </c>
      <c r="N269" s="8"/>
      <c r="O269" s="6"/>
      <c r="P269" s="8"/>
      <c r="Q269" s="6"/>
      <c r="AA269" s="8"/>
      <c r="AB269" s="6"/>
      <c r="AC269" s="8"/>
      <c r="AD269" s="6"/>
      <c r="AE269" s="8"/>
      <c r="AF269" s="6"/>
      <c r="AG269" s="8"/>
      <c r="AH269" s="6"/>
      <c r="AI269" s="8"/>
      <c r="AJ269" s="6"/>
      <c r="AK269" s="8"/>
      <c r="AL269" s="6"/>
      <c r="AM269" s="8"/>
      <c r="AO269" s="8"/>
      <c r="AR269" s="8"/>
      <c r="AS269" s="6"/>
      <c r="AT269" s="8"/>
      <c r="AW269" s="6"/>
      <c r="AX269" s="8"/>
      <c r="BA269" s="6"/>
      <c r="BF269" s="6"/>
      <c r="BK269" s="6"/>
      <c r="BL269" s="8"/>
      <c r="BM269" s="6">
        <v>-135958028</v>
      </c>
      <c r="BN269" s="8"/>
      <c r="BO269" s="8"/>
      <c r="BP269" s="6"/>
      <c r="BS269" s="6"/>
      <c r="BT269" s="8"/>
      <c r="BU269" s="8"/>
      <c r="BV269" s="8"/>
      <c r="BW269" s="8"/>
      <c r="BX269" s="8"/>
      <c r="BY269" s="8"/>
      <c r="CA269" s="6"/>
      <c r="CK269" s="8"/>
      <c r="CP269" s="6"/>
      <c r="CX269" s="8"/>
      <c r="CZ269" s="8"/>
      <c r="DA269" s="8"/>
      <c r="DB269" s="8"/>
      <c r="DC269" s="6"/>
      <c r="DF269" s="9">
        <f t="shared" si="8"/>
        <v>-135958028</v>
      </c>
      <c r="DG269" s="9">
        <v>-135958028</v>
      </c>
      <c r="DH269" s="9">
        <f t="shared" si="9"/>
        <v>0</v>
      </c>
    </row>
    <row r="270" spans="1:112" x14ac:dyDescent="0.25">
      <c r="A270" s="4" t="s">
        <v>1685</v>
      </c>
      <c r="B270" s="4" t="s">
        <v>1685</v>
      </c>
      <c r="C270" s="1" t="s">
        <v>742</v>
      </c>
      <c r="L270" s="6">
        <v>0</v>
      </c>
      <c r="N270" s="8"/>
      <c r="O270" s="6"/>
      <c r="P270" s="8"/>
      <c r="Q270" s="6"/>
      <c r="AA270" s="8"/>
      <c r="AB270" s="6"/>
      <c r="AC270" s="8"/>
      <c r="AD270" s="6"/>
      <c r="AE270" s="8"/>
      <c r="AF270" s="6"/>
      <c r="AG270" s="8"/>
      <c r="AH270" s="6"/>
      <c r="AI270" s="8"/>
      <c r="AJ270" s="6"/>
      <c r="AK270" s="8"/>
      <c r="AL270" s="6"/>
      <c r="AM270" s="8"/>
      <c r="AO270" s="8"/>
      <c r="AR270" s="8"/>
      <c r="AS270" s="6"/>
      <c r="AT270" s="8"/>
      <c r="AW270" s="6"/>
      <c r="AX270" s="8"/>
      <c r="BA270" s="6"/>
      <c r="BF270" s="6"/>
      <c r="BK270" s="6"/>
      <c r="BL270" s="8"/>
      <c r="BM270" s="6"/>
      <c r="BN270" s="8"/>
      <c r="BO270" s="8"/>
      <c r="BP270" s="6"/>
      <c r="BS270" s="6"/>
      <c r="BT270" s="8"/>
      <c r="BU270" s="8"/>
      <c r="BV270" s="8"/>
      <c r="BW270" s="8"/>
      <c r="BX270" s="8"/>
      <c r="BY270" s="8"/>
      <c r="CA270" s="6"/>
      <c r="CJ270" s="8">
        <v>-1579171517</v>
      </c>
      <c r="CK270" s="8"/>
      <c r="CP270" s="6"/>
      <c r="CV270" s="6">
        <v>-17322374.550000001</v>
      </c>
      <c r="CX270" s="8"/>
      <c r="CZ270" s="8"/>
      <c r="DA270" s="8"/>
      <c r="DB270" s="8"/>
      <c r="DC270" s="6"/>
      <c r="DF270" s="9">
        <f t="shared" si="8"/>
        <v>-1596493891.55</v>
      </c>
      <c r="DG270" s="9">
        <v>-1596493891.55</v>
      </c>
      <c r="DH270" s="9">
        <f t="shared" si="9"/>
        <v>0</v>
      </c>
    </row>
    <row r="271" spans="1:112" x14ac:dyDescent="0.25">
      <c r="A271" s="4" t="s">
        <v>355</v>
      </c>
      <c r="B271" s="4" t="s">
        <v>355</v>
      </c>
      <c r="C271" s="1" t="s">
        <v>356</v>
      </c>
      <c r="N271" s="8"/>
      <c r="O271" s="6"/>
      <c r="P271" s="8"/>
      <c r="Q271" s="6"/>
      <c r="AA271" s="8"/>
      <c r="AB271" s="6">
        <v>-379530</v>
      </c>
      <c r="AC271" s="8"/>
      <c r="AD271" s="6"/>
      <c r="AE271" s="8"/>
      <c r="AF271" s="6"/>
      <c r="AG271" s="8"/>
      <c r="AH271" s="6"/>
      <c r="AI271" s="8"/>
      <c r="AJ271" s="6"/>
      <c r="AK271" s="8"/>
      <c r="AL271" s="6"/>
      <c r="AM271" s="8"/>
      <c r="AO271" s="8"/>
      <c r="AR271" s="8"/>
      <c r="AS271" s="6"/>
      <c r="AT271" s="8"/>
      <c r="AW271" s="6"/>
      <c r="AX271" s="8"/>
      <c r="BA271" s="6"/>
      <c r="BF271" s="6"/>
      <c r="BK271" s="6"/>
      <c r="BL271" s="8"/>
      <c r="BM271" s="6"/>
      <c r="BN271" s="8"/>
      <c r="BO271" s="8"/>
      <c r="BP271" s="6"/>
      <c r="BS271" s="6"/>
      <c r="BT271" s="8"/>
      <c r="BU271" s="8"/>
      <c r="BV271" s="8"/>
      <c r="BW271" s="8"/>
      <c r="BX271" s="8"/>
      <c r="BY271" s="8"/>
      <c r="CA271" s="6"/>
      <c r="CK271" s="8"/>
      <c r="CP271" s="6"/>
      <c r="CX271" s="8"/>
      <c r="CZ271" s="8"/>
      <c r="DA271" s="8"/>
      <c r="DB271" s="8"/>
      <c r="DC271" s="6"/>
      <c r="DF271" s="9">
        <f t="shared" si="8"/>
        <v>-379530</v>
      </c>
      <c r="DG271" s="9">
        <v>-379530</v>
      </c>
      <c r="DH271" s="9">
        <f t="shared" si="9"/>
        <v>0</v>
      </c>
    </row>
    <row r="272" spans="1:112" x14ac:dyDescent="0.25">
      <c r="A272" s="4" t="s">
        <v>357</v>
      </c>
      <c r="B272" s="4" t="s">
        <v>357</v>
      </c>
      <c r="C272" s="1" t="s">
        <v>358</v>
      </c>
      <c r="N272" s="8"/>
      <c r="O272" s="6"/>
      <c r="P272" s="8"/>
      <c r="Q272" s="6"/>
      <c r="AA272" s="8"/>
      <c r="AB272" s="6"/>
      <c r="AC272" s="8"/>
      <c r="AD272" s="6"/>
      <c r="AE272" s="8"/>
      <c r="AF272" s="6"/>
      <c r="AG272" s="8">
        <v>-88216</v>
      </c>
      <c r="AH272" s="6"/>
      <c r="AI272" s="8"/>
      <c r="AJ272" s="6"/>
      <c r="AK272" s="8"/>
      <c r="AL272" s="6"/>
      <c r="AM272" s="8"/>
      <c r="AO272" s="8"/>
      <c r="AR272" s="8"/>
      <c r="AS272" s="6"/>
      <c r="AT272" s="8"/>
      <c r="AW272" s="6"/>
      <c r="AX272" s="8"/>
      <c r="BA272" s="6"/>
      <c r="BF272" s="6"/>
      <c r="BK272" s="6"/>
      <c r="BL272" s="8"/>
      <c r="BM272" s="6"/>
      <c r="BN272" s="8"/>
      <c r="BO272" s="8"/>
      <c r="BP272" s="6"/>
      <c r="BS272" s="6"/>
      <c r="BT272" s="8"/>
      <c r="BU272" s="8"/>
      <c r="BV272" s="8"/>
      <c r="BW272" s="8"/>
      <c r="BX272" s="8"/>
      <c r="BY272" s="8"/>
      <c r="CA272" s="6"/>
      <c r="CK272" s="8"/>
      <c r="CP272" s="6"/>
      <c r="CX272" s="8"/>
      <c r="CZ272" s="8"/>
      <c r="DA272" s="8"/>
      <c r="DB272" s="8"/>
      <c r="DC272" s="6"/>
      <c r="DF272" s="9">
        <f t="shared" si="8"/>
        <v>-88216</v>
      </c>
      <c r="DG272" s="9">
        <v>-88216</v>
      </c>
      <c r="DH272" s="9">
        <f t="shared" si="9"/>
        <v>0</v>
      </c>
    </row>
    <row r="273" spans="1:112" x14ac:dyDescent="0.25">
      <c r="A273" s="4" t="s">
        <v>359</v>
      </c>
      <c r="B273" s="4" t="s">
        <v>359</v>
      </c>
      <c r="C273" s="1" t="s">
        <v>1686</v>
      </c>
      <c r="E273" s="8">
        <v>-12821720</v>
      </c>
      <c r="G273" s="8">
        <v>-94839</v>
      </c>
      <c r="K273" s="8">
        <v>-6578922</v>
      </c>
      <c r="N273" s="8"/>
      <c r="O273" s="6">
        <v>-3855031</v>
      </c>
      <c r="P273" s="8"/>
      <c r="Q273" s="6"/>
      <c r="R273" s="8">
        <v>-124800</v>
      </c>
      <c r="T273" s="8">
        <v>-48838</v>
      </c>
      <c r="V273" s="8">
        <v>-48020</v>
      </c>
      <c r="W273" s="6">
        <v>-815331</v>
      </c>
      <c r="X273" s="8">
        <v>-192898</v>
      </c>
      <c r="AA273" s="8"/>
      <c r="AB273" s="6"/>
      <c r="AC273" s="8"/>
      <c r="AD273" s="6"/>
      <c r="AE273" s="8"/>
      <c r="AF273" s="6"/>
      <c r="AG273" s="8">
        <v>-124800</v>
      </c>
      <c r="AH273" s="6">
        <v>-62400</v>
      </c>
      <c r="AI273" s="8"/>
      <c r="AJ273" s="6"/>
      <c r="AK273" s="8">
        <v>-327563</v>
      </c>
      <c r="AL273" s="6">
        <v>-137280</v>
      </c>
      <c r="AM273" s="8"/>
      <c r="AO273" s="8"/>
      <c r="AR273" s="8"/>
      <c r="AS273" s="6"/>
      <c r="AT273" s="8">
        <v>-111380</v>
      </c>
      <c r="AV273" s="6">
        <v>-45000</v>
      </c>
      <c r="AW273" s="6"/>
      <c r="AX273" s="8"/>
      <c r="BA273" s="6">
        <v>-7677772</v>
      </c>
      <c r="BD273" s="8">
        <v>-144009</v>
      </c>
      <c r="BE273" s="6">
        <v>-537238</v>
      </c>
      <c r="BF273" s="6"/>
      <c r="BH273" s="8">
        <v>-199563</v>
      </c>
      <c r="BK273" s="6"/>
      <c r="BL273" s="8">
        <v>-169880</v>
      </c>
      <c r="BM273" s="6"/>
      <c r="BN273" s="8"/>
      <c r="BO273" s="8"/>
      <c r="BP273" s="6"/>
      <c r="BS273" s="6"/>
      <c r="BT273" s="8"/>
      <c r="BU273" s="8"/>
      <c r="BV273" s="8"/>
      <c r="BW273" s="8"/>
      <c r="BX273" s="8"/>
      <c r="BY273" s="8"/>
      <c r="CA273" s="6"/>
      <c r="CJ273" s="8">
        <v>-1481422</v>
      </c>
      <c r="CK273" s="8"/>
      <c r="CO273" s="8">
        <v>-3324366</v>
      </c>
      <c r="CP273" s="6"/>
      <c r="CR273" s="6">
        <v>-17226605</v>
      </c>
      <c r="CT273" s="6">
        <v>-1045886</v>
      </c>
      <c r="CV273" s="6">
        <v>-2744486</v>
      </c>
      <c r="CW273" s="8">
        <v>-183858</v>
      </c>
      <c r="CX273" s="8"/>
      <c r="CZ273" s="8"/>
      <c r="DA273" s="8"/>
      <c r="DB273" s="8"/>
      <c r="DC273" s="6">
        <v>-536680</v>
      </c>
      <c r="DF273" s="9">
        <f t="shared" si="8"/>
        <v>-60660587</v>
      </c>
      <c r="DG273" s="9">
        <v>-60660587</v>
      </c>
      <c r="DH273" s="9">
        <f t="shared" si="9"/>
        <v>0</v>
      </c>
    </row>
    <row r="274" spans="1:112" x14ac:dyDescent="0.25">
      <c r="A274" s="4" t="s">
        <v>1633</v>
      </c>
      <c r="N274" s="8"/>
      <c r="O274" s="6"/>
      <c r="P274" s="8"/>
      <c r="Q274" s="6"/>
      <c r="AA274" s="8"/>
      <c r="AB274" s="6"/>
      <c r="AC274" s="8"/>
      <c r="AD274" s="6"/>
      <c r="AE274" s="8"/>
      <c r="AF274" s="6"/>
      <c r="AG274" s="8"/>
      <c r="AH274" s="6"/>
      <c r="AI274" s="8"/>
      <c r="AJ274" s="6"/>
      <c r="AK274" s="8"/>
      <c r="AL274" s="6"/>
      <c r="AM274" s="8"/>
      <c r="AO274" s="8"/>
      <c r="AR274" s="8"/>
      <c r="AS274" s="6"/>
      <c r="AT274" s="8"/>
      <c r="AW274" s="6"/>
      <c r="AX274" s="8"/>
      <c r="BA274" s="6"/>
      <c r="BF274" s="6"/>
      <c r="BK274" s="6"/>
      <c r="BL274" s="8"/>
      <c r="BM274" s="6"/>
      <c r="BN274" s="8"/>
      <c r="BO274" s="8"/>
      <c r="BP274" s="6"/>
      <c r="BS274" s="6"/>
      <c r="BT274" s="8"/>
      <c r="BU274" s="8"/>
      <c r="BV274" s="8"/>
      <c r="BW274" s="8"/>
      <c r="BX274" s="8"/>
      <c r="BY274" s="8"/>
      <c r="CA274" s="6"/>
      <c r="CK274" s="8"/>
      <c r="CP274" s="6"/>
      <c r="CX274" s="8"/>
      <c r="CZ274" s="8"/>
      <c r="DA274" s="8"/>
      <c r="DB274" s="8"/>
      <c r="DC274" s="6"/>
      <c r="DF274" s="9">
        <f t="shared" si="8"/>
        <v>0</v>
      </c>
      <c r="DG274" s="9"/>
      <c r="DH274" s="9">
        <f t="shared" si="9"/>
        <v>0</v>
      </c>
    </row>
    <row r="275" spans="1:112" x14ac:dyDescent="0.25">
      <c r="A275" s="4" t="s">
        <v>361</v>
      </c>
      <c r="B275" s="4" t="s">
        <v>361</v>
      </c>
      <c r="C275" s="1" t="s">
        <v>362</v>
      </c>
      <c r="E275" s="8">
        <v>-189953.34</v>
      </c>
      <c r="I275" s="8">
        <v>-5</v>
      </c>
      <c r="K275" s="8">
        <v>-1</v>
      </c>
      <c r="N275" s="8"/>
      <c r="O275" s="6"/>
      <c r="P275" s="8"/>
      <c r="Q275" s="6"/>
      <c r="AA275" s="8"/>
      <c r="AB275" s="6"/>
      <c r="AC275" s="8"/>
      <c r="AD275" s="6"/>
      <c r="AE275" s="8"/>
      <c r="AF275" s="6"/>
      <c r="AG275" s="8"/>
      <c r="AH275" s="6"/>
      <c r="AI275" s="8"/>
      <c r="AJ275" s="6"/>
      <c r="AK275" s="8"/>
      <c r="AL275" s="6"/>
      <c r="AM275" s="8"/>
      <c r="AO275" s="8"/>
      <c r="AR275" s="8"/>
      <c r="AS275" s="6"/>
      <c r="AT275" s="8"/>
      <c r="AW275" s="6"/>
      <c r="AX275" s="8"/>
      <c r="BA275" s="6"/>
      <c r="BE275" s="6">
        <v>-32</v>
      </c>
      <c r="BF275" s="6"/>
      <c r="BK275" s="6"/>
      <c r="BL275" s="8"/>
      <c r="BM275" s="6"/>
      <c r="BN275" s="8"/>
      <c r="BO275" s="8"/>
      <c r="BP275" s="6"/>
      <c r="BS275" s="6"/>
      <c r="BT275" s="8"/>
      <c r="BU275" s="8"/>
      <c r="BV275" s="8"/>
      <c r="BW275" s="8"/>
      <c r="BX275" s="8"/>
      <c r="BY275" s="8"/>
      <c r="CA275" s="6"/>
      <c r="CK275" s="8"/>
      <c r="CM275" s="6">
        <v>-3232</v>
      </c>
      <c r="CP275" s="6"/>
      <c r="CX275" s="8"/>
      <c r="CZ275" s="8"/>
      <c r="DA275" s="8"/>
      <c r="DB275" s="8"/>
      <c r="DC275" s="6"/>
      <c r="DF275" s="9">
        <f t="shared" si="8"/>
        <v>-193223.34</v>
      </c>
      <c r="DG275" s="9">
        <v>-193223.34</v>
      </c>
      <c r="DH275" s="9">
        <f t="shared" si="9"/>
        <v>0</v>
      </c>
    </row>
    <row r="276" spans="1:112" x14ac:dyDescent="0.25">
      <c r="A276" s="4" t="s">
        <v>363</v>
      </c>
      <c r="B276" s="4" t="s">
        <v>363</v>
      </c>
      <c r="C276" s="1" t="s">
        <v>364</v>
      </c>
      <c r="E276" s="8">
        <v>-567</v>
      </c>
      <c r="N276" s="8"/>
      <c r="O276" s="6"/>
      <c r="P276" s="8"/>
      <c r="Q276" s="6"/>
      <c r="AA276" s="8"/>
      <c r="AB276" s="6"/>
      <c r="AC276" s="8"/>
      <c r="AD276" s="6"/>
      <c r="AE276" s="8"/>
      <c r="AF276" s="6"/>
      <c r="AG276" s="8"/>
      <c r="AH276" s="6"/>
      <c r="AI276" s="8"/>
      <c r="AJ276" s="6"/>
      <c r="AK276" s="8"/>
      <c r="AL276" s="6"/>
      <c r="AM276" s="8"/>
      <c r="AO276" s="8"/>
      <c r="AR276" s="8"/>
      <c r="AS276" s="6"/>
      <c r="AT276" s="8"/>
      <c r="AW276" s="6"/>
      <c r="AX276" s="8"/>
      <c r="BA276" s="6"/>
      <c r="BF276" s="6"/>
      <c r="BK276" s="6"/>
      <c r="BL276" s="8"/>
      <c r="BM276" s="6"/>
      <c r="BN276" s="8"/>
      <c r="BO276" s="8"/>
      <c r="BP276" s="6"/>
      <c r="BS276" s="6"/>
      <c r="BT276" s="8"/>
      <c r="BU276" s="8"/>
      <c r="BV276" s="8"/>
      <c r="BW276" s="8"/>
      <c r="BX276" s="8"/>
      <c r="BY276" s="8"/>
      <c r="CA276" s="6"/>
      <c r="CK276" s="8"/>
      <c r="CP276" s="6"/>
      <c r="CX276" s="8"/>
      <c r="CZ276" s="8"/>
      <c r="DA276" s="8"/>
      <c r="DB276" s="8"/>
      <c r="DC276" s="6"/>
      <c r="DF276" s="9">
        <f t="shared" si="8"/>
        <v>-567</v>
      </c>
      <c r="DG276" s="9">
        <v>-567</v>
      </c>
      <c r="DH276" s="9">
        <f t="shared" si="9"/>
        <v>0</v>
      </c>
    </row>
    <row r="277" spans="1:112" x14ac:dyDescent="0.25">
      <c r="A277" s="492" t="s">
        <v>1492</v>
      </c>
      <c r="B277" s="4" t="s">
        <v>1492</v>
      </c>
      <c r="C277" s="1" t="s">
        <v>1491</v>
      </c>
      <c r="N277" s="8"/>
      <c r="O277" s="6"/>
      <c r="P277" s="8"/>
      <c r="Q277" s="6"/>
      <c r="AA277" s="8"/>
      <c r="AB277" s="6"/>
      <c r="AC277" s="8"/>
      <c r="AD277" s="6"/>
      <c r="AE277" s="8"/>
      <c r="AF277" s="6"/>
      <c r="AG277" s="8"/>
      <c r="AH277" s="6"/>
      <c r="AI277" s="8"/>
      <c r="AJ277" s="6"/>
      <c r="AK277" s="8"/>
      <c r="AL277" s="6"/>
      <c r="AM277" s="8"/>
      <c r="AO277" s="8"/>
      <c r="AR277" s="8"/>
      <c r="AS277" s="6"/>
      <c r="AT277" s="8"/>
      <c r="AW277" s="6"/>
      <c r="AX277" s="8"/>
      <c r="BA277" s="6"/>
      <c r="BF277" s="6"/>
      <c r="BK277" s="6"/>
      <c r="BL277" s="8"/>
      <c r="BM277" s="6"/>
      <c r="BN277" s="8"/>
      <c r="BO277" s="8"/>
      <c r="BP277" s="6"/>
      <c r="BS277" s="6"/>
      <c r="BT277" s="8"/>
      <c r="BU277" s="8"/>
      <c r="BV277" s="8"/>
      <c r="BW277" s="8"/>
      <c r="BX277" s="8"/>
      <c r="BY277" s="8"/>
      <c r="CA277" s="6"/>
      <c r="CK277" s="8"/>
      <c r="CP277" s="6"/>
      <c r="CX277" s="8"/>
      <c r="CZ277" s="8"/>
      <c r="DA277" s="8"/>
      <c r="DB277" s="8"/>
      <c r="DC277" s="6"/>
      <c r="DF277" s="9">
        <f t="shared" si="8"/>
        <v>0</v>
      </c>
      <c r="DG277" s="9"/>
      <c r="DH277" s="9">
        <f t="shared" si="9"/>
        <v>0</v>
      </c>
    </row>
    <row r="278" spans="1:112" x14ac:dyDescent="0.25">
      <c r="A278" s="495" t="s">
        <v>1493</v>
      </c>
      <c r="B278" s="4" t="s">
        <v>1493</v>
      </c>
      <c r="C278" s="1" t="s">
        <v>1491</v>
      </c>
      <c r="N278" s="8"/>
      <c r="O278" s="6"/>
      <c r="P278" s="8"/>
      <c r="Q278" s="6"/>
      <c r="AA278" s="8"/>
      <c r="AB278" s="6"/>
      <c r="AC278" s="8"/>
      <c r="AD278" s="6"/>
      <c r="AE278" s="8"/>
      <c r="AF278" s="6"/>
      <c r="AG278" s="8"/>
      <c r="AH278" s="6"/>
      <c r="AI278" s="8"/>
      <c r="AJ278" s="6"/>
      <c r="AK278" s="8"/>
      <c r="AL278" s="6"/>
      <c r="AM278" s="8"/>
      <c r="AO278" s="8"/>
      <c r="AR278" s="8"/>
      <c r="AS278" s="6"/>
      <c r="AT278" s="8"/>
      <c r="AW278" s="6"/>
      <c r="AX278" s="8"/>
      <c r="BA278" s="6"/>
      <c r="BF278" s="6"/>
      <c r="BK278" s="6"/>
      <c r="BL278" s="8"/>
      <c r="BM278" s="6"/>
      <c r="BN278" s="8"/>
      <c r="BO278" s="8"/>
      <c r="BP278" s="6"/>
      <c r="BS278" s="6"/>
      <c r="BT278" s="8"/>
      <c r="BU278" s="8"/>
      <c r="BV278" s="8"/>
      <c r="BW278" s="8"/>
      <c r="BX278" s="8"/>
      <c r="BY278" s="8"/>
      <c r="CA278" s="6"/>
      <c r="CK278" s="8"/>
      <c r="CP278" s="6"/>
      <c r="CX278" s="8"/>
      <c r="CZ278" s="8"/>
      <c r="DA278" s="8"/>
      <c r="DB278" s="8"/>
      <c r="DC278" s="6"/>
      <c r="DF278" s="9">
        <f t="shared" si="8"/>
        <v>0</v>
      </c>
      <c r="DG278" s="9"/>
      <c r="DH278" s="9">
        <f t="shared" si="9"/>
        <v>0</v>
      </c>
    </row>
    <row r="279" spans="1:112" x14ac:dyDescent="0.25">
      <c r="A279" s="495" t="s">
        <v>1494</v>
      </c>
      <c r="B279" s="4" t="s">
        <v>1494</v>
      </c>
      <c r="C279" s="1" t="s">
        <v>1491</v>
      </c>
      <c r="N279" s="8"/>
      <c r="O279" s="6"/>
      <c r="P279" s="8"/>
      <c r="Q279" s="6"/>
      <c r="AA279" s="8"/>
      <c r="AB279" s="6"/>
      <c r="AC279" s="8"/>
      <c r="AD279" s="6"/>
      <c r="AE279" s="8"/>
      <c r="AF279" s="6"/>
      <c r="AG279" s="8"/>
      <c r="AH279" s="6"/>
      <c r="AI279" s="8"/>
      <c r="AJ279" s="6"/>
      <c r="AK279" s="8"/>
      <c r="AL279" s="6"/>
      <c r="AM279" s="8"/>
      <c r="AO279" s="8"/>
      <c r="AR279" s="8"/>
      <c r="AS279" s="6"/>
      <c r="AT279" s="8"/>
      <c r="AW279" s="6"/>
      <c r="AX279" s="8"/>
      <c r="BA279" s="6"/>
      <c r="BF279" s="6"/>
      <c r="BK279" s="6"/>
      <c r="BL279" s="8"/>
      <c r="BM279" s="6"/>
      <c r="BN279" s="8"/>
      <c r="BO279" s="8"/>
      <c r="BP279" s="6"/>
      <c r="BS279" s="6"/>
      <c r="BT279" s="8"/>
      <c r="BU279" s="8"/>
      <c r="BV279" s="8"/>
      <c r="BW279" s="8"/>
      <c r="BX279" s="8"/>
      <c r="BY279" s="8"/>
      <c r="CA279" s="6"/>
      <c r="CK279" s="8"/>
      <c r="CP279" s="6"/>
      <c r="CX279" s="8"/>
      <c r="CZ279" s="8"/>
      <c r="DA279" s="8"/>
      <c r="DB279" s="8"/>
      <c r="DC279" s="6"/>
      <c r="DF279" s="9">
        <f t="shared" si="8"/>
        <v>0</v>
      </c>
      <c r="DG279" s="9"/>
      <c r="DH279" s="9">
        <f t="shared" si="9"/>
        <v>0</v>
      </c>
    </row>
    <row r="280" spans="1:112" x14ac:dyDescent="0.25">
      <c r="A280" s="492" t="s">
        <v>1490</v>
      </c>
      <c r="B280" s="4" t="s">
        <v>1490</v>
      </c>
      <c r="C280" s="1" t="s">
        <v>1834</v>
      </c>
      <c r="N280" s="8"/>
      <c r="O280" s="6"/>
      <c r="P280" s="8"/>
      <c r="Q280" s="6"/>
      <c r="AA280" s="8"/>
      <c r="AB280" s="6"/>
      <c r="AC280" s="8"/>
      <c r="AD280" s="6"/>
      <c r="AE280" s="8"/>
      <c r="AF280" s="6"/>
      <c r="AG280" s="8"/>
      <c r="AH280" s="6"/>
      <c r="AI280" s="8"/>
      <c r="AJ280" s="6"/>
      <c r="AK280" s="8"/>
      <c r="AL280" s="6"/>
      <c r="AM280" s="8"/>
      <c r="AO280" s="8"/>
      <c r="AR280" s="8"/>
      <c r="AS280" s="6"/>
      <c r="AT280" s="8"/>
      <c r="AW280" s="6"/>
      <c r="AX280" s="8"/>
      <c r="BA280" s="6"/>
      <c r="BF280" s="6"/>
      <c r="BK280" s="6"/>
      <c r="BL280" s="8"/>
      <c r="BM280" s="6"/>
      <c r="BN280" s="8"/>
      <c r="BO280" s="8"/>
      <c r="BP280" s="6"/>
      <c r="BS280" s="6"/>
      <c r="BT280" s="8"/>
      <c r="BU280" s="8"/>
      <c r="BV280" s="8"/>
      <c r="BW280" s="8"/>
      <c r="BX280" s="8"/>
      <c r="BY280" s="8"/>
      <c r="CA280" s="6"/>
      <c r="CK280" s="8"/>
      <c r="CP280" s="6"/>
      <c r="CX280" s="8"/>
      <c r="CZ280" s="8"/>
      <c r="DA280" s="8"/>
      <c r="DB280" s="8"/>
      <c r="DC280" s="6"/>
      <c r="DF280" s="9">
        <f t="shared" si="8"/>
        <v>0</v>
      </c>
      <c r="DG280" s="9"/>
      <c r="DH280" s="9">
        <f t="shared" si="9"/>
        <v>0</v>
      </c>
    </row>
    <row r="281" spans="1:112" s="3" customFormat="1" ht="12.75" customHeight="1" x14ac:dyDescent="0.3">
      <c r="B281" s="5"/>
      <c r="C281" s="3" t="s">
        <v>365</v>
      </c>
      <c r="D281" s="7">
        <v>15945</v>
      </c>
      <c r="E281" s="7">
        <v>209958946.59799999</v>
      </c>
      <c r="F281" s="7">
        <v>894755.9999999851</v>
      </c>
      <c r="G281" s="7">
        <v>7101758.29</v>
      </c>
      <c r="H281" s="7">
        <v>236600</v>
      </c>
      <c r="I281" s="7">
        <v>-633877138.35000002</v>
      </c>
      <c r="J281" s="7">
        <v>0</v>
      </c>
      <c r="K281" s="7">
        <v>-1017472656.5700001</v>
      </c>
      <c r="L281" s="7">
        <v>3796</v>
      </c>
      <c r="M281" s="7">
        <v>-153133467.5</v>
      </c>
      <c r="N281" s="7"/>
      <c r="O281" s="7">
        <v>24594122.961999997</v>
      </c>
      <c r="P281" s="7">
        <v>6240000</v>
      </c>
      <c r="Q281" s="7">
        <v>5800</v>
      </c>
      <c r="R281" s="7">
        <v>43132335.920000002</v>
      </c>
      <c r="S281" s="7">
        <v>120000</v>
      </c>
      <c r="T281" s="7">
        <v>512248.16000000003</v>
      </c>
      <c r="U281" s="7">
        <v>1906.8000000000002</v>
      </c>
      <c r="V281" s="7">
        <v>49677901.872000001</v>
      </c>
      <c r="W281" s="7">
        <v>37329132.699999996</v>
      </c>
      <c r="X281" s="7">
        <v>86819133.060000002</v>
      </c>
      <c r="Y281" s="7">
        <v>25840590.629999999</v>
      </c>
      <c r="Z281" s="7">
        <v>20585578.699999999</v>
      </c>
      <c r="AA281" s="7"/>
      <c r="AB281" s="7">
        <v>-379530</v>
      </c>
      <c r="AC281" s="7">
        <v>1831764.9279999998</v>
      </c>
      <c r="AD281" s="7">
        <v>-53979460</v>
      </c>
      <c r="AE281" s="7">
        <v>-48245561</v>
      </c>
      <c r="AF281" s="7">
        <v>28730</v>
      </c>
      <c r="AG281" s="7">
        <v>95429752.840000004</v>
      </c>
      <c r="AH281" s="7">
        <v>49436264.196000002</v>
      </c>
      <c r="AI281" s="7">
        <v>914563</v>
      </c>
      <c r="AJ281" s="7">
        <v>11240542.687999997</v>
      </c>
      <c r="AK281" s="7">
        <v>89940521.532000005</v>
      </c>
      <c r="AL281" s="7">
        <v>55895374.75</v>
      </c>
      <c r="AM281" s="7">
        <v>44557155.915999994</v>
      </c>
      <c r="AN281" s="7"/>
      <c r="AO281" s="7"/>
      <c r="AP281" s="7">
        <v>17743544.559999999</v>
      </c>
      <c r="AQ281" s="7">
        <v>421468</v>
      </c>
      <c r="AR281" s="7"/>
      <c r="AS281" s="7">
        <v>190000</v>
      </c>
      <c r="AT281" s="7">
        <v>48238932.809999943</v>
      </c>
      <c r="AU281" s="7"/>
      <c r="AV281" s="7">
        <v>31538745.090000007</v>
      </c>
      <c r="AW281" s="7"/>
      <c r="AX281" s="7">
        <v>354346.94</v>
      </c>
      <c r="AY281" s="7">
        <v>-8960000</v>
      </c>
      <c r="AZ281" s="7">
        <v>40682.620000000003</v>
      </c>
      <c r="BA281" s="7">
        <v>183024479.3312</v>
      </c>
      <c r="BB281" s="7">
        <v>85912750.900800005</v>
      </c>
      <c r="BC281" s="7">
        <v>9143098.1279999986</v>
      </c>
      <c r="BD281" s="7">
        <v>53432259.122000001</v>
      </c>
      <c r="BE281" s="7">
        <v>55667544.926000021</v>
      </c>
      <c r="BF281" s="7"/>
      <c r="BG281" s="7"/>
      <c r="BH281" s="7">
        <v>117878790.19</v>
      </c>
      <c r="BI281" s="7">
        <v>24243681.759999998</v>
      </c>
      <c r="BJ281" s="7">
        <v>135216171.65000001</v>
      </c>
      <c r="BK281" s="7">
        <v>3849069.0799999996</v>
      </c>
      <c r="BL281" s="7">
        <v>247304089.53000009</v>
      </c>
      <c r="BM281" s="7">
        <v>-59185411.860000014</v>
      </c>
      <c r="BN281" s="7">
        <v>44811501.440000005</v>
      </c>
      <c r="BO281" s="7"/>
      <c r="BP281" s="7">
        <v>508000</v>
      </c>
      <c r="BQ281" s="7"/>
      <c r="BR281" s="7">
        <v>6142.7699999997858</v>
      </c>
      <c r="BS281" s="7">
        <v>130616.30999999998</v>
      </c>
      <c r="BT281" s="7">
        <v>929748.00000000047</v>
      </c>
      <c r="BU281" s="7"/>
      <c r="BV281" s="7"/>
      <c r="BW281" s="7"/>
      <c r="BX281" s="7"/>
      <c r="BY281" s="7"/>
      <c r="BZ281" s="7">
        <v>-38400000</v>
      </c>
      <c r="CA281" s="7"/>
      <c r="CB281" s="7"/>
      <c r="CC281" s="7"/>
      <c r="CD281" s="7"/>
      <c r="CE281" s="7"/>
      <c r="CF281" s="7"/>
      <c r="CG281" s="7"/>
      <c r="CH281" s="7"/>
      <c r="CI281" s="7"/>
      <c r="CJ281" s="7">
        <v>-1533476984.0100002</v>
      </c>
      <c r="CK281" s="7"/>
      <c r="CL281" s="7"/>
      <c r="CM281" s="7">
        <v>157389599.39000002</v>
      </c>
      <c r="CN281" s="7"/>
      <c r="CO281" s="7">
        <v>125353228.08</v>
      </c>
      <c r="CP281" s="7">
        <v>52398398.269999996</v>
      </c>
      <c r="CQ281" s="7">
        <v>5433834.2400000002</v>
      </c>
      <c r="CR281" s="7">
        <v>408678401.46000004</v>
      </c>
      <c r="CS281" s="7">
        <v>23228840</v>
      </c>
      <c r="CT281" s="7">
        <v>15705688.890000001</v>
      </c>
      <c r="CU281" s="7">
        <v>0</v>
      </c>
      <c r="CV281" s="7">
        <v>510248917.21000016</v>
      </c>
      <c r="CW281" s="7">
        <v>-1049783.04</v>
      </c>
      <c r="CX281" s="7"/>
      <c r="CY281" s="7"/>
      <c r="CZ281" s="7"/>
      <c r="DA281" s="7"/>
      <c r="DB281" s="7"/>
      <c r="DC281" s="7">
        <v>70189155.399999991</v>
      </c>
      <c r="DD281" s="7">
        <v>-614205</v>
      </c>
      <c r="DE281" s="7">
        <v>50479412</v>
      </c>
      <c r="DF281" s="7">
        <v>-206737836.69000006</v>
      </c>
      <c r="DG281" s="7">
        <v>-206737836.69000006</v>
      </c>
    </row>
    <row r="282" spans="1:112" ht="13" x14ac:dyDescent="0.3">
      <c r="A282" s="4"/>
      <c r="B282"/>
      <c r="C282" s="3" t="s">
        <v>365</v>
      </c>
      <c r="D282" s="7">
        <f t="shared" ref="D282:K282" si="10">SUM(D6:D280)</f>
        <v>-35</v>
      </c>
      <c r="E282" s="7">
        <f t="shared" si="10"/>
        <v>209739778.96319997</v>
      </c>
      <c r="F282" s="7">
        <f t="shared" si="10"/>
        <v>1167551.9999999974</v>
      </c>
      <c r="G282" s="7">
        <f t="shared" si="10"/>
        <v>7917691.29</v>
      </c>
      <c r="H282" s="7">
        <f t="shared" si="10"/>
        <v>236600</v>
      </c>
      <c r="I282" s="7">
        <f t="shared" si="10"/>
        <v>-633877138.35000002</v>
      </c>
      <c r="J282" s="7">
        <f t="shared" si="10"/>
        <v>0</v>
      </c>
      <c r="K282" s="7">
        <f t="shared" si="10"/>
        <v>-1016551311.3519998</v>
      </c>
      <c r="L282" s="7">
        <f>SUM(L6:L280)</f>
        <v>3796</v>
      </c>
      <c r="M282" s="7">
        <f t="shared" ref="M282:BZ282" si="11">SUM(M6:M280)</f>
        <v>-153133467.5</v>
      </c>
      <c r="N282" s="7">
        <f t="shared" si="11"/>
        <v>0</v>
      </c>
      <c r="O282" s="7">
        <f t="shared" si="11"/>
        <v>24601476.092799999</v>
      </c>
      <c r="P282" s="7">
        <f t="shared" si="11"/>
        <v>6240000</v>
      </c>
      <c r="Q282" s="7">
        <f t="shared" si="11"/>
        <v>5800</v>
      </c>
      <c r="R282" s="7">
        <f t="shared" si="11"/>
        <v>43029770.229999997</v>
      </c>
      <c r="S282" s="7">
        <f t="shared" si="11"/>
        <v>120000</v>
      </c>
      <c r="T282" s="7">
        <f t="shared" si="11"/>
        <v>512248.16000000003</v>
      </c>
      <c r="U282" s="7">
        <f t="shared" si="11"/>
        <v>1906.8000000000002</v>
      </c>
      <c r="V282" s="7">
        <f t="shared" si="11"/>
        <v>49709765.4388</v>
      </c>
      <c r="W282" s="7">
        <f t="shared" si="11"/>
        <v>37329132.700000003</v>
      </c>
      <c r="X282" s="7">
        <f t="shared" si="11"/>
        <v>86819133.060000002</v>
      </c>
      <c r="Y282" s="7">
        <f t="shared" si="11"/>
        <v>25840590.629999999</v>
      </c>
      <c r="Z282" s="7">
        <f t="shared" si="11"/>
        <v>20585578.699999999</v>
      </c>
      <c r="AA282" s="7">
        <f t="shared" si="11"/>
        <v>0</v>
      </c>
      <c r="AB282" s="7">
        <f t="shared" si="11"/>
        <v>-379530</v>
      </c>
      <c r="AC282" s="7">
        <f t="shared" si="11"/>
        <v>1836667.0151999998</v>
      </c>
      <c r="AD282" s="7">
        <f t="shared" si="11"/>
        <v>-53979460</v>
      </c>
      <c r="AE282" s="7">
        <f t="shared" si="11"/>
        <v>-48245561</v>
      </c>
      <c r="AF282" s="7">
        <f t="shared" si="11"/>
        <v>28730</v>
      </c>
      <c r="AG282" s="7">
        <f t="shared" si="11"/>
        <v>95304952.839999989</v>
      </c>
      <c r="AH282" s="7">
        <f t="shared" si="11"/>
        <v>49395923.588399999</v>
      </c>
      <c r="AI282" s="7">
        <f t="shared" si="11"/>
        <v>914563</v>
      </c>
      <c r="AJ282" s="7">
        <f t="shared" si="11"/>
        <v>11245444.7752</v>
      </c>
      <c r="AK282" s="7">
        <f t="shared" si="11"/>
        <v>89785185.098799989</v>
      </c>
      <c r="AL282" s="7">
        <f t="shared" si="11"/>
        <v>55907629.968000002</v>
      </c>
      <c r="AM282" s="7">
        <f t="shared" si="11"/>
        <v>44579215.308400005</v>
      </c>
      <c r="AN282" s="7">
        <f t="shared" si="11"/>
        <v>0</v>
      </c>
      <c r="AO282" s="7">
        <f t="shared" si="11"/>
        <v>0</v>
      </c>
      <c r="AP282" s="7">
        <f t="shared" si="11"/>
        <v>17743544.560000002</v>
      </c>
      <c r="AQ282" s="7">
        <f t="shared" si="11"/>
        <v>421468</v>
      </c>
      <c r="AR282" s="7">
        <f t="shared" si="11"/>
        <v>0</v>
      </c>
      <c r="AS282" s="7">
        <f t="shared" si="11"/>
        <v>190000</v>
      </c>
      <c r="AT282" s="7">
        <f t="shared" si="11"/>
        <v>48238932.810000062</v>
      </c>
      <c r="AU282" s="7">
        <f t="shared" si="11"/>
        <v>0</v>
      </c>
      <c r="AV282" s="7">
        <f t="shared" si="11"/>
        <v>31539566.329999998</v>
      </c>
      <c r="AW282" s="7">
        <f t="shared" si="11"/>
        <v>0</v>
      </c>
      <c r="AX282" s="7">
        <f t="shared" si="11"/>
        <v>354346.94</v>
      </c>
      <c r="AY282" s="7">
        <f t="shared" si="11"/>
        <v>0</v>
      </c>
      <c r="AZ282" s="7">
        <f t="shared" si="11"/>
        <v>40682.620000000003</v>
      </c>
      <c r="BA282" s="7">
        <f t="shared" si="11"/>
        <v>182672898.19280002</v>
      </c>
      <c r="BB282" s="7">
        <f t="shared" si="11"/>
        <v>85947533.628000006</v>
      </c>
      <c r="BC282" s="7">
        <f t="shared" si="11"/>
        <v>9148000.2151999995</v>
      </c>
      <c r="BD282" s="7">
        <f t="shared" si="11"/>
        <v>53451867.470800005</v>
      </c>
      <c r="BE282" s="7">
        <f t="shared" si="11"/>
        <v>55701859.536400005</v>
      </c>
      <c r="BF282" s="7">
        <f t="shared" si="11"/>
        <v>0</v>
      </c>
      <c r="BG282" s="7">
        <f t="shared" si="11"/>
        <v>0</v>
      </c>
      <c r="BH282" s="7">
        <f t="shared" si="11"/>
        <v>117878790.19</v>
      </c>
      <c r="BI282" s="7">
        <f t="shared" si="11"/>
        <v>24243681.760000002</v>
      </c>
      <c r="BJ282" s="7">
        <f t="shared" si="11"/>
        <v>135216171.65000001</v>
      </c>
      <c r="BK282" s="7">
        <f t="shared" si="11"/>
        <v>3832600.52</v>
      </c>
      <c r="BL282" s="7">
        <f t="shared" si="11"/>
        <v>247320616.41000006</v>
      </c>
      <c r="BM282" s="7">
        <f t="shared" si="11"/>
        <v>-59936191.329999998</v>
      </c>
      <c r="BN282" s="7">
        <f t="shared" si="11"/>
        <v>44811501.439999998</v>
      </c>
      <c r="BO282" s="7">
        <f t="shared" si="11"/>
        <v>0</v>
      </c>
      <c r="BP282" s="7">
        <f t="shared" si="11"/>
        <v>508000</v>
      </c>
      <c r="BQ282" s="7">
        <f t="shared" si="11"/>
        <v>0</v>
      </c>
      <c r="BR282" s="7">
        <f t="shared" si="11"/>
        <v>6142.769999999844</v>
      </c>
      <c r="BS282" s="7">
        <f t="shared" si="11"/>
        <v>130616.31</v>
      </c>
      <c r="BT282" s="7">
        <f t="shared" si="11"/>
        <v>929748.00000000047</v>
      </c>
      <c r="BU282" s="7">
        <f t="shared" si="11"/>
        <v>0</v>
      </c>
      <c r="BV282" s="7">
        <f t="shared" si="11"/>
        <v>0</v>
      </c>
      <c r="BW282" s="7">
        <f t="shared" si="11"/>
        <v>0</v>
      </c>
      <c r="BX282" s="7">
        <f t="shared" si="11"/>
        <v>0</v>
      </c>
      <c r="BY282" s="7">
        <f t="shared" si="11"/>
        <v>0</v>
      </c>
      <c r="BZ282" s="7">
        <f t="shared" si="11"/>
        <v>-38400000</v>
      </c>
      <c r="CA282" s="7">
        <f t="shared" ref="CA282:DF282" si="12">SUM(CA6:CA280)</f>
        <v>0</v>
      </c>
      <c r="CB282" s="7">
        <f t="shared" si="12"/>
        <v>0</v>
      </c>
      <c r="CC282" s="7">
        <f t="shared" si="12"/>
        <v>0</v>
      </c>
      <c r="CD282" s="7">
        <f t="shared" si="12"/>
        <v>0</v>
      </c>
      <c r="CE282" s="7">
        <f t="shared" si="12"/>
        <v>0</v>
      </c>
      <c r="CF282" s="7">
        <f t="shared" si="12"/>
        <v>0</v>
      </c>
      <c r="CG282" s="7">
        <f t="shared" si="12"/>
        <v>0</v>
      </c>
      <c r="CH282" s="7">
        <f t="shared" si="12"/>
        <v>0</v>
      </c>
      <c r="CI282" s="7">
        <f t="shared" si="12"/>
        <v>0</v>
      </c>
      <c r="CJ282" s="7">
        <f t="shared" si="12"/>
        <v>-1533470269.77</v>
      </c>
      <c r="CK282" s="7">
        <f t="shared" si="12"/>
        <v>0</v>
      </c>
      <c r="CL282" s="7">
        <f t="shared" si="12"/>
        <v>0</v>
      </c>
      <c r="CM282" s="7">
        <f t="shared" si="12"/>
        <v>156524979.39000002</v>
      </c>
      <c r="CN282" s="7">
        <f t="shared" si="12"/>
        <v>0</v>
      </c>
      <c r="CO282" s="7">
        <f t="shared" si="12"/>
        <v>138003711.07999998</v>
      </c>
      <c r="CP282" s="7">
        <f t="shared" si="12"/>
        <v>52401795.469999999</v>
      </c>
      <c r="CQ282" s="7">
        <f t="shared" si="12"/>
        <v>5433834.2400000002</v>
      </c>
      <c r="CR282" s="7">
        <f t="shared" si="12"/>
        <v>408418409.85000002</v>
      </c>
      <c r="CS282" s="7">
        <f t="shared" si="12"/>
        <v>23228840</v>
      </c>
      <c r="CT282" s="7">
        <f t="shared" si="12"/>
        <v>15705688.890000001</v>
      </c>
      <c r="CU282" s="7">
        <f t="shared" si="12"/>
        <v>0</v>
      </c>
      <c r="CV282" s="7">
        <f t="shared" si="12"/>
        <v>497024983.62000006</v>
      </c>
      <c r="CW282" s="7">
        <f t="shared" si="12"/>
        <v>-1049783.04</v>
      </c>
      <c r="CX282" s="7">
        <f t="shared" si="12"/>
        <v>0</v>
      </c>
      <c r="CY282" s="7">
        <f t="shared" si="12"/>
        <v>0</v>
      </c>
      <c r="CZ282" s="7">
        <f t="shared" si="12"/>
        <v>0</v>
      </c>
      <c r="DA282" s="7">
        <f t="shared" si="12"/>
        <v>0</v>
      </c>
      <c r="DB282" s="7">
        <f t="shared" si="12"/>
        <v>0</v>
      </c>
      <c r="DC282" s="7">
        <f t="shared" si="12"/>
        <v>70221627.400000006</v>
      </c>
      <c r="DD282" s="7">
        <f t="shared" si="12"/>
        <v>0</v>
      </c>
      <c r="DE282" s="7">
        <f t="shared" si="12"/>
        <v>50479412</v>
      </c>
      <c r="DF282" s="7">
        <f t="shared" si="12"/>
        <v>-198391764.39000091</v>
      </c>
      <c r="DG282" s="7">
        <f t="shared" ref="DG282" si="13">SUM(DG6:DG280)</f>
        <v>-198391764.45000133</v>
      </c>
    </row>
    <row r="284" spans="1:112" x14ac:dyDescent="0.25">
      <c r="A284" s="492"/>
      <c r="B284"/>
      <c r="C284"/>
      <c r="D284" s="970">
        <f>+D281-D282</f>
        <v>15980</v>
      </c>
      <c r="E284" s="970">
        <f t="shared" ref="E284:BQ284" si="14">+E281-E282</f>
        <v>219167.63480001688</v>
      </c>
      <c r="F284" s="970">
        <f t="shared" si="14"/>
        <v>-272796.00000001234</v>
      </c>
      <c r="G284" s="970">
        <f t="shared" si="14"/>
        <v>-815933</v>
      </c>
      <c r="H284" s="970">
        <f t="shared" si="14"/>
        <v>0</v>
      </c>
      <c r="I284" s="970">
        <f t="shared" si="14"/>
        <v>0</v>
      </c>
      <c r="J284" s="970">
        <f t="shared" si="14"/>
        <v>0</v>
      </c>
      <c r="K284" s="970">
        <f t="shared" si="14"/>
        <v>-921345.21800029278</v>
      </c>
      <c r="L284" s="970">
        <f t="shared" si="14"/>
        <v>0</v>
      </c>
      <c r="M284" s="970">
        <f t="shared" si="14"/>
        <v>0</v>
      </c>
      <c r="N284" s="970">
        <f t="shared" si="14"/>
        <v>0</v>
      </c>
      <c r="O284" s="970">
        <f t="shared" si="14"/>
        <v>-7353.1308000013232</v>
      </c>
      <c r="P284" s="970">
        <f t="shared" si="14"/>
        <v>0</v>
      </c>
      <c r="Q284" s="970">
        <f t="shared" si="14"/>
        <v>0</v>
      </c>
      <c r="R284" s="970">
        <f t="shared" si="14"/>
        <v>102565.69000000507</v>
      </c>
      <c r="S284" s="970">
        <f t="shared" si="14"/>
        <v>0</v>
      </c>
      <c r="T284" s="970">
        <f t="shared" si="14"/>
        <v>0</v>
      </c>
      <c r="U284" s="970">
        <f t="shared" si="14"/>
        <v>0</v>
      </c>
      <c r="V284" s="970">
        <f t="shared" si="14"/>
        <v>-31863.566799998283</v>
      </c>
      <c r="W284" s="970">
        <f t="shared" si="14"/>
        <v>0</v>
      </c>
      <c r="X284" s="970">
        <f t="shared" si="14"/>
        <v>0</v>
      </c>
      <c r="Y284" s="970">
        <f t="shared" si="14"/>
        <v>0</v>
      </c>
      <c r="Z284" s="970">
        <f t="shared" si="14"/>
        <v>0</v>
      </c>
      <c r="AA284" s="970">
        <f t="shared" si="14"/>
        <v>0</v>
      </c>
      <c r="AB284" s="970">
        <f t="shared" si="14"/>
        <v>0</v>
      </c>
      <c r="AC284" s="970">
        <f t="shared" si="14"/>
        <v>-4902.0871999999508</v>
      </c>
      <c r="AD284" s="970">
        <f t="shared" si="14"/>
        <v>0</v>
      </c>
      <c r="AE284" s="970">
        <f t="shared" si="14"/>
        <v>0</v>
      </c>
      <c r="AF284" s="970">
        <f t="shared" si="14"/>
        <v>0</v>
      </c>
      <c r="AG284" s="970">
        <f t="shared" si="14"/>
        <v>124800.0000000149</v>
      </c>
      <c r="AH284" s="970">
        <f t="shared" si="14"/>
        <v>40340.607600003481</v>
      </c>
      <c r="AI284" s="970">
        <f t="shared" si="14"/>
        <v>0</v>
      </c>
      <c r="AJ284" s="970">
        <f t="shared" si="14"/>
        <v>-4902.0872000027448</v>
      </c>
      <c r="AK284" s="970">
        <f t="shared" si="14"/>
        <v>155336.43320001662</v>
      </c>
      <c r="AL284" s="970">
        <f t="shared" si="14"/>
        <v>-12255.218000002205</v>
      </c>
      <c r="AM284" s="970">
        <f t="shared" si="14"/>
        <v>-22059.39240001142</v>
      </c>
      <c r="AN284" s="970">
        <f t="shared" si="14"/>
        <v>0</v>
      </c>
      <c r="AO284" s="970">
        <f t="shared" si="14"/>
        <v>0</v>
      </c>
      <c r="AP284" s="970">
        <f t="shared" si="14"/>
        <v>0</v>
      </c>
      <c r="AQ284" s="970">
        <f t="shared" si="14"/>
        <v>0</v>
      </c>
      <c r="AR284" s="970">
        <f t="shared" si="14"/>
        <v>0</v>
      </c>
      <c r="AS284" s="970">
        <f t="shared" si="14"/>
        <v>0</v>
      </c>
      <c r="AT284" s="970">
        <f t="shared" si="14"/>
        <v>-1.1920928955078125E-7</v>
      </c>
      <c r="AU284" s="970">
        <f t="shared" si="14"/>
        <v>0</v>
      </c>
      <c r="AV284" s="970">
        <f t="shared" si="14"/>
        <v>-821.23999999091029</v>
      </c>
      <c r="AW284" s="970">
        <f t="shared" si="14"/>
        <v>0</v>
      </c>
      <c r="AX284" s="970">
        <f t="shared" si="14"/>
        <v>0</v>
      </c>
      <c r="AY284" s="970">
        <f t="shared" si="14"/>
        <v>-8960000</v>
      </c>
      <c r="AZ284" s="970">
        <f t="shared" si="14"/>
        <v>0</v>
      </c>
      <c r="BA284" s="970">
        <f t="shared" si="14"/>
        <v>351581.13839998841</v>
      </c>
      <c r="BB284" s="970">
        <f t="shared" si="14"/>
        <v>-34782.727200001478</v>
      </c>
      <c r="BC284" s="970">
        <f t="shared" si="14"/>
        <v>-4902.0872000008821</v>
      </c>
      <c r="BD284" s="970">
        <f t="shared" si="14"/>
        <v>-19608.348800003529</v>
      </c>
      <c r="BE284" s="970">
        <f t="shared" si="14"/>
        <v>-34314.610399983823</v>
      </c>
      <c r="BF284" s="970">
        <f t="shared" si="14"/>
        <v>0</v>
      </c>
      <c r="BG284" s="970">
        <f t="shared" si="14"/>
        <v>0</v>
      </c>
      <c r="BH284" s="970">
        <f t="shared" si="14"/>
        <v>0</v>
      </c>
      <c r="BI284" s="970">
        <f t="shared" si="14"/>
        <v>0</v>
      </c>
      <c r="BJ284" s="970">
        <f t="shared" si="14"/>
        <v>0</v>
      </c>
      <c r="BK284" s="970">
        <f t="shared" ref="BK284" si="15">+BK281-BK282</f>
        <v>16468.55999999959</v>
      </c>
      <c r="BL284" s="970">
        <f t="shared" si="14"/>
        <v>-16526.879999965429</v>
      </c>
      <c r="BM284" s="970">
        <f t="shared" si="14"/>
        <v>750779.46999998391</v>
      </c>
      <c r="BN284" s="970">
        <f t="shared" si="14"/>
        <v>0</v>
      </c>
      <c r="BO284" s="970">
        <f t="shared" si="14"/>
        <v>0</v>
      </c>
      <c r="BP284" s="970">
        <f t="shared" si="14"/>
        <v>0</v>
      </c>
      <c r="BQ284" s="970">
        <f t="shared" si="14"/>
        <v>0</v>
      </c>
      <c r="BR284" s="970">
        <f t="shared" ref="BR284:DF284" si="16">+BR281-BR282</f>
        <v>-5.8207660913467407E-11</v>
      </c>
      <c r="BS284" s="970">
        <f t="shared" si="16"/>
        <v>0</v>
      </c>
      <c r="BT284" s="970">
        <f t="shared" si="16"/>
        <v>0</v>
      </c>
      <c r="BU284" s="970">
        <f t="shared" si="16"/>
        <v>0</v>
      </c>
      <c r="BV284" s="970">
        <f t="shared" si="16"/>
        <v>0</v>
      </c>
      <c r="BW284" s="970">
        <f t="shared" si="16"/>
        <v>0</v>
      </c>
      <c r="BX284" s="970">
        <f t="shared" si="16"/>
        <v>0</v>
      </c>
      <c r="BY284" s="970">
        <f t="shared" si="16"/>
        <v>0</v>
      </c>
      <c r="BZ284" s="970">
        <f t="shared" si="16"/>
        <v>0</v>
      </c>
      <c r="CA284" s="970">
        <f t="shared" si="16"/>
        <v>0</v>
      </c>
      <c r="CB284" s="970">
        <f t="shared" si="16"/>
        <v>0</v>
      </c>
      <c r="CC284" s="970">
        <f t="shared" si="16"/>
        <v>0</v>
      </c>
      <c r="CD284" s="970">
        <f t="shared" si="16"/>
        <v>0</v>
      </c>
      <c r="CE284" s="970">
        <f t="shared" si="16"/>
        <v>0</v>
      </c>
      <c r="CF284" s="970">
        <f t="shared" si="16"/>
        <v>0</v>
      </c>
      <c r="CG284" s="970">
        <f t="shared" si="16"/>
        <v>0</v>
      </c>
      <c r="CH284" s="970">
        <f t="shared" si="16"/>
        <v>0</v>
      </c>
      <c r="CI284" s="970">
        <f t="shared" si="16"/>
        <v>0</v>
      </c>
      <c r="CJ284" s="970">
        <f t="shared" si="16"/>
        <v>-6714.2400002479553</v>
      </c>
      <c r="CK284" s="970">
        <f t="shared" si="16"/>
        <v>0</v>
      </c>
      <c r="CL284" s="970">
        <f t="shared" si="16"/>
        <v>0</v>
      </c>
      <c r="CM284" s="970">
        <f t="shared" si="16"/>
        <v>864620</v>
      </c>
      <c r="CN284" s="970">
        <f t="shared" si="16"/>
        <v>0</v>
      </c>
      <c r="CO284" s="970">
        <f t="shared" si="16"/>
        <v>-12650482.999999985</v>
      </c>
      <c r="CP284" s="970">
        <f t="shared" si="16"/>
        <v>-3397.2000000029802</v>
      </c>
      <c r="CQ284" s="970">
        <f t="shared" si="16"/>
        <v>0</v>
      </c>
      <c r="CR284" s="970">
        <f t="shared" si="16"/>
        <v>259991.61000001431</v>
      </c>
      <c r="CS284" s="970">
        <f t="shared" si="16"/>
        <v>0</v>
      </c>
      <c r="CT284" s="970">
        <f t="shared" si="16"/>
        <v>0</v>
      </c>
      <c r="CU284" s="970">
        <f t="shared" si="16"/>
        <v>0</v>
      </c>
      <c r="CV284" s="970">
        <f t="shared" si="16"/>
        <v>13223933.590000093</v>
      </c>
      <c r="CW284" s="970">
        <f t="shared" si="16"/>
        <v>0</v>
      </c>
      <c r="CX284" s="970">
        <f t="shared" si="16"/>
        <v>0</v>
      </c>
      <c r="CY284" s="970">
        <f t="shared" si="16"/>
        <v>0</v>
      </c>
      <c r="CZ284" s="970">
        <f t="shared" si="16"/>
        <v>0</v>
      </c>
      <c r="DA284" s="970">
        <f t="shared" si="16"/>
        <v>0</v>
      </c>
      <c r="DB284" s="970">
        <f t="shared" si="16"/>
        <v>0</v>
      </c>
      <c r="DC284" s="970">
        <f t="shared" si="16"/>
        <v>-32472.000000014901</v>
      </c>
      <c r="DD284" s="970">
        <f t="shared" si="16"/>
        <v>-614205</v>
      </c>
      <c r="DE284" s="970">
        <f t="shared" si="16"/>
        <v>0</v>
      </c>
      <c r="DF284" s="970">
        <f t="shared" si="16"/>
        <v>-8346072.2999991477</v>
      </c>
      <c r="DG284" s="970">
        <f t="shared" ref="DG284" si="17">+DG281-DG282</f>
        <v>-8346072.239998728</v>
      </c>
    </row>
    <row r="286" spans="1:112" x14ac:dyDescent="0.25">
      <c r="C286" s="222"/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0</v>
      </c>
      <c r="BE286" s="6">
        <v>0</v>
      </c>
      <c r="BF286" s="6">
        <v>0</v>
      </c>
      <c r="BG286" s="6">
        <v>0</v>
      </c>
      <c r="BH286" s="6">
        <v>0</v>
      </c>
      <c r="BI286" s="6">
        <v>0</v>
      </c>
      <c r="BJ286" s="6">
        <v>0</v>
      </c>
      <c r="BK286" s="6">
        <v>0</v>
      </c>
      <c r="BL286" s="6">
        <v>0</v>
      </c>
      <c r="BM286" s="6">
        <v>0</v>
      </c>
      <c r="BN286" s="6">
        <v>0</v>
      </c>
      <c r="BO286" s="6">
        <v>0</v>
      </c>
      <c r="BP286" s="6">
        <v>0</v>
      </c>
      <c r="BQ286" s="6">
        <v>0</v>
      </c>
      <c r="BR286" s="6">
        <v>0</v>
      </c>
      <c r="BS286" s="6">
        <v>0</v>
      </c>
      <c r="BT286" s="6">
        <v>0</v>
      </c>
      <c r="BU286" s="6">
        <v>0</v>
      </c>
      <c r="BV286" s="6">
        <v>0</v>
      </c>
      <c r="BW286" s="6">
        <v>0</v>
      </c>
      <c r="BX286" s="6">
        <v>0</v>
      </c>
      <c r="BY286" s="6">
        <v>0</v>
      </c>
      <c r="BZ286" s="6">
        <v>0</v>
      </c>
      <c r="CA286" s="6">
        <v>0</v>
      </c>
      <c r="CB286" s="6">
        <v>0</v>
      </c>
      <c r="CC286" s="6">
        <v>0</v>
      </c>
      <c r="CD286" s="6">
        <v>0</v>
      </c>
      <c r="CE286" s="6">
        <v>0</v>
      </c>
      <c r="CF286" s="6">
        <v>0</v>
      </c>
      <c r="CG286" s="6">
        <v>0</v>
      </c>
      <c r="CH286" s="6">
        <v>0</v>
      </c>
      <c r="CI286" s="6">
        <v>0</v>
      </c>
      <c r="CJ286" s="6">
        <v>0</v>
      </c>
      <c r="CK286" s="6">
        <v>0</v>
      </c>
      <c r="CL286" s="6">
        <v>0</v>
      </c>
      <c r="CM286" s="6">
        <v>0</v>
      </c>
      <c r="CN286" s="6">
        <v>0</v>
      </c>
      <c r="CO286" s="6">
        <v>0</v>
      </c>
      <c r="CP286" s="6">
        <v>0</v>
      </c>
      <c r="CQ286" s="6">
        <v>0</v>
      </c>
      <c r="CR286" s="6">
        <v>0</v>
      </c>
      <c r="CS286" s="6">
        <v>0</v>
      </c>
      <c r="CT286" s="6">
        <v>0</v>
      </c>
      <c r="CU286" s="6">
        <v>0</v>
      </c>
      <c r="CV286" s="6">
        <v>0</v>
      </c>
      <c r="CW286" s="6">
        <v>0</v>
      </c>
      <c r="CX286" s="6">
        <v>0</v>
      </c>
      <c r="CY286" s="6">
        <v>0</v>
      </c>
      <c r="CZ286" s="6">
        <v>0</v>
      </c>
      <c r="DA286" s="6">
        <v>0</v>
      </c>
      <c r="DB286" s="6">
        <v>0</v>
      </c>
      <c r="DC286" s="6">
        <v>0</v>
      </c>
      <c r="DD286" s="6">
        <v>0</v>
      </c>
      <c r="DE286" s="6">
        <v>0</v>
      </c>
      <c r="DF286" s="8">
        <v>0</v>
      </c>
      <c r="DG286" s="8">
        <v>0</v>
      </c>
    </row>
    <row r="288" spans="1:112" x14ac:dyDescent="0.25">
      <c r="D288" s="6">
        <f>SUM(D284:D286)</f>
        <v>15980</v>
      </c>
      <c r="E288" s="6">
        <f t="shared" ref="E288:BQ288" si="18">SUM(E284:E286)</f>
        <v>219167.63480001688</v>
      </c>
      <c r="F288" s="6">
        <f t="shared" si="18"/>
        <v>-272796.00000001234</v>
      </c>
      <c r="G288" s="6">
        <f t="shared" si="18"/>
        <v>-815933</v>
      </c>
      <c r="H288" s="6">
        <f t="shared" si="18"/>
        <v>0</v>
      </c>
      <c r="I288" s="6">
        <f t="shared" si="18"/>
        <v>0</v>
      </c>
      <c r="J288" s="6">
        <f t="shared" si="18"/>
        <v>0</v>
      </c>
      <c r="K288" s="6">
        <f t="shared" si="18"/>
        <v>-921345.21800029278</v>
      </c>
      <c r="L288" s="6">
        <f t="shared" si="18"/>
        <v>0</v>
      </c>
      <c r="M288" s="6">
        <f t="shared" si="18"/>
        <v>0</v>
      </c>
      <c r="N288" s="6">
        <f t="shared" si="18"/>
        <v>0</v>
      </c>
      <c r="O288" s="6">
        <f t="shared" si="18"/>
        <v>-7353.1308000013232</v>
      </c>
      <c r="P288" s="6">
        <f t="shared" si="18"/>
        <v>0</v>
      </c>
      <c r="Q288" s="6">
        <f t="shared" si="18"/>
        <v>0</v>
      </c>
      <c r="R288" s="6">
        <f t="shared" si="18"/>
        <v>102565.69000000507</v>
      </c>
      <c r="S288" s="6">
        <f t="shared" si="18"/>
        <v>0</v>
      </c>
      <c r="T288" s="6">
        <f t="shared" si="18"/>
        <v>0</v>
      </c>
      <c r="U288" s="6">
        <f t="shared" si="18"/>
        <v>0</v>
      </c>
      <c r="V288" s="6">
        <f t="shared" si="18"/>
        <v>-31863.566799998283</v>
      </c>
      <c r="W288" s="6">
        <f t="shared" si="18"/>
        <v>0</v>
      </c>
      <c r="X288" s="6">
        <f t="shared" si="18"/>
        <v>0</v>
      </c>
      <c r="Y288" s="6">
        <f t="shared" si="18"/>
        <v>0</v>
      </c>
      <c r="Z288" s="6">
        <f t="shared" si="18"/>
        <v>0</v>
      </c>
      <c r="AA288" s="6">
        <f t="shared" si="18"/>
        <v>0</v>
      </c>
      <c r="AB288" s="6">
        <f t="shared" si="18"/>
        <v>0</v>
      </c>
      <c r="AC288" s="6">
        <f t="shared" si="18"/>
        <v>-4902.0871999999508</v>
      </c>
      <c r="AD288" s="6">
        <f t="shared" si="18"/>
        <v>0</v>
      </c>
      <c r="AE288" s="6">
        <f t="shared" si="18"/>
        <v>0</v>
      </c>
      <c r="AF288" s="6">
        <f t="shared" si="18"/>
        <v>0</v>
      </c>
      <c r="AG288" s="6">
        <f t="shared" si="18"/>
        <v>124800.0000000149</v>
      </c>
      <c r="AH288" s="6">
        <f t="shared" si="18"/>
        <v>40340.607600003481</v>
      </c>
      <c r="AI288" s="6">
        <f t="shared" si="18"/>
        <v>0</v>
      </c>
      <c r="AJ288" s="6">
        <f t="shared" si="18"/>
        <v>-4902.0872000027448</v>
      </c>
      <c r="AK288" s="6">
        <f t="shared" si="18"/>
        <v>155336.43320001662</v>
      </c>
      <c r="AL288" s="6">
        <f t="shared" si="18"/>
        <v>-12255.218000002205</v>
      </c>
      <c r="AM288" s="6">
        <f t="shared" si="18"/>
        <v>-22059.39240001142</v>
      </c>
      <c r="AN288" s="6">
        <f t="shared" si="18"/>
        <v>0</v>
      </c>
      <c r="AO288" s="6">
        <f t="shared" si="18"/>
        <v>0</v>
      </c>
      <c r="AP288" s="6">
        <f t="shared" si="18"/>
        <v>0</v>
      </c>
      <c r="AQ288" s="6">
        <f t="shared" si="18"/>
        <v>0</v>
      </c>
      <c r="AR288" s="6">
        <f t="shared" si="18"/>
        <v>0</v>
      </c>
      <c r="AS288" s="6">
        <f t="shared" si="18"/>
        <v>0</v>
      </c>
      <c r="AT288" s="6">
        <f t="shared" si="18"/>
        <v>-1.1920928955078125E-7</v>
      </c>
      <c r="AU288" s="6">
        <f t="shared" si="18"/>
        <v>0</v>
      </c>
      <c r="AV288" s="6">
        <f t="shared" si="18"/>
        <v>-821.23999999091029</v>
      </c>
      <c r="AW288" s="6">
        <f t="shared" si="18"/>
        <v>0</v>
      </c>
      <c r="AX288" s="6">
        <f t="shared" si="18"/>
        <v>0</v>
      </c>
      <c r="AY288" s="6">
        <f t="shared" si="18"/>
        <v>-8960000</v>
      </c>
      <c r="AZ288" s="6">
        <f t="shared" si="18"/>
        <v>0</v>
      </c>
      <c r="BA288" s="6">
        <f t="shared" si="18"/>
        <v>351581.13839998841</v>
      </c>
      <c r="BB288" s="6">
        <f t="shared" si="18"/>
        <v>-34782.727200001478</v>
      </c>
      <c r="BC288" s="6">
        <f t="shared" si="18"/>
        <v>-4902.0872000008821</v>
      </c>
      <c r="BD288" s="6">
        <f t="shared" si="18"/>
        <v>-19608.348800003529</v>
      </c>
      <c r="BE288" s="6">
        <f t="shared" si="18"/>
        <v>-34314.610399983823</v>
      </c>
      <c r="BF288" s="6">
        <f t="shared" si="18"/>
        <v>0</v>
      </c>
      <c r="BG288" s="6">
        <f t="shared" si="18"/>
        <v>0</v>
      </c>
      <c r="BH288" s="6">
        <f t="shared" si="18"/>
        <v>0</v>
      </c>
      <c r="BI288" s="6">
        <f t="shared" si="18"/>
        <v>0</v>
      </c>
      <c r="BJ288" s="6">
        <f t="shared" si="18"/>
        <v>0</v>
      </c>
      <c r="BK288" s="6">
        <f t="shared" ref="BK288" si="19">SUM(BK284:BK286)</f>
        <v>16468.55999999959</v>
      </c>
      <c r="BL288" s="6">
        <f t="shared" si="18"/>
        <v>-16526.879999965429</v>
      </c>
      <c r="BM288" s="6">
        <f t="shared" si="18"/>
        <v>750779.46999998391</v>
      </c>
      <c r="BN288" s="6">
        <f t="shared" si="18"/>
        <v>0</v>
      </c>
      <c r="BO288" s="6">
        <f t="shared" si="18"/>
        <v>0</v>
      </c>
      <c r="BP288" s="6">
        <f t="shared" si="18"/>
        <v>0</v>
      </c>
      <c r="BQ288" s="6">
        <f t="shared" si="18"/>
        <v>0</v>
      </c>
      <c r="BR288" s="6">
        <f t="shared" ref="BR288:DF288" si="20">SUM(BR284:BR286)</f>
        <v>-5.8207660913467407E-11</v>
      </c>
      <c r="BS288" s="6">
        <f t="shared" si="20"/>
        <v>0</v>
      </c>
      <c r="BT288" s="6">
        <f t="shared" si="20"/>
        <v>0</v>
      </c>
      <c r="BU288" s="6">
        <f t="shared" si="20"/>
        <v>0</v>
      </c>
      <c r="BV288" s="6">
        <f t="shared" si="20"/>
        <v>0</v>
      </c>
      <c r="BW288" s="6">
        <f t="shared" si="20"/>
        <v>0</v>
      </c>
      <c r="BX288" s="6">
        <f t="shared" si="20"/>
        <v>0</v>
      </c>
      <c r="BY288" s="6">
        <f t="shared" si="20"/>
        <v>0</v>
      </c>
      <c r="BZ288" s="6">
        <f t="shared" si="20"/>
        <v>0</v>
      </c>
      <c r="CA288" s="6">
        <f t="shared" si="20"/>
        <v>0</v>
      </c>
      <c r="CB288" s="6">
        <f t="shared" si="20"/>
        <v>0</v>
      </c>
      <c r="CC288" s="6">
        <f t="shared" si="20"/>
        <v>0</v>
      </c>
      <c r="CD288" s="6">
        <f t="shared" si="20"/>
        <v>0</v>
      </c>
      <c r="CE288" s="6">
        <f t="shared" si="20"/>
        <v>0</v>
      </c>
      <c r="CF288" s="6">
        <f t="shared" si="20"/>
        <v>0</v>
      </c>
      <c r="CG288" s="6">
        <f t="shared" si="20"/>
        <v>0</v>
      </c>
      <c r="CH288" s="6">
        <f t="shared" si="20"/>
        <v>0</v>
      </c>
      <c r="CI288" s="6">
        <f t="shared" si="20"/>
        <v>0</v>
      </c>
      <c r="CJ288" s="6">
        <f t="shared" si="20"/>
        <v>-6714.2400002479553</v>
      </c>
      <c r="CK288" s="6">
        <f t="shared" si="20"/>
        <v>0</v>
      </c>
      <c r="CL288" s="6">
        <f t="shared" si="20"/>
        <v>0</v>
      </c>
      <c r="CM288" s="6">
        <f t="shared" si="20"/>
        <v>864620</v>
      </c>
      <c r="CN288" s="6">
        <f t="shared" si="20"/>
        <v>0</v>
      </c>
      <c r="CO288" s="6">
        <f t="shared" si="20"/>
        <v>-12650482.999999985</v>
      </c>
      <c r="CP288" s="6">
        <f t="shared" si="20"/>
        <v>-3397.2000000029802</v>
      </c>
      <c r="CQ288" s="6">
        <f t="shared" si="20"/>
        <v>0</v>
      </c>
      <c r="CR288" s="6">
        <f t="shared" si="20"/>
        <v>259991.61000001431</v>
      </c>
      <c r="CS288" s="6">
        <f t="shared" si="20"/>
        <v>0</v>
      </c>
      <c r="CT288" s="6">
        <f t="shared" si="20"/>
        <v>0</v>
      </c>
      <c r="CU288" s="6">
        <f t="shared" si="20"/>
        <v>0</v>
      </c>
      <c r="CV288" s="6">
        <f t="shared" si="20"/>
        <v>13223933.590000093</v>
      </c>
      <c r="CW288" s="6">
        <f t="shared" si="20"/>
        <v>0</v>
      </c>
      <c r="CX288" s="6">
        <f t="shared" si="20"/>
        <v>0</v>
      </c>
      <c r="CY288" s="6">
        <f t="shared" si="20"/>
        <v>0</v>
      </c>
      <c r="CZ288" s="6">
        <f t="shared" si="20"/>
        <v>0</v>
      </c>
      <c r="DA288" s="6">
        <f t="shared" si="20"/>
        <v>0</v>
      </c>
      <c r="DB288" s="6">
        <f t="shared" si="20"/>
        <v>0</v>
      </c>
      <c r="DC288" s="6">
        <f t="shared" si="20"/>
        <v>-32472.000000014901</v>
      </c>
      <c r="DD288" s="6">
        <f t="shared" si="20"/>
        <v>-614205</v>
      </c>
      <c r="DE288" s="6">
        <f t="shared" si="20"/>
        <v>0</v>
      </c>
      <c r="DF288" s="6">
        <f t="shared" si="20"/>
        <v>-8346072.2999991477</v>
      </c>
      <c r="DG288" s="6">
        <f t="shared" ref="DG288" si="21">SUM(DG284:DG286)</f>
        <v>-8346072.239998728</v>
      </c>
    </row>
    <row r="300" spans="1:1" x14ac:dyDescent="0.25">
      <c r="A300" s="4"/>
    </row>
    <row r="301" spans="1:1" x14ac:dyDescent="0.25">
      <c r="A301" s="4"/>
    </row>
    <row r="302" spans="1:1" x14ac:dyDescent="0.25">
      <c r="A302"/>
    </row>
    <row r="303" spans="1:1" x14ac:dyDescent="0.25">
      <c r="A303"/>
    </row>
    <row r="333" spans="1:1" ht="13" x14ac:dyDescent="0.3">
      <c r="A333" s="3"/>
    </row>
    <row r="334" spans="1:1" x14ac:dyDescent="0.25">
      <c r="A334" s="4"/>
    </row>
    <row r="336" spans="1:1" x14ac:dyDescent="0.25">
      <c r="A336" s="492"/>
    </row>
    <row r="352" spans="1:1" x14ac:dyDescent="0.25">
      <c r="A352" s="4"/>
    </row>
    <row r="353" spans="1:1" x14ac:dyDescent="0.25">
      <c r="A353" s="4"/>
    </row>
    <row r="354" spans="1:1" x14ac:dyDescent="0.25">
      <c r="A354"/>
    </row>
    <row r="355" spans="1:1" x14ac:dyDescent="0.25">
      <c r="A35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X222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8.81640625" defaultRowHeight="12.5" x14ac:dyDescent="0.25"/>
  <cols>
    <col min="1" max="1" width="11" style="4" bestFit="1" customWidth="1"/>
    <col min="2" max="2" width="46.453125" style="1" bestFit="1" customWidth="1"/>
    <col min="3" max="3" width="9.453125" style="6" bestFit="1" customWidth="1"/>
    <col min="4" max="4" width="13.54296875" style="8" bestFit="1" customWidth="1"/>
    <col min="5" max="5" width="11.453125" style="6" bestFit="1" customWidth="1"/>
    <col min="6" max="6" width="11.453125" style="8" bestFit="1" customWidth="1"/>
    <col min="7" max="7" width="10.453125" style="6" bestFit="1" customWidth="1"/>
    <col min="8" max="8" width="13.7265625" style="8" bestFit="1" customWidth="1"/>
    <col min="9" max="9" width="5.453125" style="6" bestFit="1" customWidth="1"/>
    <col min="10" max="10" width="14.7265625" style="8" bestFit="1" customWidth="1"/>
    <col min="11" max="11" width="8.453125" style="6" bestFit="1" customWidth="1"/>
    <col min="12" max="12" width="13.7265625" style="8" bestFit="1" customWidth="1"/>
    <col min="13" max="13" width="12.453125" style="6" bestFit="1" customWidth="1"/>
    <col min="14" max="14" width="11.453125" style="8" bestFit="1" customWidth="1"/>
    <col min="15" max="15" width="8.453125" style="6" bestFit="1" customWidth="1"/>
    <col min="16" max="16" width="12.453125" style="8" bestFit="1" customWidth="1"/>
    <col min="17" max="17" width="10.453125" style="6" bestFit="1" customWidth="1"/>
    <col min="18" max="18" width="10.453125" style="8" bestFit="1" customWidth="1"/>
    <col min="19" max="19" width="8.453125" style="6" bestFit="1" customWidth="1"/>
    <col min="20" max="20" width="12.453125" style="8" bestFit="1" customWidth="1"/>
    <col min="21" max="21" width="12.453125" style="6" bestFit="1" customWidth="1"/>
    <col min="22" max="22" width="12.453125" style="8" bestFit="1" customWidth="1"/>
    <col min="23" max="23" width="12.453125" style="6" bestFit="1" customWidth="1"/>
    <col min="24" max="24" width="12.453125" style="8" bestFit="1" customWidth="1"/>
    <col min="25" max="25" width="10.54296875" style="6" bestFit="1" customWidth="1"/>
    <col min="26" max="26" width="11.453125" style="8" bestFit="1" customWidth="1"/>
    <col min="27" max="27" width="12.54296875" style="6" bestFit="1" customWidth="1"/>
    <col min="28" max="28" width="12.54296875" style="8" bestFit="1" customWidth="1"/>
    <col min="29" max="29" width="9.453125" style="6" bestFit="1" customWidth="1"/>
    <col min="30" max="30" width="12.453125" style="8" bestFit="1" customWidth="1"/>
    <col min="31" max="31" width="12.453125" style="6" bestFit="1" customWidth="1"/>
    <col min="32" max="32" width="10.453125" style="8" bestFit="1" customWidth="1"/>
    <col min="33" max="33" width="12.453125" style="6" bestFit="1" customWidth="1"/>
    <col min="34" max="34" width="12.453125" style="8" bestFit="1" customWidth="1"/>
    <col min="35" max="35" width="12.453125" style="6" bestFit="1" customWidth="1"/>
    <col min="36" max="36" width="12.453125" style="8" bestFit="1" customWidth="1"/>
    <col min="37" max="37" width="12.453125" style="6" bestFit="1" customWidth="1"/>
    <col min="38" max="38" width="10.453125" style="8" bestFit="1" customWidth="1"/>
    <col min="39" max="39" width="10.453125" style="6" bestFit="1" customWidth="1"/>
    <col min="40" max="40" width="13.7265625" style="8" bestFit="1" customWidth="1"/>
    <col min="41" max="41" width="12.453125" style="6" bestFit="1" customWidth="1"/>
    <col min="42" max="42" width="10.453125" style="8" bestFit="1" customWidth="1"/>
    <col min="43" max="43" width="11.54296875" style="6" bestFit="1" customWidth="1"/>
    <col min="44" max="44" width="9.453125" style="8" bestFit="1" customWidth="1"/>
    <col min="45" max="45" width="13.54296875" style="6" bestFit="1" customWidth="1"/>
    <col min="46" max="46" width="12.453125" style="8" bestFit="1" customWidth="1"/>
    <col min="47" max="47" width="11.453125" style="6" bestFit="1" customWidth="1"/>
    <col min="48" max="48" width="12.453125" style="8" bestFit="1" customWidth="1"/>
    <col min="49" max="49" width="12.453125" style="6" bestFit="1" customWidth="1"/>
    <col min="50" max="50" width="13.54296875" style="8" bestFit="1" customWidth="1"/>
    <col min="51" max="51" width="12.453125" style="6" bestFit="1" customWidth="1"/>
    <col min="52" max="52" width="13.54296875" style="8" bestFit="1" customWidth="1"/>
    <col min="53" max="53" width="11.453125" style="6" bestFit="1" customWidth="1"/>
    <col min="54" max="54" width="13.54296875" style="8" bestFit="1" customWidth="1"/>
    <col min="55" max="55" width="13.7265625" style="6" bestFit="1" customWidth="1"/>
    <col min="56" max="56" width="12.453125" style="8" bestFit="1" customWidth="1"/>
    <col min="57" max="57" width="10.453125" style="6" bestFit="1" customWidth="1"/>
    <col min="58" max="58" width="10.54296875" style="8" bestFit="1" customWidth="1"/>
    <col min="59" max="59" width="10.453125" style="6" bestFit="1" customWidth="1"/>
    <col min="60" max="60" width="10.54296875" style="8" bestFit="1" customWidth="1"/>
    <col min="61" max="61" width="12.54296875" style="6" bestFit="1" customWidth="1"/>
    <col min="62" max="62" width="14.7265625" style="8" bestFit="1" customWidth="1"/>
    <col min="63" max="63" width="13.54296875" style="6" bestFit="1" customWidth="1"/>
    <col min="64" max="64" width="13.54296875" style="8" bestFit="1" customWidth="1"/>
    <col min="65" max="65" width="12.453125" style="6" bestFit="1" customWidth="1"/>
    <col min="66" max="66" width="11.54296875" style="8" bestFit="1" customWidth="1"/>
    <col min="67" max="67" width="13.54296875" style="6" bestFit="1" customWidth="1"/>
    <col min="68" max="68" width="12.453125" style="8" bestFit="1" customWidth="1"/>
    <col min="69" max="69" width="12.453125" style="6" bestFit="1" customWidth="1"/>
    <col min="70" max="70" width="5.453125" style="8" bestFit="1" customWidth="1"/>
    <col min="71" max="71" width="13.54296875" style="6" bestFit="1" customWidth="1"/>
    <col min="72" max="72" width="11.54296875" style="8" bestFit="1" customWidth="1"/>
    <col min="73" max="73" width="12.453125" style="6" bestFit="1" customWidth="1"/>
    <col min="74" max="74" width="11.54296875" style="8" bestFit="1" customWidth="1"/>
    <col min="75" max="75" width="12.453125" style="6" bestFit="1" customWidth="1"/>
    <col min="76" max="76" width="14.7265625" style="9" bestFit="1" customWidth="1"/>
    <col min="77" max="256" width="8.81640625" style="1"/>
    <col min="257" max="257" width="11" style="1" bestFit="1" customWidth="1"/>
    <col min="258" max="258" width="46.453125" style="1" bestFit="1" customWidth="1"/>
    <col min="259" max="259" width="9.453125" style="1" bestFit="1" customWidth="1"/>
    <col min="260" max="260" width="13.54296875" style="1" bestFit="1" customWidth="1"/>
    <col min="261" max="262" width="11.453125" style="1" bestFit="1" customWidth="1"/>
    <col min="263" max="263" width="10.453125" style="1" bestFit="1" customWidth="1"/>
    <col min="264" max="264" width="13.7265625" style="1" bestFit="1" customWidth="1"/>
    <col min="265" max="265" width="5.453125" style="1" bestFit="1" customWidth="1"/>
    <col min="266" max="266" width="14.7265625" style="1" bestFit="1" customWidth="1"/>
    <col min="267" max="267" width="8.453125" style="1" bestFit="1" customWidth="1"/>
    <col min="268" max="268" width="13.7265625" style="1" bestFit="1" customWidth="1"/>
    <col min="269" max="269" width="12.453125" style="1" bestFit="1" customWidth="1"/>
    <col min="270" max="270" width="11.453125" style="1" bestFit="1" customWidth="1"/>
    <col min="271" max="271" width="8.453125" style="1" bestFit="1" customWidth="1"/>
    <col min="272" max="272" width="12.453125" style="1" bestFit="1" customWidth="1"/>
    <col min="273" max="274" width="10.453125" style="1" bestFit="1" customWidth="1"/>
    <col min="275" max="275" width="8.453125" style="1" bestFit="1" customWidth="1"/>
    <col min="276" max="280" width="12.453125" style="1" bestFit="1" customWidth="1"/>
    <col min="281" max="281" width="10.54296875" style="1" bestFit="1" customWidth="1"/>
    <col min="282" max="282" width="11.453125" style="1" bestFit="1" customWidth="1"/>
    <col min="283" max="284" width="12.54296875" style="1" bestFit="1" customWidth="1"/>
    <col min="285" max="285" width="9.453125" style="1" bestFit="1" customWidth="1"/>
    <col min="286" max="287" width="12.453125" style="1" bestFit="1" customWidth="1"/>
    <col min="288" max="288" width="10.453125" style="1" bestFit="1" customWidth="1"/>
    <col min="289" max="293" width="12.453125" style="1" bestFit="1" customWidth="1"/>
    <col min="294" max="295" width="10.453125" style="1" bestFit="1" customWidth="1"/>
    <col min="296" max="296" width="13.7265625" style="1" bestFit="1" customWidth="1"/>
    <col min="297" max="297" width="12.453125" style="1" bestFit="1" customWidth="1"/>
    <col min="298" max="298" width="10.453125" style="1" bestFit="1" customWidth="1"/>
    <col min="299" max="299" width="11.54296875" style="1" bestFit="1" customWidth="1"/>
    <col min="300" max="300" width="9.453125" style="1" bestFit="1" customWidth="1"/>
    <col min="301" max="301" width="13.54296875" style="1" bestFit="1" customWidth="1"/>
    <col min="302" max="302" width="12.453125" style="1" bestFit="1" customWidth="1"/>
    <col min="303" max="303" width="11.453125" style="1" bestFit="1" customWidth="1"/>
    <col min="304" max="305" width="12.453125" style="1" bestFit="1" customWidth="1"/>
    <col min="306" max="306" width="13.54296875" style="1" bestFit="1" customWidth="1"/>
    <col min="307" max="307" width="12.453125" style="1" bestFit="1" customWidth="1"/>
    <col min="308" max="308" width="13.54296875" style="1" bestFit="1" customWidth="1"/>
    <col min="309" max="309" width="11.453125" style="1" bestFit="1" customWidth="1"/>
    <col min="310" max="310" width="13.54296875" style="1" bestFit="1" customWidth="1"/>
    <col min="311" max="311" width="13.7265625" style="1" bestFit="1" customWidth="1"/>
    <col min="312" max="312" width="12.453125" style="1" bestFit="1" customWidth="1"/>
    <col min="313" max="313" width="10.453125" style="1" bestFit="1" customWidth="1"/>
    <col min="314" max="314" width="10.54296875" style="1" bestFit="1" customWidth="1"/>
    <col min="315" max="315" width="10.453125" style="1" bestFit="1" customWidth="1"/>
    <col min="316" max="316" width="10.54296875" style="1" bestFit="1" customWidth="1"/>
    <col min="317" max="317" width="12.54296875" style="1" bestFit="1" customWidth="1"/>
    <col min="318" max="318" width="14.7265625" style="1" bestFit="1" customWidth="1"/>
    <col min="319" max="320" width="13.54296875" style="1" bestFit="1" customWidth="1"/>
    <col min="321" max="321" width="12.453125" style="1" bestFit="1" customWidth="1"/>
    <col min="322" max="322" width="11.54296875" style="1" bestFit="1" customWidth="1"/>
    <col min="323" max="323" width="13.54296875" style="1" bestFit="1" customWidth="1"/>
    <col min="324" max="325" width="12.453125" style="1" bestFit="1" customWidth="1"/>
    <col min="326" max="326" width="5.453125" style="1" bestFit="1" customWidth="1"/>
    <col min="327" max="327" width="13.54296875" style="1" bestFit="1" customWidth="1"/>
    <col min="328" max="328" width="11.54296875" style="1" bestFit="1" customWidth="1"/>
    <col min="329" max="329" width="12.453125" style="1" bestFit="1" customWidth="1"/>
    <col min="330" max="330" width="11.54296875" style="1" bestFit="1" customWidth="1"/>
    <col min="331" max="331" width="12.453125" style="1" bestFit="1" customWidth="1"/>
    <col min="332" max="332" width="14.7265625" style="1" bestFit="1" customWidth="1"/>
    <col min="333" max="512" width="8.81640625" style="1"/>
    <col min="513" max="513" width="11" style="1" bestFit="1" customWidth="1"/>
    <col min="514" max="514" width="46.453125" style="1" bestFit="1" customWidth="1"/>
    <col min="515" max="515" width="9.453125" style="1" bestFit="1" customWidth="1"/>
    <col min="516" max="516" width="13.54296875" style="1" bestFit="1" customWidth="1"/>
    <col min="517" max="518" width="11.453125" style="1" bestFit="1" customWidth="1"/>
    <col min="519" max="519" width="10.453125" style="1" bestFit="1" customWidth="1"/>
    <col min="520" max="520" width="13.7265625" style="1" bestFit="1" customWidth="1"/>
    <col min="521" max="521" width="5.453125" style="1" bestFit="1" customWidth="1"/>
    <col min="522" max="522" width="14.7265625" style="1" bestFit="1" customWidth="1"/>
    <col min="523" max="523" width="8.453125" style="1" bestFit="1" customWidth="1"/>
    <col min="524" max="524" width="13.7265625" style="1" bestFit="1" customWidth="1"/>
    <col min="525" max="525" width="12.453125" style="1" bestFit="1" customWidth="1"/>
    <col min="526" max="526" width="11.453125" style="1" bestFit="1" customWidth="1"/>
    <col min="527" max="527" width="8.453125" style="1" bestFit="1" customWidth="1"/>
    <col min="528" max="528" width="12.453125" style="1" bestFit="1" customWidth="1"/>
    <col min="529" max="530" width="10.453125" style="1" bestFit="1" customWidth="1"/>
    <col min="531" max="531" width="8.453125" style="1" bestFit="1" customWidth="1"/>
    <col min="532" max="536" width="12.453125" style="1" bestFit="1" customWidth="1"/>
    <col min="537" max="537" width="10.54296875" style="1" bestFit="1" customWidth="1"/>
    <col min="538" max="538" width="11.453125" style="1" bestFit="1" customWidth="1"/>
    <col min="539" max="540" width="12.54296875" style="1" bestFit="1" customWidth="1"/>
    <col min="541" max="541" width="9.453125" style="1" bestFit="1" customWidth="1"/>
    <col min="542" max="543" width="12.453125" style="1" bestFit="1" customWidth="1"/>
    <col min="544" max="544" width="10.453125" style="1" bestFit="1" customWidth="1"/>
    <col min="545" max="549" width="12.453125" style="1" bestFit="1" customWidth="1"/>
    <col min="550" max="551" width="10.453125" style="1" bestFit="1" customWidth="1"/>
    <col min="552" max="552" width="13.7265625" style="1" bestFit="1" customWidth="1"/>
    <col min="553" max="553" width="12.453125" style="1" bestFit="1" customWidth="1"/>
    <col min="554" max="554" width="10.453125" style="1" bestFit="1" customWidth="1"/>
    <col min="555" max="555" width="11.54296875" style="1" bestFit="1" customWidth="1"/>
    <col min="556" max="556" width="9.453125" style="1" bestFit="1" customWidth="1"/>
    <col min="557" max="557" width="13.54296875" style="1" bestFit="1" customWidth="1"/>
    <col min="558" max="558" width="12.453125" style="1" bestFit="1" customWidth="1"/>
    <col min="559" max="559" width="11.453125" style="1" bestFit="1" customWidth="1"/>
    <col min="560" max="561" width="12.453125" style="1" bestFit="1" customWidth="1"/>
    <col min="562" max="562" width="13.54296875" style="1" bestFit="1" customWidth="1"/>
    <col min="563" max="563" width="12.453125" style="1" bestFit="1" customWidth="1"/>
    <col min="564" max="564" width="13.54296875" style="1" bestFit="1" customWidth="1"/>
    <col min="565" max="565" width="11.453125" style="1" bestFit="1" customWidth="1"/>
    <col min="566" max="566" width="13.54296875" style="1" bestFit="1" customWidth="1"/>
    <col min="567" max="567" width="13.7265625" style="1" bestFit="1" customWidth="1"/>
    <col min="568" max="568" width="12.453125" style="1" bestFit="1" customWidth="1"/>
    <col min="569" max="569" width="10.453125" style="1" bestFit="1" customWidth="1"/>
    <col min="570" max="570" width="10.54296875" style="1" bestFit="1" customWidth="1"/>
    <col min="571" max="571" width="10.453125" style="1" bestFit="1" customWidth="1"/>
    <col min="572" max="572" width="10.54296875" style="1" bestFit="1" customWidth="1"/>
    <col min="573" max="573" width="12.54296875" style="1" bestFit="1" customWidth="1"/>
    <col min="574" max="574" width="14.7265625" style="1" bestFit="1" customWidth="1"/>
    <col min="575" max="576" width="13.54296875" style="1" bestFit="1" customWidth="1"/>
    <col min="577" max="577" width="12.453125" style="1" bestFit="1" customWidth="1"/>
    <col min="578" max="578" width="11.54296875" style="1" bestFit="1" customWidth="1"/>
    <col min="579" max="579" width="13.54296875" style="1" bestFit="1" customWidth="1"/>
    <col min="580" max="581" width="12.453125" style="1" bestFit="1" customWidth="1"/>
    <col min="582" max="582" width="5.453125" style="1" bestFit="1" customWidth="1"/>
    <col min="583" max="583" width="13.54296875" style="1" bestFit="1" customWidth="1"/>
    <col min="584" max="584" width="11.54296875" style="1" bestFit="1" customWidth="1"/>
    <col min="585" max="585" width="12.453125" style="1" bestFit="1" customWidth="1"/>
    <col min="586" max="586" width="11.54296875" style="1" bestFit="1" customWidth="1"/>
    <col min="587" max="587" width="12.453125" style="1" bestFit="1" customWidth="1"/>
    <col min="588" max="588" width="14.7265625" style="1" bestFit="1" customWidth="1"/>
    <col min="589" max="768" width="8.81640625" style="1"/>
    <col min="769" max="769" width="11" style="1" bestFit="1" customWidth="1"/>
    <col min="770" max="770" width="46.453125" style="1" bestFit="1" customWidth="1"/>
    <col min="771" max="771" width="9.453125" style="1" bestFit="1" customWidth="1"/>
    <col min="772" max="772" width="13.54296875" style="1" bestFit="1" customWidth="1"/>
    <col min="773" max="774" width="11.453125" style="1" bestFit="1" customWidth="1"/>
    <col min="775" max="775" width="10.453125" style="1" bestFit="1" customWidth="1"/>
    <col min="776" max="776" width="13.7265625" style="1" bestFit="1" customWidth="1"/>
    <col min="777" max="777" width="5.453125" style="1" bestFit="1" customWidth="1"/>
    <col min="778" max="778" width="14.7265625" style="1" bestFit="1" customWidth="1"/>
    <col min="779" max="779" width="8.453125" style="1" bestFit="1" customWidth="1"/>
    <col min="780" max="780" width="13.7265625" style="1" bestFit="1" customWidth="1"/>
    <col min="781" max="781" width="12.453125" style="1" bestFit="1" customWidth="1"/>
    <col min="782" max="782" width="11.453125" style="1" bestFit="1" customWidth="1"/>
    <col min="783" max="783" width="8.453125" style="1" bestFit="1" customWidth="1"/>
    <col min="784" max="784" width="12.453125" style="1" bestFit="1" customWidth="1"/>
    <col min="785" max="786" width="10.453125" style="1" bestFit="1" customWidth="1"/>
    <col min="787" max="787" width="8.453125" style="1" bestFit="1" customWidth="1"/>
    <col min="788" max="792" width="12.453125" style="1" bestFit="1" customWidth="1"/>
    <col min="793" max="793" width="10.54296875" style="1" bestFit="1" customWidth="1"/>
    <col min="794" max="794" width="11.453125" style="1" bestFit="1" customWidth="1"/>
    <col min="795" max="796" width="12.54296875" style="1" bestFit="1" customWidth="1"/>
    <col min="797" max="797" width="9.453125" style="1" bestFit="1" customWidth="1"/>
    <col min="798" max="799" width="12.453125" style="1" bestFit="1" customWidth="1"/>
    <col min="800" max="800" width="10.453125" style="1" bestFit="1" customWidth="1"/>
    <col min="801" max="805" width="12.453125" style="1" bestFit="1" customWidth="1"/>
    <col min="806" max="807" width="10.453125" style="1" bestFit="1" customWidth="1"/>
    <col min="808" max="808" width="13.7265625" style="1" bestFit="1" customWidth="1"/>
    <col min="809" max="809" width="12.453125" style="1" bestFit="1" customWidth="1"/>
    <col min="810" max="810" width="10.453125" style="1" bestFit="1" customWidth="1"/>
    <col min="811" max="811" width="11.54296875" style="1" bestFit="1" customWidth="1"/>
    <col min="812" max="812" width="9.453125" style="1" bestFit="1" customWidth="1"/>
    <col min="813" max="813" width="13.54296875" style="1" bestFit="1" customWidth="1"/>
    <col min="814" max="814" width="12.453125" style="1" bestFit="1" customWidth="1"/>
    <col min="815" max="815" width="11.453125" style="1" bestFit="1" customWidth="1"/>
    <col min="816" max="817" width="12.453125" style="1" bestFit="1" customWidth="1"/>
    <col min="818" max="818" width="13.54296875" style="1" bestFit="1" customWidth="1"/>
    <col min="819" max="819" width="12.453125" style="1" bestFit="1" customWidth="1"/>
    <col min="820" max="820" width="13.54296875" style="1" bestFit="1" customWidth="1"/>
    <col min="821" max="821" width="11.453125" style="1" bestFit="1" customWidth="1"/>
    <col min="822" max="822" width="13.54296875" style="1" bestFit="1" customWidth="1"/>
    <col min="823" max="823" width="13.7265625" style="1" bestFit="1" customWidth="1"/>
    <col min="824" max="824" width="12.453125" style="1" bestFit="1" customWidth="1"/>
    <col min="825" max="825" width="10.453125" style="1" bestFit="1" customWidth="1"/>
    <col min="826" max="826" width="10.54296875" style="1" bestFit="1" customWidth="1"/>
    <col min="827" max="827" width="10.453125" style="1" bestFit="1" customWidth="1"/>
    <col min="828" max="828" width="10.54296875" style="1" bestFit="1" customWidth="1"/>
    <col min="829" max="829" width="12.54296875" style="1" bestFit="1" customWidth="1"/>
    <col min="830" max="830" width="14.7265625" style="1" bestFit="1" customWidth="1"/>
    <col min="831" max="832" width="13.54296875" style="1" bestFit="1" customWidth="1"/>
    <col min="833" max="833" width="12.453125" style="1" bestFit="1" customWidth="1"/>
    <col min="834" max="834" width="11.54296875" style="1" bestFit="1" customWidth="1"/>
    <col min="835" max="835" width="13.54296875" style="1" bestFit="1" customWidth="1"/>
    <col min="836" max="837" width="12.453125" style="1" bestFit="1" customWidth="1"/>
    <col min="838" max="838" width="5.453125" style="1" bestFit="1" customWidth="1"/>
    <col min="839" max="839" width="13.54296875" style="1" bestFit="1" customWidth="1"/>
    <col min="840" max="840" width="11.54296875" style="1" bestFit="1" customWidth="1"/>
    <col min="841" max="841" width="12.453125" style="1" bestFit="1" customWidth="1"/>
    <col min="842" max="842" width="11.54296875" style="1" bestFit="1" customWidth="1"/>
    <col min="843" max="843" width="12.453125" style="1" bestFit="1" customWidth="1"/>
    <col min="844" max="844" width="14.7265625" style="1" bestFit="1" customWidth="1"/>
    <col min="845" max="1024" width="8.81640625" style="1"/>
    <col min="1025" max="1025" width="11" style="1" bestFit="1" customWidth="1"/>
    <col min="1026" max="1026" width="46.453125" style="1" bestFit="1" customWidth="1"/>
    <col min="1027" max="1027" width="9.453125" style="1" bestFit="1" customWidth="1"/>
    <col min="1028" max="1028" width="13.54296875" style="1" bestFit="1" customWidth="1"/>
    <col min="1029" max="1030" width="11.453125" style="1" bestFit="1" customWidth="1"/>
    <col min="1031" max="1031" width="10.453125" style="1" bestFit="1" customWidth="1"/>
    <col min="1032" max="1032" width="13.7265625" style="1" bestFit="1" customWidth="1"/>
    <col min="1033" max="1033" width="5.453125" style="1" bestFit="1" customWidth="1"/>
    <col min="1034" max="1034" width="14.7265625" style="1" bestFit="1" customWidth="1"/>
    <col min="1035" max="1035" width="8.453125" style="1" bestFit="1" customWidth="1"/>
    <col min="1036" max="1036" width="13.7265625" style="1" bestFit="1" customWidth="1"/>
    <col min="1037" max="1037" width="12.453125" style="1" bestFit="1" customWidth="1"/>
    <col min="1038" max="1038" width="11.453125" style="1" bestFit="1" customWidth="1"/>
    <col min="1039" max="1039" width="8.453125" style="1" bestFit="1" customWidth="1"/>
    <col min="1040" max="1040" width="12.453125" style="1" bestFit="1" customWidth="1"/>
    <col min="1041" max="1042" width="10.453125" style="1" bestFit="1" customWidth="1"/>
    <col min="1043" max="1043" width="8.453125" style="1" bestFit="1" customWidth="1"/>
    <col min="1044" max="1048" width="12.453125" style="1" bestFit="1" customWidth="1"/>
    <col min="1049" max="1049" width="10.54296875" style="1" bestFit="1" customWidth="1"/>
    <col min="1050" max="1050" width="11.453125" style="1" bestFit="1" customWidth="1"/>
    <col min="1051" max="1052" width="12.54296875" style="1" bestFit="1" customWidth="1"/>
    <col min="1053" max="1053" width="9.453125" style="1" bestFit="1" customWidth="1"/>
    <col min="1054" max="1055" width="12.453125" style="1" bestFit="1" customWidth="1"/>
    <col min="1056" max="1056" width="10.453125" style="1" bestFit="1" customWidth="1"/>
    <col min="1057" max="1061" width="12.453125" style="1" bestFit="1" customWidth="1"/>
    <col min="1062" max="1063" width="10.453125" style="1" bestFit="1" customWidth="1"/>
    <col min="1064" max="1064" width="13.7265625" style="1" bestFit="1" customWidth="1"/>
    <col min="1065" max="1065" width="12.453125" style="1" bestFit="1" customWidth="1"/>
    <col min="1066" max="1066" width="10.453125" style="1" bestFit="1" customWidth="1"/>
    <col min="1067" max="1067" width="11.54296875" style="1" bestFit="1" customWidth="1"/>
    <col min="1068" max="1068" width="9.453125" style="1" bestFit="1" customWidth="1"/>
    <col min="1069" max="1069" width="13.54296875" style="1" bestFit="1" customWidth="1"/>
    <col min="1070" max="1070" width="12.453125" style="1" bestFit="1" customWidth="1"/>
    <col min="1071" max="1071" width="11.453125" style="1" bestFit="1" customWidth="1"/>
    <col min="1072" max="1073" width="12.453125" style="1" bestFit="1" customWidth="1"/>
    <col min="1074" max="1074" width="13.54296875" style="1" bestFit="1" customWidth="1"/>
    <col min="1075" max="1075" width="12.453125" style="1" bestFit="1" customWidth="1"/>
    <col min="1076" max="1076" width="13.54296875" style="1" bestFit="1" customWidth="1"/>
    <col min="1077" max="1077" width="11.453125" style="1" bestFit="1" customWidth="1"/>
    <col min="1078" max="1078" width="13.54296875" style="1" bestFit="1" customWidth="1"/>
    <col min="1079" max="1079" width="13.7265625" style="1" bestFit="1" customWidth="1"/>
    <col min="1080" max="1080" width="12.453125" style="1" bestFit="1" customWidth="1"/>
    <col min="1081" max="1081" width="10.453125" style="1" bestFit="1" customWidth="1"/>
    <col min="1082" max="1082" width="10.54296875" style="1" bestFit="1" customWidth="1"/>
    <col min="1083" max="1083" width="10.453125" style="1" bestFit="1" customWidth="1"/>
    <col min="1084" max="1084" width="10.54296875" style="1" bestFit="1" customWidth="1"/>
    <col min="1085" max="1085" width="12.54296875" style="1" bestFit="1" customWidth="1"/>
    <col min="1086" max="1086" width="14.7265625" style="1" bestFit="1" customWidth="1"/>
    <col min="1087" max="1088" width="13.54296875" style="1" bestFit="1" customWidth="1"/>
    <col min="1089" max="1089" width="12.453125" style="1" bestFit="1" customWidth="1"/>
    <col min="1090" max="1090" width="11.54296875" style="1" bestFit="1" customWidth="1"/>
    <col min="1091" max="1091" width="13.54296875" style="1" bestFit="1" customWidth="1"/>
    <col min="1092" max="1093" width="12.453125" style="1" bestFit="1" customWidth="1"/>
    <col min="1094" max="1094" width="5.453125" style="1" bestFit="1" customWidth="1"/>
    <col min="1095" max="1095" width="13.54296875" style="1" bestFit="1" customWidth="1"/>
    <col min="1096" max="1096" width="11.54296875" style="1" bestFit="1" customWidth="1"/>
    <col min="1097" max="1097" width="12.453125" style="1" bestFit="1" customWidth="1"/>
    <col min="1098" max="1098" width="11.54296875" style="1" bestFit="1" customWidth="1"/>
    <col min="1099" max="1099" width="12.453125" style="1" bestFit="1" customWidth="1"/>
    <col min="1100" max="1100" width="14.7265625" style="1" bestFit="1" customWidth="1"/>
    <col min="1101" max="1280" width="8.81640625" style="1"/>
    <col min="1281" max="1281" width="11" style="1" bestFit="1" customWidth="1"/>
    <col min="1282" max="1282" width="46.453125" style="1" bestFit="1" customWidth="1"/>
    <col min="1283" max="1283" width="9.453125" style="1" bestFit="1" customWidth="1"/>
    <col min="1284" max="1284" width="13.54296875" style="1" bestFit="1" customWidth="1"/>
    <col min="1285" max="1286" width="11.453125" style="1" bestFit="1" customWidth="1"/>
    <col min="1287" max="1287" width="10.453125" style="1" bestFit="1" customWidth="1"/>
    <col min="1288" max="1288" width="13.7265625" style="1" bestFit="1" customWidth="1"/>
    <col min="1289" max="1289" width="5.453125" style="1" bestFit="1" customWidth="1"/>
    <col min="1290" max="1290" width="14.7265625" style="1" bestFit="1" customWidth="1"/>
    <col min="1291" max="1291" width="8.453125" style="1" bestFit="1" customWidth="1"/>
    <col min="1292" max="1292" width="13.7265625" style="1" bestFit="1" customWidth="1"/>
    <col min="1293" max="1293" width="12.453125" style="1" bestFit="1" customWidth="1"/>
    <col min="1294" max="1294" width="11.453125" style="1" bestFit="1" customWidth="1"/>
    <col min="1295" max="1295" width="8.453125" style="1" bestFit="1" customWidth="1"/>
    <col min="1296" max="1296" width="12.453125" style="1" bestFit="1" customWidth="1"/>
    <col min="1297" max="1298" width="10.453125" style="1" bestFit="1" customWidth="1"/>
    <col min="1299" max="1299" width="8.453125" style="1" bestFit="1" customWidth="1"/>
    <col min="1300" max="1304" width="12.453125" style="1" bestFit="1" customWidth="1"/>
    <col min="1305" max="1305" width="10.54296875" style="1" bestFit="1" customWidth="1"/>
    <col min="1306" max="1306" width="11.453125" style="1" bestFit="1" customWidth="1"/>
    <col min="1307" max="1308" width="12.54296875" style="1" bestFit="1" customWidth="1"/>
    <col min="1309" max="1309" width="9.453125" style="1" bestFit="1" customWidth="1"/>
    <col min="1310" max="1311" width="12.453125" style="1" bestFit="1" customWidth="1"/>
    <col min="1312" max="1312" width="10.453125" style="1" bestFit="1" customWidth="1"/>
    <col min="1313" max="1317" width="12.453125" style="1" bestFit="1" customWidth="1"/>
    <col min="1318" max="1319" width="10.453125" style="1" bestFit="1" customWidth="1"/>
    <col min="1320" max="1320" width="13.7265625" style="1" bestFit="1" customWidth="1"/>
    <col min="1321" max="1321" width="12.453125" style="1" bestFit="1" customWidth="1"/>
    <col min="1322" max="1322" width="10.453125" style="1" bestFit="1" customWidth="1"/>
    <col min="1323" max="1323" width="11.54296875" style="1" bestFit="1" customWidth="1"/>
    <col min="1324" max="1324" width="9.453125" style="1" bestFit="1" customWidth="1"/>
    <col min="1325" max="1325" width="13.54296875" style="1" bestFit="1" customWidth="1"/>
    <col min="1326" max="1326" width="12.453125" style="1" bestFit="1" customWidth="1"/>
    <col min="1327" max="1327" width="11.453125" style="1" bestFit="1" customWidth="1"/>
    <col min="1328" max="1329" width="12.453125" style="1" bestFit="1" customWidth="1"/>
    <col min="1330" max="1330" width="13.54296875" style="1" bestFit="1" customWidth="1"/>
    <col min="1331" max="1331" width="12.453125" style="1" bestFit="1" customWidth="1"/>
    <col min="1332" max="1332" width="13.54296875" style="1" bestFit="1" customWidth="1"/>
    <col min="1333" max="1333" width="11.453125" style="1" bestFit="1" customWidth="1"/>
    <col min="1334" max="1334" width="13.54296875" style="1" bestFit="1" customWidth="1"/>
    <col min="1335" max="1335" width="13.7265625" style="1" bestFit="1" customWidth="1"/>
    <col min="1336" max="1336" width="12.453125" style="1" bestFit="1" customWidth="1"/>
    <col min="1337" max="1337" width="10.453125" style="1" bestFit="1" customWidth="1"/>
    <col min="1338" max="1338" width="10.54296875" style="1" bestFit="1" customWidth="1"/>
    <col min="1339" max="1339" width="10.453125" style="1" bestFit="1" customWidth="1"/>
    <col min="1340" max="1340" width="10.54296875" style="1" bestFit="1" customWidth="1"/>
    <col min="1341" max="1341" width="12.54296875" style="1" bestFit="1" customWidth="1"/>
    <col min="1342" max="1342" width="14.7265625" style="1" bestFit="1" customWidth="1"/>
    <col min="1343" max="1344" width="13.54296875" style="1" bestFit="1" customWidth="1"/>
    <col min="1345" max="1345" width="12.453125" style="1" bestFit="1" customWidth="1"/>
    <col min="1346" max="1346" width="11.54296875" style="1" bestFit="1" customWidth="1"/>
    <col min="1347" max="1347" width="13.54296875" style="1" bestFit="1" customWidth="1"/>
    <col min="1348" max="1349" width="12.453125" style="1" bestFit="1" customWidth="1"/>
    <col min="1350" max="1350" width="5.453125" style="1" bestFit="1" customWidth="1"/>
    <col min="1351" max="1351" width="13.54296875" style="1" bestFit="1" customWidth="1"/>
    <col min="1352" max="1352" width="11.54296875" style="1" bestFit="1" customWidth="1"/>
    <col min="1353" max="1353" width="12.453125" style="1" bestFit="1" customWidth="1"/>
    <col min="1354" max="1354" width="11.54296875" style="1" bestFit="1" customWidth="1"/>
    <col min="1355" max="1355" width="12.453125" style="1" bestFit="1" customWidth="1"/>
    <col min="1356" max="1356" width="14.7265625" style="1" bestFit="1" customWidth="1"/>
    <col min="1357" max="1536" width="8.81640625" style="1"/>
    <col min="1537" max="1537" width="11" style="1" bestFit="1" customWidth="1"/>
    <col min="1538" max="1538" width="46.453125" style="1" bestFit="1" customWidth="1"/>
    <col min="1539" max="1539" width="9.453125" style="1" bestFit="1" customWidth="1"/>
    <col min="1540" max="1540" width="13.54296875" style="1" bestFit="1" customWidth="1"/>
    <col min="1541" max="1542" width="11.453125" style="1" bestFit="1" customWidth="1"/>
    <col min="1543" max="1543" width="10.453125" style="1" bestFit="1" customWidth="1"/>
    <col min="1544" max="1544" width="13.7265625" style="1" bestFit="1" customWidth="1"/>
    <col min="1545" max="1545" width="5.453125" style="1" bestFit="1" customWidth="1"/>
    <col min="1546" max="1546" width="14.7265625" style="1" bestFit="1" customWidth="1"/>
    <col min="1547" max="1547" width="8.453125" style="1" bestFit="1" customWidth="1"/>
    <col min="1548" max="1548" width="13.7265625" style="1" bestFit="1" customWidth="1"/>
    <col min="1549" max="1549" width="12.453125" style="1" bestFit="1" customWidth="1"/>
    <col min="1550" max="1550" width="11.453125" style="1" bestFit="1" customWidth="1"/>
    <col min="1551" max="1551" width="8.453125" style="1" bestFit="1" customWidth="1"/>
    <col min="1552" max="1552" width="12.453125" style="1" bestFit="1" customWidth="1"/>
    <col min="1553" max="1554" width="10.453125" style="1" bestFit="1" customWidth="1"/>
    <col min="1555" max="1555" width="8.453125" style="1" bestFit="1" customWidth="1"/>
    <col min="1556" max="1560" width="12.453125" style="1" bestFit="1" customWidth="1"/>
    <col min="1561" max="1561" width="10.54296875" style="1" bestFit="1" customWidth="1"/>
    <col min="1562" max="1562" width="11.453125" style="1" bestFit="1" customWidth="1"/>
    <col min="1563" max="1564" width="12.54296875" style="1" bestFit="1" customWidth="1"/>
    <col min="1565" max="1565" width="9.453125" style="1" bestFit="1" customWidth="1"/>
    <col min="1566" max="1567" width="12.453125" style="1" bestFit="1" customWidth="1"/>
    <col min="1568" max="1568" width="10.453125" style="1" bestFit="1" customWidth="1"/>
    <col min="1569" max="1573" width="12.453125" style="1" bestFit="1" customWidth="1"/>
    <col min="1574" max="1575" width="10.453125" style="1" bestFit="1" customWidth="1"/>
    <col min="1576" max="1576" width="13.7265625" style="1" bestFit="1" customWidth="1"/>
    <col min="1577" max="1577" width="12.453125" style="1" bestFit="1" customWidth="1"/>
    <col min="1578" max="1578" width="10.453125" style="1" bestFit="1" customWidth="1"/>
    <col min="1579" max="1579" width="11.54296875" style="1" bestFit="1" customWidth="1"/>
    <col min="1580" max="1580" width="9.453125" style="1" bestFit="1" customWidth="1"/>
    <col min="1581" max="1581" width="13.54296875" style="1" bestFit="1" customWidth="1"/>
    <col min="1582" max="1582" width="12.453125" style="1" bestFit="1" customWidth="1"/>
    <col min="1583" max="1583" width="11.453125" style="1" bestFit="1" customWidth="1"/>
    <col min="1584" max="1585" width="12.453125" style="1" bestFit="1" customWidth="1"/>
    <col min="1586" max="1586" width="13.54296875" style="1" bestFit="1" customWidth="1"/>
    <col min="1587" max="1587" width="12.453125" style="1" bestFit="1" customWidth="1"/>
    <col min="1588" max="1588" width="13.54296875" style="1" bestFit="1" customWidth="1"/>
    <col min="1589" max="1589" width="11.453125" style="1" bestFit="1" customWidth="1"/>
    <col min="1590" max="1590" width="13.54296875" style="1" bestFit="1" customWidth="1"/>
    <col min="1591" max="1591" width="13.7265625" style="1" bestFit="1" customWidth="1"/>
    <col min="1592" max="1592" width="12.453125" style="1" bestFit="1" customWidth="1"/>
    <col min="1593" max="1593" width="10.453125" style="1" bestFit="1" customWidth="1"/>
    <col min="1594" max="1594" width="10.54296875" style="1" bestFit="1" customWidth="1"/>
    <col min="1595" max="1595" width="10.453125" style="1" bestFit="1" customWidth="1"/>
    <col min="1596" max="1596" width="10.54296875" style="1" bestFit="1" customWidth="1"/>
    <col min="1597" max="1597" width="12.54296875" style="1" bestFit="1" customWidth="1"/>
    <col min="1598" max="1598" width="14.7265625" style="1" bestFit="1" customWidth="1"/>
    <col min="1599" max="1600" width="13.54296875" style="1" bestFit="1" customWidth="1"/>
    <col min="1601" max="1601" width="12.453125" style="1" bestFit="1" customWidth="1"/>
    <col min="1602" max="1602" width="11.54296875" style="1" bestFit="1" customWidth="1"/>
    <col min="1603" max="1603" width="13.54296875" style="1" bestFit="1" customWidth="1"/>
    <col min="1604" max="1605" width="12.453125" style="1" bestFit="1" customWidth="1"/>
    <col min="1606" max="1606" width="5.453125" style="1" bestFit="1" customWidth="1"/>
    <col min="1607" max="1607" width="13.54296875" style="1" bestFit="1" customWidth="1"/>
    <col min="1608" max="1608" width="11.54296875" style="1" bestFit="1" customWidth="1"/>
    <col min="1609" max="1609" width="12.453125" style="1" bestFit="1" customWidth="1"/>
    <col min="1610" max="1610" width="11.54296875" style="1" bestFit="1" customWidth="1"/>
    <col min="1611" max="1611" width="12.453125" style="1" bestFit="1" customWidth="1"/>
    <col min="1612" max="1612" width="14.7265625" style="1" bestFit="1" customWidth="1"/>
    <col min="1613" max="1792" width="8.81640625" style="1"/>
    <col min="1793" max="1793" width="11" style="1" bestFit="1" customWidth="1"/>
    <col min="1794" max="1794" width="46.453125" style="1" bestFit="1" customWidth="1"/>
    <col min="1795" max="1795" width="9.453125" style="1" bestFit="1" customWidth="1"/>
    <col min="1796" max="1796" width="13.54296875" style="1" bestFit="1" customWidth="1"/>
    <col min="1797" max="1798" width="11.453125" style="1" bestFit="1" customWidth="1"/>
    <col min="1799" max="1799" width="10.453125" style="1" bestFit="1" customWidth="1"/>
    <col min="1800" max="1800" width="13.7265625" style="1" bestFit="1" customWidth="1"/>
    <col min="1801" max="1801" width="5.453125" style="1" bestFit="1" customWidth="1"/>
    <col min="1802" max="1802" width="14.7265625" style="1" bestFit="1" customWidth="1"/>
    <col min="1803" max="1803" width="8.453125" style="1" bestFit="1" customWidth="1"/>
    <col min="1804" max="1804" width="13.7265625" style="1" bestFit="1" customWidth="1"/>
    <col min="1805" max="1805" width="12.453125" style="1" bestFit="1" customWidth="1"/>
    <col min="1806" max="1806" width="11.453125" style="1" bestFit="1" customWidth="1"/>
    <col min="1807" max="1807" width="8.453125" style="1" bestFit="1" customWidth="1"/>
    <col min="1808" max="1808" width="12.453125" style="1" bestFit="1" customWidth="1"/>
    <col min="1809" max="1810" width="10.453125" style="1" bestFit="1" customWidth="1"/>
    <col min="1811" max="1811" width="8.453125" style="1" bestFit="1" customWidth="1"/>
    <col min="1812" max="1816" width="12.453125" style="1" bestFit="1" customWidth="1"/>
    <col min="1817" max="1817" width="10.54296875" style="1" bestFit="1" customWidth="1"/>
    <col min="1818" max="1818" width="11.453125" style="1" bestFit="1" customWidth="1"/>
    <col min="1819" max="1820" width="12.54296875" style="1" bestFit="1" customWidth="1"/>
    <col min="1821" max="1821" width="9.453125" style="1" bestFit="1" customWidth="1"/>
    <col min="1822" max="1823" width="12.453125" style="1" bestFit="1" customWidth="1"/>
    <col min="1824" max="1824" width="10.453125" style="1" bestFit="1" customWidth="1"/>
    <col min="1825" max="1829" width="12.453125" style="1" bestFit="1" customWidth="1"/>
    <col min="1830" max="1831" width="10.453125" style="1" bestFit="1" customWidth="1"/>
    <col min="1832" max="1832" width="13.7265625" style="1" bestFit="1" customWidth="1"/>
    <col min="1833" max="1833" width="12.453125" style="1" bestFit="1" customWidth="1"/>
    <col min="1834" max="1834" width="10.453125" style="1" bestFit="1" customWidth="1"/>
    <col min="1835" max="1835" width="11.54296875" style="1" bestFit="1" customWidth="1"/>
    <col min="1836" max="1836" width="9.453125" style="1" bestFit="1" customWidth="1"/>
    <col min="1837" max="1837" width="13.54296875" style="1" bestFit="1" customWidth="1"/>
    <col min="1838" max="1838" width="12.453125" style="1" bestFit="1" customWidth="1"/>
    <col min="1839" max="1839" width="11.453125" style="1" bestFit="1" customWidth="1"/>
    <col min="1840" max="1841" width="12.453125" style="1" bestFit="1" customWidth="1"/>
    <col min="1842" max="1842" width="13.54296875" style="1" bestFit="1" customWidth="1"/>
    <col min="1843" max="1843" width="12.453125" style="1" bestFit="1" customWidth="1"/>
    <col min="1844" max="1844" width="13.54296875" style="1" bestFit="1" customWidth="1"/>
    <col min="1845" max="1845" width="11.453125" style="1" bestFit="1" customWidth="1"/>
    <col min="1846" max="1846" width="13.54296875" style="1" bestFit="1" customWidth="1"/>
    <col min="1847" max="1847" width="13.7265625" style="1" bestFit="1" customWidth="1"/>
    <col min="1848" max="1848" width="12.453125" style="1" bestFit="1" customWidth="1"/>
    <col min="1849" max="1849" width="10.453125" style="1" bestFit="1" customWidth="1"/>
    <col min="1850" max="1850" width="10.54296875" style="1" bestFit="1" customWidth="1"/>
    <col min="1851" max="1851" width="10.453125" style="1" bestFit="1" customWidth="1"/>
    <col min="1852" max="1852" width="10.54296875" style="1" bestFit="1" customWidth="1"/>
    <col min="1853" max="1853" width="12.54296875" style="1" bestFit="1" customWidth="1"/>
    <col min="1854" max="1854" width="14.7265625" style="1" bestFit="1" customWidth="1"/>
    <col min="1855" max="1856" width="13.54296875" style="1" bestFit="1" customWidth="1"/>
    <col min="1857" max="1857" width="12.453125" style="1" bestFit="1" customWidth="1"/>
    <col min="1858" max="1858" width="11.54296875" style="1" bestFit="1" customWidth="1"/>
    <col min="1859" max="1859" width="13.54296875" style="1" bestFit="1" customWidth="1"/>
    <col min="1860" max="1861" width="12.453125" style="1" bestFit="1" customWidth="1"/>
    <col min="1862" max="1862" width="5.453125" style="1" bestFit="1" customWidth="1"/>
    <col min="1863" max="1863" width="13.54296875" style="1" bestFit="1" customWidth="1"/>
    <col min="1864" max="1864" width="11.54296875" style="1" bestFit="1" customWidth="1"/>
    <col min="1865" max="1865" width="12.453125" style="1" bestFit="1" customWidth="1"/>
    <col min="1866" max="1866" width="11.54296875" style="1" bestFit="1" customWidth="1"/>
    <col min="1867" max="1867" width="12.453125" style="1" bestFit="1" customWidth="1"/>
    <col min="1868" max="1868" width="14.7265625" style="1" bestFit="1" customWidth="1"/>
    <col min="1869" max="2048" width="8.81640625" style="1"/>
    <col min="2049" max="2049" width="11" style="1" bestFit="1" customWidth="1"/>
    <col min="2050" max="2050" width="46.453125" style="1" bestFit="1" customWidth="1"/>
    <col min="2051" max="2051" width="9.453125" style="1" bestFit="1" customWidth="1"/>
    <col min="2052" max="2052" width="13.54296875" style="1" bestFit="1" customWidth="1"/>
    <col min="2053" max="2054" width="11.453125" style="1" bestFit="1" customWidth="1"/>
    <col min="2055" max="2055" width="10.453125" style="1" bestFit="1" customWidth="1"/>
    <col min="2056" max="2056" width="13.7265625" style="1" bestFit="1" customWidth="1"/>
    <col min="2057" max="2057" width="5.453125" style="1" bestFit="1" customWidth="1"/>
    <col min="2058" max="2058" width="14.7265625" style="1" bestFit="1" customWidth="1"/>
    <col min="2059" max="2059" width="8.453125" style="1" bestFit="1" customWidth="1"/>
    <col min="2060" max="2060" width="13.7265625" style="1" bestFit="1" customWidth="1"/>
    <col min="2061" max="2061" width="12.453125" style="1" bestFit="1" customWidth="1"/>
    <col min="2062" max="2062" width="11.453125" style="1" bestFit="1" customWidth="1"/>
    <col min="2063" max="2063" width="8.453125" style="1" bestFit="1" customWidth="1"/>
    <col min="2064" max="2064" width="12.453125" style="1" bestFit="1" customWidth="1"/>
    <col min="2065" max="2066" width="10.453125" style="1" bestFit="1" customWidth="1"/>
    <col min="2067" max="2067" width="8.453125" style="1" bestFit="1" customWidth="1"/>
    <col min="2068" max="2072" width="12.453125" style="1" bestFit="1" customWidth="1"/>
    <col min="2073" max="2073" width="10.54296875" style="1" bestFit="1" customWidth="1"/>
    <col min="2074" max="2074" width="11.453125" style="1" bestFit="1" customWidth="1"/>
    <col min="2075" max="2076" width="12.54296875" style="1" bestFit="1" customWidth="1"/>
    <col min="2077" max="2077" width="9.453125" style="1" bestFit="1" customWidth="1"/>
    <col min="2078" max="2079" width="12.453125" style="1" bestFit="1" customWidth="1"/>
    <col min="2080" max="2080" width="10.453125" style="1" bestFit="1" customWidth="1"/>
    <col min="2081" max="2085" width="12.453125" style="1" bestFit="1" customWidth="1"/>
    <col min="2086" max="2087" width="10.453125" style="1" bestFit="1" customWidth="1"/>
    <col min="2088" max="2088" width="13.7265625" style="1" bestFit="1" customWidth="1"/>
    <col min="2089" max="2089" width="12.453125" style="1" bestFit="1" customWidth="1"/>
    <col min="2090" max="2090" width="10.453125" style="1" bestFit="1" customWidth="1"/>
    <col min="2091" max="2091" width="11.54296875" style="1" bestFit="1" customWidth="1"/>
    <col min="2092" max="2092" width="9.453125" style="1" bestFit="1" customWidth="1"/>
    <col min="2093" max="2093" width="13.54296875" style="1" bestFit="1" customWidth="1"/>
    <col min="2094" max="2094" width="12.453125" style="1" bestFit="1" customWidth="1"/>
    <col min="2095" max="2095" width="11.453125" style="1" bestFit="1" customWidth="1"/>
    <col min="2096" max="2097" width="12.453125" style="1" bestFit="1" customWidth="1"/>
    <col min="2098" max="2098" width="13.54296875" style="1" bestFit="1" customWidth="1"/>
    <col min="2099" max="2099" width="12.453125" style="1" bestFit="1" customWidth="1"/>
    <col min="2100" max="2100" width="13.54296875" style="1" bestFit="1" customWidth="1"/>
    <col min="2101" max="2101" width="11.453125" style="1" bestFit="1" customWidth="1"/>
    <col min="2102" max="2102" width="13.54296875" style="1" bestFit="1" customWidth="1"/>
    <col min="2103" max="2103" width="13.7265625" style="1" bestFit="1" customWidth="1"/>
    <col min="2104" max="2104" width="12.453125" style="1" bestFit="1" customWidth="1"/>
    <col min="2105" max="2105" width="10.453125" style="1" bestFit="1" customWidth="1"/>
    <col min="2106" max="2106" width="10.54296875" style="1" bestFit="1" customWidth="1"/>
    <col min="2107" max="2107" width="10.453125" style="1" bestFit="1" customWidth="1"/>
    <col min="2108" max="2108" width="10.54296875" style="1" bestFit="1" customWidth="1"/>
    <col min="2109" max="2109" width="12.54296875" style="1" bestFit="1" customWidth="1"/>
    <col min="2110" max="2110" width="14.7265625" style="1" bestFit="1" customWidth="1"/>
    <col min="2111" max="2112" width="13.54296875" style="1" bestFit="1" customWidth="1"/>
    <col min="2113" max="2113" width="12.453125" style="1" bestFit="1" customWidth="1"/>
    <col min="2114" max="2114" width="11.54296875" style="1" bestFit="1" customWidth="1"/>
    <col min="2115" max="2115" width="13.54296875" style="1" bestFit="1" customWidth="1"/>
    <col min="2116" max="2117" width="12.453125" style="1" bestFit="1" customWidth="1"/>
    <col min="2118" max="2118" width="5.453125" style="1" bestFit="1" customWidth="1"/>
    <col min="2119" max="2119" width="13.54296875" style="1" bestFit="1" customWidth="1"/>
    <col min="2120" max="2120" width="11.54296875" style="1" bestFit="1" customWidth="1"/>
    <col min="2121" max="2121" width="12.453125" style="1" bestFit="1" customWidth="1"/>
    <col min="2122" max="2122" width="11.54296875" style="1" bestFit="1" customWidth="1"/>
    <col min="2123" max="2123" width="12.453125" style="1" bestFit="1" customWidth="1"/>
    <col min="2124" max="2124" width="14.7265625" style="1" bestFit="1" customWidth="1"/>
    <col min="2125" max="2304" width="8.81640625" style="1"/>
    <col min="2305" max="2305" width="11" style="1" bestFit="1" customWidth="1"/>
    <col min="2306" max="2306" width="46.453125" style="1" bestFit="1" customWidth="1"/>
    <col min="2307" max="2307" width="9.453125" style="1" bestFit="1" customWidth="1"/>
    <col min="2308" max="2308" width="13.54296875" style="1" bestFit="1" customWidth="1"/>
    <col min="2309" max="2310" width="11.453125" style="1" bestFit="1" customWidth="1"/>
    <col min="2311" max="2311" width="10.453125" style="1" bestFit="1" customWidth="1"/>
    <col min="2312" max="2312" width="13.7265625" style="1" bestFit="1" customWidth="1"/>
    <col min="2313" max="2313" width="5.453125" style="1" bestFit="1" customWidth="1"/>
    <col min="2314" max="2314" width="14.7265625" style="1" bestFit="1" customWidth="1"/>
    <col min="2315" max="2315" width="8.453125" style="1" bestFit="1" customWidth="1"/>
    <col min="2316" max="2316" width="13.7265625" style="1" bestFit="1" customWidth="1"/>
    <col min="2317" max="2317" width="12.453125" style="1" bestFit="1" customWidth="1"/>
    <col min="2318" max="2318" width="11.453125" style="1" bestFit="1" customWidth="1"/>
    <col min="2319" max="2319" width="8.453125" style="1" bestFit="1" customWidth="1"/>
    <col min="2320" max="2320" width="12.453125" style="1" bestFit="1" customWidth="1"/>
    <col min="2321" max="2322" width="10.453125" style="1" bestFit="1" customWidth="1"/>
    <col min="2323" max="2323" width="8.453125" style="1" bestFit="1" customWidth="1"/>
    <col min="2324" max="2328" width="12.453125" style="1" bestFit="1" customWidth="1"/>
    <col min="2329" max="2329" width="10.54296875" style="1" bestFit="1" customWidth="1"/>
    <col min="2330" max="2330" width="11.453125" style="1" bestFit="1" customWidth="1"/>
    <col min="2331" max="2332" width="12.54296875" style="1" bestFit="1" customWidth="1"/>
    <col min="2333" max="2333" width="9.453125" style="1" bestFit="1" customWidth="1"/>
    <col min="2334" max="2335" width="12.453125" style="1" bestFit="1" customWidth="1"/>
    <col min="2336" max="2336" width="10.453125" style="1" bestFit="1" customWidth="1"/>
    <col min="2337" max="2341" width="12.453125" style="1" bestFit="1" customWidth="1"/>
    <col min="2342" max="2343" width="10.453125" style="1" bestFit="1" customWidth="1"/>
    <col min="2344" max="2344" width="13.7265625" style="1" bestFit="1" customWidth="1"/>
    <col min="2345" max="2345" width="12.453125" style="1" bestFit="1" customWidth="1"/>
    <col min="2346" max="2346" width="10.453125" style="1" bestFit="1" customWidth="1"/>
    <col min="2347" max="2347" width="11.54296875" style="1" bestFit="1" customWidth="1"/>
    <col min="2348" max="2348" width="9.453125" style="1" bestFit="1" customWidth="1"/>
    <col min="2349" max="2349" width="13.54296875" style="1" bestFit="1" customWidth="1"/>
    <col min="2350" max="2350" width="12.453125" style="1" bestFit="1" customWidth="1"/>
    <col min="2351" max="2351" width="11.453125" style="1" bestFit="1" customWidth="1"/>
    <col min="2352" max="2353" width="12.453125" style="1" bestFit="1" customWidth="1"/>
    <col min="2354" max="2354" width="13.54296875" style="1" bestFit="1" customWidth="1"/>
    <col min="2355" max="2355" width="12.453125" style="1" bestFit="1" customWidth="1"/>
    <col min="2356" max="2356" width="13.54296875" style="1" bestFit="1" customWidth="1"/>
    <col min="2357" max="2357" width="11.453125" style="1" bestFit="1" customWidth="1"/>
    <col min="2358" max="2358" width="13.54296875" style="1" bestFit="1" customWidth="1"/>
    <col min="2359" max="2359" width="13.7265625" style="1" bestFit="1" customWidth="1"/>
    <col min="2360" max="2360" width="12.453125" style="1" bestFit="1" customWidth="1"/>
    <col min="2361" max="2361" width="10.453125" style="1" bestFit="1" customWidth="1"/>
    <col min="2362" max="2362" width="10.54296875" style="1" bestFit="1" customWidth="1"/>
    <col min="2363" max="2363" width="10.453125" style="1" bestFit="1" customWidth="1"/>
    <col min="2364" max="2364" width="10.54296875" style="1" bestFit="1" customWidth="1"/>
    <col min="2365" max="2365" width="12.54296875" style="1" bestFit="1" customWidth="1"/>
    <col min="2366" max="2366" width="14.7265625" style="1" bestFit="1" customWidth="1"/>
    <col min="2367" max="2368" width="13.54296875" style="1" bestFit="1" customWidth="1"/>
    <col min="2369" max="2369" width="12.453125" style="1" bestFit="1" customWidth="1"/>
    <col min="2370" max="2370" width="11.54296875" style="1" bestFit="1" customWidth="1"/>
    <col min="2371" max="2371" width="13.54296875" style="1" bestFit="1" customWidth="1"/>
    <col min="2372" max="2373" width="12.453125" style="1" bestFit="1" customWidth="1"/>
    <col min="2374" max="2374" width="5.453125" style="1" bestFit="1" customWidth="1"/>
    <col min="2375" max="2375" width="13.54296875" style="1" bestFit="1" customWidth="1"/>
    <col min="2376" max="2376" width="11.54296875" style="1" bestFit="1" customWidth="1"/>
    <col min="2377" max="2377" width="12.453125" style="1" bestFit="1" customWidth="1"/>
    <col min="2378" max="2378" width="11.54296875" style="1" bestFit="1" customWidth="1"/>
    <col min="2379" max="2379" width="12.453125" style="1" bestFit="1" customWidth="1"/>
    <col min="2380" max="2380" width="14.7265625" style="1" bestFit="1" customWidth="1"/>
    <col min="2381" max="2560" width="8.81640625" style="1"/>
    <col min="2561" max="2561" width="11" style="1" bestFit="1" customWidth="1"/>
    <col min="2562" max="2562" width="46.453125" style="1" bestFit="1" customWidth="1"/>
    <col min="2563" max="2563" width="9.453125" style="1" bestFit="1" customWidth="1"/>
    <col min="2564" max="2564" width="13.54296875" style="1" bestFit="1" customWidth="1"/>
    <col min="2565" max="2566" width="11.453125" style="1" bestFit="1" customWidth="1"/>
    <col min="2567" max="2567" width="10.453125" style="1" bestFit="1" customWidth="1"/>
    <col min="2568" max="2568" width="13.7265625" style="1" bestFit="1" customWidth="1"/>
    <col min="2569" max="2569" width="5.453125" style="1" bestFit="1" customWidth="1"/>
    <col min="2570" max="2570" width="14.7265625" style="1" bestFit="1" customWidth="1"/>
    <col min="2571" max="2571" width="8.453125" style="1" bestFit="1" customWidth="1"/>
    <col min="2572" max="2572" width="13.7265625" style="1" bestFit="1" customWidth="1"/>
    <col min="2573" max="2573" width="12.453125" style="1" bestFit="1" customWidth="1"/>
    <col min="2574" max="2574" width="11.453125" style="1" bestFit="1" customWidth="1"/>
    <col min="2575" max="2575" width="8.453125" style="1" bestFit="1" customWidth="1"/>
    <col min="2576" max="2576" width="12.453125" style="1" bestFit="1" customWidth="1"/>
    <col min="2577" max="2578" width="10.453125" style="1" bestFit="1" customWidth="1"/>
    <col min="2579" max="2579" width="8.453125" style="1" bestFit="1" customWidth="1"/>
    <col min="2580" max="2584" width="12.453125" style="1" bestFit="1" customWidth="1"/>
    <col min="2585" max="2585" width="10.54296875" style="1" bestFit="1" customWidth="1"/>
    <col min="2586" max="2586" width="11.453125" style="1" bestFit="1" customWidth="1"/>
    <col min="2587" max="2588" width="12.54296875" style="1" bestFit="1" customWidth="1"/>
    <col min="2589" max="2589" width="9.453125" style="1" bestFit="1" customWidth="1"/>
    <col min="2590" max="2591" width="12.453125" style="1" bestFit="1" customWidth="1"/>
    <col min="2592" max="2592" width="10.453125" style="1" bestFit="1" customWidth="1"/>
    <col min="2593" max="2597" width="12.453125" style="1" bestFit="1" customWidth="1"/>
    <col min="2598" max="2599" width="10.453125" style="1" bestFit="1" customWidth="1"/>
    <col min="2600" max="2600" width="13.7265625" style="1" bestFit="1" customWidth="1"/>
    <col min="2601" max="2601" width="12.453125" style="1" bestFit="1" customWidth="1"/>
    <col min="2602" max="2602" width="10.453125" style="1" bestFit="1" customWidth="1"/>
    <col min="2603" max="2603" width="11.54296875" style="1" bestFit="1" customWidth="1"/>
    <col min="2604" max="2604" width="9.453125" style="1" bestFit="1" customWidth="1"/>
    <col min="2605" max="2605" width="13.54296875" style="1" bestFit="1" customWidth="1"/>
    <col min="2606" max="2606" width="12.453125" style="1" bestFit="1" customWidth="1"/>
    <col min="2607" max="2607" width="11.453125" style="1" bestFit="1" customWidth="1"/>
    <col min="2608" max="2609" width="12.453125" style="1" bestFit="1" customWidth="1"/>
    <col min="2610" max="2610" width="13.54296875" style="1" bestFit="1" customWidth="1"/>
    <col min="2611" max="2611" width="12.453125" style="1" bestFit="1" customWidth="1"/>
    <col min="2612" max="2612" width="13.54296875" style="1" bestFit="1" customWidth="1"/>
    <col min="2613" max="2613" width="11.453125" style="1" bestFit="1" customWidth="1"/>
    <col min="2614" max="2614" width="13.54296875" style="1" bestFit="1" customWidth="1"/>
    <col min="2615" max="2615" width="13.7265625" style="1" bestFit="1" customWidth="1"/>
    <col min="2616" max="2616" width="12.453125" style="1" bestFit="1" customWidth="1"/>
    <col min="2617" max="2617" width="10.453125" style="1" bestFit="1" customWidth="1"/>
    <col min="2618" max="2618" width="10.54296875" style="1" bestFit="1" customWidth="1"/>
    <col min="2619" max="2619" width="10.453125" style="1" bestFit="1" customWidth="1"/>
    <col min="2620" max="2620" width="10.54296875" style="1" bestFit="1" customWidth="1"/>
    <col min="2621" max="2621" width="12.54296875" style="1" bestFit="1" customWidth="1"/>
    <col min="2622" max="2622" width="14.7265625" style="1" bestFit="1" customWidth="1"/>
    <col min="2623" max="2624" width="13.54296875" style="1" bestFit="1" customWidth="1"/>
    <col min="2625" max="2625" width="12.453125" style="1" bestFit="1" customWidth="1"/>
    <col min="2626" max="2626" width="11.54296875" style="1" bestFit="1" customWidth="1"/>
    <col min="2627" max="2627" width="13.54296875" style="1" bestFit="1" customWidth="1"/>
    <col min="2628" max="2629" width="12.453125" style="1" bestFit="1" customWidth="1"/>
    <col min="2630" max="2630" width="5.453125" style="1" bestFit="1" customWidth="1"/>
    <col min="2631" max="2631" width="13.54296875" style="1" bestFit="1" customWidth="1"/>
    <col min="2632" max="2632" width="11.54296875" style="1" bestFit="1" customWidth="1"/>
    <col min="2633" max="2633" width="12.453125" style="1" bestFit="1" customWidth="1"/>
    <col min="2634" max="2634" width="11.54296875" style="1" bestFit="1" customWidth="1"/>
    <col min="2635" max="2635" width="12.453125" style="1" bestFit="1" customWidth="1"/>
    <col min="2636" max="2636" width="14.7265625" style="1" bestFit="1" customWidth="1"/>
    <col min="2637" max="2816" width="8.81640625" style="1"/>
    <col min="2817" max="2817" width="11" style="1" bestFit="1" customWidth="1"/>
    <col min="2818" max="2818" width="46.453125" style="1" bestFit="1" customWidth="1"/>
    <col min="2819" max="2819" width="9.453125" style="1" bestFit="1" customWidth="1"/>
    <col min="2820" max="2820" width="13.54296875" style="1" bestFit="1" customWidth="1"/>
    <col min="2821" max="2822" width="11.453125" style="1" bestFit="1" customWidth="1"/>
    <col min="2823" max="2823" width="10.453125" style="1" bestFit="1" customWidth="1"/>
    <col min="2824" max="2824" width="13.7265625" style="1" bestFit="1" customWidth="1"/>
    <col min="2825" max="2825" width="5.453125" style="1" bestFit="1" customWidth="1"/>
    <col min="2826" max="2826" width="14.7265625" style="1" bestFit="1" customWidth="1"/>
    <col min="2827" max="2827" width="8.453125" style="1" bestFit="1" customWidth="1"/>
    <col min="2828" max="2828" width="13.7265625" style="1" bestFit="1" customWidth="1"/>
    <col min="2829" max="2829" width="12.453125" style="1" bestFit="1" customWidth="1"/>
    <col min="2830" max="2830" width="11.453125" style="1" bestFit="1" customWidth="1"/>
    <col min="2831" max="2831" width="8.453125" style="1" bestFit="1" customWidth="1"/>
    <col min="2832" max="2832" width="12.453125" style="1" bestFit="1" customWidth="1"/>
    <col min="2833" max="2834" width="10.453125" style="1" bestFit="1" customWidth="1"/>
    <col min="2835" max="2835" width="8.453125" style="1" bestFit="1" customWidth="1"/>
    <col min="2836" max="2840" width="12.453125" style="1" bestFit="1" customWidth="1"/>
    <col min="2841" max="2841" width="10.54296875" style="1" bestFit="1" customWidth="1"/>
    <col min="2842" max="2842" width="11.453125" style="1" bestFit="1" customWidth="1"/>
    <col min="2843" max="2844" width="12.54296875" style="1" bestFit="1" customWidth="1"/>
    <col min="2845" max="2845" width="9.453125" style="1" bestFit="1" customWidth="1"/>
    <col min="2846" max="2847" width="12.453125" style="1" bestFit="1" customWidth="1"/>
    <col min="2848" max="2848" width="10.453125" style="1" bestFit="1" customWidth="1"/>
    <col min="2849" max="2853" width="12.453125" style="1" bestFit="1" customWidth="1"/>
    <col min="2854" max="2855" width="10.453125" style="1" bestFit="1" customWidth="1"/>
    <col min="2856" max="2856" width="13.7265625" style="1" bestFit="1" customWidth="1"/>
    <col min="2857" max="2857" width="12.453125" style="1" bestFit="1" customWidth="1"/>
    <col min="2858" max="2858" width="10.453125" style="1" bestFit="1" customWidth="1"/>
    <col min="2859" max="2859" width="11.54296875" style="1" bestFit="1" customWidth="1"/>
    <col min="2860" max="2860" width="9.453125" style="1" bestFit="1" customWidth="1"/>
    <col min="2861" max="2861" width="13.54296875" style="1" bestFit="1" customWidth="1"/>
    <col min="2862" max="2862" width="12.453125" style="1" bestFit="1" customWidth="1"/>
    <col min="2863" max="2863" width="11.453125" style="1" bestFit="1" customWidth="1"/>
    <col min="2864" max="2865" width="12.453125" style="1" bestFit="1" customWidth="1"/>
    <col min="2866" max="2866" width="13.54296875" style="1" bestFit="1" customWidth="1"/>
    <col min="2867" max="2867" width="12.453125" style="1" bestFit="1" customWidth="1"/>
    <col min="2868" max="2868" width="13.54296875" style="1" bestFit="1" customWidth="1"/>
    <col min="2869" max="2869" width="11.453125" style="1" bestFit="1" customWidth="1"/>
    <col min="2870" max="2870" width="13.54296875" style="1" bestFit="1" customWidth="1"/>
    <col min="2871" max="2871" width="13.7265625" style="1" bestFit="1" customWidth="1"/>
    <col min="2872" max="2872" width="12.453125" style="1" bestFit="1" customWidth="1"/>
    <col min="2873" max="2873" width="10.453125" style="1" bestFit="1" customWidth="1"/>
    <col min="2874" max="2874" width="10.54296875" style="1" bestFit="1" customWidth="1"/>
    <col min="2875" max="2875" width="10.453125" style="1" bestFit="1" customWidth="1"/>
    <col min="2876" max="2876" width="10.54296875" style="1" bestFit="1" customWidth="1"/>
    <col min="2877" max="2877" width="12.54296875" style="1" bestFit="1" customWidth="1"/>
    <col min="2878" max="2878" width="14.7265625" style="1" bestFit="1" customWidth="1"/>
    <col min="2879" max="2880" width="13.54296875" style="1" bestFit="1" customWidth="1"/>
    <col min="2881" max="2881" width="12.453125" style="1" bestFit="1" customWidth="1"/>
    <col min="2882" max="2882" width="11.54296875" style="1" bestFit="1" customWidth="1"/>
    <col min="2883" max="2883" width="13.54296875" style="1" bestFit="1" customWidth="1"/>
    <col min="2884" max="2885" width="12.453125" style="1" bestFit="1" customWidth="1"/>
    <col min="2886" max="2886" width="5.453125" style="1" bestFit="1" customWidth="1"/>
    <col min="2887" max="2887" width="13.54296875" style="1" bestFit="1" customWidth="1"/>
    <col min="2888" max="2888" width="11.54296875" style="1" bestFit="1" customWidth="1"/>
    <col min="2889" max="2889" width="12.453125" style="1" bestFit="1" customWidth="1"/>
    <col min="2890" max="2890" width="11.54296875" style="1" bestFit="1" customWidth="1"/>
    <col min="2891" max="2891" width="12.453125" style="1" bestFit="1" customWidth="1"/>
    <col min="2892" max="2892" width="14.7265625" style="1" bestFit="1" customWidth="1"/>
    <col min="2893" max="3072" width="8.81640625" style="1"/>
    <col min="3073" max="3073" width="11" style="1" bestFit="1" customWidth="1"/>
    <col min="3074" max="3074" width="46.453125" style="1" bestFit="1" customWidth="1"/>
    <col min="3075" max="3075" width="9.453125" style="1" bestFit="1" customWidth="1"/>
    <col min="3076" max="3076" width="13.54296875" style="1" bestFit="1" customWidth="1"/>
    <col min="3077" max="3078" width="11.453125" style="1" bestFit="1" customWidth="1"/>
    <col min="3079" max="3079" width="10.453125" style="1" bestFit="1" customWidth="1"/>
    <col min="3080" max="3080" width="13.7265625" style="1" bestFit="1" customWidth="1"/>
    <col min="3081" max="3081" width="5.453125" style="1" bestFit="1" customWidth="1"/>
    <col min="3082" max="3082" width="14.7265625" style="1" bestFit="1" customWidth="1"/>
    <col min="3083" max="3083" width="8.453125" style="1" bestFit="1" customWidth="1"/>
    <col min="3084" max="3084" width="13.7265625" style="1" bestFit="1" customWidth="1"/>
    <col min="3085" max="3085" width="12.453125" style="1" bestFit="1" customWidth="1"/>
    <col min="3086" max="3086" width="11.453125" style="1" bestFit="1" customWidth="1"/>
    <col min="3087" max="3087" width="8.453125" style="1" bestFit="1" customWidth="1"/>
    <col min="3088" max="3088" width="12.453125" style="1" bestFit="1" customWidth="1"/>
    <col min="3089" max="3090" width="10.453125" style="1" bestFit="1" customWidth="1"/>
    <col min="3091" max="3091" width="8.453125" style="1" bestFit="1" customWidth="1"/>
    <col min="3092" max="3096" width="12.453125" style="1" bestFit="1" customWidth="1"/>
    <col min="3097" max="3097" width="10.54296875" style="1" bestFit="1" customWidth="1"/>
    <col min="3098" max="3098" width="11.453125" style="1" bestFit="1" customWidth="1"/>
    <col min="3099" max="3100" width="12.54296875" style="1" bestFit="1" customWidth="1"/>
    <col min="3101" max="3101" width="9.453125" style="1" bestFit="1" customWidth="1"/>
    <col min="3102" max="3103" width="12.453125" style="1" bestFit="1" customWidth="1"/>
    <col min="3104" max="3104" width="10.453125" style="1" bestFit="1" customWidth="1"/>
    <col min="3105" max="3109" width="12.453125" style="1" bestFit="1" customWidth="1"/>
    <col min="3110" max="3111" width="10.453125" style="1" bestFit="1" customWidth="1"/>
    <col min="3112" max="3112" width="13.7265625" style="1" bestFit="1" customWidth="1"/>
    <col min="3113" max="3113" width="12.453125" style="1" bestFit="1" customWidth="1"/>
    <col min="3114" max="3114" width="10.453125" style="1" bestFit="1" customWidth="1"/>
    <col min="3115" max="3115" width="11.54296875" style="1" bestFit="1" customWidth="1"/>
    <col min="3116" max="3116" width="9.453125" style="1" bestFit="1" customWidth="1"/>
    <col min="3117" max="3117" width="13.54296875" style="1" bestFit="1" customWidth="1"/>
    <col min="3118" max="3118" width="12.453125" style="1" bestFit="1" customWidth="1"/>
    <col min="3119" max="3119" width="11.453125" style="1" bestFit="1" customWidth="1"/>
    <col min="3120" max="3121" width="12.453125" style="1" bestFit="1" customWidth="1"/>
    <col min="3122" max="3122" width="13.54296875" style="1" bestFit="1" customWidth="1"/>
    <col min="3123" max="3123" width="12.453125" style="1" bestFit="1" customWidth="1"/>
    <col min="3124" max="3124" width="13.54296875" style="1" bestFit="1" customWidth="1"/>
    <col min="3125" max="3125" width="11.453125" style="1" bestFit="1" customWidth="1"/>
    <col min="3126" max="3126" width="13.54296875" style="1" bestFit="1" customWidth="1"/>
    <col min="3127" max="3127" width="13.7265625" style="1" bestFit="1" customWidth="1"/>
    <col min="3128" max="3128" width="12.453125" style="1" bestFit="1" customWidth="1"/>
    <col min="3129" max="3129" width="10.453125" style="1" bestFit="1" customWidth="1"/>
    <col min="3130" max="3130" width="10.54296875" style="1" bestFit="1" customWidth="1"/>
    <col min="3131" max="3131" width="10.453125" style="1" bestFit="1" customWidth="1"/>
    <col min="3132" max="3132" width="10.54296875" style="1" bestFit="1" customWidth="1"/>
    <col min="3133" max="3133" width="12.54296875" style="1" bestFit="1" customWidth="1"/>
    <col min="3134" max="3134" width="14.7265625" style="1" bestFit="1" customWidth="1"/>
    <col min="3135" max="3136" width="13.54296875" style="1" bestFit="1" customWidth="1"/>
    <col min="3137" max="3137" width="12.453125" style="1" bestFit="1" customWidth="1"/>
    <col min="3138" max="3138" width="11.54296875" style="1" bestFit="1" customWidth="1"/>
    <col min="3139" max="3139" width="13.54296875" style="1" bestFit="1" customWidth="1"/>
    <col min="3140" max="3141" width="12.453125" style="1" bestFit="1" customWidth="1"/>
    <col min="3142" max="3142" width="5.453125" style="1" bestFit="1" customWidth="1"/>
    <col min="3143" max="3143" width="13.54296875" style="1" bestFit="1" customWidth="1"/>
    <col min="3144" max="3144" width="11.54296875" style="1" bestFit="1" customWidth="1"/>
    <col min="3145" max="3145" width="12.453125" style="1" bestFit="1" customWidth="1"/>
    <col min="3146" max="3146" width="11.54296875" style="1" bestFit="1" customWidth="1"/>
    <col min="3147" max="3147" width="12.453125" style="1" bestFit="1" customWidth="1"/>
    <col min="3148" max="3148" width="14.7265625" style="1" bestFit="1" customWidth="1"/>
    <col min="3149" max="3328" width="8.81640625" style="1"/>
    <col min="3329" max="3329" width="11" style="1" bestFit="1" customWidth="1"/>
    <col min="3330" max="3330" width="46.453125" style="1" bestFit="1" customWidth="1"/>
    <col min="3331" max="3331" width="9.453125" style="1" bestFit="1" customWidth="1"/>
    <col min="3332" max="3332" width="13.54296875" style="1" bestFit="1" customWidth="1"/>
    <col min="3333" max="3334" width="11.453125" style="1" bestFit="1" customWidth="1"/>
    <col min="3335" max="3335" width="10.453125" style="1" bestFit="1" customWidth="1"/>
    <col min="3336" max="3336" width="13.7265625" style="1" bestFit="1" customWidth="1"/>
    <col min="3337" max="3337" width="5.453125" style="1" bestFit="1" customWidth="1"/>
    <col min="3338" max="3338" width="14.7265625" style="1" bestFit="1" customWidth="1"/>
    <col min="3339" max="3339" width="8.453125" style="1" bestFit="1" customWidth="1"/>
    <col min="3340" max="3340" width="13.7265625" style="1" bestFit="1" customWidth="1"/>
    <col min="3341" max="3341" width="12.453125" style="1" bestFit="1" customWidth="1"/>
    <col min="3342" max="3342" width="11.453125" style="1" bestFit="1" customWidth="1"/>
    <col min="3343" max="3343" width="8.453125" style="1" bestFit="1" customWidth="1"/>
    <col min="3344" max="3344" width="12.453125" style="1" bestFit="1" customWidth="1"/>
    <col min="3345" max="3346" width="10.453125" style="1" bestFit="1" customWidth="1"/>
    <col min="3347" max="3347" width="8.453125" style="1" bestFit="1" customWidth="1"/>
    <col min="3348" max="3352" width="12.453125" style="1" bestFit="1" customWidth="1"/>
    <col min="3353" max="3353" width="10.54296875" style="1" bestFit="1" customWidth="1"/>
    <col min="3354" max="3354" width="11.453125" style="1" bestFit="1" customWidth="1"/>
    <col min="3355" max="3356" width="12.54296875" style="1" bestFit="1" customWidth="1"/>
    <col min="3357" max="3357" width="9.453125" style="1" bestFit="1" customWidth="1"/>
    <col min="3358" max="3359" width="12.453125" style="1" bestFit="1" customWidth="1"/>
    <col min="3360" max="3360" width="10.453125" style="1" bestFit="1" customWidth="1"/>
    <col min="3361" max="3365" width="12.453125" style="1" bestFit="1" customWidth="1"/>
    <col min="3366" max="3367" width="10.453125" style="1" bestFit="1" customWidth="1"/>
    <col min="3368" max="3368" width="13.7265625" style="1" bestFit="1" customWidth="1"/>
    <col min="3369" max="3369" width="12.453125" style="1" bestFit="1" customWidth="1"/>
    <col min="3370" max="3370" width="10.453125" style="1" bestFit="1" customWidth="1"/>
    <col min="3371" max="3371" width="11.54296875" style="1" bestFit="1" customWidth="1"/>
    <col min="3372" max="3372" width="9.453125" style="1" bestFit="1" customWidth="1"/>
    <col min="3373" max="3373" width="13.54296875" style="1" bestFit="1" customWidth="1"/>
    <col min="3374" max="3374" width="12.453125" style="1" bestFit="1" customWidth="1"/>
    <col min="3375" max="3375" width="11.453125" style="1" bestFit="1" customWidth="1"/>
    <col min="3376" max="3377" width="12.453125" style="1" bestFit="1" customWidth="1"/>
    <col min="3378" max="3378" width="13.54296875" style="1" bestFit="1" customWidth="1"/>
    <col min="3379" max="3379" width="12.453125" style="1" bestFit="1" customWidth="1"/>
    <col min="3380" max="3380" width="13.54296875" style="1" bestFit="1" customWidth="1"/>
    <col min="3381" max="3381" width="11.453125" style="1" bestFit="1" customWidth="1"/>
    <col min="3382" max="3382" width="13.54296875" style="1" bestFit="1" customWidth="1"/>
    <col min="3383" max="3383" width="13.7265625" style="1" bestFit="1" customWidth="1"/>
    <col min="3384" max="3384" width="12.453125" style="1" bestFit="1" customWidth="1"/>
    <col min="3385" max="3385" width="10.453125" style="1" bestFit="1" customWidth="1"/>
    <col min="3386" max="3386" width="10.54296875" style="1" bestFit="1" customWidth="1"/>
    <col min="3387" max="3387" width="10.453125" style="1" bestFit="1" customWidth="1"/>
    <col min="3388" max="3388" width="10.54296875" style="1" bestFit="1" customWidth="1"/>
    <col min="3389" max="3389" width="12.54296875" style="1" bestFit="1" customWidth="1"/>
    <col min="3390" max="3390" width="14.7265625" style="1" bestFit="1" customWidth="1"/>
    <col min="3391" max="3392" width="13.54296875" style="1" bestFit="1" customWidth="1"/>
    <col min="3393" max="3393" width="12.453125" style="1" bestFit="1" customWidth="1"/>
    <col min="3394" max="3394" width="11.54296875" style="1" bestFit="1" customWidth="1"/>
    <col min="3395" max="3395" width="13.54296875" style="1" bestFit="1" customWidth="1"/>
    <col min="3396" max="3397" width="12.453125" style="1" bestFit="1" customWidth="1"/>
    <col min="3398" max="3398" width="5.453125" style="1" bestFit="1" customWidth="1"/>
    <col min="3399" max="3399" width="13.54296875" style="1" bestFit="1" customWidth="1"/>
    <col min="3400" max="3400" width="11.54296875" style="1" bestFit="1" customWidth="1"/>
    <col min="3401" max="3401" width="12.453125" style="1" bestFit="1" customWidth="1"/>
    <col min="3402" max="3402" width="11.54296875" style="1" bestFit="1" customWidth="1"/>
    <col min="3403" max="3403" width="12.453125" style="1" bestFit="1" customWidth="1"/>
    <col min="3404" max="3404" width="14.7265625" style="1" bestFit="1" customWidth="1"/>
    <col min="3405" max="3584" width="8.81640625" style="1"/>
    <col min="3585" max="3585" width="11" style="1" bestFit="1" customWidth="1"/>
    <col min="3586" max="3586" width="46.453125" style="1" bestFit="1" customWidth="1"/>
    <col min="3587" max="3587" width="9.453125" style="1" bestFit="1" customWidth="1"/>
    <col min="3588" max="3588" width="13.54296875" style="1" bestFit="1" customWidth="1"/>
    <col min="3589" max="3590" width="11.453125" style="1" bestFit="1" customWidth="1"/>
    <col min="3591" max="3591" width="10.453125" style="1" bestFit="1" customWidth="1"/>
    <col min="3592" max="3592" width="13.7265625" style="1" bestFit="1" customWidth="1"/>
    <col min="3593" max="3593" width="5.453125" style="1" bestFit="1" customWidth="1"/>
    <col min="3594" max="3594" width="14.7265625" style="1" bestFit="1" customWidth="1"/>
    <col min="3595" max="3595" width="8.453125" style="1" bestFit="1" customWidth="1"/>
    <col min="3596" max="3596" width="13.7265625" style="1" bestFit="1" customWidth="1"/>
    <col min="3597" max="3597" width="12.453125" style="1" bestFit="1" customWidth="1"/>
    <col min="3598" max="3598" width="11.453125" style="1" bestFit="1" customWidth="1"/>
    <col min="3599" max="3599" width="8.453125" style="1" bestFit="1" customWidth="1"/>
    <col min="3600" max="3600" width="12.453125" style="1" bestFit="1" customWidth="1"/>
    <col min="3601" max="3602" width="10.453125" style="1" bestFit="1" customWidth="1"/>
    <col min="3603" max="3603" width="8.453125" style="1" bestFit="1" customWidth="1"/>
    <col min="3604" max="3608" width="12.453125" style="1" bestFit="1" customWidth="1"/>
    <col min="3609" max="3609" width="10.54296875" style="1" bestFit="1" customWidth="1"/>
    <col min="3610" max="3610" width="11.453125" style="1" bestFit="1" customWidth="1"/>
    <col min="3611" max="3612" width="12.54296875" style="1" bestFit="1" customWidth="1"/>
    <col min="3613" max="3613" width="9.453125" style="1" bestFit="1" customWidth="1"/>
    <col min="3614" max="3615" width="12.453125" style="1" bestFit="1" customWidth="1"/>
    <col min="3616" max="3616" width="10.453125" style="1" bestFit="1" customWidth="1"/>
    <col min="3617" max="3621" width="12.453125" style="1" bestFit="1" customWidth="1"/>
    <col min="3622" max="3623" width="10.453125" style="1" bestFit="1" customWidth="1"/>
    <col min="3624" max="3624" width="13.7265625" style="1" bestFit="1" customWidth="1"/>
    <col min="3625" max="3625" width="12.453125" style="1" bestFit="1" customWidth="1"/>
    <col min="3626" max="3626" width="10.453125" style="1" bestFit="1" customWidth="1"/>
    <col min="3627" max="3627" width="11.54296875" style="1" bestFit="1" customWidth="1"/>
    <col min="3628" max="3628" width="9.453125" style="1" bestFit="1" customWidth="1"/>
    <col min="3629" max="3629" width="13.54296875" style="1" bestFit="1" customWidth="1"/>
    <col min="3630" max="3630" width="12.453125" style="1" bestFit="1" customWidth="1"/>
    <col min="3631" max="3631" width="11.453125" style="1" bestFit="1" customWidth="1"/>
    <col min="3632" max="3633" width="12.453125" style="1" bestFit="1" customWidth="1"/>
    <col min="3634" max="3634" width="13.54296875" style="1" bestFit="1" customWidth="1"/>
    <col min="3635" max="3635" width="12.453125" style="1" bestFit="1" customWidth="1"/>
    <col min="3636" max="3636" width="13.54296875" style="1" bestFit="1" customWidth="1"/>
    <col min="3637" max="3637" width="11.453125" style="1" bestFit="1" customWidth="1"/>
    <col min="3638" max="3638" width="13.54296875" style="1" bestFit="1" customWidth="1"/>
    <col min="3639" max="3639" width="13.7265625" style="1" bestFit="1" customWidth="1"/>
    <col min="3640" max="3640" width="12.453125" style="1" bestFit="1" customWidth="1"/>
    <col min="3641" max="3641" width="10.453125" style="1" bestFit="1" customWidth="1"/>
    <col min="3642" max="3642" width="10.54296875" style="1" bestFit="1" customWidth="1"/>
    <col min="3643" max="3643" width="10.453125" style="1" bestFit="1" customWidth="1"/>
    <col min="3644" max="3644" width="10.54296875" style="1" bestFit="1" customWidth="1"/>
    <col min="3645" max="3645" width="12.54296875" style="1" bestFit="1" customWidth="1"/>
    <col min="3646" max="3646" width="14.7265625" style="1" bestFit="1" customWidth="1"/>
    <col min="3647" max="3648" width="13.54296875" style="1" bestFit="1" customWidth="1"/>
    <col min="3649" max="3649" width="12.453125" style="1" bestFit="1" customWidth="1"/>
    <col min="3650" max="3650" width="11.54296875" style="1" bestFit="1" customWidth="1"/>
    <col min="3651" max="3651" width="13.54296875" style="1" bestFit="1" customWidth="1"/>
    <col min="3652" max="3653" width="12.453125" style="1" bestFit="1" customWidth="1"/>
    <col min="3654" max="3654" width="5.453125" style="1" bestFit="1" customWidth="1"/>
    <col min="3655" max="3655" width="13.54296875" style="1" bestFit="1" customWidth="1"/>
    <col min="3656" max="3656" width="11.54296875" style="1" bestFit="1" customWidth="1"/>
    <col min="3657" max="3657" width="12.453125" style="1" bestFit="1" customWidth="1"/>
    <col min="3658" max="3658" width="11.54296875" style="1" bestFit="1" customWidth="1"/>
    <col min="3659" max="3659" width="12.453125" style="1" bestFit="1" customWidth="1"/>
    <col min="3660" max="3660" width="14.7265625" style="1" bestFit="1" customWidth="1"/>
    <col min="3661" max="3840" width="8.81640625" style="1"/>
    <col min="3841" max="3841" width="11" style="1" bestFit="1" customWidth="1"/>
    <col min="3842" max="3842" width="46.453125" style="1" bestFit="1" customWidth="1"/>
    <col min="3843" max="3843" width="9.453125" style="1" bestFit="1" customWidth="1"/>
    <col min="3844" max="3844" width="13.54296875" style="1" bestFit="1" customWidth="1"/>
    <col min="3845" max="3846" width="11.453125" style="1" bestFit="1" customWidth="1"/>
    <col min="3847" max="3847" width="10.453125" style="1" bestFit="1" customWidth="1"/>
    <col min="3848" max="3848" width="13.7265625" style="1" bestFit="1" customWidth="1"/>
    <col min="3849" max="3849" width="5.453125" style="1" bestFit="1" customWidth="1"/>
    <col min="3850" max="3850" width="14.7265625" style="1" bestFit="1" customWidth="1"/>
    <col min="3851" max="3851" width="8.453125" style="1" bestFit="1" customWidth="1"/>
    <col min="3852" max="3852" width="13.7265625" style="1" bestFit="1" customWidth="1"/>
    <col min="3853" max="3853" width="12.453125" style="1" bestFit="1" customWidth="1"/>
    <col min="3854" max="3854" width="11.453125" style="1" bestFit="1" customWidth="1"/>
    <col min="3855" max="3855" width="8.453125" style="1" bestFit="1" customWidth="1"/>
    <col min="3856" max="3856" width="12.453125" style="1" bestFit="1" customWidth="1"/>
    <col min="3857" max="3858" width="10.453125" style="1" bestFit="1" customWidth="1"/>
    <col min="3859" max="3859" width="8.453125" style="1" bestFit="1" customWidth="1"/>
    <col min="3860" max="3864" width="12.453125" style="1" bestFit="1" customWidth="1"/>
    <col min="3865" max="3865" width="10.54296875" style="1" bestFit="1" customWidth="1"/>
    <col min="3866" max="3866" width="11.453125" style="1" bestFit="1" customWidth="1"/>
    <col min="3867" max="3868" width="12.54296875" style="1" bestFit="1" customWidth="1"/>
    <col min="3869" max="3869" width="9.453125" style="1" bestFit="1" customWidth="1"/>
    <col min="3870" max="3871" width="12.453125" style="1" bestFit="1" customWidth="1"/>
    <col min="3872" max="3872" width="10.453125" style="1" bestFit="1" customWidth="1"/>
    <col min="3873" max="3877" width="12.453125" style="1" bestFit="1" customWidth="1"/>
    <col min="3878" max="3879" width="10.453125" style="1" bestFit="1" customWidth="1"/>
    <col min="3880" max="3880" width="13.7265625" style="1" bestFit="1" customWidth="1"/>
    <col min="3881" max="3881" width="12.453125" style="1" bestFit="1" customWidth="1"/>
    <col min="3882" max="3882" width="10.453125" style="1" bestFit="1" customWidth="1"/>
    <col min="3883" max="3883" width="11.54296875" style="1" bestFit="1" customWidth="1"/>
    <col min="3884" max="3884" width="9.453125" style="1" bestFit="1" customWidth="1"/>
    <col min="3885" max="3885" width="13.54296875" style="1" bestFit="1" customWidth="1"/>
    <col min="3886" max="3886" width="12.453125" style="1" bestFit="1" customWidth="1"/>
    <col min="3887" max="3887" width="11.453125" style="1" bestFit="1" customWidth="1"/>
    <col min="3888" max="3889" width="12.453125" style="1" bestFit="1" customWidth="1"/>
    <col min="3890" max="3890" width="13.54296875" style="1" bestFit="1" customWidth="1"/>
    <col min="3891" max="3891" width="12.453125" style="1" bestFit="1" customWidth="1"/>
    <col min="3892" max="3892" width="13.54296875" style="1" bestFit="1" customWidth="1"/>
    <col min="3893" max="3893" width="11.453125" style="1" bestFit="1" customWidth="1"/>
    <col min="3894" max="3894" width="13.54296875" style="1" bestFit="1" customWidth="1"/>
    <col min="3895" max="3895" width="13.7265625" style="1" bestFit="1" customWidth="1"/>
    <col min="3896" max="3896" width="12.453125" style="1" bestFit="1" customWidth="1"/>
    <col min="3897" max="3897" width="10.453125" style="1" bestFit="1" customWidth="1"/>
    <col min="3898" max="3898" width="10.54296875" style="1" bestFit="1" customWidth="1"/>
    <col min="3899" max="3899" width="10.453125" style="1" bestFit="1" customWidth="1"/>
    <col min="3900" max="3900" width="10.54296875" style="1" bestFit="1" customWidth="1"/>
    <col min="3901" max="3901" width="12.54296875" style="1" bestFit="1" customWidth="1"/>
    <col min="3902" max="3902" width="14.7265625" style="1" bestFit="1" customWidth="1"/>
    <col min="3903" max="3904" width="13.54296875" style="1" bestFit="1" customWidth="1"/>
    <col min="3905" max="3905" width="12.453125" style="1" bestFit="1" customWidth="1"/>
    <col min="3906" max="3906" width="11.54296875" style="1" bestFit="1" customWidth="1"/>
    <col min="3907" max="3907" width="13.54296875" style="1" bestFit="1" customWidth="1"/>
    <col min="3908" max="3909" width="12.453125" style="1" bestFit="1" customWidth="1"/>
    <col min="3910" max="3910" width="5.453125" style="1" bestFit="1" customWidth="1"/>
    <col min="3911" max="3911" width="13.54296875" style="1" bestFit="1" customWidth="1"/>
    <col min="3912" max="3912" width="11.54296875" style="1" bestFit="1" customWidth="1"/>
    <col min="3913" max="3913" width="12.453125" style="1" bestFit="1" customWidth="1"/>
    <col min="3914" max="3914" width="11.54296875" style="1" bestFit="1" customWidth="1"/>
    <col min="3915" max="3915" width="12.453125" style="1" bestFit="1" customWidth="1"/>
    <col min="3916" max="3916" width="14.7265625" style="1" bestFit="1" customWidth="1"/>
    <col min="3917" max="4096" width="8.81640625" style="1"/>
    <col min="4097" max="4097" width="11" style="1" bestFit="1" customWidth="1"/>
    <col min="4098" max="4098" width="46.453125" style="1" bestFit="1" customWidth="1"/>
    <col min="4099" max="4099" width="9.453125" style="1" bestFit="1" customWidth="1"/>
    <col min="4100" max="4100" width="13.54296875" style="1" bestFit="1" customWidth="1"/>
    <col min="4101" max="4102" width="11.453125" style="1" bestFit="1" customWidth="1"/>
    <col min="4103" max="4103" width="10.453125" style="1" bestFit="1" customWidth="1"/>
    <col min="4104" max="4104" width="13.7265625" style="1" bestFit="1" customWidth="1"/>
    <col min="4105" max="4105" width="5.453125" style="1" bestFit="1" customWidth="1"/>
    <col min="4106" max="4106" width="14.7265625" style="1" bestFit="1" customWidth="1"/>
    <col min="4107" max="4107" width="8.453125" style="1" bestFit="1" customWidth="1"/>
    <col min="4108" max="4108" width="13.7265625" style="1" bestFit="1" customWidth="1"/>
    <col min="4109" max="4109" width="12.453125" style="1" bestFit="1" customWidth="1"/>
    <col min="4110" max="4110" width="11.453125" style="1" bestFit="1" customWidth="1"/>
    <col min="4111" max="4111" width="8.453125" style="1" bestFit="1" customWidth="1"/>
    <col min="4112" max="4112" width="12.453125" style="1" bestFit="1" customWidth="1"/>
    <col min="4113" max="4114" width="10.453125" style="1" bestFit="1" customWidth="1"/>
    <col min="4115" max="4115" width="8.453125" style="1" bestFit="1" customWidth="1"/>
    <col min="4116" max="4120" width="12.453125" style="1" bestFit="1" customWidth="1"/>
    <col min="4121" max="4121" width="10.54296875" style="1" bestFit="1" customWidth="1"/>
    <col min="4122" max="4122" width="11.453125" style="1" bestFit="1" customWidth="1"/>
    <col min="4123" max="4124" width="12.54296875" style="1" bestFit="1" customWidth="1"/>
    <col min="4125" max="4125" width="9.453125" style="1" bestFit="1" customWidth="1"/>
    <col min="4126" max="4127" width="12.453125" style="1" bestFit="1" customWidth="1"/>
    <col min="4128" max="4128" width="10.453125" style="1" bestFit="1" customWidth="1"/>
    <col min="4129" max="4133" width="12.453125" style="1" bestFit="1" customWidth="1"/>
    <col min="4134" max="4135" width="10.453125" style="1" bestFit="1" customWidth="1"/>
    <col min="4136" max="4136" width="13.7265625" style="1" bestFit="1" customWidth="1"/>
    <col min="4137" max="4137" width="12.453125" style="1" bestFit="1" customWidth="1"/>
    <col min="4138" max="4138" width="10.453125" style="1" bestFit="1" customWidth="1"/>
    <col min="4139" max="4139" width="11.54296875" style="1" bestFit="1" customWidth="1"/>
    <col min="4140" max="4140" width="9.453125" style="1" bestFit="1" customWidth="1"/>
    <col min="4141" max="4141" width="13.54296875" style="1" bestFit="1" customWidth="1"/>
    <col min="4142" max="4142" width="12.453125" style="1" bestFit="1" customWidth="1"/>
    <col min="4143" max="4143" width="11.453125" style="1" bestFit="1" customWidth="1"/>
    <col min="4144" max="4145" width="12.453125" style="1" bestFit="1" customWidth="1"/>
    <col min="4146" max="4146" width="13.54296875" style="1" bestFit="1" customWidth="1"/>
    <col min="4147" max="4147" width="12.453125" style="1" bestFit="1" customWidth="1"/>
    <col min="4148" max="4148" width="13.54296875" style="1" bestFit="1" customWidth="1"/>
    <col min="4149" max="4149" width="11.453125" style="1" bestFit="1" customWidth="1"/>
    <col min="4150" max="4150" width="13.54296875" style="1" bestFit="1" customWidth="1"/>
    <col min="4151" max="4151" width="13.7265625" style="1" bestFit="1" customWidth="1"/>
    <col min="4152" max="4152" width="12.453125" style="1" bestFit="1" customWidth="1"/>
    <col min="4153" max="4153" width="10.453125" style="1" bestFit="1" customWidth="1"/>
    <col min="4154" max="4154" width="10.54296875" style="1" bestFit="1" customWidth="1"/>
    <col min="4155" max="4155" width="10.453125" style="1" bestFit="1" customWidth="1"/>
    <col min="4156" max="4156" width="10.54296875" style="1" bestFit="1" customWidth="1"/>
    <col min="4157" max="4157" width="12.54296875" style="1" bestFit="1" customWidth="1"/>
    <col min="4158" max="4158" width="14.7265625" style="1" bestFit="1" customWidth="1"/>
    <col min="4159" max="4160" width="13.54296875" style="1" bestFit="1" customWidth="1"/>
    <col min="4161" max="4161" width="12.453125" style="1" bestFit="1" customWidth="1"/>
    <col min="4162" max="4162" width="11.54296875" style="1" bestFit="1" customWidth="1"/>
    <col min="4163" max="4163" width="13.54296875" style="1" bestFit="1" customWidth="1"/>
    <col min="4164" max="4165" width="12.453125" style="1" bestFit="1" customWidth="1"/>
    <col min="4166" max="4166" width="5.453125" style="1" bestFit="1" customWidth="1"/>
    <col min="4167" max="4167" width="13.54296875" style="1" bestFit="1" customWidth="1"/>
    <col min="4168" max="4168" width="11.54296875" style="1" bestFit="1" customWidth="1"/>
    <col min="4169" max="4169" width="12.453125" style="1" bestFit="1" customWidth="1"/>
    <col min="4170" max="4170" width="11.54296875" style="1" bestFit="1" customWidth="1"/>
    <col min="4171" max="4171" width="12.453125" style="1" bestFit="1" customWidth="1"/>
    <col min="4172" max="4172" width="14.7265625" style="1" bestFit="1" customWidth="1"/>
    <col min="4173" max="4352" width="8.81640625" style="1"/>
    <col min="4353" max="4353" width="11" style="1" bestFit="1" customWidth="1"/>
    <col min="4354" max="4354" width="46.453125" style="1" bestFit="1" customWidth="1"/>
    <col min="4355" max="4355" width="9.453125" style="1" bestFit="1" customWidth="1"/>
    <col min="4356" max="4356" width="13.54296875" style="1" bestFit="1" customWidth="1"/>
    <col min="4357" max="4358" width="11.453125" style="1" bestFit="1" customWidth="1"/>
    <col min="4359" max="4359" width="10.453125" style="1" bestFit="1" customWidth="1"/>
    <col min="4360" max="4360" width="13.7265625" style="1" bestFit="1" customWidth="1"/>
    <col min="4361" max="4361" width="5.453125" style="1" bestFit="1" customWidth="1"/>
    <col min="4362" max="4362" width="14.7265625" style="1" bestFit="1" customWidth="1"/>
    <col min="4363" max="4363" width="8.453125" style="1" bestFit="1" customWidth="1"/>
    <col min="4364" max="4364" width="13.7265625" style="1" bestFit="1" customWidth="1"/>
    <col min="4365" max="4365" width="12.453125" style="1" bestFit="1" customWidth="1"/>
    <col min="4366" max="4366" width="11.453125" style="1" bestFit="1" customWidth="1"/>
    <col min="4367" max="4367" width="8.453125" style="1" bestFit="1" customWidth="1"/>
    <col min="4368" max="4368" width="12.453125" style="1" bestFit="1" customWidth="1"/>
    <col min="4369" max="4370" width="10.453125" style="1" bestFit="1" customWidth="1"/>
    <col min="4371" max="4371" width="8.453125" style="1" bestFit="1" customWidth="1"/>
    <col min="4372" max="4376" width="12.453125" style="1" bestFit="1" customWidth="1"/>
    <col min="4377" max="4377" width="10.54296875" style="1" bestFit="1" customWidth="1"/>
    <col min="4378" max="4378" width="11.453125" style="1" bestFit="1" customWidth="1"/>
    <col min="4379" max="4380" width="12.54296875" style="1" bestFit="1" customWidth="1"/>
    <col min="4381" max="4381" width="9.453125" style="1" bestFit="1" customWidth="1"/>
    <col min="4382" max="4383" width="12.453125" style="1" bestFit="1" customWidth="1"/>
    <col min="4384" max="4384" width="10.453125" style="1" bestFit="1" customWidth="1"/>
    <col min="4385" max="4389" width="12.453125" style="1" bestFit="1" customWidth="1"/>
    <col min="4390" max="4391" width="10.453125" style="1" bestFit="1" customWidth="1"/>
    <col min="4392" max="4392" width="13.7265625" style="1" bestFit="1" customWidth="1"/>
    <col min="4393" max="4393" width="12.453125" style="1" bestFit="1" customWidth="1"/>
    <col min="4394" max="4394" width="10.453125" style="1" bestFit="1" customWidth="1"/>
    <col min="4395" max="4395" width="11.54296875" style="1" bestFit="1" customWidth="1"/>
    <col min="4396" max="4396" width="9.453125" style="1" bestFit="1" customWidth="1"/>
    <col min="4397" max="4397" width="13.54296875" style="1" bestFit="1" customWidth="1"/>
    <col min="4398" max="4398" width="12.453125" style="1" bestFit="1" customWidth="1"/>
    <col min="4399" max="4399" width="11.453125" style="1" bestFit="1" customWidth="1"/>
    <col min="4400" max="4401" width="12.453125" style="1" bestFit="1" customWidth="1"/>
    <col min="4402" max="4402" width="13.54296875" style="1" bestFit="1" customWidth="1"/>
    <col min="4403" max="4403" width="12.453125" style="1" bestFit="1" customWidth="1"/>
    <col min="4404" max="4404" width="13.54296875" style="1" bestFit="1" customWidth="1"/>
    <col min="4405" max="4405" width="11.453125" style="1" bestFit="1" customWidth="1"/>
    <col min="4406" max="4406" width="13.54296875" style="1" bestFit="1" customWidth="1"/>
    <col min="4407" max="4407" width="13.7265625" style="1" bestFit="1" customWidth="1"/>
    <col min="4408" max="4408" width="12.453125" style="1" bestFit="1" customWidth="1"/>
    <col min="4409" max="4409" width="10.453125" style="1" bestFit="1" customWidth="1"/>
    <col min="4410" max="4410" width="10.54296875" style="1" bestFit="1" customWidth="1"/>
    <col min="4411" max="4411" width="10.453125" style="1" bestFit="1" customWidth="1"/>
    <col min="4412" max="4412" width="10.54296875" style="1" bestFit="1" customWidth="1"/>
    <col min="4413" max="4413" width="12.54296875" style="1" bestFit="1" customWidth="1"/>
    <col min="4414" max="4414" width="14.7265625" style="1" bestFit="1" customWidth="1"/>
    <col min="4415" max="4416" width="13.54296875" style="1" bestFit="1" customWidth="1"/>
    <col min="4417" max="4417" width="12.453125" style="1" bestFit="1" customWidth="1"/>
    <col min="4418" max="4418" width="11.54296875" style="1" bestFit="1" customWidth="1"/>
    <col min="4419" max="4419" width="13.54296875" style="1" bestFit="1" customWidth="1"/>
    <col min="4420" max="4421" width="12.453125" style="1" bestFit="1" customWidth="1"/>
    <col min="4422" max="4422" width="5.453125" style="1" bestFit="1" customWidth="1"/>
    <col min="4423" max="4423" width="13.54296875" style="1" bestFit="1" customWidth="1"/>
    <col min="4424" max="4424" width="11.54296875" style="1" bestFit="1" customWidth="1"/>
    <col min="4425" max="4425" width="12.453125" style="1" bestFit="1" customWidth="1"/>
    <col min="4426" max="4426" width="11.54296875" style="1" bestFit="1" customWidth="1"/>
    <col min="4427" max="4427" width="12.453125" style="1" bestFit="1" customWidth="1"/>
    <col min="4428" max="4428" width="14.7265625" style="1" bestFit="1" customWidth="1"/>
    <col min="4429" max="4608" width="8.81640625" style="1"/>
    <col min="4609" max="4609" width="11" style="1" bestFit="1" customWidth="1"/>
    <col min="4610" max="4610" width="46.453125" style="1" bestFit="1" customWidth="1"/>
    <col min="4611" max="4611" width="9.453125" style="1" bestFit="1" customWidth="1"/>
    <col min="4612" max="4612" width="13.54296875" style="1" bestFit="1" customWidth="1"/>
    <col min="4613" max="4614" width="11.453125" style="1" bestFit="1" customWidth="1"/>
    <col min="4615" max="4615" width="10.453125" style="1" bestFit="1" customWidth="1"/>
    <col min="4616" max="4616" width="13.7265625" style="1" bestFit="1" customWidth="1"/>
    <col min="4617" max="4617" width="5.453125" style="1" bestFit="1" customWidth="1"/>
    <col min="4618" max="4618" width="14.7265625" style="1" bestFit="1" customWidth="1"/>
    <col min="4619" max="4619" width="8.453125" style="1" bestFit="1" customWidth="1"/>
    <col min="4620" max="4620" width="13.7265625" style="1" bestFit="1" customWidth="1"/>
    <col min="4621" max="4621" width="12.453125" style="1" bestFit="1" customWidth="1"/>
    <col min="4622" max="4622" width="11.453125" style="1" bestFit="1" customWidth="1"/>
    <col min="4623" max="4623" width="8.453125" style="1" bestFit="1" customWidth="1"/>
    <col min="4624" max="4624" width="12.453125" style="1" bestFit="1" customWidth="1"/>
    <col min="4625" max="4626" width="10.453125" style="1" bestFit="1" customWidth="1"/>
    <col min="4627" max="4627" width="8.453125" style="1" bestFit="1" customWidth="1"/>
    <col min="4628" max="4632" width="12.453125" style="1" bestFit="1" customWidth="1"/>
    <col min="4633" max="4633" width="10.54296875" style="1" bestFit="1" customWidth="1"/>
    <col min="4634" max="4634" width="11.453125" style="1" bestFit="1" customWidth="1"/>
    <col min="4635" max="4636" width="12.54296875" style="1" bestFit="1" customWidth="1"/>
    <col min="4637" max="4637" width="9.453125" style="1" bestFit="1" customWidth="1"/>
    <col min="4638" max="4639" width="12.453125" style="1" bestFit="1" customWidth="1"/>
    <col min="4640" max="4640" width="10.453125" style="1" bestFit="1" customWidth="1"/>
    <col min="4641" max="4645" width="12.453125" style="1" bestFit="1" customWidth="1"/>
    <col min="4646" max="4647" width="10.453125" style="1" bestFit="1" customWidth="1"/>
    <col min="4648" max="4648" width="13.7265625" style="1" bestFit="1" customWidth="1"/>
    <col min="4649" max="4649" width="12.453125" style="1" bestFit="1" customWidth="1"/>
    <col min="4650" max="4650" width="10.453125" style="1" bestFit="1" customWidth="1"/>
    <col min="4651" max="4651" width="11.54296875" style="1" bestFit="1" customWidth="1"/>
    <col min="4652" max="4652" width="9.453125" style="1" bestFit="1" customWidth="1"/>
    <col min="4653" max="4653" width="13.54296875" style="1" bestFit="1" customWidth="1"/>
    <col min="4654" max="4654" width="12.453125" style="1" bestFit="1" customWidth="1"/>
    <col min="4655" max="4655" width="11.453125" style="1" bestFit="1" customWidth="1"/>
    <col min="4656" max="4657" width="12.453125" style="1" bestFit="1" customWidth="1"/>
    <col min="4658" max="4658" width="13.54296875" style="1" bestFit="1" customWidth="1"/>
    <col min="4659" max="4659" width="12.453125" style="1" bestFit="1" customWidth="1"/>
    <col min="4660" max="4660" width="13.54296875" style="1" bestFit="1" customWidth="1"/>
    <col min="4661" max="4661" width="11.453125" style="1" bestFit="1" customWidth="1"/>
    <col min="4662" max="4662" width="13.54296875" style="1" bestFit="1" customWidth="1"/>
    <col min="4663" max="4663" width="13.7265625" style="1" bestFit="1" customWidth="1"/>
    <col min="4664" max="4664" width="12.453125" style="1" bestFit="1" customWidth="1"/>
    <col min="4665" max="4665" width="10.453125" style="1" bestFit="1" customWidth="1"/>
    <col min="4666" max="4666" width="10.54296875" style="1" bestFit="1" customWidth="1"/>
    <col min="4667" max="4667" width="10.453125" style="1" bestFit="1" customWidth="1"/>
    <col min="4668" max="4668" width="10.54296875" style="1" bestFit="1" customWidth="1"/>
    <col min="4669" max="4669" width="12.54296875" style="1" bestFit="1" customWidth="1"/>
    <col min="4670" max="4670" width="14.7265625" style="1" bestFit="1" customWidth="1"/>
    <col min="4671" max="4672" width="13.54296875" style="1" bestFit="1" customWidth="1"/>
    <col min="4673" max="4673" width="12.453125" style="1" bestFit="1" customWidth="1"/>
    <col min="4674" max="4674" width="11.54296875" style="1" bestFit="1" customWidth="1"/>
    <col min="4675" max="4675" width="13.54296875" style="1" bestFit="1" customWidth="1"/>
    <col min="4676" max="4677" width="12.453125" style="1" bestFit="1" customWidth="1"/>
    <col min="4678" max="4678" width="5.453125" style="1" bestFit="1" customWidth="1"/>
    <col min="4679" max="4679" width="13.54296875" style="1" bestFit="1" customWidth="1"/>
    <col min="4680" max="4680" width="11.54296875" style="1" bestFit="1" customWidth="1"/>
    <col min="4681" max="4681" width="12.453125" style="1" bestFit="1" customWidth="1"/>
    <col min="4682" max="4682" width="11.54296875" style="1" bestFit="1" customWidth="1"/>
    <col min="4683" max="4683" width="12.453125" style="1" bestFit="1" customWidth="1"/>
    <col min="4684" max="4684" width="14.7265625" style="1" bestFit="1" customWidth="1"/>
    <col min="4685" max="4864" width="8.81640625" style="1"/>
    <col min="4865" max="4865" width="11" style="1" bestFit="1" customWidth="1"/>
    <col min="4866" max="4866" width="46.453125" style="1" bestFit="1" customWidth="1"/>
    <col min="4867" max="4867" width="9.453125" style="1" bestFit="1" customWidth="1"/>
    <col min="4868" max="4868" width="13.54296875" style="1" bestFit="1" customWidth="1"/>
    <col min="4869" max="4870" width="11.453125" style="1" bestFit="1" customWidth="1"/>
    <col min="4871" max="4871" width="10.453125" style="1" bestFit="1" customWidth="1"/>
    <col min="4872" max="4872" width="13.7265625" style="1" bestFit="1" customWidth="1"/>
    <col min="4873" max="4873" width="5.453125" style="1" bestFit="1" customWidth="1"/>
    <col min="4874" max="4874" width="14.7265625" style="1" bestFit="1" customWidth="1"/>
    <col min="4875" max="4875" width="8.453125" style="1" bestFit="1" customWidth="1"/>
    <col min="4876" max="4876" width="13.7265625" style="1" bestFit="1" customWidth="1"/>
    <col min="4877" max="4877" width="12.453125" style="1" bestFit="1" customWidth="1"/>
    <col min="4878" max="4878" width="11.453125" style="1" bestFit="1" customWidth="1"/>
    <col min="4879" max="4879" width="8.453125" style="1" bestFit="1" customWidth="1"/>
    <col min="4880" max="4880" width="12.453125" style="1" bestFit="1" customWidth="1"/>
    <col min="4881" max="4882" width="10.453125" style="1" bestFit="1" customWidth="1"/>
    <col min="4883" max="4883" width="8.453125" style="1" bestFit="1" customWidth="1"/>
    <col min="4884" max="4888" width="12.453125" style="1" bestFit="1" customWidth="1"/>
    <col min="4889" max="4889" width="10.54296875" style="1" bestFit="1" customWidth="1"/>
    <col min="4890" max="4890" width="11.453125" style="1" bestFit="1" customWidth="1"/>
    <col min="4891" max="4892" width="12.54296875" style="1" bestFit="1" customWidth="1"/>
    <col min="4893" max="4893" width="9.453125" style="1" bestFit="1" customWidth="1"/>
    <col min="4894" max="4895" width="12.453125" style="1" bestFit="1" customWidth="1"/>
    <col min="4896" max="4896" width="10.453125" style="1" bestFit="1" customWidth="1"/>
    <col min="4897" max="4901" width="12.453125" style="1" bestFit="1" customWidth="1"/>
    <col min="4902" max="4903" width="10.453125" style="1" bestFit="1" customWidth="1"/>
    <col min="4904" max="4904" width="13.7265625" style="1" bestFit="1" customWidth="1"/>
    <col min="4905" max="4905" width="12.453125" style="1" bestFit="1" customWidth="1"/>
    <col min="4906" max="4906" width="10.453125" style="1" bestFit="1" customWidth="1"/>
    <col min="4907" max="4907" width="11.54296875" style="1" bestFit="1" customWidth="1"/>
    <col min="4908" max="4908" width="9.453125" style="1" bestFit="1" customWidth="1"/>
    <col min="4909" max="4909" width="13.54296875" style="1" bestFit="1" customWidth="1"/>
    <col min="4910" max="4910" width="12.453125" style="1" bestFit="1" customWidth="1"/>
    <col min="4911" max="4911" width="11.453125" style="1" bestFit="1" customWidth="1"/>
    <col min="4912" max="4913" width="12.453125" style="1" bestFit="1" customWidth="1"/>
    <col min="4914" max="4914" width="13.54296875" style="1" bestFit="1" customWidth="1"/>
    <col min="4915" max="4915" width="12.453125" style="1" bestFit="1" customWidth="1"/>
    <col min="4916" max="4916" width="13.54296875" style="1" bestFit="1" customWidth="1"/>
    <col min="4917" max="4917" width="11.453125" style="1" bestFit="1" customWidth="1"/>
    <col min="4918" max="4918" width="13.54296875" style="1" bestFit="1" customWidth="1"/>
    <col min="4919" max="4919" width="13.7265625" style="1" bestFit="1" customWidth="1"/>
    <col min="4920" max="4920" width="12.453125" style="1" bestFit="1" customWidth="1"/>
    <col min="4921" max="4921" width="10.453125" style="1" bestFit="1" customWidth="1"/>
    <col min="4922" max="4922" width="10.54296875" style="1" bestFit="1" customWidth="1"/>
    <col min="4923" max="4923" width="10.453125" style="1" bestFit="1" customWidth="1"/>
    <col min="4924" max="4924" width="10.54296875" style="1" bestFit="1" customWidth="1"/>
    <col min="4925" max="4925" width="12.54296875" style="1" bestFit="1" customWidth="1"/>
    <col min="4926" max="4926" width="14.7265625" style="1" bestFit="1" customWidth="1"/>
    <col min="4927" max="4928" width="13.54296875" style="1" bestFit="1" customWidth="1"/>
    <col min="4929" max="4929" width="12.453125" style="1" bestFit="1" customWidth="1"/>
    <col min="4930" max="4930" width="11.54296875" style="1" bestFit="1" customWidth="1"/>
    <col min="4931" max="4931" width="13.54296875" style="1" bestFit="1" customWidth="1"/>
    <col min="4932" max="4933" width="12.453125" style="1" bestFit="1" customWidth="1"/>
    <col min="4934" max="4934" width="5.453125" style="1" bestFit="1" customWidth="1"/>
    <col min="4935" max="4935" width="13.54296875" style="1" bestFit="1" customWidth="1"/>
    <col min="4936" max="4936" width="11.54296875" style="1" bestFit="1" customWidth="1"/>
    <col min="4937" max="4937" width="12.453125" style="1" bestFit="1" customWidth="1"/>
    <col min="4938" max="4938" width="11.54296875" style="1" bestFit="1" customWidth="1"/>
    <col min="4939" max="4939" width="12.453125" style="1" bestFit="1" customWidth="1"/>
    <col min="4940" max="4940" width="14.7265625" style="1" bestFit="1" customWidth="1"/>
    <col min="4941" max="5120" width="8.81640625" style="1"/>
    <col min="5121" max="5121" width="11" style="1" bestFit="1" customWidth="1"/>
    <col min="5122" max="5122" width="46.453125" style="1" bestFit="1" customWidth="1"/>
    <col min="5123" max="5123" width="9.453125" style="1" bestFit="1" customWidth="1"/>
    <col min="5124" max="5124" width="13.54296875" style="1" bestFit="1" customWidth="1"/>
    <col min="5125" max="5126" width="11.453125" style="1" bestFit="1" customWidth="1"/>
    <col min="5127" max="5127" width="10.453125" style="1" bestFit="1" customWidth="1"/>
    <col min="5128" max="5128" width="13.7265625" style="1" bestFit="1" customWidth="1"/>
    <col min="5129" max="5129" width="5.453125" style="1" bestFit="1" customWidth="1"/>
    <col min="5130" max="5130" width="14.7265625" style="1" bestFit="1" customWidth="1"/>
    <col min="5131" max="5131" width="8.453125" style="1" bestFit="1" customWidth="1"/>
    <col min="5132" max="5132" width="13.7265625" style="1" bestFit="1" customWidth="1"/>
    <col min="5133" max="5133" width="12.453125" style="1" bestFit="1" customWidth="1"/>
    <col min="5134" max="5134" width="11.453125" style="1" bestFit="1" customWidth="1"/>
    <col min="5135" max="5135" width="8.453125" style="1" bestFit="1" customWidth="1"/>
    <col min="5136" max="5136" width="12.453125" style="1" bestFit="1" customWidth="1"/>
    <col min="5137" max="5138" width="10.453125" style="1" bestFit="1" customWidth="1"/>
    <col min="5139" max="5139" width="8.453125" style="1" bestFit="1" customWidth="1"/>
    <col min="5140" max="5144" width="12.453125" style="1" bestFit="1" customWidth="1"/>
    <col min="5145" max="5145" width="10.54296875" style="1" bestFit="1" customWidth="1"/>
    <col min="5146" max="5146" width="11.453125" style="1" bestFit="1" customWidth="1"/>
    <col min="5147" max="5148" width="12.54296875" style="1" bestFit="1" customWidth="1"/>
    <col min="5149" max="5149" width="9.453125" style="1" bestFit="1" customWidth="1"/>
    <col min="5150" max="5151" width="12.453125" style="1" bestFit="1" customWidth="1"/>
    <col min="5152" max="5152" width="10.453125" style="1" bestFit="1" customWidth="1"/>
    <col min="5153" max="5157" width="12.453125" style="1" bestFit="1" customWidth="1"/>
    <col min="5158" max="5159" width="10.453125" style="1" bestFit="1" customWidth="1"/>
    <col min="5160" max="5160" width="13.7265625" style="1" bestFit="1" customWidth="1"/>
    <col min="5161" max="5161" width="12.453125" style="1" bestFit="1" customWidth="1"/>
    <col min="5162" max="5162" width="10.453125" style="1" bestFit="1" customWidth="1"/>
    <col min="5163" max="5163" width="11.54296875" style="1" bestFit="1" customWidth="1"/>
    <col min="5164" max="5164" width="9.453125" style="1" bestFit="1" customWidth="1"/>
    <col min="5165" max="5165" width="13.54296875" style="1" bestFit="1" customWidth="1"/>
    <col min="5166" max="5166" width="12.453125" style="1" bestFit="1" customWidth="1"/>
    <col min="5167" max="5167" width="11.453125" style="1" bestFit="1" customWidth="1"/>
    <col min="5168" max="5169" width="12.453125" style="1" bestFit="1" customWidth="1"/>
    <col min="5170" max="5170" width="13.54296875" style="1" bestFit="1" customWidth="1"/>
    <col min="5171" max="5171" width="12.453125" style="1" bestFit="1" customWidth="1"/>
    <col min="5172" max="5172" width="13.54296875" style="1" bestFit="1" customWidth="1"/>
    <col min="5173" max="5173" width="11.453125" style="1" bestFit="1" customWidth="1"/>
    <col min="5174" max="5174" width="13.54296875" style="1" bestFit="1" customWidth="1"/>
    <col min="5175" max="5175" width="13.7265625" style="1" bestFit="1" customWidth="1"/>
    <col min="5176" max="5176" width="12.453125" style="1" bestFit="1" customWidth="1"/>
    <col min="5177" max="5177" width="10.453125" style="1" bestFit="1" customWidth="1"/>
    <col min="5178" max="5178" width="10.54296875" style="1" bestFit="1" customWidth="1"/>
    <col min="5179" max="5179" width="10.453125" style="1" bestFit="1" customWidth="1"/>
    <col min="5180" max="5180" width="10.54296875" style="1" bestFit="1" customWidth="1"/>
    <col min="5181" max="5181" width="12.54296875" style="1" bestFit="1" customWidth="1"/>
    <col min="5182" max="5182" width="14.7265625" style="1" bestFit="1" customWidth="1"/>
    <col min="5183" max="5184" width="13.54296875" style="1" bestFit="1" customWidth="1"/>
    <col min="5185" max="5185" width="12.453125" style="1" bestFit="1" customWidth="1"/>
    <col min="5186" max="5186" width="11.54296875" style="1" bestFit="1" customWidth="1"/>
    <col min="5187" max="5187" width="13.54296875" style="1" bestFit="1" customWidth="1"/>
    <col min="5188" max="5189" width="12.453125" style="1" bestFit="1" customWidth="1"/>
    <col min="5190" max="5190" width="5.453125" style="1" bestFit="1" customWidth="1"/>
    <col min="5191" max="5191" width="13.54296875" style="1" bestFit="1" customWidth="1"/>
    <col min="5192" max="5192" width="11.54296875" style="1" bestFit="1" customWidth="1"/>
    <col min="5193" max="5193" width="12.453125" style="1" bestFit="1" customWidth="1"/>
    <col min="5194" max="5194" width="11.54296875" style="1" bestFit="1" customWidth="1"/>
    <col min="5195" max="5195" width="12.453125" style="1" bestFit="1" customWidth="1"/>
    <col min="5196" max="5196" width="14.7265625" style="1" bestFit="1" customWidth="1"/>
    <col min="5197" max="5376" width="8.81640625" style="1"/>
    <col min="5377" max="5377" width="11" style="1" bestFit="1" customWidth="1"/>
    <col min="5378" max="5378" width="46.453125" style="1" bestFit="1" customWidth="1"/>
    <col min="5379" max="5379" width="9.453125" style="1" bestFit="1" customWidth="1"/>
    <col min="5380" max="5380" width="13.54296875" style="1" bestFit="1" customWidth="1"/>
    <col min="5381" max="5382" width="11.453125" style="1" bestFit="1" customWidth="1"/>
    <col min="5383" max="5383" width="10.453125" style="1" bestFit="1" customWidth="1"/>
    <col min="5384" max="5384" width="13.7265625" style="1" bestFit="1" customWidth="1"/>
    <col min="5385" max="5385" width="5.453125" style="1" bestFit="1" customWidth="1"/>
    <col min="5386" max="5386" width="14.7265625" style="1" bestFit="1" customWidth="1"/>
    <col min="5387" max="5387" width="8.453125" style="1" bestFit="1" customWidth="1"/>
    <col min="5388" max="5388" width="13.7265625" style="1" bestFit="1" customWidth="1"/>
    <col min="5389" max="5389" width="12.453125" style="1" bestFit="1" customWidth="1"/>
    <col min="5390" max="5390" width="11.453125" style="1" bestFit="1" customWidth="1"/>
    <col min="5391" max="5391" width="8.453125" style="1" bestFit="1" customWidth="1"/>
    <col min="5392" max="5392" width="12.453125" style="1" bestFit="1" customWidth="1"/>
    <col min="5393" max="5394" width="10.453125" style="1" bestFit="1" customWidth="1"/>
    <col min="5395" max="5395" width="8.453125" style="1" bestFit="1" customWidth="1"/>
    <col min="5396" max="5400" width="12.453125" style="1" bestFit="1" customWidth="1"/>
    <col min="5401" max="5401" width="10.54296875" style="1" bestFit="1" customWidth="1"/>
    <col min="5402" max="5402" width="11.453125" style="1" bestFit="1" customWidth="1"/>
    <col min="5403" max="5404" width="12.54296875" style="1" bestFit="1" customWidth="1"/>
    <col min="5405" max="5405" width="9.453125" style="1" bestFit="1" customWidth="1"/>
    <col min="5406" max="5407" width="12.453125" style="1" bestFit="1" customWidth="1"/>
    <col min="5408" max="5408" width="10.453125" style="1" bestFit="1" customWidth="1"/>
    <col min="5409" max="5413" width="12.453125" style="1" bestFit="1" customWidth="1"/>
    <col min="5414" max="5415" width="10.453125" style="1" bestFit="1" customWidth="1"/>
    <col min="5416" max="5416" width="13.7265625" style="1" bestFit="1" customWidth="1"/>
    <col min="5417" max="5417" width="12.453125" style="1" bestFit="1" customWidth="1"/>
    <col min="5418" max="5418" width="10.453125" style="1" bestFit="1" customWidth="1"/>
    <col min="5419" max="5419" width="11.54296875" style="1" bestFit="1" customWidth="1"/>
    <col min="5420" max="5420" width="9.453125" style="1" bestFit="1" customWidth="1"/>
    <col min="5421" max="5421" width="13.54296875" style="1" bestFit="1" customWidth="1"/>
    <col min="5422" max="5422" width="12.453125" style="1" bestFit="1" customWidth="1"/>
    <col min="5423" max="5423" width="11.453125" style="1" bestFit="1" customWidth="1"/>
    <col min="5424" max="5425" width="12.453125" style="1" bestFit="1" customWidth="1"/>
    <col min="5426" max="5426" width="13.54296875" style="1" bestFit="1" customWidth="1"/>
    <col min="5427" max="5427" width="12.453125" style="1" bestFit="1" customWidth="1"/>
    <col min="5428" max="5428" width="13.54296875" style="1" bestFit="1" customWidth="1"/>
    <col min="5429" max="5429" width="11.453125" style="1" bestFit="1" customWidth="1"/>
    <col min="5430" max="5430" width="13.54296875" style="1" bestFit="1" customWidth="1"/>
    <col min="5431" max="5431" width="13.7265625" style="1" bestFit="1" customWidth="1"/>
    <col min="5432" max="5432" width="12.453125" style="1" bestFit="1" customWidth="1"/>
    <col min="5433" max="5433" width="10.453125" style="1" bestFit="1" customWidth="1"/>
    <col min="5434" max="5434" width="10.54296875" style="1" bestFit="1" customWidth="1"/>
    <col min="5435" max="5435" width="10.453125" style="1" bestFit="1" customWidth="1"/>
    <col min="5436" max="5436" width="10.54296875" style="1" bestFit="1" customWidth="1"/>
    <col min="5437" max="5437" width="12.54296875" style="1" bestFit="1" customWidth="1"/>
    <col min="5438" max="5438" width="14.7265625" style="1" bestFit="1" customWidth="1"/>
    <col min="5439" max="5440" width="13.54296875" style="1" bestFit="1" customWidth="1"/>
    <col min="5441" max="5441" width="12.453125" style="1" bestFit="1" customWidth="1"/>
    <col min="5442" max="5442" width="11.54296875" style="1" bestFit="1" customWidth="1"/>
    <col min="5443" max="5443" width="13.54296875" style="1" bestFit="1" customWidth="1"/>
    <col min="5444" max="5445" width="12.453125" style="1" bestFit="1" customWidth="1"/>
    <col min="5446" max="5446" width="5.453125" style="1" bestFit="1" customWidth="1"/>
    <col min="5447" max="5447" width="13.54296875" style="1" bestFit="1" customWidth="1"/>
    <col min="5448" max="5448" width="11.54296875" style="1" bestFit="1" customWidth="1"/>
    <col min="5449" max="5449" width="12.453125" style="1" bestFit="1" customWidth="1"/>
    <col min="5450" max="5450" width="11.54296875" style="1" bestFit="1" customWidth="1"/>
    <col min="5451" max="5451" width="12.453125" style="1" bestFit="1" customWidth="1"/>
    <col min="5452" max="5452" width="14.7265625" style="1" bestFit="1" customWidth="1"/>
    <col min="5453" max="5632" width="8.81640625" style="1"/>
    <col min="5633" max="5633" width="11" style="1" bestFit="1" customWidth="1"/>
    <col min="5634" max="5634" width="46.453125" style="1" bestFit="1" customWidth="1"/>
    <col min="5635" max="5635" width="9.453125" style="1" bestFit="1" customWidth="1"/>
    <col min="5636" max="5636" width="13.54296875" style="1" bestFit="1" customWidth="1"/>
    <col min="5637" max="5638" width="11.453125" style="1" bestFit="1" customWidth="1"/>
    <col min="5639" max="5639" width="10.453125" style="1" bestFit="1" customWidth="1"/>
    <col min="5640" max="5640" width="13.7265625" style="1" bestFit="1" customWidth="1"/>
    <col min="5641" max="5641" width="5.453125" style="1" bestFit="1" customWidth="1"/>
    <col min="5642" max="5642" width="14.7265625" style="1" bestFit="1" customWidth="1"/>
    <col min="5643" max="5643" width="8.453125" style="1" bestFit="1" customWidth="1"/>
    <col min="5644" max="5644" width="13.7265625" style="1" bestFit="1" customWidth="1"/>
    <col min="5645" max="5645" width="12.453125" style="1" bestFit="1" customWidth="1"/>
    <col min="5646" max="5646" width="11.453125" style="1" bestFit="1" customWidth="1"/>
    <col min="5647" max="5647" width="8.453125" style="1" bestFit="1" customWidth="1"/>
    <col min="5648" max="5648" width="12.453125" style="1" bestFit="1" customWidth="1"/>
    <col min="5649" max="5650" width="10.453125" style="1" bestFit="1" customWidth="1"/>
    <col min="5651" max="5651" width="8.453125" style="1" bestFit="1" customWidth="1"/>
    <col min="5652" max="5656" width="12.453125" style="1" bestFit="1" customWidth="1"/>
    <col min="5657" max="5657" width="10.54296875" style="1" bestFit="1" customWidth="1"/>
    <col min="5658" max="5658" width="11.453125" style="1" bestFit="1" customWidth="1"/>
    <col min="5659" max="5660" width="12.54296875" style="1" bestFit="1" customWidth="1"/>
    <col min="5661" max="5661" width="9.453125" style="1" bestFit="1" customWidth="1"/>
    <col min="5662" max="5663" width="12.453125" style="1" bestFit="1" customWidth="1"/>
    <col min="5664" max="5664" width="10.453125" style="1" bestFit="1" customWidth="1"/>
    <col min="5665" max="5669" width="12.453125" style="1" bestFit="1" customWidth="1"/>
    <col min="5670" max="5671" width="10.453125" style="1" bestFit="1" customWidth="1"/>
    <col min="5672" max="5672" width="13.7265625" style="1" bestFit="1" customWidth="1"/>
    <col min="5673" max="5673" width="12.453125" style="1" bestFit="1" customWidth="1"/>
    <col min="5674" max="5674" width="10.453125" style="1" bestFit="1" customWidth="1"/>
    <col min="5675" max="5675" width="11.54296875" style="1" bestFit="1" customWidth="1"/>
    <col min="5676" max="5676" width="9.453125" style="1" bestFit="1" customWidth="1"/>
    <col min="5677" max="5677" width="13.54296875" style="1" bestFit="1" customWidth="1"/>
    <col min="5678" max="5678" width="12.453125" style="1" bestFit="1" customWidth="1"/>
    <col min="5679" max="5679" width="11.453125" style="1" bestFit="1" customWidth="1"/>
    <col min="5680" max="5681" width="12.453125" style="1" bestFit="1" customWidth="1"/>
    <col min="5682" max="5682" width="13.54296875" style="1" bestFit="1" customWidth="1"/>
    <col min="5683" max="5683" width="12.453125" style="1" bestFit="1" customWidth="1"/>
    <col min="5684" max="5684" width="13.54296875" style="1" bestFit="1" customWidth="1"/>
    <col min="5685" max="5685" width="11.453125" style="1" bestFit="1" customWidth="1"/>
    <col min="5686" max="5686" width="13.54296875" style="1" bestFit="1" customWidth="1"/>
    <col min="5687" max="5687" width="13.7265625" style="1" bestFit="1" customWidth="1"/>
    <col min="5688" max="5688" width="12.453125" style="1" bestFit="1" customWidth="1"/>
    <col min="5689" max="5689" width="10.453125" style="1" bestFit="1" customWidth="1"/>
    <col min="5690" max="5690" width="10.54296875" style="1" bestFit="1" customWidth="1"/>
    <col min="5691" max="5691" width="10.453125" style="1" bestFit="1" customWidth="1"/>
    <col min="5692" max="5692" width="10.54296875" style="1" bestFit="1" customWidth="1"/>
    <col min="5693" max="5693" width="12.54296875" style="1" bestFit="1" customWidth="1"/>
    <col min="5694" max="5694" width="14.7265625" style="1" bestFit="1" customWidth="1"/>
    <col min="5695" max="5696" width="13.54296875" style="1" bestFit="1" customWidth="1"/>
    <col min="5697" max="5697" width="12.453125" style="1" bestFit="1" customWidth="1"/>
    <col min="5698" max="5698" width="11.54296875" style="1" bestFit="1" customWidth="1"/>
    <col min="5699" max="5699" width="13.54296875" style="1" bestFit="1" customWidth="1"/>
    <col min="5700" max="5701" width="12.453125" style="1" bestFit="1" customWidth="1"/>
    <col min="5702" max="5702" width="5.453125" style="1" bestFit="1" customWidth="1"/>
    <col min="5703" max="5703" width="13.54296875" style="1" bestFit="1" customWidth="1"/>
    <col min="5704" max="5704" width="11.54296875" style="1" bestFit="1" customWidth="1"/>
    <col min="5705" max="5705" width="12.453125" style="1" bestFit="1" customWidth="1"/>
    <col min="5706" max="5706" width="11.54296875" style="1" bestFit="1" customWidth="1"/>
    <col min="5707" max="5707" width="12.453125" style="1" bestFit="1" customWidth="1"/>
    <col min="5708" max="5708" width="14.7265625" style="1" bestFit="1" customWidth="1"/>
    <col min="5709" max="5888" width="8.81640625" style="1"/>
    <col min="5889" max="5889" width="11" style="1" bestFit="1" customWidth="1"/>
    <col min="5890" max="5890" width="46.453125" style="1" bestFit="1" customWidth="1"/>
    <col min="5891" max="5891" width="9.453125" style="1" bestFit="1" customWidth="1"/>
    <col min="5892" max="5892" width="13.54296875" style="1" bestFit="1" customWidth="1"/>
    <col min="5893" max="5894" width="11.453125" style="1" bestFit="1" customWidth="1"/>
    <col min="5895" max="5895" width="10.453125" style="1" bestFit="1" customWidth="1"/>
    <col min="5896" max="5896" width="13.7265625" style="1" bestFit="1" customWidth="1"/>
    <col min="5897" max="5897" width="5.453125" style="1" bestFit="1" customWidth="1"/>
    <col min="5898" max="5898" width="14.7265625" style="1" bestFit="1" customWidth="1"/>
    <col min="5899" max="5899" width="8.453125" style="1" bestFit="1" customWidth="1"/>
    <col min="5900" max="5900" width="13.7265625" style="1" bestFit="1" customWidth="1"/>
    <col min="5901" max="5901" width="12.453125" style="1" bestFit="1" customWidth="1"/>
    <col min="5902" max="5902" width="11.453125" style="1" bestFit="1" customWidth="1"/>
    <col min="5903" max="5903" width="8.453125" style="1" bestFit="1" customWidth="1"/>
    <col min="5904" max="5904" width="12.453125" style="1" bestFit="1" customWidth="1"/>
    <col min="5905" max="5906" width="10.453125" style="1" bestFit="1" customWidth="1"/>
    <col min="5907" max="5907" width="8.453125" style="1" bestFit="1" customWidth="1"/>
    <col min="5908" max="5912" width="12.453125" style="1" bestFit="1" customWidth="1"/>
    <col min="5913" max="5913" width="10.54296875" style="1" bestFit="1" customWidth="1"/>
    <col min="5914" max="5914" width="11.453125" style="1" bestFit="1" customWidth="1"/>
    <col min="5915" max="5916" width="12.54296875" style="1" bestFit="1" customWidth="1"/>
    <col min="5917" max="5917" width="9.453125" style="1" bestFit="1" customWidth="1"/>
    <col min="5918" max="5919" width="12.453125" style="1" bestFit="1" customWidth="1"/>
    <col min="5920" max="5920" width="10.453125" style="1" bestFit="1" customWidth="1"/>
    <col min="5921" max="5925" width="12.453125" style="1" bestFit="1" customWidth="1"/>
    <col min="5926" max="5927" width="10.453125" style="1" bestFit="1" customWidth="1"/>
    <col min="5928" max="5928" width="13.7265625" style="1" bestFit="1" customWidth="1"/>
    <col min="5929" max="5929" width="12.453125" style="1" bestFit="1" customWidth="1"/>
    <col min="5930" max="5930" width="10.453125" style="1" bestFit="1" customWidth="1"/>
    <col min="5931" max="5931" width="11.54296875" style="1" bestFit="1" customWidth="1"/>
    <col min="5932" max="5932" width="9.453125" style="1" bestFit="1" customWidth="1"/>
    <col min="5933" max="5933" width="13.54296875" style="1" bestFit="1" customWidth="1"/>
    <col min="5934" max="5934" width="12.453125" style="1" bestFit="1" customWidth="1"/>
    <col min="5935" max="5935" width="11.453125" style="1" bestFit="1" customWidth="1"/>
    <col min="5936" max="5937" width="12.453125" style="1" bestFit="1" customWidth="1"/>
    <col min="5938" max="5938" width="13.54296875" style="1" bestFit="1" customWidth="1"/>
    <col min="5939" max="5939" width="12.453125" style="1" bestFit="1" customWidth="1"/>
    <col min="5940" max="5940" width="13.54296875" style="1" bestFit="1" customWidth="1"/>
    <col min="5941" max="5941" width="11.453125" style="1" bestFit="1" customWidth="1"/>
    <col min="5942" max="5942" width="13.54296875" style="1" bestFit="1" customWidth="1"/>
    <col min="5943" max="5943" width="13.7265625" style="1" bestFit="1" customWidth="1"/>
    <col min="5944" max="5944" width="12.453125" style="1" bestFit="1" customWidth="1"/>
    <col min="5945" max="5945" width="10.453125" style="1" bestFit="1" customWidth="1"/>
    <col min="5946" max="5946" width="10.54296875" style="1" bestFit="1" customWidth="1"/>
    <col min="5947" max="5947" width="10.453125" style="1" bestFit="1" customWidth="1"/>
    <col min="5948" max="5948" width="10.54296875" style="1" bestFit="1" customWidth="1"/>
    <col min="5949" max="5949" width="12.54296875" style="1" bestFit="1" customWidth="1"/>
    <col min="5950" max="5950" width="14.7265625" style="1" bestFit="1" customWidth="1"/>
    <col min="5951" max="5952" width="13.54296875" style="1" bestFit="1" customWidth="1"/>
    <col min="5953" max="5953" width="12.453125" style="1" bestFit="1" customWidth="1"/>
    <col min="5954" max="5954" width="11.54296875" style="1" bestFit="1" customWidth="1"/>
    <col min="5955" max="5955" width="13.54296875" style="1" bestFit="1" customWidth="1"/>
    <col min="5956" max="5957" width="12.453125" style="1" bestFit="1" customWidth="1"/>
    <col min="5958" max="5958" width="5.453125" style="1" bestFit="1" customWidth="1"/>
    <col min="5959" max="5959" width="13.54296875" style="1" bestFit="1" customWidth="1"/>
    <col min="5960" max="5960" width="11.54296875" style="1" bestFit="1" customWidth="1"/>
    <col min="5961" max="5961" width="12.453125" style="1" bestFit="1" customWidth="1"/>
    <col min="5962" max="5962" width="11.54296875" style="1" bestFit="1" customWidth="1"/>
    <col min="5963" max="5963" width="12.453125" style="1" bestFit="1" customWidth="1"/>
    <col min="5964" max="5964" width="14.7265625" style="1" bestFit="1" customWidth="1"/>
    <col min="5965" max="6144" width="8.81640625" style="1"/>
    <col min="6145" max="6145" width="11" style="1" bestFit="1" customWidth="1"/>
    <col min="6146" max="6146" width="46.453125" style="1" bestFit="1" customWidth="1"/>
    <col min="6147" max="6147" width="9.453125" style="1" bestFit="1" customWidth="1"/>
    <col min="6148" max="6148" width="13.54296875" style="1" bestFit="1" customWidth="1"/>
    <col min="6149" max="6150" width="11.453125" style="1" bestFit="1" customWidth="1"/>
    <col min="6151" max="6151" width="10.453125" style="1" bestFit="1" customWidth="1"/>
    <col min="6152" max="6152" width="13.7265625" style="1" bestFit="1" customWidth="1"/>
    <col min="6153" max="6153" width="5.453125" style="1" bestFit="1" customWidth="1"/>
    <col min="6154" max="6154" width="14.7265625" style="1" bestFit="1" customWidth="1"/>
    <col min="6155" max="6155" width="8.453125" style="1" bestFit="1" customWidth="1"/>
    <col min="6156" max="6156" width="13.7265625" style="1" bestFit="1" customWidth="1"/>
    <col min="6157" max="6157" width="12.453125" style="1" bestFit="1" customWidth="1"/>
    <col min="6158" max="6158" width="11.453125" style="1" bestFit="1" customWidth="1"/>
    <col min="6159" max="6159" width="8.453125" style="1" bestFit="1" customWidth="1"/>
    <col min="6160" max="6160" width="12.453125" style="1" bestFit="1" customWidth="1"/>
    <col min="6161" max="6162" width="10.453125" style="1" bestFit="1" customWidth="1"/>
    <col min="6163" max="6163" width="8.453125" style="1" bestFit="1" customWidth="1"/>
    <col min="6164" max="6168" width="12.453125" style="1" bestFit="1" customWidth="1"/>
    <col min="6169" max="6169" width="10.54296875" style="1" bestFit="1" customWidth="1"/>
    <col min="6170" max="6170" width="11.453125" style="1" bestFit="1" customWidth="1"/>
    <col min="6171" max="6172" width="12.54296875" style="1" bestFit="1" customWidth="1"/>
    <col min="6173" max="6173" width="9.453125" style="1" bestFit="1" customWidth="1"/>
    <col min="6174" max="6175" width="12.453125" style="1" bestFit="1" customWidth="1"/>
    <col min="6176" max="6176" width="10.453125" style="1" bestFit="1" customWidth="1"/>
    <col min="6177" max="6181" width="12.453125" style="1" bestFit="1" customWidth="1"/>
    <col min="6182" max="6183" width="10.453125" style="1" bestFit="1" customWidth="1"/>
    <col min="6184" max="6184" width="13.7265625" style="1" bestFit="1" customWidth="1"/>
    <col min="6185" max="6185" width="12.453125" style="1" bestFit="1" customWidth="1"/>
    <col min="6186" max="6186" width="10.453125" style="1" bestFit="1" customWidth="1"/>
    <col min="6187" max="6187" width="11.54296875" style="1" bestFit="1" customWidth="1"/>
    <col min="6188" max="6188" width="9.453125" style="1" bestFit="1" customWidth="1"/>
    <col min="6189" max="6189" width="13.54296875" style="1" bestFit="1" customWidth="1"/>
    <col min="6190" max="6190" width="12.453125" style="1" bestFit="1" customWidth="1"/>
    <col min="6191" max="6191" width="11.453125" style="1" bestFit="1" customWidth="1"/>
    <col min="6192" max="6193" width="12.453125" style="1" bestFit="1" customWidth="1"/>
    <col min="6194" max="6194" width="13.54296875" style="1" bestFit="1" customWidth="1"/>
    <col min="6195" max="6195" width="12.453125" style="1" bestFit="1" customWidth="1"/>
    <col min="6196" max="6196" width="13.54296875" style="1" bestFit="1" customWidth="1"/>
    <col min="6197" max="6197" width="11.453125" style="1" bestFit="1" customWidth="1"/>
    <col min="6198" max="6198" width="13.54296875" style="1" bestFit="1" customWidth="1"/>
    <col min="6199" max="6199" width="13.7265625" style="1" bestFit="1" customWidth="1"/>
    <col min="6200" max="6200" width="12.453125" style="1" bestFit="1" customWidth="1"/>
    <col min="6201" max="6201" width="10.453125" style="1" bestFit="1" customWidth="1"/>
    <col min="6202" max="6202" width="10.54296875" style="1" bestFit="1" customWidth="1"/>
    <col min="6203" max="6203" width="10.453125" style="1" bestFit="1" customWidth="1"/>
    <col min="6204" max="6204" width="10.54296875" style="1" bestFit="1" customWidth="1"/>
    <col min="6205" max="6205" width="12.54296875" style="1" bestFit="1" customWidth="1"/>
    <col min="6206" max="6206" width="14.7265625" style="1" bestFit="1" customWidth="1"/>
    <col min="6207" max="6208" width="13.54296875" style="1" bestFit="1" customWidth="1"/>
    <col min="6209" max="6209" width="12.453125" style="1" bestFit="1" customWidth="1"/>
    <col min="6210" max="6210" width="11.54296875" style="1" bestFit="1" customWidth="1"/>
    <col min="6211" max="6211" width="13.54296875" style="1" bestFit="1" customWidth="1"/>
    <col min="6212" max="6213" width="12.453125" style="1" bestFit="1" customWidth="1"/>
    <col min="6214" max="6214" width="5.453125" style="1" bestFit="1" customWidth="1"/>
    <col min="6215" max="6215" width="13.54296875" style="1" bestFit="1" customWidth="1"/>
    <col min="6216" max="6216" width="11.54296875" style="1" bestFit="1" customWidth="1"/>
    <col min="6217" max="6217" width="12.453125" style="1" bestFit="1" customWidth="1"/>
    <col min="6218" max="6218" width="11.54296875" style="1" bestFit="1" customWidth="1"/>
    <col min="6219" max="6219" width="12.453125" style="1" bestFit="1" customWidth="1"/>
    <col min="6220" max="6220" width="14.7265625" style="1" bestFit="1" customWidth="1"/>
    <col min="6221" max="6400" width="8.81640625" style="1"/>
    <col min="6401" max="6401" width="11" style="1" bestFit="1" customWidth="1"/>
    <col min="6402" max="6402" width="46.453125" style="1" bestFit="1" customWidth="1"/>
    <col min="6403" max="6403" width="9.453125" style="1" bestFit="1" customWidth="1"/>
    <col min="6404" max="6404" width="13.54296875" style="1" bestFit="1" customWidth="1"/>
    <col min="6405" max="6406" width="11.453125" style="1" bestFit="1" customWidth="1"/>
    <col min="6407" max="6407" width="10.453125" style="1" bestFit="1" customWidth="1"/>
    <col min="6408" max="6408" width="13.7265625" style="1" bestFit="1" customWidth="1"/>
    <col min="6409" max="6409" width="5.453125" style="1" bestFit="1" customWidth="1"/>
    <col min="6410" max="6410" width="14.7265625" style="1" bestFit="1" customWidth="1"/>
    <col min="6411" max="6411" width="8.453125" style="1" bestFit="1" customWidth="1"/>
    <col min="6412" max="6412" width="13.7265625" style="1" bestFit="1" customWidth="1"/>
    <col min="6413" max="6413" width="12.453125" style="1" bestFit="1" customWidth="1"/>
    <col min="6414" max="6414" width="11.453125" style="1" bestFit="1" customWidth="1"/>
    <col min="6415" max="6415" width="8.453125" style="1" bestFit="1" customWidth="1"/>
    <col min="6416" max="6416" width="12.453125" style="1" bestFit="1" customWidth="1"/>
    <col min="6417" max="6418" width="10.453125" style="1" bestFit="1" customWidth="1"/>
    <col min="6419" max="6419" width="8.453125" style="1" bestFit="1" customWidth="1"/>
    <col min="6420" max="6424" width="12.453125" style="1" bestFit="1" customWidth="1"/>
    <col min="6425" max="6425" width="10.54296875" style="1" bestFit="1" customWidth="1"/>
    <col min="6426" max="6426" width="11.453125" style="1" bestFit="1" customWidth="1"/>
    <col min="6427" max="6428" width="12.54296875" style="1" bestFit="1" customWidth="1"/>
    <col min="6429" max="6429" width="9.453125" style="1" bestFit="1" customWidth="1"/>
    <col min="6430" max="6431" width="12.453125" style="1" bestFit="1" customWidth="1"/>
    <col min="6432" max="6432" width="10.453125" style="1" bestFit="1" customWidth="1"/>
    <col min="6433" max="6437" width="12.453125" style="1" bestFit="1" customWidth="1"/>
    <col min="6438" max="6439" width="10.453125" style="1" bestFit="1" customWidth="1"/>
    <col min="6440" max="6440" width="13.7265625" style="1" bestFit="1" customWidth="1"/>
    <col min="6441" max="6441" width="12.453125" style="1" bestFit="1" customWidth="1"/>
    <col min="6442" max="6442" width="10.453125" style="1" bestFit="1" customWidth="1"/>
    <col min="6443" max="6443" width="11.54296875" style="1" bestFit="1" customWidth="1"/>
    <col min="6444" max="6444" width="9.453125" style="1" bestFit="1" customWidth="1"/>
    <col min="6445" max="6445" width="13.54296875" style="1" bestFit="1" customWidth="1"/>
    <col min="6446" max="6446" width="12.453125" style="1" bestFit="1" customWidth="1"/>
    <col min="6447" max="6447" width="11.453125" style="1" bestFit="1" customWidth="1"/>
    <col min="6448" max="6449" width="12.453125" style="1" bestFit="1" customWidth="1"/>
    <col min="6450" max="6450" width="13.54296875" style="1" bestFit="1" customWidth="1"/>
    <col min="6451" max="6451" width="12.453125" style="1" bestFit="1" customWidth="1"/>
    <col min="6452" max="6452" width="13.54296875" style="1" bestFit="1" customWidth="1"/>
    <col min="6453" max="6453" width="11.453125" style="1" bestFit="1" customWidth="1"/>
    <col min="6454" max="6454" width="13.54296875" style="1" bestFit="1" customWidth="1"/>
    <col min="6455" max="6455" width="13.7265625" style="1" bestFit="1" customWidth="1"/>
    <col min="6456" max="6456" width="12.453125" style="1" bestFit="1" customWidth="1"/>
    <col min="6457" max="6457" width="10.453125" style="1" bestFit="1" customWidth="1"/>
    <col min="6458" max="6458" width="10.54296875" style="1" bestFit="1" customWidth="1"/>
    <col min="6459" max="6459" width="10.453125" style="1" bestFit="1" customWidth="1"/>
    <col min="6460" max="6460" width="10.54296875" style="1" bestFit="1" customWidth="1"/>
    <col min="6461" max="6461" width="12.54296875" style="1" bestFit="1" customWidth="1"/>
    <col min="6462" max="6462" width="14.7265625" style="1" bestFit="1" customWidth="1"/>
    <col min="6463" max="6464" width="13.54296875" style="1" bestFit="1" customWidth="1"/>
    <col min="6465" max="6465" width="12.453125" style="1" bestFit="1" customWidth="1"/>
    <col min="6466" max="6466" width="11.54296875" style="1" bestFit="1" customWidth="1"/>
    <col min="6467" max="6467" width="13.54296875" style="1" bestFit="1" customWidth="1"/>
    <col min="6468" max="6469" width="12.453125" style="1" bestFit="1" customWidth="1"/>
    <col min="6470" max="6470" width="5.453125" style="1" bestFit="1" customWidth="1"/>
    <col min="6471" max="6471" width="13.54296875" style="1" bestFit="1" customWidth="1"/>
    <col min="6472" max="6472" width="11.54296875" style="1" bestFit="1" customWidth="1"/>
    <col min="6473" max="6473" width="12.453125" style="1" bestFit="1" customWidth="1"/>
    <col min="6474" max="6474" width="11.54296875" style="1" bestFit="1" customWidth="1"/>
    <col min="6475" max="6475" width="12.453125" style="1" bestFit="1" customWidth="1"/>
    <col min="6476" max="6476" width="14.7265625" style="1" bestFit="1" customWidth="1"/>
    <col min="6477" max="6656" width="8.81640625" style="1"/>
    <col min="6657" max="6657" width="11" style="1" bestFit="1" customWidth="1"/>
    <col min="6658" max="6658" width="46.453125" style="1" bestFit="1" customWidth="1"/>
    <col min="6659" max="6659" width="9.453125" style="1" bestFit="1" customWidth="1"/>
    <col min="6660" max="6660" width="13.54296875" style="1" bestFit="1" customWidth="1"/>
    <col min="6661" max="6662" width="11.453125" style="1" bestFit="1" customWidth="1"/>
    <col min="6663" max="6663" width="10.453125" style="1" bestFit="1" customWidth="1"/>
    <col min="6664" max="6664" width="13.7265625" style="1" bestFit="1" customWidth="1"/>
    <col min="6665" max="6665" width="5.453125" style="1" bestFit="1" customWidth="1"/>
    <col min="6666" max="6666" width="14.7265625" style="1" bestFit="1" customWidth="1"/>
    <col min="6667" max="6667" width="8.453125" style="1" bestFit="1" customWidth="1"/>
    <col min="6668" max="6668" width="13.7265625" style="1" bestFit="1" customWidth="1"/>
    <col min="6669" max="6669" width="12.453125" style="1" bestFit="1" customWidth="1"/>
    <col min="6670" max="6670" width="11.453125" style="1" bestFit="1" customWidth="1"/>
    <col min="6671" max="6671" width="8.453125" style="1" bestFit="1" customWidth="1"/>
    <col min="6672" max="6672" width="12.453125" style="1" bestFit="1" customWidth="1"/>
    <col min="6673" max="6674" width="10.453125" style="1" bestFit="1" customWidth="1"/>
    <col min="6675" max="6675" width="8.453125" style="1" bestFit="1" customWidth="1"/>
    <col min="6676" max="6680" width="12.453125" style="1" bestFit="1" customWidth="1"/>
    <col min="6681" max="6681" width="10.54296875" style="1" bestFit="1" customWidth="1"/>
    <col min="6682" max="6682" width="11.453125" style="1" bestFit="1" customWidth="1"/>
    <col min="6683" max="6684" width="12.54296875" style="1" bestFit="1" customWidth="1"/>
    <col min="6685" max="6685" width="9.453125" style="1" bestFit="1" customWidth="1"/>
    <col min="6686" max="6687" width="12.453125" style="1" bestFit="1" customWidth="1"/>
    <col min="6688" max="6688" width="10.453125" style="1" bestFit="1" customWidth="1"/>
    <col min="6689" max="6693" width="12.453125" style="1" bestFit="1" customWidth="1"/>
    <col min="6694" max="6695" width="10.453125" style="1" bestFit="1" customWidth="1"/>
    <col min="6696" max="6696" width="13.7265625" style="1" bestFit="1" customWidth="1"/>
    <col min="6697" max="6697" width="12.453125" style="1" bestFit="1" customWidth="1"/>
    <col min="6698" max="6698" width="10.453125" style="1" bestFit="1" customWidth="1"/>
    <col min="6699" max="6699" width="11.54296875" style="1" bestFit="1" customWidth="1"/>
    <col min="6700" max="6700" width="9.453125" style="1" bestFit="1" customWidth="1"/>
    <col min="6701" max="6701" width="13.54296875" style="1" bestFit="1" customWidth="1"/>
    <col min="6702" max="6702" width="12.453125" style="1" bestFit="1" customWidth="1"/>
    <col min="6703" max="6703" width="11.453125" style="1" bestFit="1" customWidth="1"/>
    <col min="6704" max="6705" width="12.453125" style="1" bestFit="1" customWidth="1"/>
    <col min="6706" max="6706" width="13.54296875" style="1" bestFit="1" customWidth="1"/>
    <col min="6707" max="6707" width="12.453125" style="1" bestFit="1" customWidth="1"/>
    <col min="6708" max="6708" width="13.54296875" style="1" bestFit="1" customWidth="1"/>
    <col min="6709" max="6709" width="11.453125" style="1" bestFit="1" customWidth="1"/>
    <col min="6710" max="6710" width="13.54296875" style="1" bestFit="1" customWidth="1"/>
    <col min="6711" max="6711" width="13.7265625" style="1" bestFit="1" customWidth="1"/>
    <col min="6712" max="6712" width="12.453125" style="1" bestFit="1" customWidth="1"/>
    <col min="6713" max="6713" width="10.453125" style="1" bestFit="1" customWidth="1"/>
    <col min="6714" max="6714" width="10.54296875" style="1" bestFit="1" customWidth="1"/>
    <col min="6715" max="6715" width="10.453125" style="1" bestFit="1" customWidth="1"/>
    <col min="6716" max="6716" width="10.54296875" style="1" bestFit="1" customWidth="1"/>
    <col min="6717" max="6717" width="12.54296875" style="1" bestFit="1" customWidth="1"/>
    <col min="6718" max="6718" width="14.7265625" style="1" bestFit="1" customWidth="1"/>
    <col min="6719" max="6720" width="13.54296875" style="1" bestFit="1" customWidth="1"/>
    <col min="6721" max="6721" width="12.453125" style="1" bestFit="1" customWidth="1"/>
    <col min="6722" max="6722" width="11.54296875" style="1" bestFit="1" customWidth="1"/>
    <col min="6723" max="6723" width="13.54296875" style="1" bestFit="1" customWidth="1"/>
    <col min="6724" max="6725" width="12.453125" style="1" bestFit="1" customWidth="1"/>
    <col min="6726" max="6726" width="5.453125" style="1" bestFit="1" customWidth="1"/>
    <col min="6727" max="6727" width="13.54296875" style="1" bestFit="1" customWidth="1"/>
    <col min="6728" max="6728" width="11.54296875" style="1" bestFit="1" customWidth="1"/>
    <col min="6729" max="6729" width="12.453125" style="1" bestFit="1" customWidth="1"/>
    <col min="6730" max="6730" width="11.54296875" style="1" bestFit="1" customWidth="1"/>
    <col min="6731" max="6731" width="12.453125" style="1" bestFit="1" customWidth="1"/>
    <col min="6732" max="6732" width="14.7265625" style="1" bestFit="1" customWidth="1"/>
    <col min="6733" max="6912" width="8.81640625" style="1"/>
    <col min="6913" max="6913" width="11" style="1" bestFit="1" customWidth="1"/>
    <col min="6914" max="6914" width="46.453125" style="1" bestFit="1" customWidth="1"/>
    <col min="6915" max="6915" width="9.453125" style="1" bestFit="1" customWidth="1"/>
    <col min="6916" max="6916" width="13.54296875" style="1" bestFit="1" customWidth="1"/>
    <col min="6917" max="6918" width="11.453125" style="1" bestFit="1" customWidth="1"/>
    <col min="6919" max="6919" width="10.453125" style="1" bestFit="1" customWidth="1"/>
    <col min="6920" max="6920" width="13.7265625" style="1" bestFit="1" customWidth="1"/>
    <col min="6921" max="6921" width="5.453125" style="1" bestFit="1" customWidth="1"/>
    <col min="6922" max="6922" width="14.7265625" style="1" bestFit="1" customWidth="1"/>
    <col min="6923" max="6923" width="8.453125" style="1" bestFit="1" customWidth="1"/>
    <col min="6924" max="6924" width="13.7265625" style="1" bestFit="1" customWidth="1"/>
    <col min="6925" max="6925" width="12.453125" style="1" bestFit="1" customWidth="1"/>
    <col min="6926" max="6926" width="11.453125" style="1" bestFit="1" customWidth="1"/>
    <col min="6927" max="6927" width="8.453125" style="1" bestFit="1" customWidth="1"/>
    <col min="6928" max="6928" width="12.453125" style="1" bestFit="1" customWidth="1"/>
    <col min="6929" max="6930" width="10.453125" style="1" bestFit="1" customWidth="1"/>
    <col min="6931" max="6931" width="8.453125" style="1" bestFit="1" customWidth="1"/>
    <col min="6932" max="6936" width="12.453125" style="1" bestFit="1" customWidth="1"/>
    <col min="6937" max="6937" width="10.54296875" style="1" bestFit="1" customWidth="1"/>
    <col min="6938" max="6938" width="11.453125" style="1" bestFit="1" customWidth="1"/>
    <col min="6939" max="6940" width="12.54296875" style="1" bestFit="1" customWidth="1"/>
    <col min="6941" max="6941" width="9.453125" style="1" bestFit="1" customWidth="1"/>
    <col min="6942" max="6943" width="12.453125" style="1" bestFit="1" customWidth="1"/>
    <col min="6944" max="6944" width="10.453125" style="1" bestFit="1" customWidth="1"/>
    <col min="6945" max="6949" width="12.453125" style="1" bestFit="1" customWidth="1"/>
    <col min="6950" max="6951" width="10.453125" style="1" bestFit="1" customWidth="1"/>
    <col min="6952" max="6952" width="13.7265625" style="1" bestFit="1" customWidth="1"/>
    <col min="6953" max="6953" width="12.453125" style="1" bestFit="1" customWidth="1"/>
    <col min="6954" max="6954" width="10.453125" style="1" bestFit="1" customWidth="1"/>
    <col min="6955" max="6955" width="11.54296875" style="1" bestFit="1" customWidth="1"/>
    <col min="6956" max="6956" width="9.453125" style="1" bestFit="1" customWidth="1"/>
    <col min="6957" max="6957" width="13.54296875" style="1" bestFit="1" customWidth="1"/>
    <col min="6958" max="6958" width="12.453125" style="1" bestFit="1" customWidth="1"/>
    <col min="6959" max="6959" width="11.453125" style="1" bestFit="1" customWidth="1"/>
    <col min="6960" max="6961" width="12.453125" style="1" bestFit="1" customWidth="1"/>
    <col min="6962" max="6962" width="13.54296875" style="1" bestFit="1" customWidth="1"/>
    <col min="6963" max="6963" width="12.453125" style="1" bestFit="1" customWidth="1"/>
    <col min="6964" max="6964" width="13.54296875" style="1" bestFit="1" customWidth="1"/>
    <col min="6965" max="6965" width="11.453125" style="1" bestFit="1" customWidth="1"/>
    <col min="6966" max="6966" width="13.54296875" style="1" bestFit="1" customWidth="1"/>
    <col min="6967" max="6967" width="13.7265625" style="1" bestFit="1" customWidth="1"/>
    <col min="6968" max="6968" width="12.453125" style="1" bestFit="1" customWidth="1"/>
    <col min="6969" max="6969" width="10.453125" style="1" bestFit="1" customWidth="1"/>
    <col min="6970" max="6970" width="10.54296875" style="1" bestFit="1" customWidth="1"/>
    <col min="6971" max="6971" width="10.453125" style="1" bestFit="1" customWidth="1"/>
    <col min="6972" max="6972" width="10.54296875" style="1" bestFit="1" customWidth="1"/>
    <col min="6973" max="6973" width="12.54296875" style="1" bestFit="1" customWidth="1"/>
    <col min="6974" max="6974" width="14.7265625" style="1" bestFit="1" customWidth="1"/>
    <col min="6975" max="6976" width="13.54296875" style="1" bestFit="1" customWidth="1"/>
    <col min="6977" max="6977" width="12.453125" style="1" bestFit="1" customWidth="1"/>
    <col min="6978" max="6978" width="11.54296875" style="1" bestFit="1" customWidth="1"/>
    <col min="6979" max="6979" width="13.54296875" style="1" bestFit="1" customWidth="1"/>
    <col min="6980" max="6981" width="12.453125" style="1" bestFit="1" customWidth="1"/>
    <col min="6982" max="6982" width="5.453125" style="1" bestFit="1" customWidth="1"/>
    <col min="6983" max="6983" width="13.54296875" style="1" bestFit="1" customWidth="1"/>
    <col min="6984" max="6984" width="11.54296875" style="1" bestFit="1" customWidth="1"/>
    <col min="6985" max="6985" width="12.453125" style="1" bestFit="1" customWidth="1"/>
    <col min="6986" max="6986" width="11.54296875" style="1" bestFit="1" customWidth="1"/>
    <col min="6987" max="6987" width="12.453125" style="1" bestFit="1" customWidth="1"/>
    <col min="6988" max="6988" width="14.7265625" style="1" bestFit="1" customWidth="1"/>
    <col min="6989" max="7168" width="8.81640625" style="1"/>
    <col min="7169" max="7169" width="11" style="1" bestFit="1" customWidth="1"/>
    <col min="7170" max="7170" width="46.453125" style="1" bestFit="1" customWidth="1"/>
    <col min="7171" max="7171" width="9.453125" style="1" bestFit="1" customWidth="1"/>
    <col min="7172" max="7172" width="13.54296875" style="1" bestFit="1" customWidth="1"/>
    <col min="7173" max="7174" width="11.453125" style="1" bestFit="1" customWidth="1"/>
    <col min="7175" max="7175" width="10.453125" style="1" bestFit="1" customWidth="1"/>
    <col min="7176" max="7176" width="13.7265625" style="1" bestFit="1" customWidth="1"/>
    <col min="7177" max="7177" width="5.453125" style="1" bestFit="1" customWidth="1"/>
    <col min="7178" max="7178" width="14.7265625" style="1" bestFit="1" customWidth="1"/>
    <col min="7179" max="7179" width="8.453125" style="1" bestFit="1" customWidth="1"/>
    <col min="7180" max="7180" width="13.7265625" style="1" bestFit="1" customWidth="1"/>
    <col min="7181" max="7181" width="12.453125" style="1" bestFit="1" customWidth="1"/>
    <col min="7182" max="7182" width="11.453125" style="1" bestFit="1" customWidth="1"/>
    <col min="7183" max="7183" width="8.453125" style="1" bestFit="1" customWidth="1"/>
    <col min="7184" max="7184" width="12.453125" style="1" bestFit="1" customWidth="1"/>
    <col min="7185" max="7186" width="10.453125" style="1" bestFit="1" customWidth="1"/>
    <col min="7187" max="7187" width="8.453125" style="1" bestFit="1" customWidth="1"/>
    <col min="7188" max="7192" width="12.453125" style="1" bestFit="1" customWidth="1"/>
    <col min="7193" max="7193" width="10.54296875" style="1" bestFit="1" customWidth="1"/>
    <col min="7194" max="7194" width="11.453125" style="1" bestFit="1" customWidth="1"/>
    <col min="7195" max="7196" width="12.54296875" style="1" bestFit="1" customWidth="1"/>
    <col min="7197" max="7197" width="9.453125" style="1" bestFit="1" customWidth="1"/>
    <col min="7198" max="7199" width="12.453125" style="1" bestFit="1" customWidth="1"/>
    <col min="7200" max="7200" width="10.453125" style="1" bestFit="1" customWidth="1"/>
    <col min="7201" max="7205" width="12.453125" style="1" bestFit="1" customWidth="1"/>
    <col min="7206" max="7207" width="10.453125" style="1" bestFit="1" customWidth="1"/>
    <col min="7208" max="7208" width="13.7265625" style="1" bestFit="1" customWidth="1"/>
    <col min="7209" max="7209" width="12.453125" style="1" bestFit="1" customWidth="1"/>
    <col min="7210" max="7210" width="10.453125" style="1" bestFit="1" customWidth="1"/>
    <col min="7211" max="7211" width="11.54296875" style="1" bestFit="1" customWidth="1"/>
    <col min="7212" max="7212" width="9.453125" style="1" bestFit="1" customWidth="1"/>
    <col min="7213" max="7213" width="13.54296875" style="1" bestFit="1" customWidth="1"/>
    <col min="7214" max="7214" width="12.453125" style="1" bestFit="1" customWidth="1"/>
    <col min="7215" max="7215" width="11.453125" style="1" bestFit="1" customWidth="1"/>
    <col min="7216" max="7217" width="12.453125" style="1" bestFit="1" customWidth="1"/>
    <col min="7218" max="7218" width="13.54296875" style="1" bestFit="1" customWidth="1"/>
    <col min="7219" max="7219" width="12.453125" style="1" bestFit="1" customWidth="1"/>
    <col min="7220" max="7220" width="13.54296875" style="1" bestFit="1" customWidth="1"/>
    <col min="7221" max="7221" width="11.453125" style="1" bestFit="1" customWidth="1"/>
    <col min="7222" max="7222" width="13.54296875" style="1" bestFit="1" customWidth="1"/>
    <col min="7223" max="7223" width="13.7265625" style="1" bestFit="1" customWidth="1"/>
    <col min="7224" max="7224" width="12.453125" style="1" bestFit="1" customWidth="1"/>
    <col min="7225" max="7225" width="10.453125" style="1" bestFit="1" customWidth="1"/>
    <col min="7226" max="7226" width="10.54296875" style="1" bestFit="1" customWidth="1"/>
    <col min="7227" max="7227" width="10.453125" style="1" bestFit="1" customWidth="1"/>
    <col min="7228" max="7228" width="10.54296875" style="1" bestFit="1" customWidth="1"/>
    <col min="7229" max="7229" width="12.54296875" style="1" bestFit="1" customWidth="1"/>
    <col min="7230" max="7230" width="14.7265625" style="1" bestFit="1" customWidth="1"/>
    <col min="7231" max="7232" width="13.54296875" style="1" bestFit="1" customWidth="1"/>
    <col min="7233" max="7233" width="12.453125" style="1" bestFit="1" customWidth="1"/>
    <col min="7234" max="7234" width="11.54296875" style="1" bestFit="1" customWidth="1"/>
    <col min="7235" max="7235" width="13.54296875" style="1" bestFit="1" customWidth="1"/>
    <col min="7236" max="7237" width="12.453125" style="1" bestFit="1" customWidth="1"/>
    <col min="7238" max="7238" width="5.453125" style="1" bestFit="1" customWidth="1"/>
    <col min="7239" max="7239" width="13.54296875" style="1" bestFit="1" customWidth="1"/>
    <col min="7240" max="7240" width="11.54296875" style="1" bestFit="1" customWidth="1"/>
    <col min="7241" max="7241" width="12.453125" style="1" bestFit="1" customWidth="1"/>
    <col min="7242" max="7242" width="11.54296875" style="1" bestFit="1" customWidth="1"/>
    <col min="7243" max="7243" width="12.453125" style="1" bestFit="1" customWidth="1"/>
    <col min="7244" max="7244" width="14.7265625" style="1" bestFit="1" customWidth="1"/>
    <col min="7245" max="7424" width="8.81640625" style="1"/>
    <col min="7425" max="7425" width="11" style="1" bestFit="1" customWidth="1"/>
    <col min="7426" max="7426" width="46.453125" style="1" bestFit="1" customWidth="1"/>
    <col min="7427" max="7427" width="9.453125" style="1" bestFit="1" customWidth="1"/>
    <col min="7428" max="7428" width="13.54296875" style="1" bestFit="1" customWidth="1"/>
    <col min="7429" max="7430" width="11.453125" style="1" bestFit="1" customWidth="1"/>
    <col min="7431" max="7431" width="10.453125" style="1" bestFit="1" customWidth="1"/>
    <col min="7432" max="7432" width="13.7265625" style="1" bestFit="1" customWidth="1"/>
    <col min="7433" max="7433" width="5.453125" style="1" bestFit="1" customWidth="1"/>
    <col min="7434" max="7434" width="14.7265625" style="1" bestFit="1" customWidth="1"/>
    <col min="7435" max="7435" width="8.453125" style="1" bestFit="1" customWidth="1"/>
    <col min="7436" max="7436" width="13.7265625" style="1" bestFit="1" customWidth="1"/>
    <col min="7437" max="7437" width="12.453125" style="1" bestFit="1" customWidth="1"/>
    <col min="7438" max="7438" width="11.453125" style="1" bestFit="1" customWidth="1"/>
    <col min="7439" max="7439" width="8.453125" style="1" bestFit="1" customWidth="1"/>
    <col min="7440" max="7440" width="12.453125" style="1" bestFit="1" customWidth="1"/>
    <col min="7441" max="7442" width="10.453125" style="1" bestFit="1" customWidth="1"/>
    <col min="7443" max="7443" width="8.453125" style="1" bestFit="1" customWidth="1"/>
    <col min="7444" max="7448" width="12.453125" style="1" bestFit="1" customWidth="1"/>
    <col min="7449" max="7449" width="10.54296875" style="1" bestFit="1" customWidth="1"/>
    <col min="7450" max="7450" width="11.453125" style="1" bestFit="1" customWidth="1"/>
    <col min="7451" max="7452" width="12.54296875" style="1" bestFit="1" customWidth="1"/>
    <col min="7453" max="7453" width="9.453125" style="1" bestFit="1" customWidth="1"/>
    <col min="7454" max="7455" width="12.453125" style="1" bestFit="1" customWidth="1"/>
    <col min="7456" max="7456" width="10.453125" style="1" bestFit="1" customWidth="1"/>
    <col min="7457" max="7461" width="12.453125" style="1" bestFit="1" customWidth="1"/>
    <col min="7462" max="7463" width="10.453125" style="1" bestFit="1" customWidth="1"/>
    <col min="7464" max="7464" width="13.7265625" style="1" bestFit="1" customWidth="1"/>
    <col min="7465" max="7465" width="12.453125" style="1" bestFit="1" customWidth="1"/>
    <col min="7466" max="7466" width="10.453125" style="1" bestFit="1" customWidth="1"/>
    <col min="7467" max="7467" width="11.54296875" style="1" bestFit="1" customWidth="1"/>
    <col min="7468" max="7468" width="9.453125" style="1" bestFit="1" customWidth="1"/>
    <col min="7469" max="7469" width="13.54296875" style="1" bestFit="1" customWidth="1"/>
    <col min="7470" max="7470" width="12.453125" style="1" bestFit="1" customWidth="1"/>
    <col min="7471" max="7471" width="11.453125" style="1" bestFit="1" customWidth="1"/>
    <col min="7472" max="7473" width="12.453125" style="1" bestFit="1" customWidth="1"/>
    <col min="7474" max="7474" width="13.54296875" style="1" bestFit="1" customWidth="1"/>
    <col min="7475" max="7475" width="12.453125" style="1" bestFit="1" customWidth="1"/>
    <col min="7476" max="7476" width="13.54296875" style="1" bestFit="1" customWidth="1"/>
    <col min="7477" max="7477" width="11.453125" style="1" bestFit="1" customWidth="1"/>
    <col min="7478" max="7478" width="13.54296875" style="1" bestFit="1" customWidth="1"/>
    <col min="7479" max="7479" width="13.7265625" style="1" bestFit="1" customWidth="1"/>
    <col min="7480" max="7480" width="12.453125" style="1" bestFit="1" customWidth="1"/>
    <col min="7481" max="7481" width="10.453125" style="1" bestFit="1" customWidth="1"/>
    <col min="7482" max="7482" width="10.54296875" style="1" bestFit="1" customWidth="1"/>
    <col min="7483" max="7483" width="10.453125" style="1" bestFit="1" customWidth="1"/>
    <col min="7484" max="7484" width="10.54296875" style="1" bestFit="1" customWidth="1"/>
    <col min="7485" max="7485" width="12.54296875" style="1" bestFit="1" customWidth="1"/>
    <col min="7486" max="7486" width="14.7265625" style="1" bestFit="1" customWidth="1"/>
    <col min="7487" max="7488" width="13.54296875" style="1" bestFit="1" customWidth="1"/>
    <col min="7489" max="7489" width="12.453125" style="1" bestFit="1" customWidth="1"/>
    <col min="7490" max="7490" width="11.54296875" style="1" bestFit="1" customWidth="1"/>
    <col min="7491" max="7491" width="13.54296875" style="1" bestFit="1" customWidth="1"/>
    <col min="7492" max="7493" width="12.453125" style="1" bestFit="1" customWidth="1"/>
    <col min="7494" max="7494" width="5.453125" style="1" bestFit="1" customWidth="1"/>
    <col min="7495" max="7495" width="13.54296875" style="1" bestFit="1" customWidth="1"/>
    <col min="7496" max="7496" width="11.54296875" style="1" bestFit="1" customWidth="1"/>
    <col min="7497" max="7497" width="12.453125" style="1" bestFit="1" customWidth="1"/>
    <col min="7498" max="7498" width="11.54296875" style="1" bestFit="1" customWidth="1"/>
    <col min="7499" max="7499" width="12.453125" style="1" bestFit="1" customWidth="1"/>
    <col min="7500" max="7500" width="14.7265625" style="1" bestFit="1" customWidth="1"/>
    <col min="7501" max="7680" width="8.81640625" style="1"/>
    <col min="7681" max="7681" width="11" style="1" bestFit="1" customWidth="1"/>
    <col min="7682" max="7682" width="46.453125" style="1" bestFit="1" customWidth="1"/>
    <col min="7683" max="7683" width="9.453125" style="1" bestFit="1" customWidth="1"/>
    <col min="7684" max="7684" width="13.54296875" style="1" bestFit="1" customWidth="1"/>
    <col min="7685" max="7686" width="11.453125" style="1" bestFit="1" customWidth="1"/>
    <col min="7687" max="7687" width="10.453125" style="1" bestFit="1" customWidth="1"/>
    <col min="7688" max="7688" width="13.7265625" style="1" bestFit="1" customWidth="1"/>
    <col min="7689" max="7689" width="5.453125" style="1" bestFit="1" customWidth="1"/>
    <col min="7690" max="7690" width="14.7265625" style="1" bestFit="1" customWidth="1"/>
    <col min="7691" max="7691" width="8.453125" style="1" bestFit="1" customWidth="1"/>
    <col min="7692" max="7692" width="13.7265625" style="1" bestFit="1" customWidth="1"/>
    <col min="7693" max="7693" width="12.453125" style="1" bestFit="1" customWidth="1"/>
    <col min="7694" max="7694" width="11.453125" style="1" bestFit="1" customWidth="1"/>
    <col min="7695" max="7695" width="8.453125" style="1" bestFit="1" customWidth="1"/>
    <col min="7696" max="7696" width="12.453125" style="1" bestFit="1" customWidth="1"/>
    <col min="7697" max="7698" width="10.453125" style="1" bestFit="1" customWidth="1"/>
    <col min="7699" max="7699" width="8.453125" style="1" bestFit="1" customWidth="1"/>
    <col min="7700" max="7704" width="12.453125" style="1" bestFit="1" customWidth="1"/>
    <col min="7705" max="7705" width="10.54296875" style="1" bestFit="1" customWidth="1"/>
    <col min="7706" max="7706" width="11.453125" style="1" bestFit="1" customWidth="1"/>
    <col min="7707" max="7708" width="12.54296875" style="1" bestFit="1" customWidth="1"/>
    <col min="7709" max="7709" width="9.453125" style="1" bestFit="1" customWidth="1"/>
    <col min="7710" max="7711" width="12.453125" style="1" bestFit="1" customWidth="1"/>
    <col min="7712" max="7712" width="10.453125" style="1" bestFit="1" customWidth="1"/>
    <col min="7713" max="7717" width="12.453125" style="1" bestFit="1" customWidth="1"/>
    <col min="7718" max="7719" width="10.453125" style="1" bestFit="1" customWidth="1"/>
    <col min="7720" max="7720" width="13.7265625" style="1" bestFit="1" customWidth="1"/>
    <col min="7721" max="7721" width="12.453125" style="1" bestFit="1" customWidth="1"/>
    <col min="7722" max="7722" width="10.453125" style="1" bestFit="1" customWidth="1"/>
    <col min="7723" max="7723" width="11.54296875" style="1" bestFit="1" customWidth="1"/>
    <col min="7724" max="7724" width="9.453125" style="1" bestFit="1" customWidth="1"/>
    <col min="7725" max="7725" width="13.54296875" style="1" bestFit="1" customWidth="1"/>
    <col min="7726" max="7726" width="12.453125" style="1" bestFit="1" customWidth="1"/>
    <col min="7727" max="7727" width="11.453125" style="1" bestFit="1" customWidth="1"/>
    <col min="7728" max="7729" width="12.453125" style="1" bestFit="1" customWidth="1"/>
    <col min="7730" max="7730" width="13.54296875" style="1" bestFit="1" customWidth="1"/>
    <col min="7731" max="7731" width="12.453125" style="1" bestFit="1" customWidth="1"/>
    <col min="7732" max="7732" width="13.54296875" style="1" bestFit="1" customWidth="1"/>
    <col min="7733" max="7733" width="11.453125" style="1" bestFit="1" customWidth="1"/>
    <col min="7734" max="7734" width="13.54296875" style="1" bestFit="1" customWidth="1"/>
    <col min="7735" max="7735" width="13.7265625" style="1" bestFit="1" customWidth="1"/>
    <col min="7736" max="7736" width="12.453125" style="1" bestFit="1" customWidth="1"/>
    <col min="7737" max="7737" width="10.453125" style="1" bestFit="1" customWidth="1"/>
    <col min="7738" max="7738" width="10.54296875" style="1" bestFit="1" customWidth="1"/>
    <col min="7739" max="7739" width="10.453125" style="1" bestFit="1" customWidth="1"/>
    <col min="7740" max="7740" width="10.54296875" style="1" bestFit="1" customWidth="1"/>
    <col min="7741" max="7741" width="12.54296875" style="1" bestFit="1" customWidth="1"/>
    <col min="7742" max="7742" width="14.7265625" style="1" bestFit="1" customWidth="1"/>
    <col min="7743" max="7744" width="13.54296875" style="1" bestFit="1" customWidth="1"/>
    <col min="7745" max="7745" width="12.453125" style="1" bestFit="1" customWidth="1"/>
    <col min="7746" max="7746" width="11.54296875" style="1" bestFit="1" customWidth="1"/>
    <col min="7747" max="7747" width="13.54296875" style="1" bestFit="1" customWidth="1"/>
    <col min="7748" max="7749" width="12.453125" style="1" bestFit="1" customWidth="1"/>
    <col min="7750" max="7750" width="5.453125" style="1" bestFit="1" customWidth="1"/>
    <col min="7751" max="7751" width="13.54296875" style="1" bestFit="1" customWidth="1"/>
    <col min="7752" max="7752" width="11.54296875" style="1" bestFit="1" customWidth="1"/>
    <col min="7753" max="7753" width="12.453125" style="1" bestFit="1" customWidth="1"/>
    <col min="7754" max="7754" width="11.54296875" style="1" bestFit="1" customWidth="1"/>
    <col min="7755" max="7755" width="12.453125" style="1" bestFit="1" customWidth="1"/>
    <col min="7756" max="7756" width="14.7265625" style="1" bestFit="1" customWidth="1"/>
    <col min="7757" max="7936" width="8.81640625" style="1"/>
    <col min="7937" max="7937" width="11" style="1" bestFit="1" customWidth="1"/>
    <col min="7938" max="7938" width="46.453125" style="1" bestFit="1" customWidth="1"/>
    <col min="7939" max="7939" width="9.453125" style="1" bestFit="1" customWidth="1"/>
    <col min="7940" max="7940" width="13.54296875" style="1" bestFit="1" customWidth="1"/>
    <col min="7941" max="7942" width="11.453125" style="1" bestFit="1" customWidth="1"/>
    <col min="7943" max="7943" width="10.453125" style="1" bestFit="1" customWidth="1"/>
    <col min="7944" max="7944" width="13.7265625" style="1" bestFit="1" customWidth="1"/>
    <col min="7945" max="7945" width="5.453125" style="1" bestFit="1" customWidth="1"/>
    <col min="7946" max="7946" width="14.7265625" style="1" bestFit="1" customWidth="1"/>
    <col min="7947" max="7947" width="8.453125" style="1" bestFit="1" customWidth="1"/>
    <col min="7948" max="7948" width="13.7265625" style="1" bestFit="1" customWidth="1"/>
    <col min="7949" max="7949" width="12.453125" style="1" bestFit="1" customWidth="1"/>
    <col min="7950" max="7950" width="11.453125" style="1" bestFit="1" customWidth="1"/>
    <col min="7951" max="7951" width="8.453125" style="1" bestFit="1" customWidth="1"/>
    <col min="7952" max="7952" width="12.453125" style="1" bestFit="1" customWidth="1"/>
    <col min="7953" max="7954" width="10.453125" style="1" bestFit="1" customWidth="1"/>
    <col min="7955" max="7955" width="8.453125" style="1" bestFit="1" customWidth="1"/>
    <col min="7956" max="7960" width="12.453125" style="1" bestFit="1" customWidth="1"/>
    <col min="7961" max="7961" width="10.54296875" style="1" bestFit="1" customWidth="1"/>
    <col min="7962" max="7962" width="11.453125" style="1" bestFit="1" customWidth="1"/>
    <col min="7963" max="7964" width="12.54296875" style="1" bestFit="1" customWidth="1"/>
    <col min="7965" max="7965" width="9.453125" style="1" bestFit="1" customWidth="1"/>
    <col min="7966" max="7967" width="12.453125" style="1" bestFit="1" customWidth="1"/>
    <col min="7968" max="7968" width="10.453125" style="1" bestFit="1" customWidth="1"/>
    <col min="7969" max="7973" width="12.453125" style="1" bestFit="1" customWidth="1"/>
    <col min="7974" max="7975" width="10.453125" style="1" bestFit="1" customWidth="1"/>
    <col min="7976" max="7976" width="13.7265625" style="1" bestFit="1" customWidth="1"/>
    <col min="7977" max="7977" width="12.453125" style="1" bestFit="1" customWidth="1"/>
    <col min="7978" max="7978" width="10.453125" style="1" bestFit="1" customWidth="1"/>
    <col min="7979" max="7979" width="11.54296875" style="1" bestFit="1" customWidth="1"/>
    <col min="7980" max="7980" width="9.453125" style="1" bestFit="1" customWidth="1"/>
    <col min="7981" max="7981" width="13.54296875" style="1" bestFit="1" customWidth="1"/>
    <col min="7982" max="7982" width="12.453125" style="1" bestFit="1" customWidth="1"/>
    <col min="7983" max="7983" width="11.453125" style="1" bestFit="1" customWidth="1"/>
    <col min="7984" max="7985" width="12.453125" style="1" bestFit="1" customWidth="1"/>
    <col min="7986" max="7986" width="13.54296875" style="1" bestFit="1" customWidth="1"/>
    <col min="7987" max="7987" width="12.453125" style="1" bestFit="1" customWidth="1"/>
    <col min="7988" max="7988" width="13.54296875" style="1" bestFit="1" customWidth="1"/>
    <col min="7989" max="7989" width="11.453125" style="1" bestFit="1" customWidth="1"/>
    <col min="7990" max="7990" width="13.54296875" style="1" bestFit="1" customWidth="1"/>
    <col min="7991" max="7991" width="13.7265625" style="1" bestFit="1" customWidth="1"/>
    <col min="7992" max="7992" width="12.453125" style="1" bestFit="1" customWidth="1"/>
    <col min="7993" max="7993" width="10.453125" style="1" bestFit="1" customWidth="1"/>
    <col min="7994" max="7994" width="10.54296875" style="1" bestFit="1" customWidth="1"/>
    <col min="7995" max="7995" width="10.453125" style="1" bestFit="1" customWidth="1"/>
    <col min="7996" max="7996" width="10.54296875" style="1" bestFit="1" customWidth="1"/>
    <col min="7997" max="7997" width="12.54296875" style="1" bestFit="1" customWidth="1"/>
    <col min="7998" max="7998" width="14.7265625" style="1" bestFit="1" customWidth="1"/>
    <col min="7999" max="8000" width="13.54296875" style="1" bestFit="1" customWidth="1"/>
    <col min="8001" max="8001" width="12.453125" style="1" bestFit="1" customWidth="1"/>
    <col min="8002" max="8002" width="11.54296875" style="1" bestFit="1" customWidth="1"/>
    <col min="8003" max="8003" width="13.54296875" style="1" bestFit="1" customWidth="1"/>
    <col min="8004" max="8005" width="12.453125" style="1" bestFit="1" customWidth="1"/>
    <col min="8006" max="8006" width="5.453125" style="1" bestFit="1" customWidth="1"/>
    <col min="8007" max="8007" width="13.54296875" style="1" bestFit="1" customWidth="1"/>
    <col min="8008" max="8008" width="11.54296875" style="1" bestFit="1" customWidth="1"/>
    <col min="8009" max="8009" width="12.453125" style="1" bestFit="1" customWidth="1"/>
    <col min="8010" max="8010" width="11.54296875" style="1" bestFit="1" customWidth="1"/>
    <col min="8011" max="8011" width="12.453125" style="1" bestFit="1" customWidth="1"/>
    <col min="8012" max="8012" width="14.7265625" style="1" bestFit="1" customWidth="1"/>
    <col min="8013" max="8192" width="8.81640625" style="1"/>
    <col min="8193" max="8193" width="11" style="1" bestFit="1" customWidth="1"/>
    <col min="8194" max="8194" width="46.453125" style="1" bestFit="1" customWidth="1"/>
    <col min="8195" max="8195" width="9.453125" style="1" bestFit="1" customWidth="1"/>
    <col min="8196" max="8196" width="13.54296875" style="1" bestFit="1" customWidth="1"/>
    <col min="8197" max="8198" width="11.453125" style="1" bestFit="1" customWidth="1"/>
    <col min="8199" max="8199" width="10.453125" style="1" bestFit="1" customWidth="1"/>
    <col min="8200" max="8200" width="13.7265625" style="1" bestFit="1" customWidth="1"/>
    <col min="8201" max="8201" width="5.453125" style="1" bestFit="1" customWidth="1"/>
    <col min="8202" max="8202" width="14.7265625" style="1" bestFit="1" customWidth="1"/>
    <col min="8203" max="8203" width="8.453125" style="1" bestFit="1" customWidth="1"/>
    <col min="8204" max="8204" width="13.7265625" style="1" bestFit="1" customWidth="1"/>
    <col min="8205" max="8205" width="12.453125" style="1" bestFit="1" customWidth="1"/>
    <col min="8206" max="8206" width="11.453125" style="1" bestFit="1" customWidth="1"/>
    <col min="8207" max="8207" width="8.453125" style="1" bestFit="1" customWidth="1"/>
    <col min="8208" max="8208" width="12.453125" style="1" bestFit="1" customWidth="1"/>
    <col min="8209" max="8210" width="10.453125" style="1" bestFit="1" customWidth="1"/>
    <col min="8211" max="8211" width="8.453125" style="1" bestFit="1" customWidth="1"/>
    <col min="8212" max="8216" width="12.453125" style="1" bestFit="1" customWidth="1"/>
    <col min="8217" max="8217" width="10.54296875" style="1" bestFit="1" customWidth="1"/>
    <col min="8218" max="8218" width="11.453125" style="1" bestFit="1" customWidth="1"/>
    <col min="8219" max="8220" width="12.54296875" style="1" bestFit="1" customWidth="1"/>
    <col min="8221" max="8221" width="9.453125" style="1" bestFit="1" customWidth="1"/>
    <col min="8222" max="8223" width="12.453125" style="1" bestFit="1" customWidth="1"/>
    <col min="8224" max="8224" width="10.453125" style="1" bestFit="1" customWidth="1"/>
    <col min="8225" max="8229" width="12.453125" style="1" bestFit="1" customWidth="1"/>
    <col min="8230" max="8231" width="10.453125" style="1" bestFit="1" customWidth="1"/>
    <col min="8232" max="8232" width="13.7265625" style="1" bestFit="1" customWidth="1"/>
    <col min="8233" max="8233" width="12.453125" style="1" bestFit="1" customWidth="1"/>
    <col min="8234" max="8234" width="10.453125" style="1" bestFit="1" customWidth="1"/>
    <col min="8235" max="8235" width="11.54296875" style="1" bestFit="1" customWidth="1"/>
    <col min="8236" max="8236" width="9.453125" style="1" bestFit="1" customWidth="1"/>
    <col min="8237" max="8237" width="13.54296875" style="1" bestFit="1" customWidth="1"/>
    <col min="8238" max="8238" width="12.453125" style="1" bestFit="1" customWidth="1"/>
    <col min="8239" max="8239" width="11.453125" style="1" bestFit="1" customWidth="1"/>
    <col min="8240" max="8241" width="12.453125" style="1" bestFit="1" customWidth="1"/>
    <col min="8242" max="8242" width="13.54296875" style="1" bestFit="1" customWidth="1"/>
    <col min="8243" max="8243" width="12.453125" style="1" bestFit="1" customWidth="1"/>
    <col min="8244" max="8244" width="13.54296875" style="1" bestFit="1" customWidth="1"/>
    <col min="8245" max="8245" width="11.453125" style="1" bestFit="1" customWidth="1"/>
    <col min="8246" max="8246" width="13.54296875" style="1" bestFit="1" customWidth="1"/>
    <col min="8247" max="8247" width="13.7265625" style="1" bestFit="1" customWidth="1"/>
    <col min="8248" max="8248" width="12.453125" style="1" bestFit="1" customWidth="1"/>
    <col min="8249" max="8249" width="10.453125" style="1" bestFit="1" customWidth="1"/>
    <col min="8250" max="8250" width="10.54296875" style="1" bestFit="1" customWidth="1"/>
    <col min="8251" max="8251" width="10.453125" style="1" bestFit="1" customWidth="1"/>
    <col min="8252" max="8252" width="10.54296875" style="1" bestFit="1" customWidth="1"/>
    <col min="8253" max="8253" width="12.54296875" style="1" bestFit="1" customWidth="1"/>
    <col min="8254" max="8254" width="14.7265625" style="1" bestFit="1" customWidth="1"/>
    <col min="8255" max="8256" width="13.54296875" style="1" bestFit="1" customWidth="1"/>
    <col min="8257" max="8257" width="12.453125" style="1" bestFit="1" customWidth="1"/>
    <col min="8258" max="8258" width="11.54296875" style="1" bestFit="1" customWidth="1"/>
    <col min="8259" max="8259" width="13.54296875" style="1" bestFit="1" customWidth="1"/>
    <col min="8260" max="8261" width="12.453125" style="1" bestFit="1" customWidth="1"/>
    <col min="8262" max="8262" width="5.453125" style="1" bestFit="1" customWidth="1"/>
    <col min="8263" max="8263" width="13.54296875" style="1" bestFit="1" customWidth="1"/>
    <col min="8264" max="8264" width="11.54296875" style="1" bestFit="1" customWidth="1"/>
    <col min="8265" max="8265" width="12.453125" style="1" bestFit="1" customWidth="1"/>
    <col min="8266" max="8266" width="11.54296875" style="1" bestFit="1" customWidth="1"/>
    <col min="8267" max="8267" width="12.453125" style="1" bestFit="1" customWidth="1"/>
    <col min="8268" max="8268" width="14.7265625" style="1" bestFit="1" customWidth="1"/>
    <col min="8269" max="8448" width="8.81640625" style="1"/>
    <col min="8449" max="8449" width="11" style="1" bestFit="1" customWidth="1"/>
    <col min="8450" max="8450" width="46.453125" style="1" bestFit="1" customWidth="1"/>
    <col min="8451" max="8451" width="9.453125" style="1" bestFit="1" customWidth="1"/>
    <col min="8452" max="8452" width="13.54296875" style="1" bestFit="1" customWidth="1"/>
    <col min="8453" max="8454" width="11.453125" style="1" bestFit="1" customWidth="1"/>
    <col min="8455" max="8455" width="10.453125" style="1" bestFit="1" customWidth="1"/>
    <col min="8456" max="8456" width="13.7265625" style="1" bestFit="1" customWidth="1"/>
    <col min="8457" max="8457" width="5.453125" style="1" bestFit="1" customWidth="1"/>
    <col min="8458" max="8458" width="14.7265625" style="1" bestFit="1" customWidth="1"/>
    <col min="8459" max="8459" width="8.453125" style="1" bestFit="1" customWidth="1"/>
    <col min="8460" max="8460" width="13.7265625" style="1" bestFit="1" customWidth="1"/>
    <col min="8461" max="8461" width="12.453125" style="1" bestFit="1" customWidth="1"/>
    <col min="8462" max="8462" width="11.453125" style="1" bestFit="1" customWidth="1"/>
    <col min="8463" max="8463" width="8.453125" style="1" bestFit="1" customWidth="1"/>
    <col min="8464" max="8464" width="12.453125" style="1" bestFit="1" customWidth="1"/>
    <col min="8465" max="8466" width="10.453125" style="1" bestFit="1" customWidth="1"/>
    <col min="8467" max="8467" width="8.453125" style="1" bestFit="1" customWidth="1"/>
    <col min="8468" max="8472" width="12.453125" style="1" bestFit="1" customWidth="1"/>
    <col min="8473" max="8473" width="10.54296875" style="1" bestFit="1" customWidth="1"/>
    <col min="8474" max="8474" width="11.453125" style="1" bestFit="1" customWidth="1"/>
    <col min="8475" max="8476" width="12.54296875" style="1" bestFit="1" customWidth="1"/>
    <col min="8477" max="8477" width="9.453125" style="1" bestFit="1" customWidth="1"/>
    <col min="8478" max="8479" width="12.453125" style="1" bestFit="1" customWidth="1"/>
    <col min="8480" max="8480" width="10.453125" style="1" bestFit="1" customWidth="1"/>
    <col min="8481" max="8485" width="12.453125" style="1" bestFit="1" customWidth="1"/>
    <col min="8486" max="8487" width="10.453125" style="1" bestFit="1" customWidth="1"/>
    <col min="8488" max="8488" width="13.7265625" style="1" bestFit="1" customWidth="1"/>
    <col min="8489" max="8489" width="12.453125" style="1" bestFit="1" customWidth="1"/>
    <col min="8490" max="8490" width="10.453125" style="1" bestFit="1" customWidth="1"/>
    <col min="8491" max="8491" width="11.54296875" style="1" bestFit="1" customWidth="1"/>
    <col min="8492" max="8492" width="9.453125" style="1" bestFit="1" customWidth="1"/>
    <col min="8493" max="8493" width="13.54296875" style="1" bestFit="1" customWidth="1"/>
    <col min="8494" max="8494" width="12.453125" style="1" bestFit="1" customWidth="1"/>
    <col min="8495" max="8495" width="11.453125" style="1" bestFit="1" customWidth="1"/>
    <col min="8496" max="8497" width="12.453125" style="1" bestFit="1" customWidth="1"/>
    <col min="8498" max="8498" width="13.54296875" style="1" bestFit="1" customWidth="1"/>
    <col min="8499" max="8499" width="12.453125" style="1" bestFit="1" customWidth="1"/>
    <col min="8500" max="8500" width="13.54296875" style="1" bestFit="1" customWidth="1"/>
    <col min="8501" max="8501" width="11.453125" style="1" bestFit="1" customWidth="1"/>
    <col min="8502" max="8502" width="13.54296875" style="1" bestFit="1" customWidth="1"/>
    <col min="8503" max="8503" width="13.7265625" style="1" bestFit="1" customWidth="1"/>
    <col min="8504" max="8504" width="12.453125" style="1" bestFit="1" customWidth="1"/>
    <col min="8505" max="8505" width="10.453125" style="1" bestFit="1" customWidth="1"/>
    <col min="8506" max="8506" width="10.54296875" style="1" bestFit="1" customWidth="1"/>
    <col min="8507" max="8507" width="10.453125" style="1" bestFit="1" customWidth="1"/>
    <col min="8508" max="8508" width="10.54296875" style="1" bestFit="1" customWidth="1"/>
    <col min="8509" max="8509" width="12.54296875" style="1" bestFit="1" customWidth="1"/>
    <col min="8510" max="8510" width="14.7265625" style="1" bestFit="1" customWidth="1"/>
    <col min="8511" max="8512" width="13.54296875" style="1" bestFit="1" customWidth="1"/>
    <col min="8513" max="8513" width="12.453125" style="1" bestFit="1" customWidth="1"/>
    <col min="8514" max="8514" width="11.54296875" style="1" bestFit="1" customWidth="1"/>
    <col min="8515" max="8515" width="13.54296875" style="1" bestFit="1" customWidth="1"/>
    <col min="8516" max="8517" width="12.453125" style="1" bestFit="1" customWidth="1"/>
    <col min="8518" max="8518" width="5.453125" style="1" bestFit="1" customWidth="1"/>
    <col min="8519" max="8519" width="13.54296875" style="1" bestFit="1" customWidth="1"/>
    <col min="8520" max="8520" width="11.54296875" style="1" bestFit="1" customWidth="1"/>
    <col min="8521" max="8521" width="12.453125" style="1" bestFit="1" customWidth="1"/>
    <col min="8522" max="8522" width="11.54296875" style="1" bestFit="1" customWidth="1"/>
    <col min="8523" max="8523" width="12.453125" style="1" bestFit="1" customWidth="1"/>
    <col min="8524" max="8524" width="14.7265625" style="1" bestFit="1" customWidth="1"/>
    <col min="8525" max="8704" width="8.81640625" style="1"/>
    <col min="8705" max="8705" width="11" style="1" bestFit="1" customWidth="1"/>
    <col min="8706" max="8706" width="46.453125" style="1" bestFit="1" customWidth="1"/>
    <col min="8707" max="8707" width="9.453125" style="1" bestFit="1" customWidth="1"/>
    <col min="8708" max="8708" width="13.54296875" style="1" bestFit="1" customWidth="1"/>
    <col min="8709" max="8710" width="11.453125" style="1" bestFit="1" customWidth="1"/>
    <col min="8711" max="8711" width="10.453125" style="1" bestFit="1" customWidth="1"/>
    <col min="8712" max="8712" width="13.7265625" style="1" bestFit="1" customWidth="1"/>
    <col min="8713" max="8713" width="5.453125" style="1" bestFit="1" customWidth="1"/>
    <col min="8714" max="8714" width="14.7265625" style="1" bestFit="1" customWidth="1"/>
    <col min="8715" max="8715" width="8.453125" style="1" bestFit="1" customWidth="1"/>
    <col min="8716" max="8716" width="13.7265625" style="1" bestFit="1" customWidth="1"/>
    <col min="8717" max="8717" width="12.453125" style="1" bestFit="1" customWidth="1"/>
    <col min="8718" max="8718" width="11.453125" style="1" bestFit="1" customWidth="1"/>
    <col min="8719" max="8719" width="8.453125" style="1" bestFit="1" customWidth="1"/>
    <col min="8720" max="8720" width="12.453125" style="1" bestFit="1" customWidth="1"/>
    <col min="8721" max="8722" width="10.453125" style="1" bestFit="1" customWidth="1"/>
    <col min="8723" max="8723" width="8.453125" style="1" bestFit="1" customWidth="1"/>
    <col min="8724" max="8728" width="12.453125" style="1" bestFit="1" customWidth="1"/>
    <col min="8729" max="8729" width="10.54296875" style="1" bestFit="1" customWidth="1"/>
    <col min="8730" max="8730" width="11.453125" style="1" bestFit="1" customWidth="1"/>
    <col min="8731" max="8732" width="12.54296875" style="1" bestFit="1" customWidth="1"/>
    <col min="8733" max="8733" width="9.453125" style="1" bestFit="1" customWidth="1"/>
    <col min="8734" max="8735" width="12.453125" style="1" bestFit="1" customWidth="1"/>
    <col min="8736" max="8736" width="10.453125" style="1" bestFit="1" customWidth="1"/>
    <col min="8737" max="8741" width="12.453125" style="1" bestFit="1" customWidth="1"/>
    <col min="8742" max="8743" width="10.453125" style="1" bestFit="1" customWidth="1"/>
    <col min="8744" max="8744" width="13.7265625" style="1" bestFit="1" customWidth="1"/>
    <col min="8745" max="8745" width="12.453125" style="1" bestFit="1" customWidth="1"/>
    <col min="8746" max="8746" width="10.453125" style="1" bestFit="1" customWidth="1"/>
    <col min="8747" max="8747" width="11.54296875" style="1" bestFit="1" customWidth="1"/>
    <col min="8748" max="8748" width="9.453125" style="1" bestFit="1" customWidth="1"/>
    <col min="8749" max="8749" width="13.54296875" style="1" bestFit="1" customWidth="1"/>
    <col min="8750" max="8750" width="12.453125" style="1" bestFit="1" customWidth="1"/>
    <col min="8751" max="8751" width="11.453125" style="1" bestFit="1" customWidth="1"/>
    <col min="8752" max="8753" width="12.453125" style="1" bestFit="1" customWidth="1"/>
    <col min="8754" max="8754" width="13.54296875" style="1" bestFit="1" customWidth="1"/>
    <col min="8755" max="8755" width="12.453125" style="1" bestFit="1" customWidth="1"/>
    <col min="8756" max="8756" width="13.54296875" style="1" bestFit="1" customWidth="1"/>
    <col min="8757" max="8757" width="11.453125" style="1" bestFit="1" customWidth="1"/>
    <col min="8758" max="8758" width="13.54296875" style="1" bestFit="1" customWidth="1"/>
    <col min="8759" max="8759" width="13.7265625" style="1" bestFit="1" customWidth="1"/>
    <col min="8760" max="8760" width="12.453125" style="1" bestFit="1" customWidth="1"/>
    <col min="8761" max="8761" width="10.453125" style="1" bestFit="1" customWidth="1"/>
    <col min="8762" max="8762" width="10.54296875" style="1" bestFit="1" customWidth="1"/>
    <col min="8763" max="8763" width="10.453125" style="1" bestFit="1" customWidth="1"/>
    <col min="8764" max="8764" width="10.54296875" style="1" bestFit="1" customWidth="1"/>
    <col min="8765" max="8765" width="12.54296875" style="1" bestFit="1" customWidth="1"/>
    <col min="8766" max="8766" width="14.7265625" style="1" bestFit="1" customWidth="1"/>
    <col min="8767" max="8768" width="13.54296875" style="1" bestFit="1" customWidth="1"/>
    <col min="8769" max="8769" width="12.453125" style="1" bestFit="1" customWidth="1"/>
    <col min="8770" max="8770" width="11.54296875" style="1" bestFit="1" customWidth="1"/>
    <col min="8771" max="8771" width="13.54296875" style="1" bestFit="1" customWidth="1"/>
    <col min="8772" max="8773" width="12.453125" style="1" bestFit="1" customWidth="1"/>
    <col min="8774" max="8774" width="5.453125" style="1" bestFit="1" customWidth="1"/>
    <col min="8775" max="8775" width="13.54296875" style="1" bestFit="1" customWidth="1"/>
    <col min="8776" max="8776" width="11.54296875" style="1" bestFit="1" customWidth="1"/>
    <col min="8777" max="8777" width="12.453125" style="1" bestFit="1" customWidth="1"/>
    <col min="8778" max="8778" width="11.54296875" style="1" bestFit="1" customWidth="1"/>
    <col min="8779" max="8779" width="12.453125" style="1" bestFit="1" customWidth="1"/>
    <col min="8780" max="8780" width="14.7265625" style="1" bestFit="1" customWidth="1"/>
    <col min="8781" max="8960" width="8.81640625" style="1"/>
    <col min="8961" max="8961" width="11" style="1" bestFit="1" customWidth="1"/>
    <col min="8962" max="8962" width="46.453125" style="1" bestFit="1" customWidth="1"/>
    <col min="8963" max="8963" width="9.453125" style="1" bestFit="1" customWidth="1"/>
    <col min="8964" max="8964" width="13.54296875" style="1" bestFit="1" customWidth="1"/>
    <col min="8965" max="8966" width="11.453125" style="1" bestFit="1" customWidth="1"/>
    <col min="8967" max="8967" width="10.453125" style="1" bestFit="1" customWidth="1"/>
    <col min="8968" max="8968" width="13.7265625" style="1" bestFit="1" customWidth="1"/>
    <col min="8969" max="8969" width="5.453125" style="1" bestFit="1" customWidth="1"/>
    <col min="8970" max="8970" width="14.7265625" style="1" bestFit="1" customWidth="1"/>
    <col min="8971" max="8971" width="8.453125" style="1" bestFit="1" customWidth="1"/>
    <col min="8972" max="8972" width="13.7265625" style="1" bestFit="1" customWidth="1"/>
    <col min="8973" max="8973" width="12.453125" style="1" bestFit="1" customWidth="1"/>
    <col min="8974" max="8974" width="11.453125" style="1" bestFit="1" customWidth="1"/>
    <col min="8975" max="8975" width="8.453125" style="1" bestFit="1" customWidth="1"/>
    <col min="8976" max="8976" width="12.453125" style="1" bestFit="1" customWidth="1"/>
    <col min="8977" max="8978" width="10.453125" style="1" bestFit="1" customWidth="1"/>
    <col min="8979" max="8979" width="8.453125" style="1" bestFit="1" customWidth="1"/>
    <col min="8980" max="8984" width="12.453125" style="1" bestFit="1" customWidth="1"/>
    <col min="8985" max="8985" width="10.54296875" style="1" bestFit="1" customWidth="1"/>
    <col min="8986" max="8986" width="11.453125" style="1" bestFit="1" customWidth="1"/>
    <col min="8987" max="8988" width="12.54296875" style="1" bestFit="1" customWidth="1"/>
    <col min="8989" max="8989" width="9.453125" style="1" bestFit="1" customWidth="1"/>
    <col min="8990" max="8991" width="12.453125" style="1" bestFit="1" customWidth="1"/>
    <col min="8992" max="8992" width="10.453125" style="1" bestFit="1" customWidth="1"/>
    <col min="8993" max="8997" width="12.453125" style="1" bestFit="1" customWidth="1"/>
    <col min="8998" max="8999" width="10.453125" style="1" bestFit="1" customWidth="1"/>
    <col min="9000" max="9000" width="13.7265625" style="1" bestFit="1" customWidth="1"/>
    <col min="9001" max="9001" width="12.453125" style="1" bestFit="1" customWidth="1"/>
    <col min="9002" max="9002" width="10.453125" style="1" bestFit="1" customWidth="1"/>
    <col min="9003" max="9003" width="11.54296875" style="1" bestFit="1" customWidth="1"/>
    <col min="9004" max="9004" width="9.453125" style="1" bestFit="1" customWidth="1"/>
    <col min="9005" max="9005" width="13.54296875" style="1" bestFit="1" customWidth="1"/>
    <col min="9006" max="9006" width="12.453125" style="1" bestFit="1" customWidth="1"/>
    <col min="9007" max="9007" width="11.453125" style="1" bestFit="1" customWidth="1"/>
    <col min="9008" max="9009" width="12.453125" style="1" bestFit="1" customWidth="1"/>
    <col min="9010" max="9010" width="13.54296875" style="1" bestFit="1" customWidth="1"/>
    <col min="9011" max="9011" width="12.453125" style="1" bestFit="1" customWidth="1"/>
    <col min="9012" max="9012" width="13.54296875" style="1" bestFit="1" customWidth="1"/>
    <col min="9013" max="9013" width="11.453125" style="1" bestFit="1" customWidth="1"/>
    <col min="9014" max="9014" width="13.54296875" style="1" bestFit="1" customWidth="1"/>
    <col min="9015" max="9015" width="13.7265625" style="1" bestFit="1" customWidth="1"/>
    <col min="9016" max="9016" width="12.453125" style="1" bestFit="1" customWidth="1"/>
    <col min="9017" max="9017" width="10.453125" style="1" bestFit="1" customWidth="1"/>
    <col min="9018" max="9018" width="10.54296875" style="1" bestFit="1" customWidth="1"/>
    <col min="9019" max="9019" width="10.453125" style="1" bestFit="1" customWidth="1"/>
    <col min="9020" max="9020" width="10.54296875" style="1" bestFit="1" customWidth="1"/>
    <col min="9021" max="9021" width="12.54296875" style="1" bestFit="1" customWidth="1"/>
    <col min="9022" max="9022" width="14.7265625" style="1" bestFit="1" customWidth="1"/>
    <col min="9023" max="9024" width="13.54296875" style="1" bestFit="1" customWidth="1"/>
    <col min="9025" max="9025" width="12.453125" style="1" bestFit="1" customWidth="1"/>
    <col min="9026" max="9026" width="11.54296875" style="1" bestFit="1" customWidth="1"/>
    <col min="9027" max="9027" width="13.54296875" style="1" bestFit="1" customWidth="1"/>
    <col min="9028" max="9029" width="12.453125" style="1" bestFit="1" customWidth="1"/>
    <col min="9030" max="9030" width="5.453125" style="1" bestFit="1" customWidth="1"/>
    <col min="9031" max="9031" width="13.54296875" style="1" bestFit="1" customWidth="1"/>
    <col min="9032" max="9032" width="11.54296875" style="1" bestFit="1" customWidth="1"/>
    <col min="9033" max="9033" width="12.453125" style="1" bestFit="1" customWidth="1"/>
    <col min="9034" max="9034" width="11.54296875" style="1" bestFit="1" customWidth="1"/>
    <col min="9035" max="9035" width="12.453125" style="1" bestFit="1" customWidth="1"/>
    <col min="9036" max="9036" width="14.7265625" style="1" bestFit="1" customWidth="1"/>
    <col min="9037" max="9216" width="8.81640625" style="1"/>
    <col min="9217" max="9217" width="11" style="1" bestFit="1" customWidth="1"/>
    <col min="9218" max="9218" width="46.453125" style="1" bestFit="1" customWidth="1"/>
    <col min="9219" max="9219" width="9.453125" style="1" bestFit="1" customWidth="1"/>
    <col min="9220" max="9220" width="13.54296875" style="1" bestFit="1" customWidth="1"/>
    <col min="9221" max="9222" width="11.453125" style="1" bestFit="1" customWidth="1"/>
    <col min="9223" max="9223" width="10.453125" style="1" bestFit="1" customWidth="1"/>
    <col min="9224" max="9224" width="13.7265625" style="1" bestFit="1" customWidth="1"/>
    <col min="9225" max="9225" width="5.453125" style="1" bestFit="1" customWidth="1"/>
    <col min="9226" max="9226" width="14.7265625" style="1" bestFit="1" customWidth="1"/>
    <col min="9227" max="9227" width="8.453125" style="1" bestFit="1" customWidth="1"/>
    <col min="9228" max="9228" width="13.7265625" style="1" bestFit="1" customWidth="1"/>
    <col min="9229" max="9229" width="12.453125" style="1" bestFit="1" customWidth="1"/>
    <col min="9230" max="9230" width="11.453125" style="1" bestFit="1" customWidth="1"/>
    <col min="9231" max="9231" width="8.453125" style="1" bestFit="1" customWidth="1"/>
    <col min="9232" max="9232" width="12.453125" style="1" bestFit="1" customWidth="1"/>
    <col min="9233" max="9234" width="10.453125" style="1" bestFit="1" customWidth="1"/>
    <col min="9235" max="9235" width="8.453125" style="1" bestFit="1" customWidth="1"/>
    <col min="9236" max="9240" width="12.453125" style="1" bestFit="1" customWidth="1"/>
    <col min="9241" max="9241" width="10.54296875" style="1" bestFit="1" customWidth="1"/>
    <col min="9242" max="9242" width="11.453125" style="1" bestFit="1" customWidth="1"/>
    <col min="9243" max="9244" width="12.54296875" style="1" bestFit="1" customWidth="1"/>
    <col min="9245" max="9245" width="9.453125" style="1" bestFit="1" customWidth="1"/>
    <col min="9246" max="9247" width="12.453125" style="1" bestFit="1" customWidth="1"/>
    <col min="9248" max="9248" width="10.453125" style="1" bestFit="1" customWidth="1"/>
    <col min="9249" max="9253" width="12.453125" style="1" bestFit="1" customWidth="1"/>
    <col min="9254" max="9255" width="10.453125" style="1" bestFit="1" customWidth="1"/>
    <col min="9256" max="9256" width="13.7265625" style="1" bestFit="1" customWidth="1"/>
    <col min="9257" max="9257" width="12.453125" style="1" bestFit="1" customWidth="1"/>
    <col min="9258" max="9258" width="10.453125" style="1" bestFit="1" customWidth="1"/>
    <col min="9259" max="9259" width="11.54296875" style="1" bestFit="1" customWidth="1"/>
    <col min="9260" max="9260" width="9.453125" style="1" bestFit="1" customWidth="1"/>
    <col min="9261" max="9261" width="13.54296875" style="1" bestFit="1" customWidth="1"/>
    <col min="9262" max="9262" width="12.453125" style="1" bestFit="1" customWidth="1"/>
    <col min="9263" max="9263" width="11.453125" style="1" bestFit="1" customWidth="1"/>
    <col min="9264" max="9265" width="12.453125" style="1" bestFit="1" customWidth="1"/>
    <col min="9266" max="9266" width="13.54296875" style="1" bestFit="1" customWidth="1"/>
    <col min="9267" max="9267" width="12.453125" style="1" bestFit="1" customWidth="1"/>
    <col min="9268" max="9268" width="13.54296875" style="1" bestFit="1" customWidth="1"/>
    <col min="9269" max="9269" width="11.453125" style="1" bestFit="1" customWidth="1"/>
    <col min="9270" max="9270" width="13.54296875" style="1" bestFit="1" customWidth="1"/>
    <col min="9271" max="9271" width="13.7265625" style="1" bestFit="1" customWidth="1"/>
    <col min="9272" max="9272" width="12.453125" style="1" bestFit="1" customWidth="1"/>
    <col min="9273" max="9273" width="10.453125" style="1" bestFit="1" customWidth="1"/>
    <col min="9274" max="9274" width="10.54296875" style="1" bestFit="1" customWidth="1"/>
    <col min="9275" max="9275" width="10.453125" style="1" bestFit="1" customWidth="1"/>
    <col min="9276" max="9276" width="10.54296875" style="1" bestFit="1" customWidth="1"/>
    <col min="9277" max="9277" width="12.54296875" style="1" bestFit="1" customWidth="1"/>
    <col min="9278" max="9278" width="14.7265625" style="1" bestFit="1" customWidth="1"/>
    <col min="9279" max="9280" width="13.54296875" style="1" bestFit="1" customWidth="1"/>
    <col min="9281" max="9281" width="12.453125" style="1" bestFit="1" customWidth="1"/>
    <col min="9282" max="9282" width="11.54296875" style="1" bestFit="1" customWidth="1"/>
    <col min="9283" max="9283" width="13.54296875" style="1" bestFit="1" customWidth="1"/>
    <col min="9284" max="9285" width="12.453125" style="1" bestFit="1" customWidth="1"/>
    <col min="9286" max="9286" width="5.453125" style="1" bestFit="1" customWidth="1"/>
    <col min="9287" max="9287" width="13.54296875" style="1" bestFit="1" customWidth="1"/>
    <col min="9288" max="9288" width="11.54296875" style="1" bestFit="1" customWidth="1"/>
    <col min="9289" max="9289" width="12.453125" style="1" bestFit="1" customWidth="1"/>
    <col min="9290" max="9290" width="11.54296875" style="1" bestFit="1" customWidth="1"/>
    <col min="9291" max="9291" width="12.453125" style="1" bestFit="1" customWidth="1"/>
    <col min="9292" max="9292" width="14.7265625" style="1" bestFit="1" customWidth="1"/>
    <col min="9293" max="9472" width="8.81640625" style="1"/>
    <col min="9473" max="9473" width="11" style="1" bestFit="1" customWidth="1"/>
    <col min="9474" max="9474" width="46.453125" style="1" bestFit="1" customWidth="1"/>
    <col min="9475" max="9475" width="9.453125" style="1" bestFit="1" customWidth="1"/>
    <col min="9476" max="9476" width="13.54296875" style="1" bestFit="1" customWidth="1"/>
    <col min="9477" max="9478" width="11.453125" style="1" bestFit="1" customWidth="1"/>
    <col min="9479" max="9479" width="10.453125" style="1" bestFit="1" customWidth="1"/>
    <col min="9480" max="9480" width="13.7265625" style="1" bestFit="1" customWidth="1"/>
    <col min="9481" max="9481" width="5.453125" style="1" bestFit="1" customWidth="1"/>
    <col min="9482" max="9482" width="14.7265625" style="1" bestFit="1" customWidth="1"/>
    <col min="9483" max="9483" width="8.453125" style="1" bestFit="1" customWidth="1"/>
    <col min="9484" max="9484" width="13.7265625" style="1" bestFit="1" customWidth="1"/>
    <col min="9485" max="9485" width="12.453125" style="1" bestFit="1" customWidth="1"/>
    <col min="9486" max="9486" width="11.453125" style="1" bestFit="1" customWidth="1"/>
    <col min="9487" max="9487" width="8.453125" style="1" bestFit="1" customWidth="1"/>
    <col min="9488" max="9488" width="12.453125" style="1" bestFit="1" customWidth="1"/>
    <col min="9489" max="9490" width="10.453125" style="1" bestFit="1" customWidth="1"/>
    <col min="9491" max="9491" width="8.453125" style="1" bestFit="1" customWidth="1"/>
    <col min="9492" max="9496" width="12.453125" style="1" bestFit="1" customWidth="1"/>
    <col min="9497" max="9497" width="10.54296875" style="1" bestFit="1" customWidth="1"/>
    <col min="9498" max="9498" width="11.453125" style="1" bestFit="1" customWidth="1"/>
    <col min="9499" max="9500" width="12.54296875" style="1" bestFit="1" customWidth="1"/>
    <col min="9501" max="9501" width="9.453125" style="1" bestFit="1" customWidth="1"/>
    <col min="9502" max="9503" width="12.453125" style="1" bestFit="1" customWidth="1"/>
    <col min="9504" max="9504" width="10.453125" style="1" bestFit="1" customWidth="1"/>
    <col min="9505" max="9509" width="12.453125" style="1" bestFit="1" customWidth="1"/>
    <col min="9510" max="9511" width="10.453125" style="1" bestFit="1" customWidth="1"/>
    <col min="9512" max="9512" width="13.7265625" style="1" bestFit="1" customWidth="1"/>
    <col min="9513" max="9513" width="12.453125" style="1" bestFit="1" customWidth="1"/>
    <col min="9514" max="9514" width="10.453125" style="1" bestFit="1" customWidth="1"/>
    <col min="9515" max="9515" width="11.54296875" style="1" bestFit="1" customWidth="1"/>
    <col min="9516" max="9516" width="9.453125" style="1" bestFit="1" customWidth="1"/>
    <col min="9517" max="9517" width="13.54296875" style="1" bestFit="1" customWidth="1"/>
    <col min="9518" max="9518" width="12.453125" style="1" bestFit="1" customWidth="1"/>
    <col min="9519" max="9519" width="11.453125" style="1" bestFit="1" customWidth="1"/>
    <col min="9520" max="9521" width="12.453125" style="1" bestFit="1" customWidth="1"/>
    <col min="9522" max="9522" width="13.54296875" style="1" bestFit="1" customWidth="1"/>
    <col min="9523" max="9523" width="12.453125" style="1" bestFit="1" customWidth="1"/>
    <col min="9524" max="9524" width="13.54296875" style="1" bestFit="1" customWidth="1"/>
    <col min="9525" max="9525" width="11.453125" style="1" bestFit="1" customWidth="1"/>
    <col min="9526" max="9526" width="13.54296875" style="1" bestFit="1" customWidth="1"/>
    <col min="9527" max="9527" width="13.7265625" style="1" bestFit="1" customWidth="1"/>
    <col min="9528" max="9528" width="12.453125" style="1" bestFit="1" customWidth="1"/>
    <col min="9529" max="9529" width="10.453125" style="1" bestFit="1" customWidth="1"/>
    <col min="9530" max="9530" width="10.54296875" style="1" bestFit="1" customWidth="1"/>
    <col min="9531" max="9531" width="10.453125" style="1" bestFit="1" customWidth="1"/>
    <col min="9532" max="9532" width="10.54296875" style="1" bestFit="1" customWidth="1"/>
    <col min="9533" max="9533" width="12.54296875" style="1" bestFit="1" customWidth="1"/>
    <col min="9534" max="9534" width="14.7265625" style="1" bestFit="1" customWidth="1"/>
    <col min="9535" max="9536" width="13.54296875" style="1" bestFit="1" customWidth="1"/>
    <col min="9537" max="9537" width="12.453125" style="1" bestFit="1" customWidth="1"/>
    <col min="9538" max="9538" width="11.54296875" style="1" bestFit="1" customWidth="1"/>
    <col min="9539" max="9539" width="13.54296875" style="1" bestFit="1" customWidth="1"/>
    <col min="9540" max="9541" width="12.453125" style="1" bestFit="1" customWidth="1"/>
    <col min="9542" max="9542" width="5.453125" style="1" bestFit="1" customWidth="1"/>
    <col min="9543" max="9543" width="13.54296875" style="1" bestFit="1" customWidth="1"/>
    <col min="9544" max="9544" width="11.54296875" style="1" bestFit="1" customWidth="1"/>
    <col min="9545" max="9545" width="12.453125" style="1" bestFit="1" customWidth="1"/>
    <col min="9546" max="9546" width="11.54296875" style="1" bestFit="1" customWidth="1"/>
    <col min="9547" max="9547" width="12.453125" style="1" bestFit="1" customWidth="1"/>
    <col min="9548" max="9548" width="14.7265625" style="1" bestFit="1" customWidth="1"/>
    <col min="9549" max="9728" width="8.81640625" style="1"/>
    <col min="9729" max="9729" width="11" style="1" bestFit="1" customWidth="1"/>
    <col min="9730" max="9730" width="46.453125" style="1" bestFit="1" customWidth="1"/>
    <col min="9731" max="9731" width="9.453125" style="1" bestFit="1" customWidth="1"/>
    <col min="9732" max="9732" width="13.54296875" style="1" bestFit="1" customWidth="1"/>
    <col min="9733" max="9734" width="11.453125" style="1" bestFit="1" customWidth="1"/>
    <col min="9735" max="9735" width="10.453125" style="1" bestFit="1" customWidth="1"/>
    <col min="9736" max="9736" width="13.7265625" style="1" bestFit="1" customWidth="1"/>
    <col min="9737" max="9737" width="5.453125" style="1" bestFit="1" customWidth="1"/>
    <col min="9738" max="9738" width="14.7265625" style="1" bestFit="1" customWidth="1"/>
    <col min="9739" max="9739" width="8.453125" style="1" bestFit="1" customWidth="1"/>
    <col min="9740" max="9740" width="13.7265625" style="1" bestFit="1" customWidth="1"/>
    <col min="9741" max="9741" width="12.453125" style="1" bestFit="1" customWidth="1"/>
    <col min="9742" max="9742" width="11.453125" style="1" bestFit="1" customWidth="1"/>
    <col min="9743" max="9743" width="8.453125" style="1" bestFit="1" customWidth="1"/>
    <col min="9744" max="9744" width="12.453125" style="1" bestFit="1" customWidth="1"/>
    <col min="9745" max="9746" width="10.453125" style="1" bestFit="1" customWidth="1"/>
    <col min="9747" max="9747" width="8.453125" style="1" bestFit="1" customWidth="1"/>
    <col min="9748" max="9752" width="12.453125" style="1" bestFit="1" customWidth="1"/>
    <col min="9753" max="9753" width="10.54296875" style="1" bestFit="1" customWidth="1"/>
    <col min="9754" max="9754" width="11.453125" style="1" bestFit="1" customWidth="1"/>
    <col min="9755" max="9756" width="12.54296875" style="1" bestFit="1" customWidth="1"/>
    <col min="9757" max="9757" width="9.453125" style="1" bestFit="1" customWidth="1"/>
    <col min="9758" max="9759" width="12.453125" style="1" bestFit="1" customWidth="1"/>
    <col min="9760" max="9760" width="10.453125" style="1" bestFit="1" customWidth="1"/>
    <col min="9761" max="9765" width="12.453125" style="1" bestFit="1" customWidth="1"/>
    <col min="9766" max="9767" width="10.453125" style="1" bestFit="1" customWidth="1"/>
    <col min="9768" max="9768" width="13.7265625" style="1" bestFit="1" customWidth="1"/>
    <col min="9769" max="9769" width="12.453125" style="1" bestFit="1" customWidth="1"/>
    <col min="9770" max="9770" width="10.453125" style="1" bestFit="1" customWidth="1"/>
    <col min="9771" max="9771" width="11.54296875" style="1" bestFit="1" customWidth="1"/>
    <col min="9772" max="9772" width="9.453125" style="1" bestFit="1" customWidth="1"/>
    <col min="9773" max="9773" width="13.54296875" style="1" bestFit="1" customWidth="1"/>
    <col min="9774" max="9774" width="12.453125" style="1" bestFit="1" customWidth="1"/>
    <col min="9775" max="9775" width="11.453125" style="1" bestFit="1" customWidth="1"/>
    <col min="9776" max="9777" width="12.453125" style="1" bestFit="1" customWidth="1"/>
    <col min="9778" max="9778" width="13.54296875" style="1" bestFit="1" customWidth="1"/>
    <col min="9779" max="9779" width="12.453125" style="1" bestFit="1" customWidth="1"/>
    <col min="9780" max="9780" width="13.54296875" style="1" bestFit="1" customWidth="1"/>
    <col min="9781" max="9781" width="11.453125" style="1" bestFit="1" customWidth="1"/>
    <col min="9782" max="9782" width="13.54296875" style="1" bestFit="1" customWidth="1"/>
    <col min="9783" max="9783" width="13.7265625" style="1" bestFit="1" customWidth="1"/>
    <col min="9784" max="9784" width="12.453125" style="1" bestFit="1" customWidth="1"/>
    <col min="9785" max="9785" width="10.453125" style="1" bestFit="1" customWidth="1"/>
    <col min="9786" max="9786" width="10.54296875" style="1" bestFit="1" customWidth="1"/>
    <col min="9787" max="9787" width="10.453125" style="1" bestFit="1" customWidth="1"/>
    <col min="9788" max="9788" width="10.54296875" style="1" bestFit="1" customWidth="1"/>
    <col min="9789" max="9789" width="12.54296875" style="1" bestFit="1" customWidth="1"/>
    <col min="9790" max="9790" width="14.7265625" style="1" bestFit="1" customWidth="1"/>
    <col min="9791" max="9792" width="13.54296875" style="1" bestFit="1" customWidth="1"/>
    <col min="9793" max="9793" width="12.453125" style="1" bestFit="1" customWidth="1"/>
    <col min="9794" max="9794" width="11.54296875" style="1" bestFit="1" customWidth="1"/>
    <col min="9795" max="9795" width="13.54296875" style="1" bestFit="1" customWidth="1"/>
    <col min="9796" max="9797" width="12.453125" style="1" bestFit="1" customWidth="1"/>
    <col min="9798" max="9798" width="5.453125" style="1" bestFit="1" customWidth="1"/>
    <col min="9799" max="9799" width="13.54296875" style="1" bestFit="1" customWidth="1"/>
    <col min="9800" max="9800" width="11.54296875" style="1" bestFit="1" customWidth="1"/>
    <col min="9801" max="9801" width="12.453125" style="1" bestFit="1" customWidth="1"/>
    <col min="9802" max="9802" width="11.54296875" style="1" bestFit="1" customWidth="1"/>
    <col min="9803" max="9803" width="12.453125" style="1" bestFit="1" customWidth="1"/>
    <col min="9804" max="9804" width="14.7265625" style="1" bestFit="1" customWidth="1"/>
    <col min="9805" max="9984" width="8.81640625" style="1"/>
    <col min="9985" max="9985" width="11" style="1" bestFit="1" customWidth="1"/>
    <col min="9986" max="9986" width="46.453125" style="1" bestFit="1" customWidth="1"/>
    <col min="9987" max="9987" width="9.453125" style="1" bestFit="1" customWidth="1"/>
    <col min="9988" max="9988" width="13.54296875" style="1" bestFit="1" customWidth="1"/>
    <col min="9989" max="9990" width="11.453125" style="1" bestFit="1" customWidth="1"/>
    <col min="9991" max="9991" width="10.453125" style="1" bestFit="1" customWidth="1"/>
    <col min="9992" max="9992" width="13.7265625" style="1" bestFit="1" customWidth="1"/>
    <col min="9993" max="9993" width="5.453125" style="1" bestFit="1" customWidth="1"/>
    <col min="9994" max="9994" width="14.7265625" style="1" bestFit="1" customWidth="1"/>
    <col min="9995" max="9995" width="8.453125" style="1" bestFit="1" customWidth="1"/>
    <col min="9996" max="9996" width="13.7265625" style="1" bestFit="1" customWidth="1"/>
    <col min="9997" max="9997" width="12.453125" style="1" bestFit="1" customWidth="1"/>
    <col min="9998" max="9998" width="11.453125" style="1" bestFit="1" customWidth="1"/>
    <col min="9999" max="9999" width="8.453125" style="1" bestFit="1" customWidth="1"/>
    <col min="10000" max="10000" width="12.453125" style="1" bestFit="1" customWidth="1"/>
    <col min="10001" max="10002" width="10.453125" style="1" bestFit="1" customWidth="1"/>
    <col min="10003" max="10003" width="8.453125" style="1" bestFit="1" customWidth="1"/>
    <col min="10004" max="10008" width="12.453125" style="1" bestFit="1" customWidth="1"/>
    <col min="10009" max="10009" width="10.54296875" style="1" bestFit="1" customWidth="1"/>
    <col min="10010" max="10010" width="11.453125" style="1" bestFit="1" customWidth="1"/>
    <col min="10011" max="10012" width="12.54296875" style="1" bestFit="1" customWidth="1"/>
    <col min="10013" max="10013" width="9.453125" style="1" bestFit="1" customWidth="1"/>
    <col min="10014" max="10015" width="12.453125" style="1" bestFit="1" customWidth="1"/>
    <col min="10016" max="10016" width="10.453125" style="1" bestFit="1" customWidth="1"/>
    <col min="10017" max="10021" width="12.453125" style="1" bestFit="1" customWidth="1"/>
    <col min="10022" max="10023" width="10.453125" style="1" bestFit="1" customWidth="1"/>
    <col min="10024" max="10024" width="13.7265625" style="1" bestFit="1" customWidth="1"/>
    <col min="10025" max="10025" width="12.453125" style="1" bestFit="1" customWidth="1"/>
    <col min="10026" max="10026" width="10.453125" style="1" bestFit="1" customWidth="1"/>
    <col min="10027" max="10027" width="11.54296875" style="1" bestFit="1" customWidth="1"/>
    <col min="10028" max="10028" width="9.453125" style="1" bestFit="1" customWidth="1"/>
    <col min="10029" max="10029" width="13.54296875" style="1" bestFit="1" customWidth="1"/>
    <col min="10030" max="10030" width="12.453125" style="1" bestFit="1" customWidth="1"/>
    <col min="10031" max="10031" width="11.453125" style="1" bestFit="1" customWidth="1"/>
    <col min="10032" max="10033" width="12.453125" style="1" bestFit="1" customWidth="1"/>
    <col min="10034" max="10034" width="13.54296875" style="1" bestFit="1" customWidth="1"/>
    <col min="10035" max="10035" width="12.453125" style="1" bestFit="1" customWidth="1"/>
    <col min="10036" max="10036" width="13.54296875" style="1" bestFit="1" customWidth="1"/>
    <col min="10037" max="10037" width="11.453125" style="1" bestFit="1" customWidth="1"/>
    <col min="10038" max="10038" width="13.54296875" style="1" bestFit="1" customWidth="1"/>
    <col min="10039" max="10039" width="13.7265625" style="1" bestFit="1" customWidth="1"/>
    <col min="10040" max="10040" width="12.453125" style="1" bestFit="1" customWidth="1"/>
    <col min="10041" max="10041" width="10.453125" style="1" bestFit="1" customWidth="1"/>
    <col min="10042" max="10042" width="10.54296875" style="1" bestFit="1" customWidth="1"/>
    <col min="10043" max="10043" width="10.453125" style="1" bestFit="1" customWidth="1"/>
    <col min="10044" max="10044" width="10.54296875" style="1" bestFit="1" customWidth="1"/>
    <col min="10045" max="10045" width="12.54296875" style="1" bestFit="1" customWidth="1"/>
    <col min="10046" max="10046" width="14.7265625" style="1" bestFit="1" customWidth="1"/>
    <col min="10047" max="10048" width="13.54296875" style="1" bestFit="1" customWidth="1"/>
    <col min="10049" max="10049" width="12.453125" style="1" bestFit="1" customWidth="1"/>
    <col min="10050" max="10050" width="11.54296875" style="1" bestFit="1" customWidth="1"/>
    <col min="10051" max="10051" width="13.54296875" style="1" bestFit="1" customWidth="1"/>
    <col min="10052" max="10053" width="12.453125" style="1" bestFit="1" customWidth="1"/>
    <col min="10054" max="10054" width="5.453125" style="1" bestFit="1" customWidth="1"/>
    <col min="10055" max="10055" width="13.54296875" style="1" bestFit="1" customWidth="1"/>
    <col min="10056" max="10056" width="11.54296875" style="1" bestFit="1" customWidth="1"/>
    <col min="10057" max="10057" width="12.453125" style="1" bestFit="1" customWidth="1"/>
    <col min="10058" max="10058" width="11.54296875" style="1" bestFit="1" customWidth="1"/>
    <col min="10059" max="10059" width="12.453125" style="1" bestFit="1" customWidth="1"/>
    <col min="10060" max="10060" width="14.7265625" style="1" bestFit="1" customWidth="1"/>
    <col min="10061" max="10240" width="8.81640625" style="1"/>
    <col min="10241" max="10241" width="11" style="1" bestFit="1" customWidth="1"/>
    <col min="10242" max="10242" width="46.453125" style="1" bestFit="1" customWidth="1"/>
    <col min="10243" max="10243" width="9.453125" style="1" bestFit="1" customWidth="1"/>
    <col min="10244" max="10244" width="13.54296875" style="1" bestFit="1" customWidth="1"/>
    <col min="10245" max="10246" width="11.453125" style="1" bestFit="1" customWidth="1"/>
    <col min="10247" max="10247" width="10.453125" style="1" bestFit="1" customWidth="1"/>
    <col min="10248" max="10248" width="13.7265625" style="1" bestFit="1" customWidth="1"/>
    <col min="10249" max="10249" width="5.453125" style="1" bestFit="1" customWidth="1"/>
    <col min="10250" max="10250" width="14.7265625" style="1" bestFit="1" customWidth="1"/>
    <col min="10251" max="10251" width="8.453125" style="1" bestFit="1" customWidth="1"/>
    <col min="10252" max="10252" width="13.7265625" style="1" bestFit="1" customWidth="1"/>
    <col min="10253" max="10253" width="12.453125" style="1" bestFit="1" customWidth="1"/>
    <col min="10254" max="10254" width="11.453125" style="1" bestFit="1" customWidth="1"/>
    <col min="10255" max="10255" width="8.453125" style="1" bestFit="1" customWidth="1"/>
    <col min="10256" max="10256" width="12.453125" style="1" bestFit="1" customWidth="1"/>
    <col min="10257" max="10258" width="10.453125" style="1" bestFit="1" customWidth="1"/>
    <col min="10259" max="10259" width="8.453125" style="1" bestFit="1" customWidth="1"/>
    <col min="10260" max="10264" width="12.453125" style="1" bestFit="1" customWidth="1"/>
    <col min="10265" max="10265" width="10.54296875" style="1" bestFit="1" customWidth="1"/>
    <col min="10266" max="10266" width="11.453125" style="1" bestFit="1" customWidth="1"/>
    <col min="10267" max="10268" width="12.54296875" style="1" bestFit="1" customWidth="1"/>
    <col min="10269" max="10269" width="9.453125" style="1" bestFit="1" customWidth="1"/>
    <col min="10270" max="10271" width="12.453125" style="1" bestFit="1" customWidth="1"/>
    <col min="10272" max="10272" width="10.453125" style="1" bestFit="1" customWidth="1"/>
    <col min="10273" max="10277" width="12.453125" style="1" bestFit="1" customWidth="1"/>
    <col min="10278" max="10279" width="10.453125" style="1" bestFit="1" customWidth="1"/>
    <col min="10280" max="10280" width="13.7265625" style="1" bestFit="1" customWidth="1"/>
    <col min="10281" max="10281" width="12.453125" style="1" bestFit="1" customWidth="1"/>
    <col min="10282" max="10282" width="10.453125" style="1" bestFit="1" customWidth="1"/>
    <col min="10283" max="10283" width="11.54296875" style="1" bestFit="1" customWidth="1"/>
    <col min="10284" max="10284" width="9.453125" style="1" bestFit="1" customWidth="1"/>
    <col min="10285" max="10285" width="13.54296875" style="1" bestFit="1" customWidth="1"/>
    <col min="10286" max="10286" width="12.453125" style="1" bestFit="1" customWidth="1"/>
    <col min="10287" max="10287" width="11.453125" style="1" bestFit="1" customWidth="1"/>
    <col min="10288" max="10289" width="12.453125" style="1" bestFit="1" customWidth="1"/>
    <col min="10290" max="10290" width="13.54296875" style="1" bestFit="1" customWidth="1"/>
    <col min="10291" max="10291" width="12.453125" style="1" bestFit="1" customWidth="1"/>
    <col min="10292" max="10292" width="13.54296875" style="1" bestFit="1" customWidth="1"/>
    <col min="10293" max="10293" width="11.453125" style="1" bestFit="1" customWidth="1"/>
    <col min="10294" max="10294" width="13.54296875" style="1" bestFit="1" customWidth="1"/>
    <col min="10295" max="10295" width="13.7265625" style="1" bestFit="1" customWidth="1"/>
    <col min="10296" max="10296" width="12.453125" style="1" bestFit="1" customWidth="1"/>
    <col min="10297" max="10297" width="10.453125" style="1" bestFit="1" customWidth="1"/>
    <col min="10298" max="10298" width="10.54296875" style="1" bestFit="1" customWidth="1"/>
    <col min="10299" max="10299" width="10.453125" style="1" bestFit="1" customWidth="1"/>
    <col min="10300" max="10300" width="10.54296875" style="1" bestFit="1" customWidth="1"/>
    <col min="10301" max="10301" width="12.54296875" style="1" bestFit="1" customWidth="1"/>
    <col min="10302" max="10302" width="14.7265625" style="1" bestFit="1" customWidth="1"/>
    <col min="10303" max="10304" width="13.54296875" style="1" bestFit="1" customWidth="1"/>
    <col min="10305" max="10305" width="12.453125" style="1" bestFit="1" customWidth="1"/>
    <col min="10306" max="10306" width="11.54296875" style="1" bestFit="1" customWidth="1"/>
    <col min="10307" max="10307" width="13.54296875" style="1" bestFit="1" customWidth="1"/>
    <col min="10308" max="10309" width="12.453125" style="1" bestFit="1" customWidth="1"/>
    <col min="10310" max="10310" width="5.453125" style="1" bestFit="1" customWidth="1"/>
    <col min="10311" max="10311" width="13.54296875" style="1" bestFit="1" customWidth="1"/>
    <col min="10312" max="10312" width="11.54296875" style="1" bestFit="1" customWidth="1"/>
    <col min="10313" max="10313" width="12.453125" style="1" bestFit="1" customWidth="1"/>
    <col min="10314" max="10314" width="11.54296875" style="1" bestFit="1" customWidth="1"/>
    <col min="10315" max="10315" width="12.453125" style="1" bestFit="1" customWidth="1"/>
    <col min="10316" max="10316" width="14.7265625" style="1" bestFit="1" customWidth="1"/>
    <col min="10317" max="10496" width="8.81640625" style="1"/>
    <col min="10497" max="10497" width="11" style="1" bestFit="1" customWidth="1"/>
    <col min="10498" max="10498" width="46.453125" style="1" bestFit="1" customWidth="1"/>
    <col min="10499" max="10499" width="9.453125" style="1" bestFit="1" customWidth="1"/>
    <col min="10500" max="10500" width="13.54296875" style="1" bestFit="1" customWidth="1"/>
    <col min="10501" max="10502" width="11.453125" style="1" bestFit="1" customWidth="1"/>
    <col min="10503" max="10503" width="10.453125" style="1" bestFit="1" customWidth="1"/>
    <col min="10504" max="10504" width="13.7265625" style="1" bestFit="1" customWidth="1"/>
    <col min="10505" max="10505" width="5.453125" style="1" bestFit="1" customWidth="1"/>
    <col min="10506" max="10506" width="14.7265625" style="1" bestFit="1" customWidth="1"/>
    <col min="10507" max="10507" width="8.453125" style="1" bestFit="1" customWidth="1"/>
    <col min="10508" max="10508" width="13.7265625" style="1" bestFit="1" customWidth="1"/>
    <col min="10509" max="10509" width="12.453125" style="1" bestFit="1" customWidth="1"/>
    <col min="10510" max="10510" width="11.453125" style="1" bestFit="1" customWidth="1"/>
    <col min="10511" max="10511" width="8.453125" style="1" bestFit="1" customWidth="1"/>
    <col min="10512" max="10512" width="12.453125" style="1" bestFit="1" customWidth="1"/>
    <col min="10513" max="10514" width="10.453125" style="1" bestFit="1" customWidth="1"/>
    <col min="10515" max="10515" width="8.453125" style="1" bestFit="1" customWidth="1"/>
    <col min="10516" max="10520" width="12.453125" style="1" bestFit="1" customWidth="1"/>
    <col min="10521" max="10521" width="10.54296875" style="1" bestFit="1" customWidth="1"/>
    <col min="10522" max="10522" width="11.453125" style="1" bestFit="1" customWidth="1"/>
    <col min="10523" max="10524" width="12.54296875" style="1" bestFit="1" customWidth="1"/>
    <col min="10525" max="10525" width="9.453125" style="1" bestFit="1" customWidth="1"/>
    <col min="10526" max="10527" width="12.453125" style="1" bestFit="1" customWidth="1"/>
    <col min="10528" max="10528" width="10.453125" style="1" bestFit="1" customWidth="1"/>
    <col min="10529" max="10533" width="12.453125" style="1" bestFit="1" customWidth="1"/>
    <col min="10534" max="10535" width="10.453125" style="1" bestFit="1" customWidth="1"/>
    <col min="10536" max="10536" width="13.7265625" style="1" bestFit="1" customWidth="1"/>
    <col min="10537" max="10537" width="12.453125" style="1" bestFit="1" customWidth="1"/>
    <col min="10538" max="10538" width="10.453125" style="1" bestFit="1" customWidth="1"/>
    <col min="10539" max="10539" width="11.54296875" style="1" bestFit="1" customWidth="1"/>
    <col min="10540" max="10540" width="9.453125" style="1" bestFit="1" customWidth="1"/>
    <col min="10541" max="10541" width="13.54296875" style="1" bestFit="1" customWidth="1"/>
    <col min="10542" max="10542" width="12.453125" style="1" bestFit="1" customWidth="1"/>
    <col min="10543" max="10543" width="11.453125" style="1" bestFit="1" customWidth="1"/>
    <col min="10544" max="10545" width="12.453125" style="1" bestFit="1" customWidth="1"/>
    <col min="10546" max="10546" width="13.54296875" style="1" bestFit="1" customWidth="1"/>
    <col min="10547" max="10547" width="12.453125" style="1" bestFit="1" customWidth="1"/>
    <col min="10548" max="10548" width="13.54296875" style="1" bestFit="1" customWidth="1"/>
    <col min="10549" max="10549" width="11.453125" style="1" bestFit="1" customWidth="1"/>
    <col min="10550" max="10550" width="13.54296875" style="1" bestFit="1" customWidth="1"/>
    <col min="10551" max="10551" width="13.7265625" style="1" bestFit="1" customWidth="1"/>
    <col min="10552" max="10552" width="12.453125" style="1" bestFit="1" customWidth="1"/>
    <col min="10553" max="10553" width="10.453125" style="1" bestFit="1" customWidth="1"/>
    <col min="10554" max="10554" width="10.54296875" style="1" bestFit="1" customWidth="1"/>
    <col min="10555" max="10555" width="10.453125" style="1" bestFit="1" customWidth="1"/>
    <col min="10556" max="10556" width="10.54296875" style="1" bestFit="1" customWidth="1"/>
    <col min="10557" max="10557" width="12.54296875" style="1" bestFit="1" customWidth="1"/>
    <col min="10558" max="10558" width="14.7265625" style="1" bestFit="1" customWidth="1"/>
    <col min="10559" max="10560" width="13.54296875" style="1" bestFit="1" customWidth="1"/>
    <col min="10561" max="10561" width="12.453125" style="1" bestFit="1" customWidth="1"/>
    <col min="10562" max="10562" width="11.54296875" style="1" bestFit="1" customWidth="1"/>
    <col min="10563" max="10563" width="13.54296875" style="1" bestFit="1" customWidth="1"/>
    <col min="10564" max="10565" width="12.453125" style="1" bestFit="1" customWidth="1"/>
    <col min="10566" max="10566" width="5.453125" style="1" bestFit="1" customWidth="1"/>
    <col min="10567" max="10567" width="13.54296875" style="1" bestFit="1" customWidth="1"/>
    <col min="10568" max="10568" width="11.54296875" style="1" bestFit="1" customWidth="1"/>
    <col min="10569" max="10569" width="12.453125" style="1" bestFit="1" customWidth="1"/>
    <col min="10570" max="10570" width="11.54296875" style="1" bestFit="1" customWidth="1"/>
    <col min="10571" max="10571" width="12.453125" style="1" bestFit="1" customWidth="1"/>
    <col min="10572" max="10572" width="14.7265625" style="1" bestFit="1" customWidth="1"/>
    <col min="10573" max="10752" width="8.81640625" style="1"/>
    <col min="10753" max="10753" width="11" style="1" bestFit="1" customWidth="1"/>
    <col min="10754" max="10754" width="46.453125" style="1" bestFit="1" customWidth="1"/>
    <col min="10755" max="10755" width="9.453125" style="1" bestFit="1" customWidth="1"/>
    <col min="10756" max="10756" width="13.54296875" style="1" bestFit="1" customWidth="1"/>
    <col min="10757" max="10758" width="11.453125" style="1" bestFit="1" customWidth="1"/>
    <col min="10759" max="10759" width="10.453125" style="1" bestFit="1" customWidth="1"/>
    <col min="10760" max="10760" width="13.7265625" style="1" bestFit="1" customWidth="1"/>
    <col min="10761" max="10761" width="5.453125" style="1" bestFit="1" customWidth="1"/>
    <col min="10762" max="10762" width="14.7265625" style="1" bestFit="1" customWidth="1"/>
    <col min="10763" max="10763" width="8.453125" style="1" bestFit="1" customWidth="1"/>
    <col min="10764" max="10764" width="13.7265625" style="1" bestFit="1" customWidth="1"/>
    <col min="10765" max="10765" width="12.453125" style="1" bestFit="1" customWidth="1"/>
    <col min="10766" max="10766" width="11.453125" style="1" bestFit="1" customWidth="1"/>
    <col min="10767" max="10767" width="8.453125" style="1" bestFit="1" customWidth="1"/>
    <col min="10768" max="10768" width="12.453125" style="1" bestFit="1" customWidth="1"/>
    <col min="10769" max="10770" width="10.453125" style="1" bestFit="1" customWidth="1"/>
    <col min="10771" max="10771" width="8.453125" style="1" bestFit="1" customWidth="1"/>
    <col min="10772" max="10776" width="12.453125" style="1" bestFit="1" customWidth="1"/>
    <col min="10777" max="10777" width="10.54296875" style="1" bestFit="1" customWidth="1"/>
    <col min="10778" max="10778" width="11.453125" style="1" bestFit="1" customWidth="1"/>
    <col min="10779" max="10780" width="12.54296875" style="1" bestFit="1" customWidth="1"/>
    <col min="10781" max="10781" width="9.453125" style="1" bestFit="1" customWidth="1"/>
    <col min="10782" max="10783" width="12.453125" style="1" bestFit="1" customWidth="1"/>
    <col min="10784" max="10784" width="10.453125" style="1" bestFit="1" customWidth="1"/>
    <col min="10785" max="10789" width="12.453125" style="1" bestFit="1" customWidth="1"/>
    <col min="10790" max="10791" width="10.453125" style="1" bestFit="1" customWidth="1"/>
    <col min="10792" max="10792" width="13.7265625" style="1" bestFit="1" customWidth="1"/>
    <col min="10793" max="10793" width="12.453125" style="1" bestFit="1" customWidth="1"/>
    <col min="10794" max="10794" width="10.453125" style="1" bestFit="1" customWidth="1"/>
    <col min="10795" max="10795" width="11.54296875" style="1" bestFit="1" customWidth="1"/>
    <col min="10796" max="10796" width="9.453125" style="1" bestFit="1" customWidth="1"/>
    <col min="10797" max="10797" width="13.54296875" style="1" bestFit="1" customWidth="1"/>
    <col min="10798" max="10798" width="12.453125" style="1" bestFit="1" customWidth="1"/>
    <col min="10799" max="10799" width="11.453125" style="1" bestFit="1" customWidth="1"/>
    <col min="10800" max="10801" width="12.453125" style="1" bestFit="1" customWidth="1"/>
    <col min="10802" max="10802" width="13.54296875" style="1" bestFit="1" customWidth="1"/>
    <col min="10803" max="10803" width="12.453125" style="1" bestFit="1" customWidth="1"/>
    <col min="10804" max="10804" width="13.54296875" style="1" bestFit="1" customWidth="1"/>
    <col min="10805" max="10805" width="11.453125" style="1" bestFit="1" customWidth="1"/>
    <col min="10806" max="10806" width="13.54296875" style="1" bestFit="1" customWidth="1"/>
    <col min="10807" max="10807" width="13.7265625" style="1" bestFit="1" customWidth="1"/>
    <col min="10808" max="10808" width="12.453125" style="1" bestFit="1" customWidth="1"/>
    <col min="10809" max="10809" width="10.453125" style="1" bestFit="1" customWidth="1"/>
    <col min="10810" max="10810" width="10.54296875" style="1" bestFit="1" customWidth="1"/>
    <col min="10811" max="10811" width="10.453125" style="1" bestFit="1" customWidth="1"/>
    <col min="10812" max="10812" width="10.54296875" style="1" bestFit="1" customWidth="1"/>
    <col min="10813" max="10813" width="12.54296875" style="1" bestFit="1" customWidth="1"/>
    <col min="10814" max="10814" width="14.7265625" style="1" bestFit="1" customWidth="1"/>
    <col min="10815" max="10816" width="13.54296875" style="1" bestFit="1" customWidth="1"/>
    <col min="10817" max="10817" width="12.453125" style="1" bestFit="1" customWidth="1"/>
    <col min="10818" max="10818" width="11.54296875" style="1" bestFit="1" customWidth="1"/>
    <col min="10819" max="10819" width="13.54296875" style="1" bestFit="1" customWidth="1"/>
    <col min="10820" max="10821" width="12.453125" style="1" bestFit="1" customWidth="1"/>
    <col min="10822" max="10822" width="5.453125" style="1" bestFit="1" customWidth="1"/>
    <col min="10823" max="10823" width="13.54296875" style="1" bestFit="1" customWidth="1"/>
    <col min="10824" max="10824" width="11.54296875" style="1" bestFit="1" customWidth="1"/>
    <col min="10825" max="10825" width="12.453125" style="1" bestFit="1" customWidth="1"/>
    <col min="10826" max="10826" width="11.54296875" style="1" bestFit="1" customWidth="1"/>
    <col min="10827" max="10827" width="12.453125" style="1" bestFit="1" customWidth="1"/>
    <col min="10828" max="10828" width="14.7265625" style="1" bestFit="1" customWidth="1"/>
    <col min="10829" max="11008" width="8.81640625" style="1"/>
    <col min="11009" max="11009" width="11" style="1" bestFit="1" customWidth="1"/>
    <col min="11010" max="11010" width="46.453125" style="1" bestFit="1" customWidth="1"/>
    <col min="11011" max="11011" width="9.453125" style="1" bestFit="1" customWidth="1"/>
    <col min="11012" max="11012" width="13.54296875" style="1" bestFit="1" customWidth="1"/>
    <col min="11013" max="11014" width="11.453125" style="1" bestFit="1" customWidth="1"/>
    <col min="11015" max="11015" width="10.453125" style="1" bestFit="1" customWidth="1"/>
    <col min="11016" max="11016" width="13.7265625" style="1" bestFit="1" customWidth="1"/>
    <col min="11017" max="11017" width="5.453125" style="1" bestFit="1" customWidth="1"/>
    <col min="11018" max="11018" width="14.7265625" style="1" bestFit="1" customWidth="1"/>
    <col min="11019" max="11019" width="8.453125" style="1" bestFit="1" customWidth="1"/>
    <col min="11020" max="11020" width="13.7265625" style="1" bestFit="1" customWidth="1"/>
    <col min="11021" max="11021" width="12.453125" style="1" bestFit="1" customWidth="1"/>
    <col min="11022" max="11022" width="11.453125" style="1" bestFit="1" customWidth="1"/>
    <col min="11023" max="11023" width="8.453125" style="1" bestFit="1" customWidth="1"/>
    <col min="11024" max="11024" width="12.453125" style="1" bestFit="1" customWidth="1"/>
    <col min="11025" max="11026" width="10.453125" style="1" bestFit="1" customWidth="1"/>
    <col min="11027" max="11027" width="8.453125" style="1" bestFit="1" customWidth="1"/>
    <col min="11028" max="11032" width="12.453125" style="1" bestFit="1" customWidth="1"/>
    <col min="11033" max="11033" width="10.54296875" style="1" bestFit="1" customWidth="1"/>
    <col min="11034" max="11034" width="11.453125" style="1" bestFit="1" customWidth="1"/>
    <col min="11035" max="11036" width="12.54296875" style="1" bestFit="1" customWidth="1"/>
    <col min="11037" max="11037" width="9.453125" style="1" bestFit="1" customWidth="1"/>
    <col min="11038" max="11039" width="12.453125" style="1" bestFit="1" customWidth="1"/>
    <col min="11040" max="11040" width="10.453125" style="1" bestFit="1" customWidth="1"/>
    <col min="11041" max="11045" width="12.453125" style="1" bestFit="1" customWidth="1"/>
    <col min="11046" max="11047" width="10.453125" style="1" bestFit="1" customWidth="1"/>
    <col min="11048" max="11048" width="13.7265625" style="1" bestFit="1" customWidth="1"/>
    <col min="11049" max="11049" width="12.453125" style="1" bestFit="1" customWidth="1"/>
    <col min="11050" max="11050" width="10.453125" style="1" bestFit="1" customWidth="1"/>
    <col min="11051" max="11051" width="11.54296875" style="1" bestFit="1" customWidth="1"/>
    <col min="11052" max="11052" width="9.453125" style="1" bestFit="1" customWidth="1"/>
    <col min="11053" max="11053" width="13.54296875" style="1" bestFit="1" customWidth="1"/>
    <col min="11054" max="11054" width="12.453125" style="1" bestFit="1" customWidth="1"/>
    <col min="11055" max="11055" width="11.453125" style="1" bestFit="1" customWidth="1"/>
    <col min="11056" max="11057" width="12.453125" style="1" bestFit="1" customWidth="1"/>
    <col min="11058" max="11058" width="13.54296875" style="1" bestFit="1" customWidth="1"/>
    <col min="11059" max="11059" width="12.453125" style="1" bestFit="1" customWidth="1"/>
    <col min="11060" max="11060" width="13.54296875" style="1" bestFit="1" customWidth="1"/>
    <col min="11061" max="11061" width="11.453125" style="1" bestFit="1" customWidth="1"/>
    <col min="11062" max="11062" width="13.54296875" style="1" bestFit="1" customWidth="1"/>
    <col min="11063" max="11063" width="13.7265625" style="1" bestFit="1" customWidth="1"/>
    <col min="11064" max="11064" width="12.453125" style="1" bestFit="1" customWidth="1"/>
    <col min="11065" max="11065" width="10.453125" style="1" bestFit="1" customWidth="1"/>
    <col min="11066" max="11066" width="10.54296875" style="1" bestFit="1" customWidth="1"/>
    <col min="11067" max="11067" width="10.453125" style="1" bestFit="1" customWidth="1"/>
    <col min="11068" max="11068" width="10.54296875" style="1" bestFit="1" customWidth="1"/>
    <col min="11069" max="11069" width="12.54296875" style="1" bestFit="1" customWidth="1"/>
    <col min="11070" max="11070" width="14.7265625" style="1" bestFit="1" customWidth="1"/>
    <col min="11071" max="11072" width="13.54296875" style="1" bestFit="1" customWidth="1"/>
    <col min="11073" max="11073" width="12.453125" style="1" bestFit="1" customWidth="1"/>
    <col min="11074" max="11074" width="11.54296875" style="1" bestFit="1" customWidth="1"/>
    <col min="11075" max="11075" width="13.54296875" style="1" bestFit="1" customWidth="1"/>
    <col min="11076" max="11077" width="12.453125" style="1" bestFit="1" customWidth="1"/>
    <col min="11078" max="11078" width="5.453125" style="1" bestFit="1" customWidth="1"/>
    <col min="11079" max="11079" width="13.54296875" style="1" bestFit="1" customWidth="1"/>
    <col min="11080" max="11080" width="11.54296875" style="1" bestFit="1" customWidth="1"/>
    <col min="11081" max="11081" width="12.453125" style="1" bestFit="1" customWidth="1"/>
    <col min="11082" max="11082" width="11.54296875" style="1" bestFit="1" customWidth="1"/>
    <col min="11083" max="11083" width="12.453125" style="1" bestFit="1" customWidth="1"/>
    <col min="11084" max="11084" width="14.7265625" style="1" bestFit="1" customWidth="1"/>
    <col min="11085" max="11264" width="8.81640625" style="1"/>
    <col min="11265" max="11265" width="11" style="1" bestFit="1" customWidth="1"/>
    <col min="11266" max="11266" width="46.453125" style="1" bestFit="1" customWidth="1"/>
    <col min="11267" max="11267" width="9.453125" style="1" bestFit="1" customWidth="1"/>
    <col min="11268" max="11268" width="13.54296875" style="1" bestFit="1" customWidth="1"/>
    <col min="11269" max="11270" width="11.453125" style="1" bestFit="1" customWidth="1"/>
    <col min="11271" max="11271" width="10.453125" style="1" bestFit="1" customWidth="1"/>
    <col min="11272" max="11272" width="13.7265625" style="1" bestFit="1" customWidth="1"/>
    <col min="11273" max="11273" width="5.453125" style="1" bestFit="1" customWidth="1"/>
    <col min="11274" max="11274" width="14.7265625" style="1" bestFit="1" customWidth="1"/>
    <col min="11275" max="11275" width="8.453125" style="1" bestFit="1" customWidth="1"/>
    <col min="11276" max="11276" width="13.7265625" style="1" bestFit="1" customWidth="1"/>
    <col min="11277" max="11277" width="12.453125" style="1" bestFit="1" customWidth="1"/>
    <col min="11278" max="11278" width="11.453125" style="1" bestFit="1" customWidth="1"/>
    <col min="11279" max="11279" width="8.453125" style="1" bestFit="1" customWidth="1"/>
    <col min="11280" max="11280" width="12.453125" style="1" bestFit="1" customWidth="1"/>
    <col min="11281" max="11282" width="10.453125" style="1" bestFit="1" customWidth="1"/>
    <col min="11283" max="11283" width="8.453125" style="1" bestFit="1" customWidth="1"/>
    <col min="11284" max="11288" width="12.453125" style="1" bestFit="1" customWidth="1"/>
    <col min="11289" max="11289" width="10.54296875" style="1" bestFit="1" customWidth="1"/>
    <col min="11290" max="11290" width="11.453125" style="1" bestFit="1" customWidth="1"/>
    <col min="11291" max="11292" width="12.54296875" style="1" bestFit="1" customWidth="1"/>
    <col min="11293" max="11293" width="9.453125" style="1" bestFit="1" customWidth="1"/>
    <col min="11294" max="11295" width="12.453125" style="1" bestFit="1" customWidth="1"/>
    <col min="11296" max="11296" width="10.453125" style="1" bestFit="1" customWidth="1"/>
    <col min="11297" max="11301" width="12.453125" style="1" bestFit="1" customWidth="1"/>
    <col min="11302" max="11303" width="10.453125" style="1" bestFit="1" customWidth="1"/>
    <col min="11304" max="11304" width="13.7265625" style="1" bestFit="1" customWidth="1"/>
    <col min="11305" max="11305" width="12.453125" style="1" bestFit="1" customWidth="1"/>
    <col min="11306" max="11306" width="10.453125" style="1" bestFit="1" customWidth="1"/>
    <col min="11307" max="11307" width="11.54296875" style="1" bestFit="1" customWidth="1"/>
    <col min="11308" max="11308" width="9.453125" style="1" bestFit="1" customWidth="1"/>
    <col min="11309" max="11309" width="13.54296875" style="1" bestFit="1" customWidth="1"/>
    <col min="11310" max="11310" width="12.453125" style="1" bestFit="1" customWidth="1"/>
    <col min="11311" max="11311" width="11.453125" style="1" bestFit="1" customWidth="1"/>
    <col min="11312" max="11313" width="12.453125" style="1" bestFit="1" customWidth="1"/>
    <col min="11314" max="11314" width="13.54296875" style="1" bestFit="1" customWidth="1"/>
    <col min="11315" max="11315" width="12.453125" style="1" bestFit="1" customWidth="1"/>
    <col min="11316" max="11316" width="13.54296875" style="1" bestFit="1" customWidth="1"/>
    <col min="11317" max="11317" width="11.453125" style="1" bestFit="1" customWidth="1"/>
    <col min="11318" max="11318" width="13.54296875" style="1" bestFit="1" customWidth="1"/>
    <col min="11319" max="11319" width="13.7265625" style="1" bestFit="1" customWidth="1"/>
    <col min="11320" max="11320" width="12.453125" style="1" bestFit="1" customWidth="1"/>
    <col min="11321" max="11321" width="10.453125" style="1" bestFit="1" customWidth="1"/>
    <col min="11322" max="11322" width="10.54296875" style="1" bestFit="1" customWidth="1"/>
    <col min="11323" max="11323" width="10.453125" style="1" bestFit="1" customWidth="1"/>
    <col min="11324" max="11324" width="10.54296875" style="1" bestFit="1" customWidth="1"/>
    <col min="11325" max="11325" width="12.54296875" style="1" bestFit="1" customWidth="1"/>
    <col min="11326" max="11326" width="14.7265625" style="1" bestFit="1" customWidth="1"/>
    <col min="11327" max="11328" width="13.54296875" style="1" bestFit="1" customWidth="1"/>
    <col min="11329" max="11329" width="12.453125" style="1" bestFit="1" customWidth="1"/>
    <col min="11330" max="11330" width="11.54296875" style="1" bestFit="1" customWidth="1"/>
    <col min="11331" max="11331" width="13.54296875" style="1" bestFit="1" customWidth="1"/>
    <col min="11332" max="11333" width="12.453125" style="1" bestFit="1" customWidth="1"/>
    <col min="11334" max="11334" width="5.453125" style="1" bestFit="1" customWidth="1"/>
    <col min="11335" max="11335" width="13.54296875" style="1" bestFit="1" customWidth="1"/>
    <col min="11336" max="11336" width="11.54296875" style="1" bestFit="1" customWidth="1"/>
    <col min="11337" max="11337" width="12.453125" style="1" bestFit="1" customWidth="1"/>
    <col min="11338" max="11338" width="11.54296875" style="1" bestFit="1" customWidth="1"/>
    <col min="11339" max="11339" width="12.453125" style="1" bestFit="1" customWidth="1"/>
    <col min="11340" max="11340" width="14.7265625" style="1" bestFit="1" customWidth="1"/>
    <col min="11341" max="11520" width="8.81640625" style="1"/>
    <col min="11521" max="11521" width="11" style="1" bestFit="1" customWidth="1"/>
    <col min="11522" max="11522" width="46.453125" style="1" bestFit="1" customWidth="1"/>
    <col min="11523" max="11523" width="9.453125" style="1" bestFit="1" customWidth="1"/>
    <col min="11524" max="11524" width="13.54296875" style="1" bestFit="1" customWidth="1"/>
    <col min="11525" max="11526" width="11.453125" style="1" bestFit="1" customWidth="1"/>
    <col min="11527" max="11527" width="10.453125" style="1" bestFit="1" customWidth="1"/>
    <col min="11528" max="11528" width="13.7265625" style="1" bestFit="1" customWidth="1"/>
    <col min="11529" max="11529" width="5.453125" style="1" bestFit="1" customWidth="1"/>
    <col min="11530" max="11530" width="14.7265625" style="1" bestFit="1" customWidth="1"/>
    <col min="11531" max="11531" width="8.453125" style="1" bestFit="1" customWidth="1"/>
    <col min="11532" max="11532" width="13.7265625" style="1" bestFit="1" customWidth="1"/>
    <col min="11533" max="11533" width="12.453125" style="1" bestFit="1" customWidth="1"/>
    <col min="11534" max="11534" width="11.453125" style="1" bestFit="1" customWidth="1"/>
    <col min="11535" max="11535" width="8.453125" style="1" bestFit="1" customWidth="1"/>
    <col min="11536" max="11536" width="12.453125" style="1" bestFit="1" customWidth="1"/>
    <col min="11537" max="11538" width="10.453125" style="1" bestFit="1" customWidth="1"/>
    <col min="11539" max="11539" width="8.453125" style="1" bestFit="1" customWidth="1"/>
    <col min="11540" max="11544" width="12.453125" style="1" bestFit="1" customWidth="1"/>
    <col min="11545" max="11545" width="10.54296875" style="1" bestFit="1" customWidth="1"/>
    <col min="11546" max="11546" width="11.453125" style="1" bestFit="1" customWidth="1"/>
    <col min="11547" max="11548" width="12.54296875" style="1" bestFit="1" customWidth="1"/>
    <col min="11549" max="11549" width="9.453125" style="1" bestFit="1" customWidth="1"/>
    <col min="11550" max="11551" width="12.453125" style="1" bestFit="1" customWidth="1"/>
    <col min="11552" max="11552" width="10.453125" style="1" bestFit="1" customWidth="1"/>
    <col min="11553" max="11557" width="12.453125" style="1" bestFit="1" customWidth="1"/>
    <col min="11558" max="11559" width="10.453125" style="1" bestFit="1" customWidth="1"/>
    <col min="11560" max="11560" width="13.7265625" style="1" bestFit="1" customWidth="1"/>
    <col min="11561" max="11561" width="12.453125" style="1" bestFit="1" customWidth="1"/>
    <col min="11562" max="11562" width="10.453125" style="1" bestFit="1" customWidth="1"/>
    <col min="11563" max="11563" width="11.54296875" style="1" bestFit="1" customWidth="1"/>
    <col min="11564" max="11564" width="9.453125" style="1" bestFit="1" customWidth="1"/>
    <col min="11565" max="11565" width="13.54296875" style="1" bestFit="1" customWidth="1"/>
    <col min="11566" max="11566" width="12.453125" style="1" bestFit="1" customWidth="1"/>
    <col min="11567" max="11567" width="11.453125" style="1" bestFit="1" customWidth="1"/>
    <col min="11568" max="11569" width="12.453125" style="1" bestFit="1" customWidth="1"/>
    <col min="11570" max="11570" width="13.54296875" style="1" bestFit="1" customWidth="1"/>
    <col min="11571" max="11571" width="12.453125" style="1" bestFit="1" customWidth="1"/>
    <col min="11572" max="11572" width="13.54296875" style="1" bestFit="1" customWidth="1"/>
    <col min="11573" max="11573" width="11.453125" style="1" bestFit="1" customWidth="1"/>
    <col min="11574" max="11574" width="13.54296875" style="1" bestFit="1" customWidth="1"/>
    <col min="11575" max="11575" width="13.7265625" style="1" bestFit="1" customWidth="1"/>
    <col min="11576" max="11576" width="12.453125" style="1" bestFit="1" customWidth="1"/>
    <col min="11577" max="11577" width="10.453125" style="1" bestFit="1" customWidth="1"/>
    <col min="11578" max="11578" width="10.54296875" style="1" bestFit="1" customWidth="1"/>
    <col min="11579" max="11579" width="10.453125" style="1" bestFit="1" customWidth="1"/>
    <col min="11580" max="11580" width="10.54296875" style="1" bestFit="1" customWidth="1"/>
    <col min="11581" max="11581" width="12.54296875" style="1" bestFit="1" customWidth="1"/>
    <col min="11582" max="11582" width="14.7265625" style="1" bestFit="1" customWidth="1"/>
    <col min="11583" max="11584" width="13.54296875" style="1" bestFit="1" customWidth="1"/>
    <col min="11585" max="11585" width="12.453125" style="1" bestFit="1" customWidth="1"/>
    <col min="11586" max="11586" width="11.54296875" style="1" bestFit="1" customWidth="1"/>
    <col min="11587" max="11587" width="13.54296875" style="1" bestFit="1" customWidth="1"/>
    <col min="11588" max="11589" width="12.453125" style="1" bestFit="1" customWidth="1"/>
    <col min="11590" max="11590" width="5.453125" style="1" bestFit="1" customWidth="1"/>
    <col min="11591" max="11591" width="13.54296875" style="1" bestFit="1" customWidth="1"/>
    <col min="11592" max="11592" width="11.54296875" style="1" bestFit="1" customWidth="1"/>
    <col min="11593" max="11593" width="12.453125" style="1" bestFit="1" customWidth="1"/>
    <col min="11594" max="11594" width="11.54296875" style="1" bestFit="1" customWidth="1"/>
    <col min="11595" max="11595" width="12.453125" style="1" bestFit="1" customWidth="1"/>
    <col min="11596" max="11596" width="14.7265625" style="1" bestFit="1" customWidth="1"/>
    <col min="11597" max="11776" width="8.81640625" style="1"/>
    <col min="11777" max="11777" width="11" style="1" bestFit="1" customWidth="1"/>
    <col min="11778" max="11778" width="46.453125" style="1" bestFit="1" customWidth="1"/>
    <col min="11779" max="11779" width="9.453125" style="1" bestFit="1" customWidth="1"/>
    <col min="11780" max="11780" width="13.54296875" style="1" bestFit="1" customWidth="1"/>
    <col min="11781" max="11782" width="11.453125" style="1" bestFit="1" customWidth="1"/>
    <col min="11783" max="11783" width="10.453125" style="1" bestFit="1" customWidth="1"/>
    <col min="11784" max="11784" width="13.7265625" style="1" bestFit="1" customWidth="1"/>
    <col min="11785" max="11785" width="5.453125" style="1" bestFit="1" customWidth="1"/>
    <col min="11786" max="11786" width="14.7265625" style="1" bestFit="1" customWidth="1"/>
    <col min="11787" max="11787" width="8.453125" style="1" bestFit="1" customWidth="1"/>
    <col min="11788" max="11788" width="13.7265625" style="1" bestFit="1" customWidth="1"/>
    <col min="11789" max="11789" width="12.453125" style="1" bestFit="1" customWidth="1"/>
    <col min="11790" max="11790" width="11.453125" style="1" bestFit="1" customWidth="1"/>
    <col min="11791" max="11791" width="8.453125" style="1" bestFit="1" customWidth="1"/>
    <col min="11792" max="11792" width="12.453125" style="1" bestFit="1" customWidth="1"/>
    <col min="11793" max="11794" width="10.453125" style="1" bestFit="1" customWidth="1"/>
    <col min="11795" max="11795" width="8.453125" style="1" bestFit="1" customWidth="1"/>
    <col min="11796" max="11800" width="12.453125" style="1" bestFit="1" customWidth="1"/>
    <col min="11801" max="11801" width="10.54296875" style="1" bestFit="1" customWidth="1"/>
    <col min="11802" max="11802" width="11.453125" style="1" bestFit="1" customWidth="1"/>
    <col min="11803" max="11804" width="12.54296875" style="1" bestFit="1" customWidth="1"/>
    <col min="11805" max="11805" width="9.453125" style="1" bestFit="1" customWidth="1"/>
    <col min="11806" max="11807" width="12.453125" style="1" bestFit="1" customWidth="1"/>
    <col min="11808" max="11808" width="10.453125" style="1" bestFit="1" customWidth="1"/>
    <col min="11809" max="11813" width="12.453125" style="1" bestFit="1" customWidth="1"/>
    <col min="11814" max="11815" width="10.453125" style="1" bestFit="1" customWidth="1"/>
    <col min="11816" max="11816" width="13.7265625" style="1" bestFit="1" customWidth="1"/>
    <col min="11817" max="11817" width="12.453125" style="1" bestFit="1" customWidth="1"/>
    <col min="11818" max="11818" width="10.453125" style="1" bestFit="1" customWidth="1"/>
    <col min="11819" max="11819" width="11.54296875" style="1" bestFit="1" customWidth="1"/>
    <col min="11820" max="11820" width="9.453125" style="1" bestFit="1" customWidth="1"/>
    <col min="11821" max="11821" width="13.54296875" style="1" bestFit="1" customWidth="1"/>
    <col min="11822" max="11822" width="12.453125" style="1" bestFit="1" customWidth="1"/>
    <col min="11823" max="11823" width="11.453125" style="1" bestFit="1" customWidth="1"/>
    <col min="11824" max="11825" width="12.453125" style="1" bestFit="1" customWidth="1"/>
    <col min="11826" max="11826" width="13.54296875" style="1" bestFit="1" customWidth="1"/>
    <col min="11827" max="11827" width="12.453125" style="1" bestFit="1" customWidth="1"/>
    <col min="11828" max="11828" width="13.54296875" style="1" bestFit="1" customWidth="1"/>
    <col min="11829" max="11829" width="11.453125" style="1" bestFit="1" customWidth="1"/>
    <col min="11830" max="11830" width="13.54296875" style="1" bestFit="1" customWidth="1"/>
    <col min="11831" max="11831" width="13.7265625" style="1" bestFit="1" customWidth="1"/>
    <col min="11832" max="11832" width="12.453125" style="1" bestFit="1" customWidth="1"/>
    <col min="11833" max="11833" width="10.453125" style="1" bestFit="1" customWidth="1"/>
    <col min="11834" max="11834" width="10.54296875" style="1" bestFit="1" customWidth="1"/>
    <col min="11835" max="11835" width="10.453125" style="1" bestFit="1" customWidth="1"/>
    <col min="11836" max="11836" width="10.54296875" style="1" bestFit="1" customWidth="1"/>
    <col min="11837" max="11837" width="12.54296875" style="1" bestFit="1" customWidth="1"/>
    <col min="11838" max="11838" width="14.7265625" style="1" bestFit="1" customWidth="1"/>
    <col min="11839" max="11840" width="13.54296875" style="1" bestFit="1" customWidth="1"/>
    <col min="11841" max="11841" width="12.453125" style="1" bestFit="1" customWidth="1"/>
    <col min="11842" max="11842" width="11.54296875" style="1" bestFit="1" customWidth="1"/>
    <col min="11843" max="11843" width="13.54296875" style="1" bestFit="1" customWidth="1"/>
    <col min="11844" max="11845" width="12.453125" style="1" bestFit="1" customWidth="1"/>
    <col min="11846" max="11846" width="5.453125" style="1" bestFit="1" customWidth="1"/>
    <col min="11847" max="11847" width="13.54296875" style="1" bestFit="1" customWidth="1"/>
    <col min="11848" max="11848" width="11.54296875" style="1" bestFit="1" customWidth="1"/>
    <col min="11849" max="11849" width="12.453125" style="1" bestFit="1" customWidth="1"/>
    <col min="11850" max="11850" width="11.54296875" style="1" bestFit="1" customWidth="1"/>
    <col min="11851" max="11851" width="12.453125" style="1" bestFit="1" customWidth="1"/>
    <col min="11852" max="11852" width="14.7265625" style="1" bestFit="1" customWidth="1"/>
    <col min="11853" max="12032" width="8.81640625" style="1"/>
    <col min="12033" max="12033" width="11" style="1" bestFit="1" customWidth="1"/>
    <col min="12034" max="12034" width="46.453125" style="1" bestFit="1" customWidth="1"/>
    <col min="12035" max="12035" width="9.453125" style="1" bestFit="1" customWidth="1"/>
    <col min="12036" max="12036" width="13.54296875" style="1" bestFit="1" customWidth="1"/>
    <col min="12037" max="12038" width="11.453125" style="1" bestFit="1" customWidth="1"/>
    <col min="12039" max="12039" width="10.453125" style="1" bestFit="1" customWidth="1"/>
    <col min="12040" max="12040" width="13.7265625" style="1" bestFit="1" customWidth="1"/>
    <col min="12041" max="12041" width="5.453125" style="1" bestFit="1" customWidth="1"/>
    <col min="12042" max="12042" width="14.7265625" style="1" bestFit="1" customWidth="1"/>
    <col min="12043" max="12043" width="8.453125" style="1" bestFit="1" customWidth="1"/>
    <col min="12044" max="12044" width="13.7265625" style="1" bestFit="1" customWidth="1"/>
    <col min="12045" max="12045" width="12.453125" style="1" bestFit="1" customWidth="1"/>
    <col min="12046" max="12046" width="11.453125" style="1" bestFit="1" customWidth="1"/>
    <col min="12047" max="12047" width="8.453125" style="1" bestFit="1" customWidth="1"/>
    <col min="12048" max="12048" width="12.453125" style="1" bestFit="1" customWidth="1"/>
    <col min="12049" max="12050" width="10.453125" style="1" bestFit="1" customWidth="1"/>
    <col min="12051" max="12051" width="8.453125" style="1" bestFit="1" customWidth="1"/>
    <col min="12052" max="12056" width="12.453125" style="1" bestFit="1" customWidth="1"/>
    <col min="12057" max="12057" width="10.54296875" style="1" bestFit="1" customWidth="1"/>
    <col min="12058" max="12058" width="11.453125" style="1" bestFit="1" customWidth="1"/>
    <col min="12059" max="12060" width="12.54296875" style="1" bestFit="1" customWidth="1"/>
    <col min="12061" max="12061" width="9.453125" style="1" bestFit="1" customWidth="1"/>
    <col min="12062" max="12063" width="12.453125" style="1" bestFit="1" customWidth="1"/>
    <col min="12064" max="12064" width="10.453125" style="1" bestFit="1" customWidth="1"/>
    <col min="12065" max="12069" width="12.453125" style="1" bestFit="1" customWidth="1"/>
    <col min="12070" max="12071" width="10.453125" style="1" bestFit="1" customWidth="1"/>
    <col min="12072" max="12072" width="13.7265625" style="1" bestFit="1" customWidth="1"/>
    <col min="12073" max="12073" width="12.453125" style="1" bestFit="1" customWidth="1"/>
    <col min="12074" max="12074" width="10.453125" style="1" bestFit="1" customWidth="1"/>
    <col min="12075" max="12075" width="11.54296875" style="1" bestFit="1" customWidth="1"/>
    <col min="12076" max="12076" width="9.453125" style="1" bestFit="1" customWidth="1"/>
    <col min="12077" max="12077" width="13.54296875" style="1" bestFit="1" customWidth="1"/>
    <col min="12078" max="12078" width="12.453125" style="1" bestFit="1" customWidth="1"/>
    <col min="12079" max="12079" width="11.453125" style="1" bestFit="1" customWidth="1"/>
    <col min="12080" max="12081" width="12.453125" style="1" bestFit="1" customWidth="1"/>
    <col min="12082" max="12082" width="13.54296875" style="1" bestFit="1" customWidth="1"/>
    <col min="12083" max="12083" width="12.453125" style="1" bestFit="1" customWidth="1"/>
    <col min="12084" max="12084" width="13.54296875" style="1" bestFit="1" customWidth="1"/>
    <col min="12085" max="12085" width="11.453125" style="1" bestFit="1" customWidth="1"/>
    <col min="12086" max="12086" width="13.54296875" style="1" bestFit="1" customWidth="1"/>
    <col min="12087" max="12087" width="13.7265625" style="1" bestFit="1" customWidth="1"/>
    <col min="12088" max="12088" width="12.453125" style="1" bestFit="1" customWidth="1"/>
    <col min="12089" max="12089" width="10.453125" style="1" bestFit="1" customWidth="1"/>
    <col min="12090" max="12090" width="10.54296875" style="1" bestFit="1" customWidth="1"/>
    <col min="12091" max="12091" width="10.453125" style="1" bestFit="1" customWidth="1"/>
    <col min="12092" max="12092" width="10.54296875" style="1" bestFit="1" customWidth="1"/>
    <col min="12093" max="12093" width="12.54296875" style="1" bestFit="1" customWidth="1"/>
    <col min="12094" max="12094" width="14.7265625" style="1" bestFit="1" customWidth="1"/>
    <col min="12095" max="12096" width="13.54296875" style="1" bestFit="1" customWidth="1"/>
    <col min="12097" max="12097" width="12.453125" style="1" bestFit="1" customWidth="1"/>
    <col min="12098" max="12098" width="11.54296875" style="1" bestFit="1" customWidth="1"/>
    <col min="12099" max="12099" width="13.54296875" style="1" bestFit="1" customWidth="1"/>
    <col min="12100" max="12101" width="12.453125" style="1" bestFit="1" customWidth="1"/>
    <col min="12102" max="12102" width="5.453125" style="1" bestFit="1" customWidth="1"/>
    <col min="12103" max="12103" width="13.54296875" style="1" bestFit="1" customWidth="1"/>
    <col min="12104" max="12104" width="11.54296875" style="1" bestFit="1" customWidth="1"/>
    <col min="12105" max="12105" width="12.453125" style="1" bestFit="1" customWidth="1"/>
    <col min="12106" max="12106" width="11.54296875" style="1" bestFit="1" customWidth="1"/>
    <col min="12107" max="12107" width="12.453125" style="1" bestFit="1" customWidth="1"/>
    <col min="12108" max="12108" width="14.7265625" style="1" bestFit="1" customWidth="1"/>
    <col min="12109" max="12288" width="8.81640625" style="1"/>
    <col min="12289" max="12289" width="11" style="1" bestFit="1" customWidth="1"/>
    <col min="12290" max="12290" width="46.453125" style="1" bestFit="1" customWidth="1"/>
    <col min="12291" max="12291" width="9.453125" style="1" bestFit="1" customWidth="1"/>
    <col min="12292" max="12292" width="13.54296875" style="1" bestFit="1" customWidth="1"/>
    <col min="12293" max="12294" width="11.453125" style="1" bestFit="1" customWidth="1"/>
    <col min="12295" max="12295" width="10.453125" style="1" bestFit="1" customWidth="1"/>
    <col min="12296" max="12296" width="13.7265625" style="1" bestFit="1" customWidth="1"/>
    <col min="12297" max="12297" width="5.453125" style="1" bestFit="1" customWidth="1"/>
    <col min="12298" max="12298" width="14.7265625" style="1" bestFit="1" customWidth="1"/>
    <col min="12299" max="12299" width="8.453125" style="1" bestFit="1" customWidth="1"/>
    <col min="12300" max="12300" width="13.7265625" style="1" bestFit="1" customWidth="1"/>
    <col min="12301" max="12301" width="12.453125" style="1" bestFit="1" customWidth="1"/>
    <col min="12302" max="12302" width="11.453125" style="1" bestFit="1" customWidth="1"/>
    <col min="12303" max="12303" width="8.453125" style="1" bestFit="1" customWidth="1"/>
    <col min="12304" max="12304" width="12.453125" style="1" bestFit="1" customWidth="1"/>
    <col min="12305" max="12306" width="10.453125" style="1" bestFit="1" customWidth="1"/>
    <col min="12307" max="12307" width="8.453125" style="1" bestFit="1" customWidth="1"/>
    <col min="12308" max="12312" width="12.453125" style="1" bestFit="1" customWidth="1"/>
    <col min="12313" max="12313" width="10.54296875" style="1" bestFit="1" customWidth="1"/>
    <col min="12314" max="12314" width="11.453125" style="1" bestFit="1" customWidth="1"/>
    <col min="12315" max="12316" width="12.54296875" style="1" bestFit="1" customWidth="1"/>
    <col min="12317" max="12317" width="9.453125" style="1" bestFit="1" customWidth="1"/>
    <col min="12318" max="12319" width="12.453125" style="1" bestFit="1" customWidth="1"/>
    <col min="12320" max="12320" width="10.453125" style="1" bestFit="1" customWidth="1"/>
    <col min="12321" max="12325" width="12.453125" style="1" bestFit="1" customWidth="1"/>
    <col min="12326" max="12327" width="10.453125" style="1" bestFit="1" customWidth="1"/>
    <col min="12328" max="12328" width="13.7265625" style="1" bestFit="1" customWidth="1"/>
    <col min="12329" max="12329" width="12.453125" style="1" bestFit="1" customWidth="1"/>
    <col min="12330" max="12330" width="10.453125" style="1" bestFit="1" customWidth="1"/>
    <col min="12331" max="12331" width="11.54296875" style="1" bestFit="1" customWidth="1"/>
    <col min="12332" max="12332" width="9.453125" style="1" bestFit="1" customWidth="1"/>
    <col min="12333" max="12333" width="13.54296875" style="1" bestFit="1" customWidth="1"/>
    <col min="12334" max="12334" width="12.453125" style="1" bestFit="1" customWidth="1"/>
    <col min="12335" max="12335" width="11.453125" style="1" bestFit="1" customWidth="1"/>
    <col min="12336" max="12337" width="12.453125" style="1" bestFit="1" customWidth="1"/>
    <col min="12338" max="12338" width="13.54296875" style="1" bestFit="1" customWidth="1"/>
    <col min="12339" max="12339" width="12.453125" style="1" bestFit="1" customWidth="1"/>
    <col min="12340" max="12340" width="13.54296875" style="1" bestFit="1" customWidth="1"/>
    <col min="12341" max="12341" width="11.453125" style="1" bestFit="1" customWidth="1"/>
    <col min="12342" max="12342" width="13.54296875" style="1" bestFit="1" customWidth="1"/>
    <col min="12343" max="12343" width="13.7265625" style="1" bestFit="1" customWidth="1"/>
    <col min="12344" max="12344" width="12.453125" style="1" bestFit="1" customWidth="1"/>
    <col min="12345" max="12345" width="10.453125" style="1" bestFit="1" customWidth="1"/>
    <col min="12346" max="12346" width="10.54296875" style="1" bestFit="1" customWidth="1"/>
    <col min="12347" max="12347" width="10.453125" style="1" bestFit="1" customWidth="1"/>
    <col min="12348" max="12348" width="10.54296875" style="1" bestFit="1" customWidth="1"/>
    <col min="12349" max="12349" width="12.54296875" style="1" bestFit="1" customWidth="1"/>
    <col min="12350" max="12350" width="14.7265625" style="1" bestFit="1" customWidth="1"/>
    <col min="12351" max="12352" width="13.54296875" style="1" bestFit="1" customWidth="1"/>
    <col min="12353" max="12353" width="12.453125" style="1" bestFit="1" customWidth="1"/>
    <col min="12354" max="12354" width="11.54296875" style="1" bestFit="1" customWidth="1"/>
    <col min="12355" max="12355" width="13.54296875" style="1" bestFit="1" customWidth="1"/>
    <col min="12356" max="12357" width="12.453125" style="1" bestFit="1" customWidth="1"/>
    <col min="12358" max="12358" width="5.453125" style="1" bestFit="1" customWidth="1"/>
    <col min="12359" max="12359" width="13.54296875" style="1" bestFit="1" customWidth="1"/>
    <col min="12360" max="12360" width="11.54296875" style="1" bestFit="1" customWidth="1"/>
    <col min="12361" max="12361" width="12.453125" style="1" bestFit="1" customWidth="1"/>
    <col min="12362" max="12362" width="11.54296875" style="1" bestFit="1" customWidth="1"/>
    <col min="12363" max="12363" width="12.453125" style="1" bestFit="1" customWidth="1"/>
    <col min="12364" max="12364" width="14.7265625" style="1" bestFit="1" customWidth="1"/>
    <col min="12365" max="12544" width="8.81640625" style="1"/>
    <col min="12545" max="12545" width="11" style="1" bestFit="1" customWidth="1"/>
    <col min="12546" max="12546" width="46.453125" style="1" bestFit="1" customWidth="1"/>
    <col min="12547" max="12547" width="9.453125" style="1" bestFit="1" customWidth="1"/>
    <col min="12548" max="12548" width="13.54296875" style="1" bestFit="1" customWidth="1"/>
    <col min="12549" max="12550" width="11.453125" style="1" bestFit="1" customWidth="1"/>
    <col min="12551" max="12551" width="10.453125" style="1" bestFit="1" customWidth="1"/>
    <col min="12552" max="12552" width="13.7265625" style="1" bestFit="1" customWidth="1"/>
    <col min="12553" max="12553" width="5.453125" style="1" bestFit="1" customWidth="1"/>
    <col min="12554" max="12554" width="14.7265625" style="1" bestFit="1" customWidth="1"/>
    <col min="12555" max="12555" width="8.453125" style="1" bestFit="1" customWidth="1"/>
    <col min="12556" max="12556" width="13.7265625" style="1" bestFit="1" customWidth="1"/>
    <col min="12557" max="12557" width="12.453125" style="1" bestFit="1" customWidth="1"/>
    <col min="12558" max="12558" width="11.453125" style="1" bestFit="1" customWidth="1"/>
    <col min="12559" max="12559" width="8.453125" style="1" bestFit="1" customWidth="1"/>
    <col min="12560" max="12560" width="12.453125" style="1" bestFit="1" customWidth="1"/>
    <col min="12561" max="12562" width="10.453125" style="1" bestFit="1" customWidth="1"/>
    <col min="12563" max="12563" width="8.453125" style="1" bestFit="1" customWidth="1"/>
    <col min="12564" max="12568" width="12.453125" style="1" bestFit="1" customWidth="1"/>
    <col min="12569" max="12569" width="10.54296875" style="1" bestFit="1" customWidth="1"/>
    <col min="12570" max="12570" width="11.453125" style="1" bestFit="1" customWidth="1"/>
    <col min="12571" max="12572" width="12.54296875" style="1" bestFit="1" customWidth="1"/>
    <col min="12573" max="12573" width="9.453125" style="1" bestFit="1" customWidth="1"/>
    <col min="12574" max="12575" width="12.453125" style="1" bestFit="1" customWidth="1"/>
    <col min="12576" max="12576" width="10.453125" style="1" bestFit="1" customWidth="1"/>
    <col min="12577" max="12581" width="12.453125" style="1" bestFit="1" customWidth="1"/>
    <col min="12582" max="12583" width="10.453125" style="1" bestFit="1" customWidth="1"/>
    <col min="12584" max="12584" width="13.7265625" style="1" bestFit="1" customWidth="1"/>
    <col min="12585" max="12585" width="12.453125" style="1" bestFit="1" customWidth="1"/>
    <col min="12586" max="12586" width="10.453125" style="1" bestFit="1" customWidth="1"/>
    <col min="12587" max="12587" width="11.54296875" style="1" bestFit="1" customWidth="1"/>
    <col min="12588" max="12588" width="9.453125" style="1" bestFit="1" customWidth="1"/>
    <col min="12589" max="12589" width="13.54296875" style="1" bestFit="1" customWidth="1"/>
    <col min="12590" max="12590" width="12.453125" style="1" bestFit="1" customWidth="1"/>
    <col min="12591" max="12591" width="11.453125" style="1" bestFit="1" customWidth="1"/>
    <col min="12592" max="12593" width="12.453125" style="1" bestFit="1" customWidth="1"/>
    <col min="12594" max="12594" width="13.54296875" style="1" bestFit="1" customWidth="1"/>
    <col min="12595" max="12595" width="12.453125" style="1" bestFit="1" customWidth="1"/>
    <col min="12596" max="12596" width="13.54296875" style="1" bestFit="1" customWidth="1"/>
    <col min="12597" max="12597" width="11.453125" style="1" bestFit="1" customWidth="1"/>
    <col min="12598" max="12598" width="13.54296875" style="1" bestFit="1" customWidth="1"/>
    <col min="12599" max="12599" width="13.7265625" style="1" bestFit="1" customWidth="1"/>
    <col min="12600" max="12600" width="12.453125" style="1" bestFit="1" customWidth="1"/>
    <col min="12601" max="12601" width="10.453125" style="1" bestFit="1" customWidth="1"/>
    <col min="12602" max="12602" width="10.54296875" style="1" bestFit="1" customWidth="1"/>
    <col min="12603" max="12603" width="10.453125" style="1" bestFit="1" customWidth="1"/>
    <col min="12604" max="12604" width="10.54296875" style="1" bestFit="1" customWidth="1"/>
    <col min="12605" max="12605" width="12.54296875" style="1" bestFit="1" customWidth="1"/>
    <col min="12606" max="12606" width="14.7265625" style="1" bestFit="1" customWidth="1"/>
    <col min="12607" max="12608" width="13.54296875" style="1" bestFit="1" customWidth="1"/>
    <col min="12609" max="12609" width="12.453125" style="1" bestFit="1" customWidth="1"/>
    <col min="12610" max="12610" width="11.54296875" style="1" bestFit="1" customWidth="1"/>
    <col min="12611" max="12611" width="13.54296875" style="1" bestFit="1" customWidth="1"/>
    <col min="12612" max="12613" width="12.453125" style="1" bestFit="1" customWidth="1"/>
    <col min="12614" max="12614" width="5.453125" style="1" bestFit="1" customWidth="1"/>
    <col min="12615" max="12615" width="13.54296875" style="1" bestFit="1" customWidth="1"/>
    <col min="12616" max="12616" width="11.54296875" style="1" bestFit="1" customWidth="1"/>
    <col min="12617" max="12617" width="12.453125" style="1" bestFit="1" customWidth="1"/>
    <col min="12618" max="12618" width="11.54296875" style="1" bestFit="1" customWidth="1"/>
    <col min="12619" max="12619" width="12.453125" style="1" bestFit="1" customWidth="1"/>
    <col min="12620" max="12620" width="14.7265625" style="1" bestFit="1" customWidth="1"/>
    <col min="12621" max="12800" width="8.81640625" style="1"/>
    <col min="12801" max="12801" width="11" style="1" bestFit="1" customWidth="1"/>
    <col min="12802" max="12802" width="46.453125" style="1" bestFit="1" customWidth="1"/>
    <col min="12803" max="12803" width="9.453125" style="1" bestFit="1" customWidth="1"/>
    <col min="12804" max="12804" width="13.54296875" style="1" bestFit="1" customWidth="1"/>
    <col min="12805" max="12806" width="11.453125" style="1" bestFit="1" customWidth="1"/>
    <col min="12807" max="12807" width="10.453125" style="1" bestFit="1" customWidth="1"/>
    <col min="12808" max="12808" width="13.7265625" style="1" bestFit="1" customWidth="1"/>
    <col min="12809" max="12809" width="5.453125" style="1" bestFit="1" customWidth="1"/>
    <col min="12810" max="12810" width="14.7265625" style="1" bestFit="1" customWidth="1"/>
    <col min="12811" max="12811" width="8.453125" style="1" bestFit="1" customWidth="1"/>
    <col min="12812" max="12812" width="13.7265625" style="1" bestFit="1" customWidth="1"/>
    <col min="12813" max="12813" width="12.453125" style="1" bestFit="1" customWidth="1"/>
    <col min="12814" max="12814" width="11.453125" style="1" bestFit="1" customWidth="1"/>
    <col min="12815" max="12815" width="8.453125" style="1" bestFit="1" customWidth="1"/>
    <col min="12816" max="12816" width="12.453125" style="1" bestFit="1" customWidth="1"/>
    <col min="12817" max="12818" width="10.453125" style="1" bestFit="1" customWidth="1"/>
    <col min="12819" max="12819" width="8.453125" style="1" bestFit="1" customWidth="1"/>
    <col min="12820" max="12824" width="12.453125" style="1" bestFit="1" customWidth="1"/>
    <col min="12825" max="12825" width="10.54296875" style="1" bestFit="1" customWidth="1"/>
    <col min="12826" max="12826" width="11.453125" style="1" bestFit="1" customWidth="1"/>
    <col min="12827" max="12828" width="12.54296875" style="1" bestFit="1" customWidth="1"/>
    <col min="12829" max="12829" width="9.453125" style="1" bestFit="1" customWidth="1"/>
    <col min="12830" max="12831" width="12.453125" style="1" bestFit="1" customWidth="1"/>
    <col min="12832" max="12832" width="10.453125" style="1" bestFit="1" customWidth="1"/>
    <col min="12833" max="12837" width="12.453125" style="1" bestFit="1" customWidth="1"/>
    <col min="12838" max="12839" width="10.453125" style="1" bestFit="1" customWidth="1"/>
    <col min="12840" max="12840" width="13.7265625" style="1" bestFit="1" customWidth="1"/>
    <col min="12841" max="12841" width="12.453125" style="1" bestFit="1" customWidth="1"/>
    <col min="12842" max="12842" width="10.453125" style="1" bestFit="1" customWidth="1"/>
    <col min="12843" max="12843" width="11.54296875" style="1" bestFit="1" customWidth="1"/>
    <col min="12844" max="12844" width="9.453125" style="1" bestFit="1" customWidth="1"/>
    <col min="12845" max="12845" width="13.54296875" style="1" bestFit="1" customWidth="1"/>
    <col min="12846" max="12846" width="12.453125" style="1" bestFit="1" customWidth="1"/>
    <col min="12847" max="12847" width="11.453125" style="1" bestFit="1" customWidth="1"/>
    <col min="12848" max="12849" width="12.453125" style="1" bestFit="1" customWidth="1"/>
    <col min="12850" max="12850" width="13.54296875" style="1" bestFit="1" customWidth="1"/>
    <col min="12851" max="12851" width="12.453125" style="1" bestFit="1" customWidth="1"/>
    <col min="12852" max="12852" width="13.54296875" style="1" bestFit="1" customWidth="1"/>
    <col min="12853" max="12853" width="11.453125" style="1" bestFit="1" customWidth="1"/>
    <col min="12854" max="12854" width="13.54296875" style="1" bestFit="1" customWidth="1"/>
    <col min="12855" max="12855" width="13.7265625" style="1" bestFit="1" customWidth="1"/>
    <col min="12856" max="12856" width="12.453125" style="1" bestFit="1" customWidth="1"/>
    <col min="12857" max="12857" width="10.453125" style="1" bestFit="1" customWidth="1"/>
    <col min="12858" max="12858" width="10.54296875" style="1" bestFit="1" customWidth="1"/>
    <col min="12859" max="12859" width="10.453125" style="1" bestFit="1" customWidth="1"/>
    <col min="12860" max="12860" width="10.54296875" style="1" bestFit="1" customWidth="1"/>
    <col min="12861" max="12861" width="12.54296875" style="1" bestFit="1" customWidth="1"/>
    <col min="12862" max="12862" width="14.7265625" style="1" bestFit="1" customWidth="1"/>
    <col min="12863" max="12864" width="13.54296875" style="1" bestFit="1" customWidth="1"/>
    <col min="12865" max="12865" width="12.453125" style="1" bestFit="1" customWidth="1"/>
    <col min="12866" max="12866" width="11.54296875" style="1" bestFit="1" customWidth="1"/>
    <col min="12867" max="12867" width="13.54296875" style="1" bestFit="1" customWidth="1"/>
    <col min="12868" max="12869" width="12.453125" style="1" bestFit="1" customWidth="1"/>
    <col min="12870" max="12870" width="5.453125" style="1" bestFit="1" customWidth="1"/>
    <col min="12871" max="12871" width="13.54296875" style="1" bestFit="1" customWidth="1"/>
    <col min="12872" max="12872" width="11.54296875" style="1" bestFit="1" customWidth="1"/>
    <col min="12873" max="12873" width="12.453125" style="1" bestFit="1" customWidth="1"/>
    <col min="12874" max="12874" width="11.54296875" style="1" bestFit="1" customWidth="1"/>
    <col min="12875" max="12875" width="12.453125" style="1" bestFit="1" customWidth="1"/>
    <col min="12876" max="12876" width="14.7265625" style="1" bestFit="1" customWidth="1"/>
    <col min="12877" max="13056" width="8.81640625" style="1"/>
    <col min="13057" max="13057" width="11" style="1" bestFit="1" customWidth="1"/>
    <col min="13058" max="13058" width="46.453125" style="1" bestFit="1" customWidth="1"/>
    <col min="13059" max="13059" width="9.453125" style="1" bestFit="1" customWidth="1"/>
    <col min="13060" max="13060" width="13.54296875" style="1" bestFit="1" customWidth="1"/>
    <col min="13061" max="13062" width="11.453125" style="1" bestFit="1" customWidth="1"/>
    <col min="13063" max="13063" width="10.453125" style="1" bestFit="1" customWidth="1"/>
    <col min="13064" max="13064" width="13.7265625" style="1" bestFit="1" customWidth="1"/>
    <col min="13065" max="13065" width="5.453125" style="1" bestFit="1" customWidth="1"/>
    <col min="13066" max="13066" width="14.7265625" style="1" bestFit="1" customWidth="1"/>
    <col min="13067" max="13067" width="8.453125" style="1" bestFit="1" customWidth="1"/>
    <col min="13068" max="13068" width="13.7265625" style="1" bestFit="1" customWidth="1"/>
    <col min="13069" max="13069" width="12.453125" style="1" bestFit="1" customWidth="1"/>
    <col min="13070" max="13070" width="11.453125" style="1" bestFit="1" customWidth="1"/>
    <col min="13071" max="13071" width="8.453125" style="1" bestFit="1" customWidth="1"/>
    <col min="13072" max="13072" width="12.453125" style="1" bestFit="1" customWidth="1"/>
    <col min="13073" max="13074" width="10.453125" style="1" bestFit="1" customWidth="1"/>
    <col min="13075" max="13075" width="8.453125" style="1" bestFit="1" customWidth="1"/>
    <col min="13076" max="13080" width="12.453125" style="1" bestFit="1" customWidth="1"/>
    <col min="13081" max="13081" width="10.54296875" style="1" bestFit="1" customWidth="1"/>
    <col min="13082" max="13082" width="11.453125" style="1" bestFit="1" customWidth="1"/>
    <col min="13083" max="13084" width="12.54296875" style="1" bestFit="1" customWidth="1"/>
    <col min="13085" max="13085" width="9.453125" style="1" bestFit="1" customWidth="1"/>
    <col min="13086" max="13087" width="12.453125" style="1" bestFit="1" customWidth="1"/>
    <col min="13088" max="13088" width="10.453125" style="1" bestFit="1" customWidth="1"/>
    <col min="13089" max="13093" width="12.453125" style="1" bestFit="1" customWidth="1"/>
    <col min="13094" max="13095" width="10.453125" style="1" bestFit="1" customWidth="1"/>
    <col min="13096" max="13096" width="13.7265625" style="1" bestFit="1" customWidth="1"/>
    <col min="13097" max="13097" width="12.453125" style="1" bestFit="1" customWidth="1"/>
    <col min="13098" max="13098" width="10.453125" style="1" bestFit="1" customWidth="1"/>
    <col min="13099" max="13099" width="11.54296875" style="1" bestFit="1" customWidth="1"/>
    <col min="13100" max="13100" width="9.453125" style="1" bestFit="1" customWidth="1"/>
    <col min="13101" max="13101" width="13.54296875" style="1" bestFit="1" customWidth="1"/>
    <col min="13102" max="13102" width="12.453125" style="1" bestFit="1" customWidth="1"/>
    <col min="13103" max="13103" width="11.453125" style="1" bestFit="1" customWidth="1"/>
    <col min="13104" max="13105" width="12.453125" style="1" bestFit="1" customWidth="1"/>
    <col min="13106" max="13106" width="13.54296875" style="1" bestFit="1" customWidth="1"/>
    <col min="13107" max="13107" width="12.453125" style="1" bestFit="1" customWidth="1"/>
    <col min="13108" max="13108" width="13.54296875" style="1" bestFit="1" customWidth="1"/>
    <col min="13109" max="13109" width="11.453125" style="1" bestFit="1" customWidth="1"/>
    <col min="13110" max="13110" width="13.54296875" style="1" bestFit="1" customWidth="1"/>
    <col min="13111" max="13111" width="13.7265625" style="1" bestFit="1" customWidth="1"/>
    <col min="13112" max="13112" width="12.453125" style="1" bestFit="1" customWidth="1"/>
    <col min="13113" max="13113" width="10.453125" style="1" bestFit="1" customWidth="1"/>
    <col min="13114" max="13114" width="10.54296875" style="1" bestFit="1" customWidth="1"/>
    <col min="13115" max="13115" width="10.453125" style="1" bestFit="1" customWidth="1"/>
    <col min="13116" max="13116" width="10.54296875" style="1" bestFit="1" customWidth="1"/>
    <col min="13117" max="13117" width="12.54296875" style="1" bestFit="1" customWidth="1"/>
    <col min="13118" max="13118" width="14.7265625" style="1" bestFit="1" customWidth="1"/>
    <col min="13119" max="13120" width="13.54296875" style="1" bestFit="1" customWidth="1"/>
    <col min="13121" max="13121" width="12.453125" style="1" bestFit="1" customWidth="1"/>
    <col min="13122" max="13122" width="11.54296875" style="1" bestFit="1" customWidth="1"/>
    <col min="13123" max="13123" width="13.54296875" style="1" bestFit="1" customWidth="1"/>
    <col min="13124" max="13125" width="12.453125" style="1" bestFit="1" customWidth="1"/>
    <col min="13126" max="13126" width="5.453125" style="1" bestFit="1" customWidth="1"/>
    <col min="13127" max="13127" width="13.54296875" style="1" bestFit="1" customWidth="1"/>
    <col min="13128" max="13128" width="11.54296875" style="1" bestFit="1" customWidth="1"/>
    <col min="13129" max="13129" width="12.453125" style="1" bestFit="1" customWidth="1"/>
    <col min="13130" max="13130" width="11.54296875" style="1" bestFit="1" customWidth="1"/>
    <col min="13131" max="13131" width="12.453125" style="1" bestFit="1" customWidth="1"/>
    <col min="13132" max="13132" width="14.7265625" style="1" bestFit="1" customWidth="1"/>
    <col min="13133" max="13312" width="8.81640625" style="1"/>
    <col min="13313" max="13313" width="11" style="1" bestFit="1" customWidth="1"/>
    <col min="13314" max="13314" width="46.453125" style="1" bestFit="1" customWidth="1"/>
    <col min="13315" max="13315" width="9.453125" style="1" bestFit="1" customWidth="1"/>
    <col min="13316" max="13316" width="13.54296875" style="1" bestFit="1" customWidth="1"/>
    <col min="13317" max="13318" width="11.453125" style="1" bestFit="1" customWidth="1"/>
    <col min="13319" max="13319" width="10.453125" style="1" bestFit="1" customWidth="1"/>
    <col min="13320" max="13320" width="13.7265625" style="1" bestFit="1" customWidth="1"/>
    <col min="13321" max="13321" width="5.453125" style="1" bestFit="1" customWidth="1"/>
    <col min="13322" max="13322" width="14.7265625" style="1" bestFit="1" customWidth="1"/>
    <col min="13323" max="13323" width="8.453125" style="1" bestFit="1" customWidth="1"/>
    <col min="13324" max="13324" width="13.7265625" style="1" bestFit="1" customWidth="1"/>
    <col min="13325" max="13325" width="12.453125" style="1" bestFit="1" customWidth="1"/>
    <col min="13326" max="13326" width="11.453125" style="1" bestFit="1" customWidth="1"/>
    <col min="13327" max="13327" width="8.453125" style="1" bestFit="1" customWidth="1"/>
    <col min="13328" max="13328" width="12.453125" style="1" bestFit="1" customWidth="1"/>
    <col min="13329" max="13330" width="10.453125" style="1" bestFit="1" customWidth="1"/>
    <col min="13331" max="13331" width="8.453125" style="1" bestFit="1" customWidth="1"/>
    <col min="13332" max="13336" width="12.453125" style="1" bestFit="1" customWidth="1"/>
    <col min="13337" max="13337" width="10.54296875" style="1" bestFit="1" customWidth="1"/>
    <col min="13338" max="13338" width="11.453125" style="1" bestFit="1" customWidth="1"/>
    <col min="13339" max="13340" width="12.54296875" style="1" bestFit="1" customWidth="1"/>
    <col min="13341" max="13341" width="9.453125" style="1" bestFit="1" customWidth="1"/>
    <col min="13342" max="13343" width="12.453125" style="1" bestFit="1" customWidth="1"/>
    <col min="13344" max="13344" width="10.453125" style="1" bestFit="1" customWidth="1"/>
    <col min="13345" max="13349" width="12.453125" style="1" bestFit="1" customWidth="1"/>
    <col min="13350" max="13351" width="10.453125" style="1" bestFit="1" customWidth="1"/>
    <col min="13352" max="13352" width="13.7265625" style="1" bestFit="1" customWidth="1"/>
    <col min="13353" max="13353" width="12.453125" style="1" bestFit="1" customWidth="1"/>
    <col min="13354" max="13354" width="10.453125" style="1" bestFit="1" customWidth="1"/>
    <col min="13355" max="13355" width="11.54296875" style="1" bestFit="1" customWidth="1"/>
    <col min="13356" max="13356" width="9.453125" style="1" bestFit="1" customWidth="1"/>
    <col min="13357" max="13357" width="13.54296875" style="1" bestFit="1" customWidth="1"/>
    <col min="13358" max="13358" width="12.453125" style="1" bestFit="1" customWidth="1"/>
    <col min="13359" max="13359" width="11.453125" style="1" bestFit="1" customWidth="1"/>
    <col min="13360" max="13361" width="12.453125" style="1" bestFit="1" customWidth="1"/>
    <col min="13362" max="13362" width="13.54296875" style="1" bestFit="1" customWidth="1"/>
    <col min="13363" max="13363" width="12.453125" style="1" bestFit="1" customWidth="1"/>
    <col min="13364" max="13364" width="13.54296875" style="1" bestFit="1" customWidth="1"/>
    <col min="13365" max="13365" width="11.453125" style="1" bestFit="1" customWidth="1"/>
    <col min="13366" max="13366" width="13.54296875" style="1" bestFit="1" customWidth="1"/>
    <col min="13367" max="13367" width="13.7265625" style="1" bestFit="1" customWidth="1"/>
    <col min="13368" max="13368" width="12.453125" style="1" bestFit="1" customWidth="1"/>
    <col min="13369" max="13369" width="10.453125" style="1" bestFit="1" customWidth="1"/>
    <col min="13370" max="13370" width="10.54296875" style="1" bestFit="1" customWidth="1"/>
    <col min="13371" max="13371" width="10.453125" style="1" bestFit="1" customWidth="1"/>
    <col min="13372" max="13372" width="10.54296875" style="1" bestFit="1" customWidth="1"/>
    <col min="13373" max="13373" width="12.54296875" style="1" bestFit="1" customWidth="1"/>
    <col min="13374" max="13374" width="14.7265625" style="1" bestFit="1" customWidth="1"/>
    <col min="13375" max="13376" width="13.54296875" style="1" bestFit="1" customWidth="1"/>
    <col min="13377" max="13377" width="12.453125" style="1" bestFit="1" customWidth="1"/>
    <col min="13378" max="13378" width="11.54296875" style="1" bestFit="1" customWidth="1"/>
    <col min="13379" max="13379" width="13.54296875" style="1" bestFit="1" customWidth="1"/>
    <col min="13380" max="13381" width="12.453125" style="1" bestFit="1" customWidth="1"/>
    <col min="13382" max="13382" width="5.453125" style="1" bestFit="1" customWidth="1"/>
    <col min="13383" max="13383" width="13.54296875" style="1" bestFit="1" customWidth="1"/>
    <col min="13384" max="13384" width="11.54296875" style="1" bestFit="1" customWidth="1"/>
    <col min="13385" max="13385" width="12.453125" style="1" bestFit="1" customWidth="1"/>
    <col min="13386" max="13386" width="11.54296875" style="1" bestFit="1" customWidth="1"/>
    <col min="13387" max="13387" width="12.453125" style="1" bestFit="1" customWidth="1"/>
    <col min="13388" max="13388" width="14.7265625" style="1" bestFit="1" customWidth="1"/>
    <col min="13389" max="13568" width="8.81640625" style="1"/>
    <col min="13569" max="13569" width="11" style="1" bestFit="1" customWidth="1"/>
    <col min="13570" max="13570" width="46.453125" style="1" bestFit="1" customWidth="1"/>
    <col min="13571" max="13571" width="9.453125" style="1" bestFit="1" customWidth="1"/>
    <col min="13572" max="13572" width="13.54296875" style="1" bestFit="1" customWidth="1"/>
    <col min="13573" max="13574" width="11.453125" style="1" bestFit="1" customWidth="1"/>
    <col min="13575" max="13575" width="10.453125" style="1" bestFit="1" customWidth="1"/>
    <col min="13576" max="13576" width="13.7265625" style="1" bestFit="1" customWidth="1"/>
    <col min="13577" max="13577" width="5.453125" style="1" bestFit="1" customWidth="1"/>
    <col min="13578" max="13578" width="14.7265625" style="1" bestFit="1" customWidth="1"/>
    <col min="13579" max="13579" width="8.453125" style="1" bestFit="1" customWidth="1"/>
    <col min="13580" max="13580" width="13.7265625" style="1" bestFit="1" customWidth="1"/>
    <col min="13581" max="13581" width="12.453125" style="1" bestFit="1" customWidth="1"/>
    <col min="13582" max="13582" width="11.453125" style="1" bestFit="1" customWidth="1"/>
    <col min="13583" max="13583" width="8.453125" style="1" bestFit="1" customWidth="1"/>
    <col min="13584" max="13584" width="12.453125" style="1" bestFit="1" customWidth="1"/>
    <col min="13585" max="13586" width="10.453125" style="1" bestFit="1" customWidth="1"/>
    <col min="13587" max="13587" width="8.453125" style="1" bestFit="1" customWidth="1"/>
    <col min="13588" max="13592" width="12.453125" style="1" bestFit="1" customWidth="1"/>
    <col min="13593" max="13593" width="10.54296875" style="1" bestFit="1" customWidth="1"/>
    <col min="13594" max="13594" width="11.453125" style="1" bestFit="1" customWidth="1"/>
    <col min="13595" max="13596" width="12.54296875" style="1" bestFit="1" customWidth="1"/>
    <col min="13597" max="13597" width="9.453125" style="1" bestFit="1" customWidth="1"/>
    <col min="13598" max="13599" width="12.453125" style="1" bestFit="1" customWidth="1"/>
    <col min="13600" max="13600" width="10.453125" style="1" bestFit="1" customWidth="1"/>
    <col min="13601" max="13605" width="12.453125" style="1" bestFit="1" customWidth="1"/>
    <col min="13606" max="13607" width="10.453125" style="1" bestFit="1" customWidth="1"/>
    <col min="13608" max="13608" width="13.7265625" style="1" bestFit="1" customWidth="1"/>
    <col min="13609" max="13609" width="12.453125" style="1" bestFit="1" customWidth="1"/>
    <col min="13610" max="13610" width="10.453125" style="1" bestFit="1" customWidth="1"/>
    <col min="13611" max="13611" width="11.54296875" style="1" bestFit="1" customWidth="1"/>
    <col min="13612" max="13612" width="9.453125" style="1" bestFit="1" customWidth="1"/>
    <col min="13613" max="13613" width="13.54296875" style="1" bestFit="1" customWidth="1"/>
    <col min="13614" max="13614" width="12.453125" style="1" bestFit="1" customWidth="1"/>
    <col min="13615" max="13615" width="11.453125" style="1" bestFit="1" customWidth="1"/>
    <col min="13616" max="13617" width="12.453125" style="1" bestFit="1" customWidth="1"/>
    <col min="13618" max="13618" width="13.54296875" style="1" bestFit="1" customWidth="1"/>
    <col min="13619" max="13619" width="12.453125" style="1" bestFit="1" customWidth="1"/>
    <col min="13620" max="13620" width="13.54296875" style="1" bestFit="1" customWidth="1"/>
    <col min="13621" max="13621" width="11.453125" style="1" bestFit="1" customWidth="1"/>
    <col min="13622" max="13622" width="13.54296875" style="1" bestFit="1" customWidth="1"/>
    <col min="13623" max="13623" width="13.7265625" style="1" bestFit="1" customWidth="1"/>
    <col min="13624" max="13624" width="12.453125" style="1" bestFit="1" customWidth="1"/>
    <col min="13625" max="13625" width="10.453125" style="1" bestFit="1" customWidth="1"/>
    <col min="13626" max="13626" width="10.54296875" style="1" bestFit="1" customWidth="1"/>
    <col min="13627" max="13627" width="10.453125" style="1" bestFit="1" customWidth="1"/>
    <col min="13628" max="13628" width="10.54296875" style="1" bestFit="1" customWidth="1"/>
    <col min="13629" max="13629" width="12.54296875" style="1" bestFit="1" customWidth="1"/>
    <col min="13630" max="13630" width="14.7265625" style="1" bestFit="1" customWidth="1"/>
    <col min="13631" max="13632" width="13.54296875" style="1" bestFit="1" customWidth="1"/>
    <col min="13633" max="13633" width="12.453125" style="1" bestFit="1" customWidth="1"/>
    <col min="13634" max="13634" width="11.54296875" style="1" bestFit="1" customWidth="1"/>
    <col min="13635" max="13635" width="13.54296875" style="1" bestFit="1" customWidth="1"/>
    <col min="13636" max="13637" width="12.453125" style="1" bestFit="1" customWidth="1"/>
    <col min="13638" max="13638" width="5.453125" style="1" bestFit="1" customWidth="1"/>
    <col min="13639" max="13639" width="13.54296875" style="1" bestFit="1" customWidth="1"/>
    <col min="13640" max="13640" width="11.54296875" style="1" bestFit="1" customWidth="1"/>
    <col min="13641" max="13641" width="12.453125" style="1" bestFit="1" customWidth="1"/>
    <col min="13642" max="13642" width="11.54296875" style="1" bestFit="1" customWidth="1"/>
    <col min="13643" max="13643" width="12.453125" style="1" bestFit="1" customWidth="1"/>
    <col min="13644" max="13644" width="14.7265625" style="1" bestFit="1" customWidth="1"/>
    <col min="13645" max="13824" width="8.81640625" style="1"/>
    <col min="13825" max="13825" width="11" style="1" bestFit="1" customWidth="1"/>
    <col min="13826" max="13826" width="46.453125" style="1" bestFit="1" customWidth="1"/>
    <col min="13827" max="13827" width="9.453125" style="1" bestFit="1" customWidth="1"/>
    <col min="13828" max="13828" width="13.54296875" style="1" bestFit="1" customWidth="1"/>
    <col min="13829" max="13830" width="11.453125" style="1" bestFit="1" customWidth="1"/>
    <col min="13831" max="13831" width="10.453125" style="1" bestFit="1" customWidth="1"/>
    <col min="13832" max="13832" width="13.7265625" style="1" bestFit="1" customWidth="1"/>
    <col min="13833" max="13833" width="5.453125" style="1" bestFit="1" customWidth="1"/>
    <col min="13834" max="13834" width="14.7265625" style="1" bestFit="1" customWidth="1"/>
    <col min="13835" max="13835" width="8.453125" style="1" bestFit="1" customWidth="1"/>
    <col min="13836" max="13836" width="13.7265625" style="1" bestFit="1" customWidth="1"/>
    <col min="13837" max="13837" width="12.453125" style="1" bestFit="1" customWidth="1"/>
    <col min="13838" max="13838" width="11.453125" style="1" bestFit="1" customWidth="1"/>
    <col min="13839" max="13839" width="8.453125" style="1" bestFit="1" customWidth="1"/>
    <col min="13840" max="13840" width="12.453125" style="1" bestFit="1" customWidth="1"/>
    <col min="13841" max="13842" width="10.453125" style="1" bestFit="1" customWidth="1"/>
    <col min="13843" max="13843" width="8.453125" style="1" bestFit="1" customWidth="1"/>
    <col min="13844" max="13848" width="12.453125" style="1" bestFit="1" customWidth="1"/>
    <col min="13849" max="13849" width="10.54296875" style="1" bestFit="1" customWidth="1"/>
    <col min="13850" max="13850" width="11.453125" style="1" bestFit="1" customWidth="1"/>
    <col min="13851" max="13852" width="12.54296875" style="1" bestFit="1" customWidth="1"/>
    <col min="13853" max="13853" width="9.453125" style="1" bestFit="1" customWidth="1"/>
    <col min="13854" max="13855" width="12.453125" style="1" bestFit="1" customWidth="1"/>
    <col min="13856" max="13856" width="10.453125" style="1" bestFit="1" customWidth="1"/>
    <col min="13857" max="13861" width="12.453125" style="1" bestFit="1" customWidth="1"/>
    <col min="13862" max="13863" width="10.453125" style="1" bestFit="1" customWidth="1"/>
    <col min="13864" max="13864" width="13.7265625" style="1" bestFit="1" customWidth="1"/>
    <col min="13865" max="13865" width="12.453125" style="1" bestFit="1" customWidth="1"/>
    <col min="13866" max="13866" width="10.453125" style="1" bestFit="1" customWidth="1"/>
    <col min="13867" max="13867" width="11.54296875" style="1" bestFit="1" customWidth="1"/>
    <col min="13868" max="13868" width="9.453125" style="1" bestFit="1" customWidth="1"/>
    <col min="13869" max="13869" width="13.54296875" style="1" bestFit="1" customWidth="1"/>
    <col min="13870" max="13870" width="12.453125" style="1" bestFit="1" customWidth="1"/>
    <col min="13871" max="13871" width="11.453125" style="1" bestFit="1" customWidth="1"/>
    <col min="13872" max="13873" width="12.453125" style="1" bestFit="1" customWidth="1"/>
    <col min="13874" max="13874" width="13.54296875" style="1" bestFit="1" customWidth="1"/>
    <col min="13875" max="13875" width="12.453125" style="1" bestFit="1" customWidth="1"/>
    <col min="13876" max="13876" width="13.54296875" style="1" bestFit="1" customWidth="1"/>
    <col min="13877" max="13877" width="11.453125" style="1" bestFit="1" customWidth="1"/>
    <col min="13878" max="13878" width="13.54296875" style="1" bestFit="1" customWidth="1"/>
    <col min="13879" max="13879" width="13.7265625" style="1" bestFit="1" customWidth="1"/>
    <col min="13880" max="13880" width="12.453125" style="1" bestFit="1" customWidth="1"/>
    <col min="13881" max="13881" width="10.453125" style="1" bestFit="1" customWidth="1"/>
    <col min="13882" max="13882" width="10.54296875" style="1" bestFit="1" customWidth="1"/>
    <col min="13883" max="13883" width="10.453125" style="1" bestFit="1" customWidth="1"/>
    <col min="13884" max="13884" width="10.54296875" style="1" bestFit="1" customWidth="1"/>
    <col min="13885" max="13885" width="12.54296875" style="1" bestFit="1" customWidth="1"/>
    <col min="13886" max="13886" width="14.7265625" style="1" bestFit="1" customWidth="1"/>
    <col min="13887" max="13888" width="13.54296875" style="1" bestFit="1" customWidth="1"/>
    <col min="13889" max="13889" width="12.453125" style="1" bestFit="1" customWidth="1"/>
    <col min="13890" max="13890" width="11.54296875" style="1" bestFit="1" customWidth="1"/>
    <col min="13891" max="13891" width="13.54296875" style="1" bestFit="1" customWidth="1"/>
    <col min="13892" max="13893" width="12.453125" style="1" bestFit="1" customWidth="1"/>
    <col min="13894" max="13894" width="5.453125" style="1" bestFit="1" customWidth="1"/>
    <col min="13895" max="13895" width="13.54296875" style="1" bestFit="1" customWidth="1"/>
    <col min="13896" max="13896" width="11.54296875" style="1" bestFit="1" customWidth="1"/>
    <col min="13897" max="13897" width="12.453125" style="1" bestFit="1" customWidth="1"/>
    <col min="13898" max="13898" width="11.54296875" style="1" bestFit="1" customWidth="1"/>
    <col min="13899" max="13899" width="12.453125" style="1" bestFit="1" customWidth="1"/>
    <col min="13900" max="13900" width="14.7265625" style="1" bestFit="1" customWidth="1"/>
    <col min="13901" max="14080" width="8.81640625" style="1"/>
    <col min="14081" max="14081" width="11" style="1" bestFit="1" customWidth="1"/>
    <col min="14082" max="14082" width="46.453125" style="1" bestFit="1" customWidth="1"/>
    <col min="14083" max="14083" width="9.453125" style="1" bestFit="1" customWidth="1"/>
    <col min="14084" max="14084" width="13.54296875" style="1" bestFit="1" customWidth="1"/>
    <col min="14085" max="14086" width="11.453125" style="1" bestFit="1" customWidth="1"/>
    <col min="14087" max="14087" width="10.453125" style="1" bestFit="1" customWidth="1"/>
    <col min="14088" max="14088" width="13.7265625" style="1" bestFit="1" customWidth="1"/>
    <col min="14089" max="14089" width="5.453125" style="1" bestFit="1" customWidth="1"/>
    <col min="14090" max="14090" width="14.7265625" style="1" bestFit="1" customWidth="1"/>
    <col min="14091" max="14091" width="8.453125" style="1" bestFit="1" customWidth="1"/>
    <col min="14092" max="14092" width="13.7265625" style="1" bestFit="1" customWidth="1"/>
    <col min="14093" max="14093" width="12.453125" style="1" bestFit="1" customWidth="1"/>
    <col min="14094" max="14094" width="11.453125" style="1" bestFit="1" customWidth="1"/>
    <col min="14095" max="14095" width="8.453125" style="1" bestFit="1" customWidth="1"/>
    <col min="14096" max="14096" width="12.453125" style="1" bestFit="1" customWidth="1"/>
    <col min="14097" max="14098" width="10.453125" style="1" bestFit="1" customWidth="1"/>
    <col min="14099" max="14099" width="8.453125" style="1" bestFit="1" customWidth="1"/>
    <col min="14100" max="14104" width="12.453125" style="1" bestFit="1" customWidth="1"/>
    <col min="14105" max="14105" width="10.54296875" style="1" bestFit="1" customWidth="1"/>
    <col min="14106" max="14106" width="11.453125" style="1" bestFit="1" customWidth="1"/>
    <col min="14107" max="14108" width="12.54296875" style="1" bestFit="1" customWidth="1"/>
    <col min="14109" max="14109" width="9.453125" style="1" bestFit="1" customWidth="1"/>
    <col min="14110" max="14111" width="12.453125" style="1" bestFit="1" customWidth="1"/>
    <col min="14112" max="14112" width="10.453125" style="1" bestFit="1" customWidth="1"/>
    <col min="14113" max="14117" width="12.453125" style="1" bestFit="1" customWidth="1"/>
    <col min="14118" max="14119" width="10.453125" style="1" bestFit="1" customWidth="1"/>
    <col min="14120" max="14120" width="13.7265625" style="1" bestFit="1" customWidth="1"/>
    <col min="14121" max="14121" width="12.453125" style="1" bestFit="1" customWidth="1"/>
    <col min="14122" max="14122" width="10.453125" style="1" bestFit="1" customWidth="1"/>
    <col min="14123" max="14123" width="11.54296875" style="1" bestFit="1" customWidth="1"/>
    <col min="14124" max="14124" width="9.453125" style="1" bestFit="1" customWidth="1"/>
    <col min="14125" max="14125" width="13.54296875" style="1" bestFit="1" customWidth="1"/>
    <col min="14126" max="14126" width="12.453125" style="1" bestFit="1" customWidth="1"/>
    <col min="14127" max="14127" width="11.453125" style="1" bestFit="1" customWidth="1"/>
    <col min="14128" max="14129" width="12.453125" style="1" bestFit="1" customWidth="1"/>
    <col min="14130" max="14130" width="13.54296875" style="1" bestFit="1" customWidth="1"/>
    <col min="14131" max="14131" width="12.453125" style="1" bestFit="1" customWidth="1"/>
    <col min="14132" max="14132" width="13.54296875" style="1" bestFit="1" customWidth="1"/>
    <col min="14133" max="14133" width="11.453125" style="1" bestFit="1" customWidth="1"/>
    <col min="14134" max="14134" width="13.54296875" style="1" bestFit="1" customWidth="1"/>
    <col min="14135" max="14135" width="13.7265625" style="1" bestFit="1" customWidth="1"/>
    <col min="14136" max="14136" width="12.453125" style="1" bestFit="1" customWidth="1"/>
    <col min="14137" max="14137" width="10.453125" style="1" bestFit="1" customWidth="1"/>
    <col min="14138" max="14138" width="10.54296875" style="1" bestFit="1" customWidth="1"/>
    <col min="14139" max="14139" width="10.453125" style="1" bestFit="1" customWidth="1"/>
    <col min="14140" max="14140" width="10.54296875" style="1" bestFit="1" customWidth="1"/>
    <col min="14141" max="14141" width="12.54296875" style="1" bestFit="1" customWidth="1"/>
    <col min="14142" max="14142" width="14.7265625" style="1" bestFit="1" customWidth="1"/>
    <col min="14143" max="14144" width="13.54296875" style="1" bestFit="1" customWidth="1"/>
    <col min="14145" max="14145" width="12.453125" style="1" bestFit="1" customWidth="1"/>
    <col min="14146" max="14146" width="11.54296875" style="1" bestFit="1" customWidth="1"/>
    <col min="14147" max="14147" width="13.54296875" style="1" bestFit="1" customWidth="1"/>
    <col min="14148" max="14149" width="12.453125" style="1" bestFit="1" customWidth="1"/>
    <col min="14150" max="14150" width="5.453125" style="1" bestFit="1" customWidth="1"/>
    <col min="14151" max="14151" width="13.54296875" style="1" bestFit="1" customWidth="1"/>
    <col min="14152" max="14152" width="11.54296875" style="1" bestFit="1" customWidth="1"/>
    <col min="14153" max="14153" width="12.453125" style="1" bestFit="1" customWidth="1"/>
    <col min="14154" max="14154" width="11.54296875" style="1" bestFit="1" customWidth="1"/>
    <col min="14155" max="14155" width="12.453125" style="1" bestFit="1" customWidth="1"/>
    <col min="14156" max="14156" width="14.7265625" style="1" bestFit="1" customWidth="1"/>
    <col min="14157" max="14336" width="8.81640625" style="1"/>
    <col min="14337" max="14337" width="11" style="1" bestFit="1" customWidth="1"/>
    <col min="14338" max="14338" width="46.453125" style="1" bestFit="1" customWidth="1"/>
    <col min="14339" max="14339" width="9.453125" style="1" bestFit="1" customWidth="1"/>
    <col min="14340" max="14340" width="13.54296875" style="1" bestFit="1" customWidth="1"/>
    <col min="14341" max="14342" width="11.453125" style="1" bestFit="1" customWidth="1"/>
    <col min="14343" max="14343" width="10.453125" style="1" bestFit="1" customWidth="1"/>
    <col min="14344" max="14344" width="13.7265625" style="1" bestFit="1" customWidth="1"/>
    <col min="14345" max="14345" width="5.453125" style="1" bestFit="1" customWidth="1"/>
    <col min="14346" max="14346" width="14.7265625" style="1" bestFit="1" customWidth="1"/>
    <col min="14347" max="14347" width="8.453125" style="1" bestFit="1" customWidth="1"/>
    <col min="14348" max="14348" width="13.7265625" style="1" bestFit="1" customWidth="1"/>
    <col min="14349" max="14349" width="12.453125" style="1" bestFit="1" customWidth="1"/>
    <col min="14350" max="14350" width="11.453125" style="1" bestFit="1" customWidth="1"/>
    <col min="14351" max="14351" width="8.453125" style="1" bestFit="1" customWidth="1"/>
    <col min="14352" max="14352" width="12.453125" style="1" bestFit="1" customWidth="1"/>
    <col min="14353" max="14354" width="10.453125" style="1" bestFit="1" customWidth="1"/>
    <col min="14355" max="14355" width="8.453125" style="1" bestFit="1" customWidth="1"/>
    <col min="14356" max="14360" width="12.453125" style="1" bestFit="1" customWidth="1"/>
    <col min="14361" max="14361" width="10.54296875" style="1" bestFit="1" customWidth="1"/>
    <col min="14362" max="14362" width="11.453125" style="1" bestFit="1" customWidth="1"/>
    <col min="14363" max="14364" width="12.54296875" style="1" bestFit="1" customWidth="1"/>
    <col min="14365" max="14365" width="9.453125" style="1" bestFit="1" customWidth="1"/>
    <col min="14366" max="14367" width="12.453125" style="1" bestFit="1" customWidth="1"/>
    <col min="14368" max="14368" width="10.453125" style="1" bestFit="1" customWidth="1"/>
    <col min="14369" max="14373" width="12.453125" style="1" bestFit="1" customWidth="1"/>
    <col min="14374" max="14375" width="10.453125" style="1" bestFit="1" customWidth="1"/>
    <col min="14376" max="14376" width="13.7265625" style="1" bestFit="1" customWidth="1"/>
    <col min="14377" max="14377" width="12.453125" style="1" bestFit="1" customWidth="1"/>
    <col min="14378" max="14378" width="10.453125" style="1" bestFit="1" customWidth="1"/>
    <col min="14379" max="14379" width="11.54296875" style="1" bestFit="1" customWidth="1"/>
    <col min="14380" max="14380" width="9.453125" style="1" bestFit="1" customWidth="1"/>
    <col min="14381" max="14381" width="13.54296875" style="1" bestFit="1" customWidth="1"/>
    <col min="14382" max="14382" width="12.453125" style="1" bestFit="1" customWidth="1"/>
    <col min="14383" max="14383" width="11.453125" style="1" bestFit="1" customWidth="1"/>
    <col min="14384" max="14385" width="12.453125" style="1" bestFit="1" customWidth="1"/>
    <col min="14386" max="14386" width="13.54296875" style="1" bestFit="1" customWidth="1"/>
    <col min="14387" max="14387" width="12.453125" style="1" bestFit="1" customWidth="1"/>
    <col min="14388" max="14388" width="13.54296875" style="1" bestFit="1" customWidth="1"/>
    <col min="14389" max="14389" width="11.453125" style="1" bestFit="1" customWidth="1"/>
    <col min="14390" max="14390" width="13.54296875" style="1" bestFit="1" customWidth="1"/>
    <col min="14391" max="14391" width="13.7265625" style="1" bestFit="1" customWidth="1"/>
    <col min="14392" max="14392" width="12.453125" style="1" bestFit="1" customWidth="1"/>
    <col min="14393" max="14393" width="10.453125" style="1" bestFit="1" customWidth="1"/>
    <col min="14394" max="14394" width="10.54296875" style="1" bestFit="1" customWidth="1"/>
    <col min="14395" max="14395" width="10.453125" style="1" bestFit="1" customWidth="1"/>
    <col min="14396" max="14396" width="10.54296875" style="1" bestFit="1" customWidth="1"/>
    <col min="14397" max="14397" width="12.54296875" style="1" bestFit="1" customWidth="1"/>
    <col min="14398" max="14398" width="14.7265625" style="1" bestFit="1" customWidth="1"/>
    <col min="14399" max="14400" width="13.54296875" style="1" bestFit="1" customWidth="1"/>
    <col min="14401" max="14401" width="12.453125" style="1" bestFit="1" customWidth="1"/>
    <col min="14402" max="14402" width="11.54296875" style="1" bestFit="1" customWidth="1"/>
    <col min="14403" max="14403" width="13.54296875" style="1" bestFit="1" customWidth="1"/>
    <col min="14404" max="14405" width="12.453125" style="1" bestFit="1" customWidth="1"/>
    <col min="14406" max="14406" width="5.453125" style="1" bestFit="1" customWidth="1"/>
    <col min="14407" max="14407" width="13.54296875" style="1" bestFit="1" customWidth="1"/>
    <col min="14408" max="14408" width="11.54296875" style="1" bestFit="1" customWidth="1"/>
    <col min="14409" max="14409" width="12.453125" style="1" bestFit="1" customWidth="1"/>
    <col min="14410" max="14410" width="11.54296875" style="1" bestFit="1" customWidth="1"/>
    <col min="14411" max="14411" width="12.453125" style="1" bestFit="1" customWidth="1"/>
    <col min="14412" max="14412" width="14.7265625" style="1" bestFit="1" customWidth="1"/>
    <col min="14413" max="14592" width="8.81640625" style="1"/>
    <col min="14593" max="14593" width="11" style="1" bestFit="1" customWidth="1"/>
    <col min="14594" max="14594" width="46.453125" style="1" bestFit="1" customWidth="1"/>
    <col min="14595" max="14595" width="9.453125" style="1" bestFit="1" customWidth="1"/>
    <col min="14596" max="14596" width="13.54296875" style="1" bestFit="1" customWidth="1"/>
    <col min="14597" max="14598" width="11.453125" style="1" bestFit="1" customWidth="1"/>
    <col min="14599" max="14599" width="10.453125" style="1" bestFit="1" customWidth="1"/>
    <col min="14600" max="14600" width="13.7265625" style="1" bestFit="1" customWidth="1"/>
    <col min="14601" max="14601" width="5.453125" style="1" bestFit="1" customWidth="1"/>
    <col min="14602" max="14602" width="14.7265625" style="1" bestFit="1" customWidth="1"/>
    <col min="14603" max="14603" width="8.453125" style="1" bestFit="1" customWidth="1"/>
    <col min="14604" max="14604" width="13.7265625" style="1" bestFit="1" customWidth="1"/>
    <col min="14605" max="14605" width="12.453125" style="1" bestFit="1" customWidth="1"/>
    <col min="14606" max="14606" width="11.453125" style="1" bestFit="1" customWidth="1"/>
    <col min="14607" max="14607" width="8.453125" style="1" bestFit="1" customWidth="1"/>
    <col min="14608" max="14608" width="12.453125" style="1" bestFit="1" customWidth="1"/>
    <col min="14609" max="14610" width="10.453125" style="1" bestFit="1" customWidth="1"/>
    <col min="14611" max="14611" width="8.453125" style="1" bestFit="1" customWidth="1"/>
    <col min="14612" max="14616" width="12.453125" style="1" bestFit="1" customWidth="1"/>
    <col min="14617" max="14617" width="10.54296875" style="1" bestFit="1" customWidth="1"/>
    <col min="14618" max="14618" width="11.453125" style="1" bestFit="1" customWidth="1"/>
    <col min="14619" max="14620" width="12.54296875" style="1" bestFit="1" customWidth="1"/>
    <col min="14621" max="14621" width="9.453125" style="1" bestFit="1" customWidth="1"/>
    <col min="14622" max="14623" width="12.453125" style="1" bestFit="1" customWidth="1"/>
    <col min="14624" max="14624" width="10.453125" style="1" bestFit="1" customWidth="1"/>
    <col min="14625" max="14629" width="12.453125" style="1" bestFit="1" customWidth="1"/>
    <col min="14630" max="14631" width="10.453125" style="1" bestFit="1" customWidth="1"/>
    <col min="14632" max="14632" width="13.7265625" style="1" bestFit="1" customWidth="1"/>
    <col min="14633" max="14633" width="12.453125" style="1" bestFit="1" customWidth="1"/>
    <col min="14634" max="14634" width="10.453125" style="1" bestFit="1" customWidth="1"/>
    <col min="14635" max="14635" width="11.54296875" style="1" bestFit="1" customWidth="1"/>
    <col min="14636" max="14636" width="9.453125" style="1" bestFit="1" customWidth="1"/>
    <col min="14637" max="14637" width="13.54296875" style="1" bestFit="1" customWidth="1"/>
    <col min="14638" max="14638" width="12.453125" style="1" bestFit="1" customWidth="1"/>
    <col min="14639" max="14639" width="11.453125" style="1" bestFit="1" customWidth="1"/>
    <col min="14640" max="14641" width="12.453125" style="1" bestFit="1" customWidth="1"/>
    <col min="14642" max="14642" width="13.54296875" style="1" bestFit="1" customWidth="1"/>
    <col min="14643" max="14643" width="12.453125" style="1" bestFit="1" customWidth="1"/>
    <col min="14644" max="14644" width="13.54296875" style="1" bestFit="1" customWidth="1"/>
    <col min="14645" max="14645" width="11.453125" style="1" bestFit="1" customWidth="1"/>
    <col min="14646" max="14646" width="13.54296875" style="1" bestFit="1" customWidth="1"/>
    <col min="14647" max="14647" width="13.7265625" style="1" bestFit="1" customWidth="1"/>
    <col min="14648" max="14648" width="12.453125" style="1" bestFit="1" customWidth="1"/>
    <col min="14649" max="14649" width="10.453125" style="1" bestFit="1" customWidth="1"/>
    <col min="14650" max="14650" width="10.54296875" style="1" bestFit="1" customWidth="1"/>
    <col min="14651" max="14651" width="10.453125" style="1" bestFit="1" customWidth="1"/>
    <col min="14652" max="14652" width="10.54296875" style="1" bestFit="1" customWidth="1"/>
    <col min="14653" max="14653" width="12.54296875" style="1" bestFit="1" customWidth="1"/>
    <col min="14654" max="14654" width="14.7265625" style="1" bestFit="1" customWidth="1"/>
    <col min="14655" max="14656" width="13.54296875" style="1" bestFit="1" customWidth="1"/>
    <col min="14657" max="14657" width="12.453125" style="1" bestFit="1" customWidth="1"/>
    <col min="14658" max="14658" width="11.54296875" style="1" bestFit="1" customWidth="1"/>
    <col min="14659" max="14659" width="13.54296875" style="1" bestFit="1" customWidth="1"/>
    <col min="14660" max="14661" width="12.453125" style="1" bestFit="1" customWidth="1"/>
    <col min="14662" max="14662" width="5.453125" style="1" bestFit="1" customWidth="1"/>
    <col min="14663" max="14663" width="13.54296875" style="1" bestFit="1" customWidth="1"/>
    <col min="14664" max="14664" width="11.54296875" style="1" bestFit="1" customWidth="1"/>
    <col min="14665" max="14665" width="12.453125" style="1" bestFit="1" customWidth="1"/>
    <col min="14666" max="14666" width="11.54296875" style="1" bestFit="1" customWidth="1"/>
    <col min="14667" max="14667" width="12.453125" style="1" bestFit="1" customWidth="1"/>
    <col min="14668" max="14668" width="14.7265625" style="1" bestFit="1" customWidth="1"/>
    <col min="14669" max="14848" width="8.81640625" style="1"/>
    <col min="14849" max="14849" width="11" style="1" bestFit="1" customWidth="1"/>
    <col min="14850" max="14850" width="46.453125" style="1" bestFit="1" customWidth="1"/>
    <col min="14851" max="14851" width="9.453125" style="1" bestFit="1" customWidth="1"/>
    <col min="14852" max="14852" width="13.54296875" style="1" bestFit="1" customWidth="1"/>
    <col min="14853" max="14854" width="11.453125" style="1" bestFit="1" customWidth="1"/>
    <col min="14855" max="14855" width="10.453125" style="1" bestFit="1" customWidth="1"/>
    <col min="14856" max="14856" width="13.7265625" style="1" bestFit="1" customWidth="1"/>
    <col min="14857" max="14857" width="5.453125" style="1" bestFit="1" customWidth="1"/>
    <col min="14858" max="14858" width="14.7265625" style="1" bestFit="1" customWidth="1"/>
    <col min="14859" max="14859" width="8.453125" style="1" bestFit="1" customWidth="1"/>
    <col min="14860" max="14860" width="13.7265625" style="1" bestFit="1" customWidth="1"/>
    <col min="14861" max="14861" width="12.453125" style="1" bestFit="1" customWidth="1"/>
    <col min="14862" max="14862" width="11.453125" style="1" bestFit="1" customWidth="1"/>
    <col min="14863" max="14863" width="8.453125" style="1" bestFit="1" customWidth="1"/>
    <col min="14864" max="14864" width="12.453125" style="1" bestFit="1" customWidth="1"/>
    <col min="14865" max="14866" width="10.453125" style="1" bestFit="1" customWidth="1"/>
    <col min="14867" max="14867" width="8.453125" style="1" bestFit="1" customWidth="1"/>
    <col min="14868" max="14872" width="12.453125" style="1" bestFit="1" customWidth="1"/>
    <col min="14873" max="14873" width="10.54296875" style="1" bestFit="1" customWidth="1"/>
    <col min="14874" max="14874" width="11.453125" style="1" bestFit="1" customWidth="1"/>
    <col min="14875" max="14876" width="12.54296875" style="1" bestFit="1" customWidth="1"/>
    <col min="14877" max="14877" width="9.453125" style="1" bestFit="1" customWidth="1"/>
    <col min="14878" max="14879" width="12.453125" style="1" bestFit="1" customWidth="1"/>
    <col min="14880" max="14880" width="10.453125" style="1" bestFit="1" customWidth="1"/>
    <col min="14881" max="14885" width="12.453125" style="1" bestFit="1" customWidth="1"/>
    <col min="14886" max="14887" width="10.453125" style="1" bestFit="1" customWidth="1"/>
    <col min="14888" max="14888" width="13.7265625" style="1" bestFit="1" customWidth="1"/>
    <col min="14889" max="14889" width="12.453125" style="1" bestFit="1" customWidth="1"/>
    <col min="14890" max="14890" width="10.453125" style="1" bestFit="1" customWidth="1"/>
    <col min="14891" max="14891" width="11.54296875" style="1" bestFit="1" customWidth="1"/>
    <col min="14892" max="14892" width="9.453125" style="1" bestFit="1" customWidth="1"/>
    <col min="14893" max="14893" width="13.54296875" style="1" bestFit="1" customWidth="1"/>
    <col min="14894" max="14894" width="12.453125" style="1" bestFit="1" customWidth="1"/>
    <col min="14895" max="14895" width="11.453125" style="1" bestFit="1" customWidth="1"/>
    <col min="14896" max="14897" width="12.453125" style="1" bestFit="1" customWidth="1"/>
    <col min="14898" max="14898" width="13.54296875" style="1" bestFit="1" customWidth="1"/>
    <col min="14899" max="14899" width="12.453125" style="1" bestFit="1" customWidth="1"/>
    <col min="14900" max="14900" width="13.54296875" style="1" bestFit="1" customWidth="1"/>
    <col min="14901" max="14901" width="11.453125" style="1" bestFit="1" customWidth="1"/>
    <col min="14902" max="14902" width="13.54296875" style="1" bestFit="1" customWidth="1"/>
    <col min="14903" max="14903" width="13.7265625" style="1" bestFit="1" customWidth="1"/>
    <col min="14904" max="14904" width="12.453125" style="1" bestFit="1" customWidth="1"/>
    <col min="14905" max="14905" width="10.453125" style="1" bestFit="1" customWidth="1"/>
    <col min="14906" max="14906" width="10.54296875" style="1" bestFit="1" customWidth="1"/>
    <col min="14907" max="14907" width="10.453125" style="1" bestFit="1" customWidth="1"/>
    <col min="14908" max="14908" width="10.54296875" style="1" bestFit="1" customWidth="1"/>
    <col min="14909" max="14909" width="12.54296875" style="1" bestFit="1" customWidth="1"/>
    <col min="14910" max="14910" width="14.7265625" style="1" bestFit="1" customWidth="1"/>
    <col min="14911" max="14912" width="13.54296875" style="1" bestFit="1" customWidth="1"/>
    <col min="14913" max="14913" width="12.453125" style="1" bestFit="1" customWidth="1"/>
    <col min="14914" max="14914" width="11.54296875" style="1" bestFit="1" customWidth="1"/>
    <col min="14915" max="14915" width="13.54296875" style="1" bestFit="1" customWidth="1"/>
    <col min="14916" max="14917" width="12.453125" style="1" bestFit="1" customWidth="1"/>
    <col min="14918" max="14918" width="5.453125" style="1" bestFit="1" customWidth="1"/>
    <col min="14919" max="14919" width="13.54296875" style="1" bestFit="1" customWidth="1"/>
    <col min="14920" max="14920" width="11.54296875" style="1" bestFit="1" customWidth="1"/>
    <col min="14921" max="14921" width="12.453125" style="1" bestFit="1" customWidth="1"/>
    <col min="14922" max="14922" width="11.54296875" style="1" bestFit="1" customWidth="1"/>
    <col min="14923" max="14923" width="12.453125" style="1" bestFit="1" customWidth="1"/>
    <col min="14924" max="14924" width="14.7265625" style="1" bestFit="1" customWidth="1"/>
    <col min="14925" max="15104" width="8.81640625" style="1"/>
    <col min="15105" max="15105" width="11" style="1" bestFit="1" customWidth="1"/>
    <col min="15106" max="15106" width="46.453125" style="1" bestFit="1" customWidth="1"/>
    <col min="15107" max="15107" width="9.453125" style="1" bestFit="1" customWidth="1"/>
    <col min="15108" max="15108" width="13.54296875" style="1" bestFit="1" customWidth="1"/>
    <col min="15109" max="15110" width="11.453125" style="1" bestFit="1" customWidth="1"/>
    <col min="15111" max="15111" width="10.453125" style="1" bestFit="1" customWidth="1"/>
    <col min="15112" max="15112" width="13.7265625" style="1" bestFit="1" customWidth="1"/>
    <col min="15113" max="15113" width="5.453125" style="1" bestFit="1" customWidth="1"/>
    <col min="15114" max="15114" width="14.7265625" style="1" bestFit="1" customWidth="1"/>
    <col min="15115" max="15115" width="8.453125" style="1" bestFit="1" customWidth="1"/>
    <col min="15116" max="15116" width="13.7265625" style="1" bestFit="1" customWidth="1"/>
    <col min="15117" max="15117" width="12.453125" style="1" bestFit="1" customWidth="1"/>
    <col min="15118" max="15118" width="11.453125" style="1" bestFit="1" customWidth="1"/>
    <col min="15119" max="15119" width="8.453125" style="1" bestFit="1" customWidth="1"/>
    <col min="15120" max="15120" width="12.453125" style="1" bestFit="1" customWidth="1"/>
    <col min="15121" max="15122" width="10.453125" style="1" bestFit="1" customWidth="1"/>
    <col min="15123" max="15123" width="8.453125" style="1" bestFit="1" customWidth="1"/>
    <col min="15124" max="15128" width="12.453125" style="1" bestFit="1" customWidth="1"/>
    <col min="15129" max="15129" width="10.54296875" style="1" bestFit="1" customWidth="1"/>
    <col min="15130" max="15130" width="11.453125" style="1" bestFit="1" customWidth="1"/>
    <col min="15131" max="15132" width="12.54296875" style="1" bestFit="1" customWidth="1"/>
    <col min="15133" max="15133" width="9.453125" style="1" bestFit="1" customWidth="1"/>
    <col min="15134" max="15135" width="12.453125" style="1" bestFit="1" customWidth="1"/>
    <col min="15136" max="15136" width="10.453125" style="1" bestFit="1" customWidth="1"/>
    <col min="15137" max="15141" width="12.453125" style="1" bestFit="1" customWidth="1"/>
    <col min="15142" max="15143" width="10.453125" style="1" bestFit="1" customWidth="1"/>
    <col min="15144" max="15144" width="13.7265625" style="1" bestFit="1" customWidth="1"/>
    <col min="15145" max="15145" width="12.453125" style="1" bestFit="1" customWidth="1"/>
    <col min="15146" max="15146" width="10.453125" style="1" bestFit="1" customWidth="1"/>
    <col min="15147" max="15147" width="11.54296875" style="1" bestFit="1" customWidth="1"/>
    <col min="15148" max="15148" width="9.453125" style="1" bestFit="1" customWidth="1"/>
    <col min="15149" max="15149" width="13.54296875" style="1" bestFit="1" customWidth="1"/>
    <col min="15150" max="15150" width="12.453125" style="1" bestFit="1" customWidth="1"/>
    <col min="15151" max="15151" width="11.453125" style="1" bestFit="1" customWidth="1"/>
    <col min="15152" max="15153" width="12.453125" style="1" bestFit="1" customWidth="1"/>
    <col min="15154" max="15154" width="13.54296875" style="1" bestFit="1" customWidth="1"/>
    <col min="15155" max="15155" width="12.453125" style="1" bestFit="1" customWidth="1"/>
    <col min="15156" max="15156" width="13.54296875" style="1" bestFit="1" customWidth="1"/>
    <col min="15157" max="15157" width="11.453125" style="1" bestFit="1" customWidth="1"/>
    <col min="15158" max="15158" width="13.54296875" style="1" bestFit="1" customWidth="1"/>
    <col min="15159" max="15159" width="13.7265625" style="1" bestFit="1" customWidth="1"/>
    <col min="15160" max="15160" width="12.453125" style="1" bestFit="1" customWidth="1"/>
    <col min="15161" max="15161" width="10.453125" style="1" bestFit="1" customWidth="1"/>
    <col min="15162" max="15162" width="10.54296875" style="1" bestFit="1" customWidth="1"/>
    <col min="15163" max="15163" width="10.453125" style="1" bestFit="1" customWidth="1"/>
    <col min="15164" max="15164" width="10.54296875" style="1" bestFit="1" customWidth="1"/>
    <col min="15165" max="15165" width="12.54296875" style="1" bestFit="1" customWidth="1"/>
    <col min="15166" max="15166" width="14.7265625" style="1" bestFit="1" customWidth="1"/>
    <col min="15167" max="15168" width="13.54296875" style="1" bestFit="1" customWidth="1"/>
    <col min="15169" max="15169" width="12.453125" style="1" bestFit="1" customWidth="1"/>
    <col min="15170" max="15170" width="11.54296875" style="1" bestFit="1" customWidth="1"/>
    <col min="15171" max="15171" width="13.54296875" style="1" bestFit="1" customWidth="1"/>
    <col min="15172" max="15173" width="12.453125" style="1" bestFit="1" customWidth="1"/>
    <col min="15174" max="15174" width="5.453125" style="1" bestFit="1" customWidth="1"/>
    <col min="15175" max="15175" width="13.54296875" style="1" bestFit="1" customWidth="1"/>
    <col min="15176" max="15176" width="11.54296875" style="1" bestFit="1" customWidth="1"/>
    <col min="15177" max="15177" width="12.453125" style="1" bestFit="1" customWidth="1"/>
    <col min="15178" max="15178" width="11.54296875" style="1" bestFit="1" customWidth="1"/>
    <col min="15179" max="15179" width="12.453125" style="1" bestFit="1" customWidth="1"/>
    <col min="15180" max="15180" width="14.7265625" style="1" bestFit="1" customWidth="1"/>
    <col min="15181" max="15360" width="8.81640625" style="1"/>
    <col min="15361" max="15361" width="11" style="1" bestFit="1" customWidth="1"/>
    <col min="15362" max="15362" width="46.453125" style="1" bestFit="1" customWidth="1"/>
    <col min="15363" max="15363" width="9.453125" style="1" bestFit="1" customWidth="1"/>
    <col min="15364" max="15364" width="13.54296875" style="1" bestFit="1" customWidth="1"/>
    <col min="15365" max="15366" width="11.453125" style="1" bestFit="1" customWidth="1"/>
    <col min="15367" max="15367" width="10.453125" style="1" bestFit="1" customWidth="1"/>
    <col min="15368" max="15368" width="13.7265625" style="1" bestFit="1" customWidth="1"/>
    <col min="15369" max="15369" width="5.453125" style="1" bestFit="1" customWidth="1"/>
    <col min="15370" max="15370" width="14.7265625" style="1" bestFit="1" customWidth="1"/>
    <col min="15371" max="15371" width="8.453125" style="1" bestFit="1" customWidth="1"/>
    <col min="15372" max="15372" width="13.7265625" style="1" bestFit="1" customWidth="1"/>
    <col min="15373" max="15373" width="12.453125" style="1" bestFit="1" customWidth="1"/>
    <col min="15374" max="15374" width="11.453125" style="1" bestFit="1" customWidth="1"/>
    <col min="15375" max="15375" width="8.453125" style="1" bestFit="1" customWidth="1"/>
    <col min="15376" max="15376" width="12.453125" style="1" bestFit="1" customWidth="1"/>
    <col min="15377" max="15378" width="10.453125" style="1" bestFit="1" customWidth="1"/>
    <col min="15379" max="15379" width="8.453125" style="1" bestFit="1" customWidth="1"/>
    <col min="15380" max="15384" width="12.453125" style="1" bestFit="1" customWidth="1"/>
    <col min="15385" max="15385" width="10.54296875" style="1" bestFit="1" customWidth="1"/>
    <col min="15386" max="15386" width="11.453125" style="1" bestFit="1" customWidth="1"/>
    <col min="15387" max="15388" width="12.54296875" style="1" bestFit="1" customWidth="1"/>
    <col min="15389" max="15389" width="9.453125" style="1" bestFit="1" customWidth="1"/>
    <col min="15390" max="15391" width="12.453125" style="1" bestFit="1" customWidth="1"/>
    <col min="15392" max="15392" width="10.453125" style="1" bestFit="1" customWidth="1"/>
    <col min="15393" max="15397" width="12.453125" style="1" bestFit="1" customWidth="1"/>
    <col min="15398" max="15399" width="10.453125" style="1" bestFit="1" customWidth="1"/>
    <col min="15400" max="15400" width="13.7265625" style="1" bestFit="1" customWidth="1"/>
    <col min="15401" max="15401" width="12.453125" style="1" bestFit="1" customWidth="1"/>
    <col min="15402" max="15402" width="10.453125" style="1" bestFit="1" customWidth="1"/>
    <col min="15403" max="15403" width="11.54296875" style="1" bestFit="1" customWidth="1"/>
    <col min="15404" max="15404" width="9.453125" style="1" bestFit="1" customWidth="1"/>
    <col min="15405" max="15405" width="13.54296875" style="1" bestFit="1" customWidth="1"/>
    <col min="15406" max="15406" width="12.453125" style="1" bestFit="1" customWidth="1"/>
    <col min="15407" max="15407" width="11.453125" style="1" bestFit="1" customWidth="1"/>
    <col min="15408" max="15409" width="12.453125" style="1" bestFit="1" customWidth="1"/>
    <col min="15410" max="15410" width="13.54296875" style="1" bestFit="1" customWidth="1"/>
    <col min="15411" max="15411" width="12.453125" style="1" bestFit="1" customWidth="1"/>
    <col min="15412" max="15412" width="13.54296875" style="1" bestFit="1" customWidth="1"/>
    <col min="15413" max="15413" width="11.453125" style="1" bestFit="1" customWidth="1"/>
    <col min="15414" max="15414" width="13.54296875" style="1" bestFit="1" customWidth="1"/>
    <col min="15415" max="15415" width="13.7265625" style="1" bestFit="1" customWidth="1"/>
    <col min="15416" max="15416" width="12.453125" style="1" bestFit="1" customWidth="1"/>
    <col min="15417" max="15417" width="10.453125" style="1" bestFit="1" customWidth="1"/>
    <col min="15418" max="15418" width="10.54296875" style="1" bestFit="1" customWidth="1"/>
    <col min="15419" max="15419" width="10.453125" style="1" bestFit="1" customWidth="1"/>
    <col min="15420" max="15420" width="10.54296875" style="1" bestFit="1" customWidth="1"/>
    <col min="15421" max="15421" width="12.54296875" style="1" bestFit="1" customWidth="1"/>
    <col min="15422" max="15422" width="14.7265625" style="1" bestFit="1" customWidth="1"/>
    <col min="15423" max="15424" width="13.54296875" style="1" bestFit="1" customWidth="1"/>
    <col min="15425" max="15425" width="12.453125" style="1" bestFit="1" customWidth="1"/>
    <col min="15426" max="15426" width="11.54296875" style="1" bestFit="1" customWidth="1"/>
    <col min="15427" max="15427" width="13.54296875" style="1" bestFit="1" customWidth="1"/>
    <col min="15428" max="15429" width="12.453125" style="1" bestFit="1" customWidth="1"/>
    <col min="15430" max="15430" width="5.453125" style="1" bestFit="1" customWidth="1"/>
    <col min="15431" max="15431" width="13.54296875" style="1" bestFit="1" customWidth="1"/>
    <col min="15432" max="15432" width="11.54296875" style="1" bestFit="1" customWidth="1"/>
    <col min="15433" max="15433" width="12.453125" style="1" bestFit="1" customWidth="1"/>
    <col min="15434" max="15434" width="11.54296875" style="1" bestFit="1" customWidth="1"/>
    <col min="15435" max="15435" width="12.453125" style="1" bestFit="1" customWidth="1"/>
    <col min="15436" max="15436" width="14.7265625" style="1" bestFit="1" customWidth="1"/>
    <col min="15437" max="15616" width="8.81640625" style="1"/>
    <col min="15617" max="15617" width="11" style="1" bestFit="1" customWidth="1"/>
    <col min="15618" max="15618" width="46.453125" style="1" bestFit="1" customWidth="1"/>
    <col min="15619" max="15619" width="9.453125" style="1" bestFit="1" customWidth="1"/>
    <col min="15620" max="15620" width="13.54296875" style="1" bestFit="1" customWidth="1"/>
    <col min="15621" max="15622" width="11.453125" style="1" bestFit="1" customWidth="1"/>
    <col min="15623" max="15623" width="10.453125" style="1" bestFit="1" customWidth="1"/>
    <col min="15624" max="15624" width="13.7265625" style="1" bestFit="1" customWidth="1"/>
    <col min="15625" max="15625" width="5.453125" style="1" bestFit="1" customWidth="1"/>
    <col min="15626" max="15626" width="14.7265625" style="1" bestFit="1" customWidth="1"/>
    <col min="15627" max="15627" width="8.453125" style="1" bestFit="1" customWidth="1"/>
    <col min="15628" max="15628" width="13.7265625" style="1" bestFit="1" customWidth="1"/>
    <col min="15629" max="15629" width="12.453125" style="1" bestFit="1" customWidth="1"/>
    <col min="15630" max="15630" width="11.453125" style="1" bestFit="1" customWidth="1"/>
    <col min="15631" max="15631" width="8.453125" style="1" bestFit="1" customWidth="1"/>
    <col min="15632" max="15632" width="12.453125" style="1" bestFit="1" customWidth="1"/>
    <col min="15633" max="15634" width="10.453125" style="1" bestFit="1" customWidth="1"/>
    <col min="15635" max="15635" width="8.453125" style="1" bestFit="1" customWidth="1"/>
    <col min="15636" max="15640" width="12.453125" style="1" bestFit="1" customWidth="1"/>
    <col min="15641" max="15641" width="10.54296875" style="1" bestFit="1" customWidth="1"/>
    <col min="15642" max="15642" width="11.453125" style="1" bestFit="1" customWidth="1"/>
    <col min="15643" max="15644" width="12.54296875" style="1" bestFit="1" customWidth="1"/>
    <col min="15645" max="15645" width="9.453125" style="1" bestFit="1" customWidth="1"/>
    <col min="15646" max="15647" width="12.453125" style="1" bestFit="1" customWidth="1"/>
    <col min="15648" max="15648" width="10.453125" style="1" bestFit="1" customWidth="1"/>
    <col min="15649" max="15653" width="12.453125" style="1" bestFit="1" customWidth="1"/>
    <col min="15654" max="15655" width="10.453125" style="1" bestFit="1" customWidth="1"/>
    <col min="15656" max="15656" width="13.7265625" style="1" bestFit="1" customWidth="1"/>
    <col min="15657" max="15657" width="12.453125" style="1" bestFit="1" customWidth="1"/>
    <col min="15658" max="15658" width="10.453125" style="1" bestFit="1" customWidth="1"/>
    <col min="15659" max="15659" width="11.54296875" style="1" bestFit="1" customWidth="1"/>
    <col min="15660" max="15660" width="9.453125" style="1" bestFit="1" customWidth="1"/>
    <col min="15661" max="15661" width="13.54296875" style="1" bestFit="1" customWidth="1"/>
    <col min="15662" max="15662" width="12.453125" style="1" bestFit="1" customWidth="1"/>
    <col min="15663" max="15663" width="11.453125" style="1" bestFit="1" customWidth="1"/>
    <col min="15664" max="15665" width="12.453125" style="1" bestFit="1" customWidth="1"/>
    <col min="15666" max="15666" width="13.54296875" style="1" bestFit="1" customWidth="1"/>
    <col min="15667" max="15667" width="12.453125" style="1" bestFit="1" customWidth="1"/>
    <col min="15668" max="15668" width="13.54296875" style="1" bestFit="1" customWidth="1"/>
    <col min="15669" max="15669" width="11.453125" style="1" bestFit="1" customWidth="1"/>
    <col min="15670" max="15670" width="13.54296875" style="1" bestFit="1" customWidth="1"/>
    <col min="15671" max="15671" width="13.7265625" style="1" bestFit="1" customWidth="1"/>
    <col min="15672" max="15672" width="12.453125" style="1" bestFit="1" customWidth="1"/>
    <col min="15673" max="15673" width="10.453125" style="1" bestFit="1" customWidth="1"/>
    <col min="15674" max="15674" width="10.54296875" style="1" bestFit="1" customWidth="1"/>
    <col min="15675" max="15675" width="10.453125" style="1" bestFit="1" customWidth="1"/>
    <col min="15676" max="15676" width="10.54296875" style="1" bestFit="1" customWidth="1"/>
    <col min="15677" max="15677" width="12.54296875" style="1" bestFit="1" customWidth="1"/>
    <col min="15678" max="15678" width="14.7265625" style="1" bestFit="1" customWidth="1"/>
    <col min="15679" max="15680" width="13.54296875" style="1" bestFit="1" customWidth="1"/>
    <col min="15681" max="15681" width="12.453125" style="1" bestFit="1" customWidth="1"/>
    <col min="15682" max="15682" width="11.54296875" style="1" bestFit="1" customWidth="1"/>
    <col min="15683" max="15683" width="13.54296875" style="1" bestFit="1" customWidth="1"/>
    <col min="15684" max="15685" width="12.453125" style="1" bestFit="1" customWidth="1"/>
    <col min="15686" max="15686" width="5.453125" style="1" bestFit="1" customWidth="1"/>
    <col min="15687" max="15687" width="13.54296875" style="1" bestFit="1" customWidth="1"/>
    <col min="15688" max="15688" width="11.54296875" style="1" bestFit="1" customWidth="1"/>
    <col min="15689" max="15689" width="12.453125" style="1" bestFit="1" customWidth="1"/>
    <col min="15690" max="15690" width="11.54296875" style="1" bestFit="1" customWidth="1"/>
    <col min="15691" max="15691" width="12.453125" style="1" bestFit="1" customWidth="1"/>
    <col min="15692" max="15692" width="14.7265625" style="1" bestFit="1" customWidth="1"/>
    <col min="15693" max="15872" width="8.81640625" style="1"/>
    <col min="15873" max="15873" width="11" style="1" bestFit="1" customWidth="1"/>
    <col min="15874" max="15874" width="46.453125" style="1" bestFit="1" customWidth="1"/>
    <col min="15875" max="15875" width="9.453125" style="1" bestFit="1" customWidth="1"/>
    <col min="15876" max="15876" width="13.54296875" style="1" bestFit="1" customWidth="1"/>
    <col min="15877" max="15878" width="11.453125" style="1" bestFit="1" customWidth="1"/>
    <col min="15879" max="15879" width="10.453125" style="1" bestFit="1" customWidth="1"/>
    <col min="15880" max="15880" width="13.7265625" style="1" bestFit="1" customWidth="1"/>
    <col min="15881" max="15881" width="5.453125" style="1" bestFit="1" customWidth="1"/>
    <col min="15882" max="15882" width="14.7265625" style="1" bestFit="1" customWidth="1"/>
    <col min="15883" max="15883" width="8.453125" style="1" bestFit="1" customWidth="1"/>
    <col min="15884" max="15884" width="13.7265625" style="1" bestFit="1" customWidth="1"/>
    <col min="15885" max="15885" width="12.453125" style="1" bestFit="1" customWidth="1"/>
    <col min="15886" max="15886" width="11.453125" style="1" bestFit="1" customWidth="1"/>
    <col min="15887" max="15887" width="8.453125" style="1" bestFit="1" customWidth="1"/>
    <col min="15888" max="15888" width="12.453125" style="1" bestFit="1" customWidth="1"/>
    <col min="15889" max="15890" width="10.453125" style="1" bestFit="1" customWidth="1"/>
    <col min="15891" max="15891" width="8.453125" style="1" bestFit="1" customWidth="1"/>
    <col min="15892" max="15896" width="12.453125" style="1" bestFit="1" customWidth="1"/>
    <col min="15897" max="15897" width="10.54296875" style="1" bestFit="1" customWidth="1"/>
    <col min="15898" max="15898" width="11.453125" style="1" bestFit="1" customWidth="1"/>
    <col min="15899" max="15900" width="12.54296875" style="1" bestFit="1" customWidth="1"/>
    <col min="15901" max="15901" width="9.453125" style="1" bestFit="1" customWidth="1"/>
    <col min="15902" max="15903" width="12.453125" style="1" bestFit="1" customWidth="1"/>
    <col min="15904" max="15904" width="10.453125" style="1" bestFit="1" customWidth="1"/>
    <col min="15905" max="15909" width="12.453125" style="1" bestFit="1" customWidth="1"/>
    <col min="15910" max="15911" width="10.453125" style="1" bestFit="1" customWidth="1"/>
    <col min="15912" max="15912" width="13.7265625" style="1" bestFit="1" customWidth="1"/>
    <col min="15913" max="15913" width="12.453125" style="1" bestFit="1" customWidth="1"/>
    <col min="15914" max="15914" width="10.453125" style="1" bestFit="1" customWidth="1"/>
    <col min="15915" max="15915" width="11.54296875" style="1" bestFit="1" customWidth="1"/>
    <col min="15916" max="15916" width="9.453125" style="1" bestFit="1" customWidth="1"/>
    <col min="15917" max="15917" width="13.54296875" style="1" bestFit="1" customWidth="1"/>
    <col min="15918" max="15918" width="12.453125" style="1" bestFit="1" customWidth="1"/>
    <col min="15919" max="15919" width="11.453125" style="1" bestFit="1" customWidth="1"/>
    <col min="15920" max="15921" width="12.453125" style="1" bestFit="1" customWidth="1"/>
    <col min="15922" max="15922" width="13.54296875" style="1" bestFit="1" customWidth="1"/>
    <col min="15923" max="15923" width="12.453125" style="1" bestFit="1" customWidth="1"/>
    <col min="15924" max="15924" width="13.54296875" style="1" bestFit="1" customWidth="1"/>
    <col min="15925" max="15925" width="11.453125" style="1" bestFit="1" customWidth="1"/>
    <col min="15926" max="15926" width="13.54296875" style="1" bestFit="1" customWidth="1"/>
    <col min="15927" max="15927" width="13.7265625" style="1" bestFit="1" customWidth="1"/>
    <col min="15928" max="15928" width="12.453125" style="1" bestFit="1" customWidth="1"/>
    <col min="15929" max="15929" width="10.453125" style="1" bestFit="1" customWidth="1"/>
    <col min="15930" max="15930" width="10.54296875" style="1" bestFit="1" customWidth="1"/>
    <col min="15931" max="15931" width="10.453125" style="1" bestFit="1" customWidth="1"/>
    <col min="15932" max="15932" width="10.54296875" style="1" bestFit="1" customWidth="1"/>
    <col min="15933" max="15933" width="12.54296875" style="1" bestFit="1" customWidth="1"/>
    <col min="15934" max="15934" width="14.7265625" style="1" bestFit="1" customWidth="1"/>
    <col min="15935" max="15936" width="13.54296875" style="1" bestFit="1" customWidth="1"/>
    <col min="15937" max="15937" width="12.453125" style="1" bestFit="1" customWidth="1"/>
    <col min="15938" max="15938" width="11.54296875" style="1" bestFit="1" customWidth="1"/>
    <col min="15939" max="15939" width="13.54296875" style="1" bestFit="1" customWidth="1"/>
    <col min="15940" max="15941" width="12.453125" style="1" bestFit="1" customWidth="1"/>
    <col min="15942" max="15942" width="5.453125" style="1" bestFit="1" customWidth="1"/>
    <col min="15943" max="15943" width="13.54296875" style="1" bestFit="1" customWidth="1"/>
    <col min="15944" max="15944" width="11.54296875" style="1" bestFit="1" customWidth="1"/>
    <col min="15945" max="15945" width="12.453125" style="1" bestFit="1" customWidth="1"/>
    <col min="15946" max="15946" width="11.54296875" style="1" bestFit="1" customWidth="1"/>
    <col min="15947" max="15947" width="12.453125" style="1" bestFit="1" customWidth="1"/>
    <col min="15948" max="15948" width="14.7265625" style="1" bestFit="1" customWidth="1"/>
    <col min="15949" max="16128" width="8.81640625" style="1"/>
    <col min="16129" max="16129" width="11" style="1" bestFit="1" customWidth="1"/>
    <col min="16130" max="16130" width="46.453125" style="1" bestFit="1" customWidth="1"/>
    <col min="16131" max="16131" width="9.453125" style="1" bestFit="1" customWidth="1"/>
    <col min="16132" max="16132" width="13.54296875" style="1" bestFit="1" customWidth="1"/>
    <col min="16133" max="16134" width="11.453125" style="1" bestFit="1" customWidth="1"/>
    <col min="16135" max="16135" width="10.453125" style="1" bestFit="1" customWidth="1"/>
    <col min="16136" max="16136" width="13.7265625" style="1" bestFit="1" customWidth="1"/>
    <col min="16137" max="16137" width="5.453125" style="1" bestFit="1" customWidth="1"/>
    <col min="16138" max="16138" width="14.7265625" style="1" bestFit="1" customWidth="1"/>
    <col min="16139" max="16139" width="8.453125" style="1" bestFit="1" customWidth="1"/>
    <col min="16140" max="16140" width="13.7265625" style="1" bestFit="1" customWidth="1"/>
    <col min="16141" max="16141" width="12.453125" style="1" bestFit="1" customWidth="1"/>
    <col min="16142" max="16142" width="11.453125" style="1" bestFit="1" customWidth="1"/>
    <col min="16143" max="16143" width="8.453125" style="1" bestFit="1" customWidth="1"/>
    <col min="16144" max="16144" width="12.453125" style="1" bestFit="1" customWidth="1"/>
    <col min="16145" max="16146" width="10.453125" style="1" bestFit="1" customWidth="1"/>
    <col min="16147" max="16147" width="8.453125" style="1" bestFit="1" customWidth="1"/>
    <col min="16148" max="16152" width="12.453125" style="1" bestFit="1" customWidth="1"/>
    <col min="16153" max="16153" width="10.54296875" style="1" bestFit="1" customWidth="1"/>
    <col min="16154" max="16154" width="11.453125" style="1" bestFit="1" customWidth="1"/>
    <col min="16155" max="16156" width="12.54296875" style="1" bestFit="1" customWidth="1"/>
    <col min="16157" max="16157" width="9.453125" style="1" bestFit="1" customWidth="1"/>
    <col min="16158" max="16159" width="12.453125" style="1" bestFit="1" customWidth="1"/>
    <col min="16160" max="16160" width="10.453125" style="1" bestFit="1" customWidth="1"/>
    <col min="16161" max="16165" width="12.453125" style="1" bestFit="1" customWidth="1"/>
    <col min="16166" max="16167" width="10.453125" style="1" bestFit="1" customWidth="1"/>
    <col min="16168" max="16168" width="13.7265625" style="1" bestFit="1" customWidth="1"/>
    <col min="16169" max="16169" width="12.453125" style="1" bestFit="1" customWidth="1"/>
    <col min="16170" max="16170" width="10.453125" style="1" bestFit="1" customWidth="1"/>
    <col min="16171" max="16171" width="11.54296875" style="1" bestFit="1" customWidth="1"/>
    <col min="16172" max="16172" width="9.453125" style="1" bestFit="1" customWidth="1"/>
    <col min="16173" max="16173" width="13.54296875" style="1" bestFit="1" customWidth="1"/>
    <col min="16174" max="16174" width="12.453125" style="1" bestFit="1" customWidth="1"/>
    <col min="16175" max="16175" width="11.453125" style="1" bestFit="1" customWidth="1"/>
    <col min="16176" max="16177" width="12.453125" style="1" bestFit="1" customWidth="1"/>
    <col min="16178" max="16178" width="13.54296875" style="1" bestFit="1" customWidth="1"/>
    <col min="16179" max="16179" width="12.453125" style="1" bestFit="1" customWidth="1"/>
    <col min="16180" max="16180" width="13.54296875" style="1" bestFit="1" customWidth="1"/>
    <col min="16181" max="16181" width="11.453125" style="1" bestFit="1" customWidth="1"/>
    <col min="16182" max="16182" width="13.54296875" style="1" bestFit="1" customWidth="1"/>
    <col min="16183" max="16183" width="13.7265625" style="1" bestFit="1" customWidth="1"/>
    <col min="16184" max="16184" width="12.453125" style="1" bestFit="1" customWidth="1"/>
    <col min="16185" max="16185" width="10.453125" style="1" bestFit="1" customWidth="1"/>
    <col min="16186" max="16186" width="10.54296875" style="1" bestFit="1" customWidth="1"/>
    <col min="16187" max="16187" width="10.453125" style="1" bestFit="1" customWidth="1"/>
    <col min="16188" max="16188" width="10.54296875" style="1" bestFit="1" customWidth="1"/>
    <col min="16189" max="16189" width="12.54296875" style="1" bestFit="1" customWidth="1"/>
    <col min="16190" max="16190" width="14.7265625" style="1" bestFit="1" customWidth="1"/>
    <col min="16191" max="16192" width="13.54296875" style="1" bestFit="1" customWidth="1"/>
    <col min="16193" max="16193" width="12.453125" style="1" bestFit="1" customWidth="1"/>
    <col min="16194" max="16194" width="11.54296875" style="1" bestFit="1" customWidth="1"/>
    <col min="16195" max="16195" width="13.54296875" style="1" bestFit="1" customWidth="1"/>
    <col min="16196" max="16197" width="12.453125" style="1" bestFit="1" customWidth="1"/>
    <col min="16198" max="16198" width="5.453125" style="1" bestFit="1" customWidth="1"/>
    <col min="16199" max="16199" width="13.54296875" style="1" bestFit="1" customWidth="1"/>
    <col min="16200" max="16200" width="11.54296875" style="1" bestFit="1" customWidth="1"/>
    <col min="16201" max="16201" width="12.453125" style="1" bestFit="1" customWidth="1"/>
    <col min="16202" max="16202" width="11.54296875" style="1" bestFit="1" customWidth="1"/>
    <col min="16203" max="16203" width="12.453125" style="1" bestFit="1" customWidth="1"/>
    <col min="16204" max="16204" width="14.7265625" style="1" bestFit="1" customWidth="1"/>
    <col min="16205" max="16384" width="8.81640625" style="1"/>
  </cols>
  <sheetData>
    <row r="1" spans="1:76" x14ac:dyDescent="0.25">
      <c r="A1" s="4" t="s">
        <v>1859</v>
      </c>
    </row>
    <row r="2" spans="1:76" s="11" customFormat="1" x14ac:dyDescent="0.25">
      <c r="A2" s="10" t="s">
        <v>366</v>
      </c>
      <c r="B2" s="11" t="s">
        <v>54</v>
      </c>
      <c r="C2" s="12" t="s">
        <v>369</v>
      </c>
      <c r="D2" s="13" t="s">
        <v>371</v>
      </c>
      <c r="E2" s="12" t="s">
        <v>372</v>
      </c>
      <c r="F2" s="13" t="s">
        <v>373</v>
      </c>
      <c r="G2" s="12" t="s">
        <v>374</v>
      </c>
      <c r="H2" s="13" t="s">
        <v>375</v>
      </c>
      <c r="I2" s="12" t="s">
        <v>376</v>
      </c>
      <c r="J2" s="13" t="s">
        <v>377</v>
      </c>
      <c r="K2" s="12" t="s">
        <v>378</v>
      </c>
      <c r="L2" s="13" t="s">
        <v>897</v>
      </c>
      <c r="M2" s="12" t="s">
        <v>380</v>
      </c>
      <c r="N2" s="13" t="s">
        <v>891</v>
      </c>
      <c r="O2" s="12" t="s">
        <v>892</v>
      </c>
      <c r="P2" s="13" t="s">
        <v>1498</v>
      </c>
      <c r="Q2" s="12" t="s">
        <v>381</v>
      </c>
      <c r="R2" s="13" t="s">
        <v>382</v>
      </c>
      <c r="S2" s="12" t="s">
        <v>893</v>
      </c>
      <c r="T2" s="13" t="s">
        <v>894</v>
      </c>
      <c r="U2" s="12" t="s">
        <v>383</v>
      </c>
      <c r="V2" s="13" t="s">
        <v>384</v>
      </c>
      <c r="W2" s="12" t="s">
        <v>385</v>
      </c>
      <c r="X2" s="13" t="s">
        <v>790</v>
      </c>
      <c r="Y2" s="12" t="s">
        <v>387</v>
      </c>
      <c r="Z2" s="13" t="s">
        <v>390</v>
      </c>
      <c r="AA2" s="12" t="s">
        <v>391</v>
      </c>
      <c r="AB2" s="13" t="s">
        <v>392</v>
      </c>
      <c r="AC2" s="12" t="s">
        <v>393</v>
      </c>
      <c r="AD2" s="13" t="s">
        <v>394</v>
      </c>
      <c r="AE2" s="12" t="s">
        <v>896</v>
      </c>
      <c r="AF2" s="13" t="s">
        <v>395</v>
      </c>
      <c r="AG2" s="12" t="s">
        <v>396</v>
      </c>
      <c r="AH2" s="13" t="s">
        <v>397</v>
      </c>
      <c r="AI2" s="12" t="s">
        <v>398</v>
      </c>
      <c r="AJ2" s="13" t="s">
        <v>399</v>
      </c>
      <c r="AK2" s="12" t="s">
        <v>1717</v>
      </c>
      <c r="AL2" s="13" t="s">
        <v>402</v>
      </c>
      <c r="AM2" s="12" t="s">
        <v>404</v>
      </c>
      <c r="AN2" s="13" t="s">
        <v>406</v>
      </c>
      <c r="AO2" s="12" t="s">
        <v>408</v>
      </c>
      <c r="AP2" s="13" t="s">
        <v>410</v>
      </c>
      <c r="AQ2" s="12" t="s">
        <v>1765</v>
      </c>
      <c r="AR2" s="13" t="s">
        <v>1727</v>
      </c>
      <c r="AS2" s="12" t="s">
        <v>1505</v>
      </c>
      <c r="AT2" s="13" t="s">
        <v>1588</v>
      </c>
      <c r="AU2" s="12" t="s">
        <v>898</v>
      </c>
      <c r="AV2" s="13" t="s">
        <v>411</v>
      </c>
      <c r="AW2" s="12" t="s">
        <v>412</v>
      </c>
      <c r="AX2" s="13" t="s">
        <v>415</v>
      </c>
      <c r="AY2" s="12" t="s">
        <v>416</v>
      </c>
      <c r="AZ2" s="13" t="s">
        <v>417</v>
      </c>
      <c r="BA2" s="12" t="s">
        <v>1840</v>
      </c>
      <c r="BB2" s="13" t="s">
        <v>418</v>
      </c>
      <c r="BC2" s="12" t="s">
        <v>419</v>
      </c>
      <c r="BD2" s="13" t="s">
        <v>420</v>
      </c>
      <c r="BE2" s="12" t="s">
        <v>422</v>
      </c>
      <c r="BF2" s="13" t="s">
        <v>425</v>
      </c>
      <c r="BG2" s="12" t="s">
        <v>793</v>
      </c>
      <c r="BH2" s="13" t="s">
        <v>799</v>
      </c>
      <c r="BI2" s="12" t="s">
        <v>435</v>
      </c>
      <c r="BJ2" s="13" t="s">
        <v>454</v>
      </c>
      <c r="BK2" s="12" t="s">
        <v>457</v>
      </c>
      <c r="BL2" s="13" t="s">
        <v>458</v>
      </c>
      <c r="BM2" s="12" t="s">
        <v>1766</v>
      </c>
      <c r="BN2" s="13" t="s">
        <v>1767</v>
      </c>
      <c r="BO2" s="12" t="s">
        <v>459</v>
      </c>
      <c r="BP2" s="13" t="s">
        <v>460</v>
      </c>
      <c r="BQ2" s="12" t="s">
        <v>461</v>
      </c>
      <c r="BR2" s="13" t="s">
        <v>462</v>
      </c>
      <c r="BS2" s="12" t="s">
        <v>463</v>
      </c>
      <c r="BT2" s="13" t="s">
        <v>1722</v>
      </c>
      <c r="BU2" s="12" t="s">
        <v>470</v>
      </c>
      <c r="BV2" s="13" t="s">
        <v>1770</v>
      </c>
      <c r="BW2" s="12" t="s">
        <v>471</v>
      </c>
      <c r="BX2" s="14" t="s">
        <v>365</v>
      </c>
    </row>
    <row r="3" spans="1:76" s="16" customFormat="1" ht="13" thickBot="1" x14ac:dyDescent="0.3">
      <c r="A3" s="15" t="s">
        <v>367</v>
      </c>
      <c r="B3" s="16" t="s">
        <v>368</v>
      </c>
      <c r="C3" s="17" t="s">
        <v>370</v>
      </c>
      <c r="D3" s="18" t="s">
        <v>370</v>
      </c>
      <c r="E3" s="17" t="s">
        <v>370</v>
      </c>
      <c r="F3" s="18" t="s">
        <v>370</v>
      </c>
      <c r="G3" s="17" t="s">
        <v>370</v>
      </c>
      <c r="H3" s="18" t="s">
        <v>370</v>
      </c>
      <c r="I3" s="17" t="s">
        <v>370</v>
      </c>
      <c r="J3" s="18" t="s">
        <v>370</v>
      </c>
      <c r="K3" s="17" t="s">
        <v>370</v>
      </c>
      <c r="L3" s="18" t="s">
        <v>370</v>
      </c>
      <c r="M3" s="17" t="s">
        <v>370</v>
      </c>
      <c r="N3" s="18" t="s">
        <v>370</v>
      </c>
      <c r="O3" s="17" t="s">
        <v>370</v>
      </c>
      <c r="P3" s="18" t="s">
        <v>370</v>
      </c>
      <c r="Q3" s="17" t="s">
        <v>370</v>
      </c>
      <c r="R3" s="18" t="s">
        <v>370</v>
      </c>
      <c r="S3" s="17" t="s">
        <v>370</v>
      </c>
      <c r="T3" s="18" t="s">
        <v>370</v>
      </c>
      <c r="U3" s="17" t="s">
        <v>370</v>
      </c>
      <c r="V3" s="18" t="s">
        <v>370</v>
      </c>
      <c r="W3" s="17" t="s">
        <v>370</v>
      </c>
      <c r="X3" s="18" t="s">
        <v>370</v>
      </c>
      <c r="Y3" s="17" t="s">
        <v>370</v>
      </c>
      <c r="Z3" s="18" t="s">
        <v>370</v>
      </c>
      <c r="AA3" s="17" t="s">
        <v>370</v>
      </c>
      <c r="AB3" s="18" t="s">
        <v>370</v>
      </c>
      <c r="AC3" s="17" t="s">
        <v>370</v>
      </c>
      <c r="AD3" s="18" t="s">
        <v>370</v>
      </c>
      <c r="AE3" s="17" t="s">
        <v>370</v>
      </c>
      <c r="AF3" s="18" t="s">
        <v>370</v>
      </c>
      <c r="AG3" s="17" t="s">
        <v>370</v>
      </c>
      <c r="AH3" s="18" t="s">
        <v>370</v>
      </c>
      <c r="AI3" s="17" t="s">
        <v>370</v>
      </c>
      <c r="AJ3" s="18" t="s">
        <v>370</v>
      </c>
      <c r="AK3" s="17" t="s">
        <v>370</v>
      </c>
      <c r="AL3" s="18" t="s">
        <v>370</v>
      </c>
      <c r="AM3" s="17" t="s">
        <v>370</v>
      </c>
      <c r="AN3" s="18" t="s">
        <v>370</v>
      </c>
      <c r="AO3" s="17" t="s">
        <v>370</v>
      </c>
      <c r="AP3" s="18" t="s">
        <v>370</v>
      </c>
      <c r="AQ3" s="17" t="s">
        <v>370</v>
      </c>
      <c r="AR3" s="18" t="s">
        <v>370</v>
      </c>
      <c r="AS3" s="17" t="s">
        <v>370</v>
      </c>
      <c r="AT3" s="18" t="s">
        <v>370</v>
      </c>
      <c r="AU3" s="17" t="s">
        <v>370</v>
      </c>
      <c r="AV3" s="18" t="s">
        <v>370</v>
      </c>
      <c r="AW3" s="17" t="s">
        <v>370</v>
      </c>
      <c r="AX3" s="18" t="s">
        <v>370</v>
      </c>
      <c r="AY3" s="17" t="s">
        <v>370</v>
      </c>
      <c r="AZ3" s="18" t="s">
        <v>370</v>
      </c>
      <c r="BA3" s="17" t="s">
        <v>370</v>
      </c>
      <c r="BB3" s="18" t="s">
        <v>370</v>
      </c>
      <c r="BC3" s="17" t="s">
        <v>370</v>
      </c>
      <c r="BD3" s="18" t="s">
        <v>370</v>
      </c>
      <c r="BE3" s="17" t="s">
        <v>370</v>
      </c>
      <c r="BF3" s="18" t="s">
        <v>370</v>
      </c>
      <c r="BG3" s="17" t="s">
        <v>370</v>
      </c>
      <c r="BH3" s="18" t="s">
        <v>370</v>
      </c>
      <c r="BI3" s="17" t="s">
        <v>370</v>
      </c>
      <c r="BJ3" s="18" t="s">
        <v>370</v>
      </c>
      <c r="BK3" s="17" t="s">
        <v>370</v>
      </c>
      <c r="BL3" s="18" t="s">
        <v>370</v>
      </c>
      <c r="BM3" s="17" t="s">
        <v>370</v>
      </c>
      <c r="BN3" s="18" t="s">
        <v>370</v>
      </c>
      <c r="BO3" s="17" t="s">
        <v>370</v>
      </c>
      <c r="BP3" s="18" t="s">
        <v>370</v>
      </c>
      <c r="BQ3" s="17" t="s">
        <v>370</v>
      </c>
      <c r="BR3" s="18" t="s">
        <v>370</v>
      </c>
      <c r="BS3" s="17" t="s">
        <v>370</v>
      </c>
      <c r="BT3" s="18" t="s">
        <v>370</v>
      </c>
      <c r="BU3" s="17" t="s">
        <v>370</v>
      </c>
      <c r="BV3" s="18" t="s">
        <v>370</v>
      </c>
      <c r="BW3" s="17" t="s">
        <v>370</v>
      </c>
      <c r="BX3" s="19" t="s">
        <v>370</v>
      </c>
    </row>
    <row r="4" spans="1:76" ht="13" thickTop="1" x14ac:dyDescent="0.25">
      <c r="A4" s="4" t="s">
        <v>55</v>
      </c>
      <c r="B4" s="1" t="s">
        <v>56</v>
      </c>
      <c r="BL4" s="8">
        <v>98030</v>
      </c>
      <c r="BX4" s="9">
        <v>98030</v>
      </c>
    </row>
    <row r="5" spans="1:76" x14ac:dyDescent="0.25">
      <c r="A5" s="4" t="s">
        <v>57</v>
      </c>
      <c r="B5" s="1" t="s">
        <v>58</v>
      </c>
      <c r="D5" s="8">
        <v>1176126.0699999998</v>
      </c>
      <c r="J5" s="8">
        <v>308352.35000000003</v>
      </c>
      <c r="U5" s="6">
        <v>493716.4</v>
      </c>
      <c r="AZ5" s="8">
        <v>169009.52999999991</v>
      </c>
      <c r="BA5" s="6">
        <v>12730.54</v>
      </c>
      <c r="BB5" s="8">
        <v>1101174.6599999999</v>
      </c>
      <c r="BC5" s="6">
        <v>289154.49000000005</v>
      </c>
      <c r="BJ5" s="8">
        <v>817594.47000000009</v>
      </c>
      <c r="BL5" s="8">
        <v>707834.6100000001</v>
      </c>
      <c r="BO5" s="6">
        <v>9105409.6899999995</v>
      </c>
      <c r="BS5" s="6">
        <v>2278907.0099999998</v>
      </c>
      <c r="BX5" s="9">
        <v>16460009.82</v>
      </c>
    </row>
    <row r="6" spans="1:76" x14ac:dyDescent="0.25">
      <c r="A6" s="4" t="s">
        <v>59</v>
      </c>
      <c r="B6" s="1" t="s">
        <v>60</v>
      </c>
      <c r="D6" s="8">
        <v>235812</v>
      </c>
      <c r="F6" s="8">
        <v>5890</v>
      </c>
      <c r="J6" s="8">
        <v>70092</v>
      </c>
      <c r="AZ6" s="8">
        <v>4753.4400000000005</v>
      </c>
      <c r="BB6" s="8">
        <v>26511.59</v>
      </c>
      <c r="BJ6" s="8">
        <v>15082.04</v>
      </c>
      <c r="BL6" s="8">
        <v>26507</v>
      </c>
      <c r="BO6" s="6">
        <v>92528.569999999992</v>
      </c>
      <c r="BS6" s="6">
        <v>1811</v>
      </c>
      <c r="BX6" s="9">
        <v>478987.64</v>
      </c>
    </row>
    <row r="7" spans="1:76" x14ac:dyDescent="0.25">
      <c r="A7" s="4" t="s">
        <v>61</v>
      </c>
      <c r="B7" s="1" t="s">
        <v>62</v>
      </c>
      <c r="D7" s="8">
        <v>110151</v>
      </c>
      <c r="J7" s="8">
        <v>18897</v>
      </c>
      <c r="M7" s="6">
        <v>150038</v>
      </c>
      <c r="T7" s="8">
        <v>22297</v>
      </c>
      <c r="U7" s="6">
        <v>65047</v>
      </c>
      <c r="AD7" s="8">
        <v>6850</v>
      </c>
      <c r="AZ7" s="8">
        <v>45851</v>
      </c>
      <c r="BB7" s="8">
        <v>306849</v>
      </c>
      <c r="BK7" s="6">
        <v>3150</v>
      </c>
      <c r="BL7" s="8">
        <v>12653</v>
      </c>
      <c r="BX7" s="9">
        <v>741783</v>
      </c>
    </row>
    <row r="8" spans="1:76" x14ac:dyDescent="0.25">
      <c r="A8" s="4" t="s">
        <v>63</v>
      </c>
      <c r="B8" s="1" t="s">
        <v>64</v>
      </c>
      <c r="D8" s="8">
        <v>159457</v>
      </c>
      <c r="BX8" s="9">
        <v>159457</v>
      </c>
    </row>
    <row r="9" spans="1:76" x14ac:dyDescent="0.25">
      <c r="A9" s="4" t="s">
        <v>65</v>
      </c>
      <c r="B9" s="1" t="s">
        <v>66</v>
      </c>
      <c r="D9" s="8">
        <v>1434962</v>
      </c>
      <c r="F9" s="8">
        <v>34180</v>
      </c>
      <c r="J9" s="8">
        <v>184322</v>
      </c>
      <c r="P9" s="8">
        <v>57217</v>
      </c>
      <c r="R9" s="8">
        <v>49193.16</v>
      </c>
      <c r="T9" s="8">
        <v>424990</v>
      </c>
      <c r="U9" s="6">
        <v>671576.14</v>
      </c>
      <c r="V9" s="8">
        <v>126286</v>
      </c>
      <c r="W9" s="6">
        <v>241590.54</v>
      </c>
      <c r="X9" s="8">
        <v>12424</v>
      </c>
      <c r="AD9" s="8">
        <v>924944</v>
      </c>
      <c r="AE9" s="6">
        <v>246498</v>
      </c>
      <c r="AH9" s="8">
        <v>245341</v>
      </c>
      <c r="AI9" s="6">
        <v>233019</v>
      </c>
      <c r="AJ9" s="8">
        <v>213103</v>
      </c>
      <c r="AN9" s="8">
        <v>358695.16000000003</v>
      </c>
      <c r="AO9" s="6">
        <v>507</v>
      </c>
      <c r="AS9" s="6">
        <v>538052</v>
      </c>
      <c r="AV9" s="8">
        <v>121736</v>
      </c>
      <c r="AW9" s="6">
        <v>150108</v>
      </c>
      <c r="AZ9" s="8">
        <v>555972.58000000007</v>
      </c>
      <c r="BA9" s="6">
        <v>110.5</v>
      </c>
      <c r="BB9" s="8">
        <v>1809457.76</v>
      </c>
      <c r="BC9" s="6">
        <v>409096</v>
      </c>
      <c r="BJ9" s="8">
        <v>148928</v>
      </c>
      <c r="BU9" s="6">
        <v>116379</v>
      </c>
      <c r="BX9" s="9">
        <v>9308687.8399999999</v>
      </c>
    </row>
    <row r="10" spans="1:76" x14ac:dyDescent="0.25">
      <c r="A10" s="4" t="s">
        <v>67</v>
      </c>
      <c r="B10" s="1" t="s">
        <v>68</v>
      </c>
      <c r="D10" s="8">
        <v>3477917.5</v>
      </c>
      <c r="F10" s="8">
        <v>45869</v>
      </c>
      <c r="J10" s="8">
        <v>839110.5</v>
      </c>
      <c r="M10" s="6">
        <v>83454</v>
      </c>
      <c r="P10" s="8">
        <v>141908</v>
      </c>
      <c r="R10" s="8">
        <v>33055</v>
      </c>
      <c r="T10" s="8">
        <v>413136</v>
      </c>
      <c r="U10" s="6">
        <v>957004.65999999992</v>
      </c>
      <c r="V10" s="8">
        <v>7087</v>
      </c>
      <c r="AD10" s="8">
        <v>236126</v>
      </c>
      <c r="AE10" s="6">
        <v>219236</v>
      </c>
      <c r="AH10" s="8">
        <v>383966</v>
      </c>
      <c r="AI10" s="6">
        <v>336190</v>
      </c>
      <c r="AJ10" s="8">
        <v>235522.85</v>
      </c>
      <c r="AS10" s="6">
        <v>1081224.7</v>
      </c>
      <c r="AT10" s="8">
        <v>1538346.4500000002</v>
      </c>
      <c r="AV10" s="8">
        <v>139681</v>
      </c>
      <c r="AW10" s="6">
        <v>101201</v>
      </c>
      <c r="AZ10" s="8">
        <v>337057.87999999989</v>
      </c>
      <c r="BB10" s="8">
        <v>2199063.3199999998</v>
      </c>
      <c r="BC10" s="6">
        <v>710925</v>
      </c>
      <c r="BD10" s="8">
        <v>5181399</v>
      </c>
      <c r="BF10" s="8">
        <v>6142</v>
      </c>
      <c r="BJ10" s="8">
        <v>1297469.6600000001</v>
      </c>
      <c r="BL10" s="8">
        <v>3044201.3800000004</v>
      </c>
      <c r="BM10" s="6">
        <v>906801</v>
      </c>
      <c r="BN10" s="8">
        <v>310550</v>
      </c>
      <c r="BO10" s="6">
        <v>14686511</v>
      </c>
      <c r="BS10" s="6">
        <v>990943.5</v>
      </c>
      <c r="BU10" s="6">
        <v>1353063</v>
      </c>
      <c r="BX10" s="9">
        <v>41294162.399999999</v>
      </c>
    </row>
    <row r="11" spans="1:76" x14ac:dyDescent="0.25">
      <c r="A11" s="4" t="s">
        <v>69</v>
      </c>
      <c r="B11" s="1" t="s">
        <v>70</v>
      </c>
      <c r="D11" s="8">
        <v>21639</v>
      </c>
      <c r="J11" s="8">
        <v>147075.65</v>
      </c>
      <c r="P11" s="8">
        <v>3213</v>
      </c>
      <c r="T11" s="8">
        <v>516287.36</v>
      </c>
      <c r="U11" s="6">
        <v>147687.47</v>
      </c>
      <c r="AD11" s="8">
        <v>20365</v>
      </c>
      <c r="AH11" s="8">
        <v>32713.39</v>
      </c>
      <c r="AI11" s="6">
        <v>142</v>
      </c>
      <c r="AS11" s="6">
        <v>58793.35</v>
      </c>
      <c r="AZ11" s="8">
        <v>14416.3</v>
      </c>
      <c r="BB11" s="8">
        <v>96465.7</v>
      </c>
      <c r="BC11" s="6">
        <v>473422.61</v>
      </c>
      <c r="BJ11" s="8">
        <v>20532</v>
      </c>
      <c r="BL11" s="8">
        <v>4559554</v>
      </c>
      <c r="BM11" s="6">
        <v>2740.18</v>
      </c>
      <c r="BN11" s="8">
        <v>3735911.7399999998</v>
      </c>
      <c r="BO11" s="6">
        <v>745220.0199999999</v>
      </c>
      <c r="BQ11" s="6">
        <v>10091</v>
      </c>
      <c r="BS11" s="6">
        <v>137237</v>
      </c>
      <c r="BU11" s="6">
        <v>393483</v>
      </c>
      <c r="BX11" s="9">
        <v>11136989.770000001</v>
      </c>
    </row>
    <row r="12" spans="1:76" x14ac:dyDescent="0.25">
      <c r="A12" s="4" t="s">
        <v>71</v>
      </c>
      <c r="B12" s="1" t="s">
        <v>72</v>
      </c>
      <c r="AS12" s="6">
        <v>172262</v>
      </c>
      <c r="AT12" s="8">
        <v>611150</v>
      </c>
      <c r="AZ12" s="8">
        <v>96962.31</v>
      </c>
      <c r="BB12" s="8">
        <v>648902.69000000006</v>
      </c>
      <c r="BC12" s="6">
        <v>971787</v>
      </c>
      <c r="BL12" s="8">
        <v>383236</v>
      </c>
      <c r="BM12" s="6">
        <v>289251</v>
      </c>
      <c r="BO12" s="6">
        <v>2880835</v>
      </c>
      <c r="BS12" s="6">
        <v>342418</v>
      </c>
      <c r="BX12" s="9">
        <v>6396803.9999999991</v>
      </c>
    </row>
    <row r="13" spans="1:76" x14ac:dyDescent="0.25">
      <c r="A13" s="4" t="s">
        <v>73</v>
      </c>
      <c r="B13" s="1" t="s">
        <v>74</v>
      </c>
      <c r="J13" s="8">
        <v>251440</v>
      </c>
      <c r="BX13" s="9">
        <v>251440</v>
      </c>
    </row>
    <row r="14" spans="1:76" x14ac:dyDescent="0.25">
      <c r="A14" s="4" t="s">
        <v>77</v>
      </c>
      <c r="B14" s="1" t="s">
        <v>78</v>
      </c>
      <c r="D14" s="8">
        <v>0</v>
      </c>
      <c r="E14" s="6">
        <v>2.9103830456733704E-11</v>
      </c>
      <c r="F14" s="8">
        <v>56318</v>
      </c>
      <c r="J14" s="8">
        <v>3633.9900000000002</v>
      </c>
      <c r="M14" s="6">
        <v>3633.99</v>
      </c>
      <c r="P14" s="8">
        <v>20719.5</v>
      </c>
      <c r="T14" s="8">
        <v>16958.620000000003</v>
      </c>
      <c r="AD14" s="8">
        <v>29539.5</v>
      </c>
      <c r="AE14" s="6">
        <v>16958.620000000003</v>
      </c>
      <c r="AG14" s="6">
        <v>1211.3300000000002</v>
      </c>
      <c r="AH14" s="8">
        <v>13324.630000000001</v>
      </c>
      <c r="AI14" s="6">
        <v>7267.98</v>
      </c>
      <c r="AJ14" s="8">
        <v>12113.3</v>
      </c>
      <c r="AO14" s="6">
        <v>5155.59</v>
      </c>
      <c r="AP14" s="8">
        <v>21803.94</v>
      </c>
      <c r="AS14" s="6">
        <v>5841.22</v>
      </c>
      <c r="AT14" s="8">
        <v>20709.78</v>
      </c>
      <c r="AV14" s="8">
        <v>10901.97</v>
      </c>
      <c r="AW14" s="6">
        <v>13324.63</v>
      </c>
      <c r="AZ14" s="8">
        <v>7595.739999999998</v>
      </c>
      <c r="BB14" s="8">
        <v>50833.079999999987</v>
      </c>
      <c r="BC14" s="6">
        <v>32224</v>
      </c>
      <c r="BJ14" s="8">
        <v>6577.5899999999974</v>
      </c>
      <c r="BM14" s="6">
        <v>21483</v>
      </c>
      <c r="BO14" s="6">
        <v>607558.5</v>
      </c>
      <c r="BQ14" s="6">
        <v>8156.0000000000009</v>
      </c>
      <c r="BS14" s="6">
        <v>7410806.6000000006</v>
      </c>
      <c r="BU14" s="6">
        <v>426006.79999999993</v>
      </c>
      <c r="BX14" s="9">
        <v>8830657.9000000022</v>
      </c>
    </row>
    <row r="15" spans="1:76" x14ac:dyDescent="0.25">
      <c r="A15" s="4" t="s">
        <v>79</v>
      </c>
      <c r="B15" s="1" t="s">
        <v>80</v>
      </c>
      <c r="D15" s="8">
        <v>410450.18770000001</v>
      </c>
      <c r="E15" s="6">
        <v>0</v>
      </c>
      <c r="F15" s="8">
        <v>1505767.44</v>
      </c>
      <c r="J15" s="8">
        <v>293178.70550000004</v>
      </c>
      <c r="M15" s="6">
        <v>175907.22329999998</v>
      </c>
      <c r="P15" s="8">
        <v>1162085.97</v>
      </c>
      <c r="T15" s="8">
        <v>762264.63430000003</v>
      </c>
      <c r="Z15" s="8">
        <v>117271.4822</v>
      </c>
      <c r="AD15" s="8">
        <v>1526314.5999999999</v>
      </c>
      <c r="AE15" s="6">
        <v>527721.66989999998</v>
      </c>
      <c r="AG15" s="6">
        <v>117271.48219999998</v>
      </c>
      <c r="AH15" s="8">
        <v>762264.63430000003</v>
      </c>
      <c r="AI15" s="6">
        <v>293178.70550000004</v>
      </c>
      <c r="AJ15" s="8">
        <v>527721.66989999998</v>
      </c>
      <c r="AO15" s="6">
        <v>219810.56000000006</v>
      </c>
      <c r="AS15" s="6">
        <v>668486.451</v>
      </c>
      <c r="AT15" s="8">
        <v>706965.4878</v>
      </c>
      <c r="AU15" s="6">
        <v>117271.4822</v>
      </c>
      <c r="AV15" s="8">
        <v>469085.92879999999</v>
      </c>
      <c r="AW15" s="6">
        <v>820900.3753999999</v>
      </c>
      <c r="AZ15" s="8">
        <v>978127.05999999959</v>
      </c>
      <c r="BA15" s="6">
        <v>107848.63</v>
      </c>
      <c r="BB15" s="8">
        <v>2841727.419999999</v>
      </c>
      <c r="BC15" s="6">
        <v>332213.30000000005</v>
      </c>
      <c r="BJ15" s="8">
        <v>224129.56000000011</v>
      </c>
      <c r="BK15" s="6">
        <v>239703</v>
      </c>
      <c r="BL15" s="8">
        <v>69690</v>
      </c>
      <c r="BM15" s="6">
        <v>1220092.7799999998</v>
      </c>
      <c r="BO15" s="6">
        <v>2482251</v>
      </c>
      <c r="BQ15" s="6">
        <v>204604</v>
      </c>
      <c r="BS15" s="6">
        <v>6482121.0799999982</v>
      </c>
      <c r="BT15" s="8">
        <v>4723</v>
      </c>
      <c r="BU15" s="6">
        <v>24190721</v>
      </c>
      <c r="BX15" s="9">
        <v>50561870.519999996</v>
      </c>
    </row>
    <row r="16" spans="1:76" x14ac:dyDescent="0.25">
      <c r="A16" s="4" t="s">
        <v>81</v>
      </c>
      <c r="B16" s="1" t="s">
        <v>82</v>
      </c>
      <c r="D16" s="8">
        <v>170585.52140000003</v>
      </c>
      <c r="E16" s="6">
        <v>-1.862645149230957E-9</v>
      </c>
      <c r="F16" s="8">
        <v>1393486.47</v>
      </c>
      <c r="J16" s="8">
        <v>121846.80100000002</v>
      </c>
      <c r="M16" s="6">
        <v>73108.080600000001</v>
      </c>
      <c r="P16" s="8">
        <v>194299.67000000004</v>
      </c>
      <c r="T16" s="8">
        <v>316801.68260000006</v>
      </c>
      <c r="Z16" s="8">
        <v>48738.720400000006</v>
      </c>
      <c r="AD16" s="8">
        <v>194299.66999999993</v>
      </c>
      <c r="AE16" s="6">
        <v>219324.24180000005</v>
      </c>
      <c r="AG16" s="6">
        <v>48738.720399999998</v>
      </c>
      <c r="AH16" s="8">
        <v>316801.68260000006</v>
      </c>
      <c r="AI16" s="6">
        <v>121846.80100000001</v>
      </c>
      <c r="AJ16" s="8">
        <v>219324.24180000002</v>
      </c>
      <c r="AO16" s="6">
        <v>200855.44999999998</v>
      </c>
      <c r="AS16" s="6">
        <v>274928.65019999997</v>
      </c>
      <c r="AT16" s="8">
        <v>283543.36139999999</v>
      </c>
      <c r="AU16" s="6">
        <v>48738.720400000006</v>
      </c>
      <c r="AV16" s="8">
        <v>194954.88159999999</v>
      </c>
      <c r="AW16" s="6">
        <v>341171.04280000005</v>
      </c>
      <c r="AZ16" s="8">
        <v>302807.56</v>
      </c>
      <c r="BA16" s="6">
        <v>10801.630000000005</v>
      </c>
      <c r="BB16" s="8">
        <v>1980660.7499999993</v>
      </c>
      <c r="BC16" s="6">
        <v>727980.46</v>
      </c>
      <c r="BJ16" s="8">
        <v>200855.44999999998</v>
      </c>
      <c r="BL16" s="8">
        <v>105953.99999999999</v>
      </c>
      <c r="BO16" s="6">
        <v>484353.88</v>
      </c>
      <c r="BS16" s="6">
        <v>515390.84</v>
      </c>
      <c r="BU16" s="6">
        <v>5670619</v>
      </c>
      <c r="BX16" s="9">
        <v>14782817.980000006</v>
      </c>
    </row>
    <row r="17" spans="1:76" x14ac:dyDescent="0.25">
      <c r="A17" s="4" t="s">
        <v>1756</v>
      </c>
      <c r="B17" s="1" t="s">
        <v>1757</v>
      </c>
      <c r="D17" s="8">
        <v>281687.96999999997</v>
      </c>
      <c r="F17" s="8">
        <v>1590</v>
      </c>
      <c r="J17" s="8">
        <v>76558.53</v>
      </c>
      <c r="U17" s="6">
        <v>115338.37</v>
      </c>
      <c r="BB17" s="8">
        <v>66725.48</v>
      </c>
      <c r="BC17" s="6">
        <v>740857.63000000012</v>
      </c>
      <c r="BJ17" s="8">
        <v>574885.59</v>
      </c>
      <c r="BK17" s="6">
        <v>47897.999999999985</v>
      </c>
      <c r="BL17" s="8">
        <v>2393153.8999999994</v>
      </c>
      <c r="BM17" s="6">
        <v>590542.77</v>
      </c>
      <c r="BN17" s="8">
        <v>1086830.5</v>
      </c>
      <c r="BO17" s="6">
        <v>7711838.7699999968</v>
      </c>
      <c r="BQ17" s="6">
        <v>60493.590000000004</v>
      </c>
      <c r="BS17" s="6">
        <v>4728033.5899999971</v>
      </c>
      <c r="BT17" s="8">
        <v>11472</v>
      </c>
      <c r="BX17" s="9">
        <v>18487906.689999994</v>
      </c>
    </row>
    <row r="18" spans="1:76" x14ac:dyDescent="0.25">
      <c r="A18" s="4" t="s">
        <v>83</v>
      </c>
      <c r="B18" s="1" t="s">
        <v>84</v>
      </c>
      <c r="D18" s="8">
        <v>50419</v>
      </c>
      <c r="J18" s="8">
        <v>1331</v>
      </c>
      <c r="U18" s="6">
        <v>1961</v>
      </c>
      <c r="AD18" s="8">
        <v>56560</v>
      </c>
      <c r="AS18" s="6">
        <v>14874280</v>
      </c>
      <c r="BC18" s="6">
        <v>2190</v>
      </c>
      <c r="BL18" s="8">
        <v>19633.650000000001</v>
      </c>
      <c r="BO18" s="6">
        <v>110810</v>
      </c>
      <c r="BS18" s="6">
        <v>3889640</v>
      </c>
      <c r="BU18" s="6">
        <v>14000</v>
      </c>
      <c r="BX18" s="9">
        <v>19020824.649999999</v>
      </c>
    </row>
    <row r="19" spans="1:76" x14ac:dyDescent="0.25">
      <c r="A19" s="4" t="s">
        <v>87</v>
      </c>
      <c r="B19" s="1" t="s">
        <v>88</v>
      </c>
      <c r="D19" s="8">
        <v>14221.130000000001</v>
      </c>
      <c r="E19" s="6">
        <v>-2.9103830456733704E-11</v>
      </c>
      <c r="F19" s="8">
        <v>29675.990000000005</v>
      </c>
      <c r="J19" s="8">
        <v>10157.950000000001</v>
      </c>
      <c r="M19" s="6">
        <v>6094.7699999999995</v>
      </c>
      <c r="P19" s="8">
        <v>33627</v>
      </c>
      <c r="T19" s="8">
        <v>26410.67</v>
      </c>
      <c r="Z19" s="8">
        <v>4063.1800000000007</v>
      </c>
      <c r="AD19" s="8">
        <v>46170</v>
      </c>
      <c r="AE19" s="6">
        <v>18284.310000000001</v>
      </c>
      <c r="AG19" s="6">
        <v>4063.1800000000007</v>
      </c>
      <c r="AH19" s="8">
        <v>26410.67</v>
      </c>
      <c r="AI19" s="6">
        <v>10157.950000000001</v>
      </c>
      <c r="AJ19" s="8">
        <v>18284.310000000001</v>
      </c>
      <c r="AO19" s="6">
        <v>8068.3599999999979</v>
      </c>
      <c r="AS19" s="6">
        <v>24912.579999999998</v>
      </c>
      <c r="AT19" s="8">
        <v>30703.140000000003</v>
      </c>
      <c r="AU19" s="6">
        <v>4063.1800000000003</v>
      </c>
      <c r="AV19" s="8">
        <v>16252.720000000001</v>
      </c>
      <c r="AW19" s="6">
        <v>28442.260000000002</v>
      </c>
      <c r="AZ19" s="8">
        <v>11887.339999999993</v>
      </c>
      <c r="BB19" s="8">
        <v>79552.939999999959</v>
      </c>
      <c r="BC19" s="6">
        <v>47610.479999999996</v>
      </c>
      <c r="BJ19" s="8">
        <v>8524.3599999999969</v>
      </c>
      <c r="BM19" s="6">
        <v>51041</v>
      </c>
      <c r="BO19" s="6">
        <v>301767</v>
      </c>
      <c r="BS19" s="6">
        <v>44702.600000000093</v>
      </c>
      <c r="BU19" s="6">
        <v>933078.00000000012</v>
      </c>
      <c r="BX19" s="9">
        <v>1838227.07</v>
      </c>
    </row>
    <row r="20" spans="1:76" x14ac:dyDescent="0.25">
      <c r="A20" s="4" t="s">
        <v>89</v>
      </c>
      <c r="B20" s="1" t="s">
        <v>90</v>
      </c>
      <c r="D20" s="8">
        <v>85280</v>
      </c>
      <c r="E20" s="6">
        <v>0</v>
      </c>
      <c r="J20" s="8">
        <v>70800</v>
      </c>
      <c r="P20" s="8">
        <v>70800</v>
      </c>
      <c r="T20" s="8">
        <v>141600</v>
      </c>
      <c r="V20" s="8">
        <v>236000</v>
      </c>
      <c r="W20" s="6">
        <v>70800</v>
      </c>
      <c r="X20" s="8">
        <v>64900</v>
      </c>
      <c r="AD20" s="8">
        <v>277300</v>
      </c>
      <c r="AE20" s="6">
        <v>70800</v>
      </c>
      <c r="AG20" s="6">
        <v>301400</v>
      </c>
      <c r="AI20" s="6">
        <v>70800</v>
      </c>
      <c r="AJ20" s="8">
        <v>70800</v>
      </c>
      <c r="AN20" s="8">
        <v>188800</v>
      </c>
      <c r="AO20" s="6">
        <v>64900</v>
      </c>
      <c r="AS20" s="6">
        <v>100654</v>
      </c>
      <c r="AT20" s="8">
        <v>105846</v>
      </c>
      <c r="AV20" s="8">
        <v>70800</v>
      </c>
      <c r="AW20" s="6">
        <v>141600</v>
      </c>
      <c r="AZ20" s="8">
        <v>40028.819999999992</v>
      </c>
      <c r="BA20" s="6">
        <v>3068</v>
      </c>
      <c r="BB20" s="8">
        <v>267165.69</v>
      </c>
      <c r="BC20" s="6">
        <v>70453</v>
      </c>
      <c r="BJ20" s="8">
        <v>64900</v>
      </c>
      <c r="BO20" s="6">
        <v>18000</v>
      </c>
      <c r="BX20" s="9">
        <v>2667495.5099999998</v>
      </c>
    </row>
    <row r="21" spans="1:76" x14ac:dyDescent="0.25">
      <c r="A21" s="4" t="s">
        <v>91</v>
      </c>
      <c r="B21" s="1" t="s">
        <v>92</v>
      </c>
      <c r="D21" s="8">
        <v>1410154</v>
      </c>
      <c r="F21" s="8">
        <v>194645</v>
      </c>
      <c r="J21" s="8">
        <v>573429</v>
      </c>
      <c r="U21" s="6">
        <v>70865</v>
      </c>
      <c r="AZ21" s="8">
        <v>157111.23000000001</v>
      </c>
      <c r="BB21" s="8">
        <v>1023931.77</v>
      </c>
      <c r="BC21" s="6">
        <v>150802</v>
      </c>
      <c r="BJ21" s="8">
        <v>356712.72</v>
      </c>
      <c r="BL21" s="8">
        <v>59110.960000000006</v>
      </c>
      <c r="BO21" s="6">
        <v>586114.88</v>
      </c>
      <c r="BX21" s="9">
        <v>4582876.5599999996</v>
      </c>
    </row>
    <row r="22" spans="1:76" x14ac:dyDescent="0.25">
      <c r="A22" s="4" t="s">
        <v>93</v>
      </c>
      <c r="B22" s="1" t="s">
        <v>94</v>
      </c>
      <c r="AZ22" s="8">
        <v>132213.34</v>
      </c>
      <c r="BB22" s="8">
        <v>884814.66000000015</v>
      </c>
      <c r="BC22" s="6">
        <v>98913</v>
      </c>
      <c r="BJ22" s="8">
        <v>89470.68</v>
      </c>
      <c r="BL22" s="8">
        <v>445560.95999999996</v>
      </c>
      <c r="BO22" s="6">
        <v>10901011.67</v>
      </c>
      <c r="BS22" s="6">
        <v>1045779.0499999999</v>
      </c>
      <c r="BT22" s="8">
        <v>15118.08</v>
      </c>
      <c r="BX22" s="9">
        <v>13612881.440000001</v>
      </c>
    </row>
    <row r="23" spans="1:76" x14ac:dyDescent="0.25">
      <c r="A23" s="4" t="s">
        <v>95</v>
      </c>
      <c r="B23" s="1" t="s">
        <v>96</v>
      </c>
      <c r="D23" s="8">
        <v>59030</v>
      </c>
      <c r="F23" s="8">
        <v>46850</v>
      </c>
      <c r="J23" s="8">
        <v>41270</v>
      </c>
      <c r="AZ23" s="8">
        <v>5683</v>
      </c>
      <c r="BB23" s="8">
        <v>38032</v>
      </c>
      <c r="BJ23" s="8">
        <v>3044.02</v>
      </c>
      <c r="BX23" s="9">
        <v>193909.02</v>
      </c>
    </row>
    <row r="24" spans="1:76" x14ac:dyDescent="0.25">
      <c r="A24" s="4" t="s">
        <v>97</v>
      </c>
      <c r="B24" s="1" t="s">
        <v>98</v>
      </c>
      <c r="U24" s="6">
        <v>147040</v>
      </c>
      <c r="BX24" s="9">
        <v>147040</v>
      </c>
    </row>
    <row r="25" spans="1:76" x14ac:dyDescent="0.25">
      <c r="A25" s="4" t="s">
        <v>761</v>
      </c>
      <c r="B25" s="1" t="s">
        <v>1832</v>
      </c>
      <c r="J25" s="8">
        <v>0</v>
      </c>
      <c r="AS25" s="6">
        <v>7844330</v>
      </c>
      <c r="BC25" s="6">
        <v>47244</v>
      </c>
      <c r="BL25" s="8">
        <v>93625</v>
      </c>
      <c r="BX25" s="9">
        <v>7985199</v>
      </c>
    </row>
    <row r="26" spans="1:76" x14ac:dyDescent="0.25">
      <c r="A26" s="4" t="s">
        <v>99</v>
      </c>
      <c r="B26" s="1" t="s">
        <v>100</v>
      </c>
      <c r="F26" s="8">
        <v>16000</v>
      </c>
      <c r="J26" s="8">
        <v>86000</v>
      </c>
      <c r="T26" s="8">
        <v>32000</v>
      </c>
      <c r="AI26" s="6">
        <v>16000</v>
      </c>
      <c r="AJ26" s="8">
        <v>16000</v>
      </c>
      <c r="AZ26" s="8">
        <v>2600</v>
      </c>
      <c r="BB26" s="8">
        <v>17400</v>
      </c>
      <c r="BO26" s="6">
        <v>10000</v>
      </c>
      <c r="BX26" s="9">
        <v>196000</v>
      </c>
    </row>
    <row r="27" spans="1:76" x14ac:dyDescent="0.25">
      <c r="A27" s="4" t="s">
        <v>101</v>
      </c>
      <c r="B27" s="1" t="s">
        <v>102</v>
      </c>
      <c r="U27" s="6">
        <v>3600</v>
      </c>
      <c r="BX27" s="9">
        <v>3600</v>
      </c>
    </row>
    <row r="28" spans="1:76" x14ac:dyDescent="0.25">
      <c r="A28" s="4" t="s">
        <v>762</v>
      </c>
      <c r="B28" s="1" t="s">
        <v>763</v>
      </c>
      <c r="D28" s="8">
        <v>35000</v>
      </c>
      <c r="F28" s="8">
        <v>13540</v>
      </c>
      <c r="J28" s="8">
        <v>2400</v>
      </c>
      <c r="P28" s="8">
        <v>1040</v>
      </c>
      <c r="AD28" s="8">
        <v>4400</v>
      </c>
      <c r="AZ28" s="8">
        <v>521.29999999999995</v>
      </c>
      <c r="BB28" s="8">
        <v>3488.7</v>
      </c>
      <c r="BC28" s="6">
        <v>5580</v>
      </c>
      <c r="BL28" s="8">
        <v>6900</v>
      </c>
      <c r="BO28" s="6">
        <v>11530</v>
      </c>
      <c r="BU28" s="6">
        <v>1409915</v>
      </c>
      <c r="BX28" s="9">
        <v>1494315</v>
      </c>
    </row>
    <row r="29" spans="1:76" x14ac:dyDescent="0.25">
      <c r="A29" s="4" t="s">
        <v>1675</v>
      </c>
      <c r="B29" s="1" t="s">
        <v>1676</v>
      </c>
      <c r="BL29" s="8">
        <v>10150</v>
      </c>
      <c r="BO29" s="6">
        <v>211493</v>
      </c>
      <c r="BS29" s="6">
        <v>137418</v>
      </c>
      <c r="BU29" s="6">
        <v>46441</v>
      </c>
      <c r="BX29" s="9">
        <v>405502</v>
      </c>
    </row>
    <row r="30" spans="1:76" x14ac:dyDescent="0.25">
      <c r="A30" s="4" t="s">
        <v>103</v>
      </c>
      <c r="B30" s="1" t="s">
        <v>104</v>
      </c>
      <c r="D30" s="8">
        <v>34749.75</v>
      </c>
      <c r="E30" s="6">
        <v>-1.1641532182693481E-10</v>
      </c>
      <c r="F30" s="8">
        <v>198375</v>
      </c>
      <c r="J30" s="8">
        <v>24821.25</v>
      </c>
      <c r="M30" s="6">
        <v>14892.75</v>
      </c>
      <c r="P30" s="8">
        <v>26450</v>
      </c>
      <c r="T30" s="8">
        <v>64535.25</v>
      </c>
      <c r="Z30" s="8">
        <v>9928.5</v>
      </c>
      <c r="AD30" s="8">
        <v>66125</v>
      </c>
      <c r="AE30" s="6">
        <v>44678.25</v>
      </c>
      <c r="AG30" s="6">
        <v>9928.5</v>
      </c>
      <c r="AH30" s="8">
        <v>64535.25</v>
      </c>
      <c r="AI30" s="6">
        <v>24821.25</v>
      </c>
      <c r="AJ30" s="8">
        <v>44678.25</v>
      </c>
      <c r="AS30" s="6">
        <v>57171</v>
      </c>
      <c r="AT30" s="8">
        <v>61893</v>
      </c>
      <c r="AU30" s="6">
        <v>9928.5</v>
      </c>
      <c r="AV30" s="8">
        <v>39714</v>
      </c>
      <c r="AW30" s="6">
        <v>69499.5</v>
      </c>
      <c r="AZ30" s="8">
        <v>27508</v>
      </c>
      <c r="BB30" s="8">
        <v>184092</v>
      </c>
      <c r="BC30" s="6">
        <v>26450</v>
      </c>
      <c r="BL30" s="8">
        <v>54800</v>
      </c>
      <c r="BO30" s="6">
        <v>39675</v>
      </c>
      <c r="BU30" s="6">
        <v>52900</v>
      </c>
      <c r="BX30" s="9">
        <v>1252150</v>
      </c>
    </row>
    <row r="31" spans="1:76" x14ac:dyDescent="0.25">
      <c r="A31" s="4" t="s">
        <v>105</v>
      </c>
      <c r="B31" s="1" t="s">
        <v>106</v>
      </c>
      <c r="BL31" s="8">
        <v>9961010</v>
      </c>
      <c r="BS31" s="6">
        <v>353485131.55000001</v>
      </c>
      <c r="BX31" s="9">
        <v>363446141.55000001</v>
      </c>
    </row>
    <row r="32" spans="1:76" x14ac:dyDescent="0.25">
      <c r="A32" s="4" t="s">
        <v>107</v>
      </c>
      <c r="B32" s="1" t="s">
        <v>108</v>
      </c>
      <c r="D32" s="8">
        <v>101417</v>
      </c>
      <c r="F32" s="8">
        <v>213360</v>
      </c>
      <c r="BD32" s="8">
        <v>64400</v>
      </c>
      <c r="BE32" s="6">
        <v>400000</v>
      </c>
      <c r="BL32" s="8">
        <v>33785975</v>
      </c>
      <c r="BS32" s="6">
        <v>43104</v>
      </c>
      <c r="BU32" s="6">
        <v>126870</v>
      </c>
      <c r="BX32" s="9">
        <v>34735126</v>
      </c>
    </row>
    <row r="33" spans="1:76" x14ac:dyDescent="0.25">
      <c r="A33" s="4" t="s">
        <v>850</v>
      </c>
      <c r="B33" s="1" t="s">
        <v>909</v>
      </c>
      <c r="AZ33" s="8">
        <v>2740000</v>
      </c>
      <c r="BA33" s="6">
        <v>1120000</v>
      </c>
      <c r="BB33" s="8">
        <v>1284000</v>
      </c>
      <c r="BX33" s="9">
        <v>5144000</v>
      </c>
    </row>
    <row r="34" spans="1:76" x14ac:dyDescent="0.25">
      <c r="A34" s="4" t="s">
        <v>851</v>
      </c>
      <c r="B34" s="1" t="s">
        <v>910</v>
      </c>
      <c r="AZ34" s="8">
        <v>6531597.2599999998</v>
      </c>
      <c r="BA34" s="6">
        <v>226554.4</v>
      </c>
      <c r="BB34" s="8">
        <v>22725563.34</v>
      </c>
      <c r="BX34" s="9">
        <v>29483715</v>
      </c>
    </row>
    <row r="35" spans="1:76" x14ac:dyDescent="0.25">
      <c r="A35" s="4" t="s">
        <v>852</v>
      </c>
      <c r="B35" s="1" t="s">
        <v>911</v>
      </c>
      <c r="AZ35" s="8">
        <v>14631080</v>
      </c>
      <c r="BA35" s="6">
        <v>1543076</v>
      </c>
      <c r="BB35" s="8">
        <v>72656044</v>
      </c>
      <c r="BX35" s="9">
        <v>88830200</v>
      </c>
    </row>
    <row r="36" spans="1:76" x14ac:dyDescent="0.25">
      <c r="A36" s="4" t="s">
        <v>853</v>
      </c>
      <c r="B36" s="1" t="s">
        <v>912</v>
      </c>
      <c r="AZ36" s="8">
        <v>8776330.8100000005</v>
      </c>
      <c r="BB36" s="8">
        <v>58733906.189999998</v>
      </c>
      <c r="BX36" s="9">
        <v>67510237</v>
      </c>
    </row>
    <row r="37" spans="1:76" x14ac:dyDescent="0.25">
      <c r="A37" s="4" t="s">
        <v>854</v>
      </c>
      <c r="B37" s="1" t="s">
        <v>921</v>
      </c>
      <c r="AZ37" s="8">
        <v>6380314</v>
      </c>
      <c r="BB37" s="8">
        <v>-5695314</v>
      </c>
      <c r="BX37" s="9">
        <v>685000</v>
      </c>
    </row>
    <row r="38" spans="1:76" x14ac:dyDescent="0.25">
      <c r="A38" s="4" t="s">
        <v>110</v>
      </c>
      <c r="B38" s="1" t="s">
        <v>111</v>
      </c>
      <c r="D38" s="8">
        <v>13586138</v>
      </c>
      <c r="J38" s="8">
        <v>3090000</v>
      </c>
      <c r="M38" s="6">
        <v>216000</v>
      </c>
      <c r="U38" s="6">
        <v>29800</v>
      </c>
      <c r="W38" s="6">
        <v>1428000</v>
      </c>
      <c r="AD38" s="8">
        <v>756360</v>
      </c>
      <c r="AS38" s="6">
        <v>2809037</v>
      </c>
      <c r="BC38" s="6">
        <v>54000</v>
      </c>
      <c r="BJ38" s="8">
        <v>1824000</v>
      </c>
      <c r="BX38" s="9">
        <v>23793335</v>
      </c>
    </row>
    <row r="39" spans="1:76" x14ac:dyDescent="0.25">
      <c r="A39" s="4" t="s">
        <v>112</v>
      </c>
      <c r="B39" s="1" t="s">
        <v>113</v>
      </c>
      <c r="D39" s="8">
        <v>2409648</v>
      </c>
      <c r="J39" s="8">
        <v>310000</v>
      </c>
      <c r="M39" s="6">
        <v>95000</v>
      </c>
      <c r="R39" s="8">
        <v>430000</v>
      </c>
      <c r="T39" s="8">
        <v>369816</v>
      </c>
      <c r="U39" s="6">
        <v>699310</v>
      </c>
      <c r="V39" s="8">
        <v>120000</v>
      </c>
      <c r="W39" s="6">
        <v>129900</v>
      </c>
      <c r="AD39" s="8">
        <v>399299</v>
      </c>
      <c r="AE39" s="6">
        <v>285000</v>
      </c>
      <c r="AH39" s="8">
        <v>190000</v>
      </c>
      <c r="AI39" s="6">
        <v>285000</v>
      </c>
      <c r="AJ39" s="8">
        <v>405000</v>
      </c>
      <c r="AK39" s="6">
        <v>500000</v>
      </c>
      <c r="AM39" s="6">
        <v>190000</v>
      </c>
      <c r="AO39" s="6">
        <v>405000</v>
      </c>
      <c r="AS39" s="6">
        <v>923816</v>
      </c>
      <c r="AT39" s="8">
        <v>84816</v>
      </c>
      <c r="AV39" s="8">
        <v>987850</v>
      </c>
      <c r="AW39" s="6">
        <v>542586</v>
      </c>
      <c r="AZ39" s="8">
        <v>82290</v>
      </c>
      <c r="BA39" s="6">
        <v>3770</v>
      </c>
      <c r="BB39" s="8">
        <v>566930.37</v>
      </c>
      <c r="BC39" s="6">
        <v>87000</v>
      </c>
      <c r="BG39" s="6">
        <v>102847.49</v>
      </c>
      <c r="BJ39" s="8">
        <v>219000</v>
      </c>
      <c r="BL39" s="8">
        <v>58000</v>
      </c>
      <c r="BO39" s="6">
        <v>70000</v>
      </c>
      <c r="BW39" s="6">
        <v>58000</v>
      </c>
      <c r="BX39" s="9">
        <v>11009878.859999999</v>
      </c>
    </row>
    <row r="40" spans="1:76" x14ac:dyDescent="0.25">
      <c r="A40" s="4" t="s">
        <v>114</v>
      </c>
      <c r="B40" s="1" t="s">
        <v>115</v>
      </c>
      <c r="D40" s="8">
        <v>265000</v>
      </c>
      <c r="M40" s="6">
        <v>200000</v>
      </c>
      <c r="P40" s="8">
        <v>370000</v>
      </c>
      <c r="Q40" s="6">
        <v>120000</v>
      </c>
      <c r="U40" s="6">
        <v>190830</v>
      </c>
      <c r="AD40" s="8">
        <v>601050.69999999995</v>
      </c>
      <c r="AE40" s="6">
        <v>59900</v>
      </c>
      <c r="AH40" s="8">
        <v>138076.96</v>
      </c>
      <c r="AI40" s="6">
        <v>110461.52</v>
      </c>
      <c r="AJ40" s="8">
        <v>130449.78</v>
      </c>
      <c r="AK40" s="6">
        <v>55230.76</v>
      </c>
      <c r="AO40" s="6">
        <v>10000</v>
      </c>
      <c r="AS40" s="6">
        <v>310322.50000000006</v>
      </c>
      <c r="AT40" s="8">
        <v>23933.3</v>
      </c>
      <c r="AV40" s="8">
        <v>102571.40999999992</v>
      </c>
      <c r="AW40" s="6">
        <v>76928.58</v>
      </c>
      <c r="AY40" s="6">
        <v>71799.899999999994</v>
      </c>
      <c r="AZ40" s="8">
        <v>11852.69</v>
      </c>
      <c r="BB40" s="8">
        <v>79321.899999999994</v>
      </c>
      <c r="BC40" s="6">
        <v>48000</v>
      </c>
      <c r="BJ40" s="8">
        <v>32000</v>
      </c>
      <c r="BL40" s="8">
        <v>93300</v>
      </c>
      <c r="BX40" s="9">
        <v>3101029.9999999995</v>
      </c>
    </row>
    <row r="41" spans="1:76" x14ac:dyDescent="0.25">
      <c r="A41" s="4" t="s">
        <v>116</v>
      </c>
      <c r="B41" s="1" t="s">
        <v>117</v>
      </c>
      <c r="AS41" s="6">
        <v>1047296</v>
      </c>
      <c r="BX41" s="9">
        <v>1047296</v>
      </c>
    </row>
    <row r="42" spans="1:76" x14ac:dyDescent="0.25">
      <c r="A42" s="4" t="s">
        <v>118</v>
      </c>
      <c r="B42" s="1" t="s">
        <v>119</v>
      </c>
      <c r="D42" s="8">
        <v>9600000</v>
      </c>
      <c r="BX42" s="9">
        <v>9600000</v>
      </c>
    </row>
    <row r="43" spans="1:76" x14ac:dyDescent="0.25">
      <c r="A43" s="4" t="s">
        <v>120</v>
      </c>
      <c r="B43" s="1" t="s">
        <v>121</v>
      </c>
      <c r="AJ43" s="8">
        <v>3498310.96</v>
      </c>
      <c r="AV43" s="8">
        <v>172618.02000000002</v>
      </c>
      <c r="AW43" s="6">
        <v>613592.02</v>
      </c>
      <c r="BX43" s="9">
        <v>4284521</v>
      </c>
    </row>
    <row r="44" spans="1:76" x14ac:dyDescent="0.25">
      <c r="A44" s="4" t="s">
        <v>126</v>
      </c>
      <c r="B44" s="1" t="s">
        <v>127</v>
      </c>
      <c r="AH44" s="8">
        <v>2854000</v>
      </c>
      <c r="AV44" s="8">
        <v>2271883</v>
      </c>
      <c r="AW44" s="6">
        <v>450000</v>
      </c>
      <c r="BX44" s="9">
        <v>5575883</v>
      </c>
    </row>
    <row r="45" spans="1:76" x14ac:dyDescent="0.25">
      <c r="A45" s="4" t="s">
        <v>128</v>
      </c>
      <c r="B45" s="1" t="s">
        <v>129</v>
      </c>
      <c r="AH45" s="8">
        <v>0</v>
      </c>
      <c r="AV45" s="8">
        <v>7352494</v>
      </c>
      <c r="AW45" s="6">
        <v>5209400</v>
      </c>
      <c r="BX45" s="9">
        <v>12561894</v>
      </c>
    </row>
    <row r="46" spans="1:76" x14ac:dyDescent="0.25">
      <c r="A46" s="4" t="s">
        <v>130</v>
      </c>
      <c r="B46" s="1" t="s">
        <v>131</v>
      </c>
      <c r="D46" s="8">
        <v>13757859</v>
      </c>
      <c r="N46" s="8">
        <v>6240000</v>
      </c>
      <c r="AO46" s="6">
        <v>4655000</v>
      </c>
      <c r="AQ46" s="6">
        <v>6190000</v>
      </c>
      <c r="AZ46" s="8">
        <v>286000</v>
      </c>
      <c r="BB46" s="8">
        <v>1914000</v>
      </c>
      <c r="BL46" s="8">
        <v>8580000</v>
      </c>
      <c r="BX46" s="9">
        <v>41622859</v>
      </c>
    </row>
    <row r="47" spans="1:76" x14ac:dyDescent="0.25">
      <c r="A47" s="4" t="s">
        <v>132</v>
      </c>
      <c r="B47" s="1" t="s">
        <v>133</v>
      </c>
      <c r="D47" s="8">
        <v>470000</v>
      </c>
      <c r="U47" s="6">
        <v>199000</v>
      </c>
      <c r="AO47" s="6">
        <v>37500</v>
      </c>
      <c r="BX47" s="9">
        <v>706500</v>
      </c>
    </row>
    <row r="48" spans="1:76" x14ac:dyDescent="0.25">
      <c r="A48" s="4" t="s">
        <v>134</v>
      </c>
      <c r="B48" s="1" t="s">
        <v>135</v>
      </c>
      <c r="D48" s="8">
        <v>14760000</v>
      </c>
      <c r="J48" s="8">
        <v>2400000</v>
      </c>
      <c r="P48" s="8">
        <v>7200000</v>
      </c>
      <c r="Z48" s="8">
        <v>1200000</v>
      </c>
      <c r="AE48" s="6">
        <v>1800000</v>
      </c>
      <c r="AH48" s="8">
        <v>7200000</v>
      </c>
      <c r="AI48" s="6">
        <v>20712778</v>
      </c>
      <c r="AV48" s="8">
        <v>11048000</v>
      </c>
      <c r="AW48" s="6">
        <v>6000000</v>
      </c>
      <c r="AZ48" s="8">
        <v>7711782</v>
      </c>
      <c r="BA48" s="6">
        <v>620065</v>
      </c>
      <c r="BB48" s="8">
        <v>30995186</v>
      </c>
      <c r="BX48" s="9">
        <v>111647811</v>
      </c>
    </row>
    <row r="49" spans="1:76" x14ac:dyDescent="0.25">
      <c r="A49" s="4" t="s">
        <v>138</v>
      </c>
      <c r="B49" s="1" t="s">
        <v>139</v>
      </c>
      <c r="D49" s="8">
        <v>1030176.0000000001</v>
      </c>
      <c r="J49" s="8">
        <v>735840</v>
      </c>
      <c r="M49" s="6">
        <v>441504</v>
      </c>
      <c r="T49" s="8">
        <v>1913184</v>
      </c>
      <c r="Z49" s="8">
        <v>294336</v>
      </c>
      <c r="AE49" s="6">
        <v>1324512</v>
      </c>
      <c r="AG49" s="6">
        <v>294336</v>
      </c>
      <c r="AH49" s="8">
        <v>1913184</v>
      </c>
      <c r="AI49" s="6">
        <v>735840</v>
      </c>
      <c r="AJ49" s="8">
        <v>1324512.0000000002</v>
      </c>
      <c r="AS49" s="6">
        <v>1177344</v>
      </c>
      <c r="AU49" s="6">
        <v>294336</v>
      </c>
      <c r="AV49" s="8">
        <v>1177344</v>
      </c>
      <c r="AW49" s="6">
        <v>2060352.0000000002</v>
      </c>
      <c r="BX49" s="9">
        <v>14716800</v>
      </c>
    </row>
    <row r="50" spans="1:76" x14ac:dyDescent="0.25">
      <c r="A50" s="4" t="s">
        <v>140</v>
      </c>
      <c r="B50" s="1" t="s">
        <v>141</v>
      </c>
      <c r="AZ50" s="8">
        <v>1040110</v>
      </c>
      <c r="BA50" s="6">
        <v>106126</v>
      </c>
      <c r="BB50" s="8">
        <v>2444196</v>
      </c>
      <c r="BX50" s="9">
        <v>3590432</v>
      </c>
    </row>
    <row r="51" spans="1:76" x14ac:dyDescent="0.25">
      <c r="A51" s="4" t="s">
        <v>144</v>
      </c>
      <c r="B51" s="1" t="s">
        <v>145</v>
      </c>
      <c r="D51" s="8">
        <v>6512222</v>
      </c>
      <c r="U51" s="6">
        <v>7160.3099999999995</v>
      </c>
      <c r="AJ51" s="8">
        <v>5608634</v>
      </c>
      <c r="AV51" s="8">
        <v>202355.85</v>
      </c>
      <c r="AW51" s="6">
        <v>1312927.8400000001</v>
      </c>
      <c r="AZ51" s="8">
        <v>2277760</v>
      </c>
      <c r="BB51" s="8">
        <v>15560382</v>
      </c>
      <c r="BL51" s="8">
        <v>2060</v>
      </c>
      <c r="BU51" s="6">
        <v>1890</v>
      </c>
      <c r="BX51" s="9">
        <v>31485392</v>
      </c>
    </row>
    <row r="52" spans="1:76" x14ac:dyDescent="0.25">
      <c r="A52" s="4" t="s">
        <v>146</v>
      </c>
      <c r="B52" s="1" t="s">
        <v>147</v>
      </c>
      <c r="D52" s="8">
        <v>8684.7933999999987</v>
      </c>
      <c r="E52" s="6">
        <v>1.8189894035458565E-12</v>
      </c>
      <c r="F52" s="8">
        <v>2456.25</v>
      </c>
      <c r="H52" s="8">
        <v>17398.239999999994</v>
      </c>
      <c r="J52" s="8">
        <v>13691.691000000003</v>
      </c>
      <c r="M52" s="6">
        <v>5726.2786000000015</v>
      </c>
      <c r="P52" s="8">
        <v>6526.3600000000006</v>
      </c>
      <c r="S52" s="6">
        <v>152.4</v>
      </c>
      <c r="T52" s="8">
        <v>9619.0106000000033</v>
      </c>
      <c r="U52" s="6">
        <v>16728.27</v>
      </c>
      <c r="V52" s="8">
        <v>6890.7</v>
      </c>
      <c r="W52" s="6">
        <v>4395.93</v>
      </c>
      <c r="X52" s="8">
        <v>4973.97</v>
      </c>
      <c r="Z52" s="8">
        <v>18.872399999999999</v>
      </c>
      <c r="AD52" s="8">
        <v>29230.020000000004</v>
      </c>
      <c r="AE52" s="6">
        <v>8317.0858000000007</v>
      </c>
      <c r="AG52" s="6">
        <v>1687.6624000000002</v>
      </c>
      <c r="AH52" s="8">
        <v>3432.0506</v>
      </c>
      <c r="AI52" s="6">
        <v>1701.8710000000001</v>
      </c>
      <c r="AJ52" s="8">
        <v>5058.8958000000011</v>
      </c>
      <c r="AK52" s="6">
        <v>1248.2900000000002</v>
      </c>
      <c r="AN52" s="8">
        <v>10406.83</v>
      </c>
      <c r="AO52" s="6">
        <v>3789.7699999999995</v>
      </c>
      <c r="AS52" s="6">
        <v>38065.5792</v>
      </c>
      <c r="AT52" s="8">
        <v>11226.610400000001</v>
      </c>
      <c r="AU52" s="6">
        <v>1729.0523999999998</v>
      </c>
      <c r="AV52" s="8">
        <v>3601.3396000000007</v>
      </c>
      <c r="AW52" s="6">
        <v>5834.2668000000012</v>
      </c>
      <c r="AX52" s="8">
        <v>20948.099999999999</v>
      </c>
      <c r="AY52" s="6">
        <v>3052.2000000000003</v>
      </c>
      <c r="AZ52" s="8">
        <v>6184</v>
      </c>
      <c r="BC52" s="6">
        <v>9480.35</v>
      </c>
      <c r="BD52" s="8">
        <v>5014.8700000000008</v>
      </c>
      <c r="BJ52" s="8">
        <v>8627.89</v>
      </c>
      <c r="BK52" s="6">
        <v>6507.26</v>
      </c>
      <c r="BL52" s="8">
        <v>11687.23</v>
      </c>
      <c r="BM52" s="6">
        <v>3889.66</v>
      </c>
      <c r="BO52" s="6">
        <v>38640</v>
      </c>
      <c r="BQ52" s="6">
        <v>2782.7</v>
      </c>
      <c r="BS52" s="6">
        <v>6671.3500000000013</v>
      </c>
      <c r="BU52" s="6">
        <v>4177.2700000000004</v>
      </c>
      <c r="BX52" s="9">
        <v>350254.96999999991</v>
      </c>
    </row>
    <row r="53" spans="1:76" x14ac:dyDescent="0.25">
      <c r="A53" s="4" t="s">
        <v>148</v>
      </c>
      <c r="B53" s="1" t="s">
        <v>149</v>
      </c>
      <c r="D53" s="8">
        <v>16069.822099999998</v>
      </c>
      <c r="E53" s="6">
        <v>-7.2759576141834259E-12</v>
      </c>
      <c r="F53" s="8">
        <v>5925.3</v>
      </c>
      <c r="H53" s="8">
        <v>34875.270000000026</v>
      </c>
      <c r="J53" s="8">
        <v>27682.701500000003</v>
      </c>
      <c r="M53" s="6">
        <v>11021.980900000002</v>
      </c>
      <c r="P53" s="8">
        <v>12865.2</v>
      </c>
      <c r="S53" s="6">
        <v>914.40000000000009</v>
      </c>
      <c r="T53" s="8">
        <v>18830.183900000007</v>
      </c>
      <c r="U53" s="6">
        <v>26877.600000000006</v>
      </c>
      <c r="V53" s="8">
        <v>18386.399999999998</v>
      </c>
      <c r="W53" s="6">
        <v>9326.4000000000015</v>
      </c>
      <c r="X53" s="8">
        <v>9849.6</v>
      </c>
      <c r="Z53" s="8">
        <v>36.520600000000002</v>
      </c>
      <c r="AD53" s="8">
        <v>57455.3</v>
      </c>
      <c r="AE53" s="6">
        <v>16771.342699999994</v>
      </c>
      <c r="AG53" s="6">
        <v>3341.3206</v>
      </c>
      <c r="AH53" s="8">
        <v>6790.5839000000014</v>
      </c>
      <c r="AI53" s="6">
        <v>3367.9015000000009</v>
      </c>
      <c r="AJ53" s="8">
        <v>10013.942700000001</v>
      </c>
      <c r="AK53" s="6">
        <v>1955.8000000000004</v>
      </c>
      <c r="AN53" s="8">
        <v>20006.400000000001</v>
      </c>
      <c r="AO53" s="6">
        <v>7001.4000000000005</v>
      </c>
      <c r="AS53" s="6">
        <v>74616.841999999975</v>
      </c>
      <c r="AT53" s="8">
        <v>22468.820400000004</v>
      </c>
      <c r="AU53" s="6">
        <v>3397.7205999999996</v>
      </c>
      <c r="AV53" s="8">
        <v>6818.0824000000011</v>
      </c>
      <c r="AW53" s="6">
        <v>12316.244200000003</v>
      </c>
      <c r="AX53" s="8">
        <v>46384.6</v>
      </c>
      <c r="AY53" s="6">
        <v>7113.7999999999993</v>
      </c>
      <c r="AZ53" s="8">
        <v>13206</v>
      </c>
      <c r="BC53" s="6">
        <v>19957.149999999994</v>
      </c>
      <c r="BD53" s="8">
        <v>10134.600000000004</v>
      </c>
      <c r="BJ53" s="8">
        <v>16946.269999999997</v>
      </c>
      <c r="BK53" s="6">
        <v>12911.600000000002</v>
      </c>
      <c r="BL53" s="8">
        <v>23534.399999999994</v>
      </c>
      <c r="BM53" s="6">
        <v>5616.2000000000007</v>
      </c>
      <c r="BO53" s="6">
        <v>79301.069999999992</v>
      </c>
      <c r="BQ53" s="6">
        <v>7699</v>
      </c>
      <c r="BS53" s="6">
        <v>13090.800000000003</v>
      </c>
      <c r="BU53" s="6">
        <v>8350</v>
      </c>
      <c r="BX53" s="9">
        <v>703228.57000000007</v>
      </c>
    </row>
    <row r="54" spans="1:76" x14ac:dyDescent="0.25">
      <c r="A54" s="4" t="s">
        <v>150</v>
      </c>
      <c r="B54" s="1" t="s">
        <v>151</v>
      </c>
      <c r="D54" s="8">
        <v>47869.529300000009</v>
      </c>
      <c r="E54" s="6">
        <v>0</v>
      </c>
      <c r="F54" s="8">
        <v>13538.14</v>
      </c>
      <c r="H54" s="8">
        <v>95896.280000000013</v>
      </c>
      <c r="J54" s="8">
        <v>75466.229499999972</v>
      </c>
      <c r="M54" s="6">
        <v>31562.339699999997</v>
      </c>
      <c r="P54" s="8">
        <v>35971.740000000005</v>
      </c>
      <c r="S54" s="6">
        <v>840</v>
      </c>
      <c r="T54" s="8">
        <v>53018.138700000003</v>
      </c>
      <c r="U54" s="6">
        <v>92203.800000000017</v>
      </c>
      <c r="V54" s="8">
        <v>37980.6</v>
      </c>
      <c r="W54" s="6">
        <v>24229.38</v>
      </c>
      <c r="X54" s="8">
        <v>27415.61</v>
      </c>
      <c r="Z54" s="8">
        <v>104.01979999999999</v>
      </c>
      <c r="AD54" s="8">
        <v>162649.05999999997</v>
      </c>
      <c r="AE54" s="6">
        <v>45842.22909999999</v>
      </c>
      <c r="AG54" s="6">
        <v>9302.0598000000009</v>
      </c>
      <c r="AH54" s="8">
        <v>18916.798699999999</v>
      </c>
      <c r="AI54" s="6">
        <v>9380.3895000000011</v>
      </c>
      <c r="AJ54" s="8">
        <v>27883.699099999994</v>
      </c>
      <c r="AK54" s="6">
        <v>6880.34</v>
      </c>
      <c r="AN54" s="8">
        <v>57360.35</v>
      </c>
      <c r="AO54" s="6">
        <v>20888.110000000004</v>
      </c>
      <c r="AS54" s="6">
        <v>222859.13919999968</v>
      </c>
      <c r="AT54" s="8">
        <v>61878.909999999996</v>
      </c>
      <c r="AU54" s="6">
        <v>9530.1398000000008</v>
      </c>
      <c r="AV54" s="8">
        <v>19850.0592</v>
      </c>
      <c r="AW54" s="6">
        <v>32156.878599999996</v>
      </c>
      <c r="AX54" s="8">
        <v>115464.30000000002</v>
      </c>
      <c r="AY54" s="6">
        <v>16811</v>
      </c>
      <c r="AZ54" s="8">
        <v>34093</v>
      </c>
      <c r="BC54" s="6">
        <v>66363.039999999994</v>
      </c>
      <c r="BD54" s="8">
        <v>27641.010000000002</v>
      </c>
      <c r="BJ54" s="8">
        <v>60393.759999999995</v>
      </c>
      <c r="BK54" s="6">
        <v>45550.759999999995</v>
      </c>
      <c r="BL54" s="8">
        <v>81810.540000000008</v>
      </c>
      <c r="BM54" s="6">
        <v>27227.579999999998</v>
      </c>
      <c r="BO54" s="6">
        <v>270426.48999999993</v>
      </c>
      <c r="BQ54" s="6">
        <v>19478.879999999997</v>
      </c>
      <c r="BS54" s="6">
        <v>46699.209999999992</v>
      </c>
      <c r="BU54" s="6">
        <v>23024.36</v>
      </c>
      <c r="BX54" s="9">
        <v>2076457.8999999997</v>
      </c>
    </row>
    <row r="55" spans="1:76" x14ac:dyDescent="0.25">
      <c r="A55" s="4" t="s">
        <v>152</v>
      </c>
      <c r="B55" s="1" t="s">
        <v>153</v>
      </c>
      <c r="BB55" s="8">
        <v>2494737.54</v>
      </c>
      <c r="BX55" s="9">
        <v>2494737.54</v>
      </c>
    </row>
    <row r="56" spans="1:76" x14ac:dyDescent="0.25">
      <c r="A56" s="4" t="s">
        <v>154</v>
      </c>
      <c r="B56" s="1" t="s">
        <v>155</v>
      </c>
      <c r="D56" s="8">
        <v>835820.65999999992</v>
      </c>
      <c r="F56" s="8">
        <v>33101</v>
      </c>
      <c r="J56" s="8">
        <v>83019.16</v>
      </c>
      <c r="P56" s="8">
        <v>445234</v>
      </c>
      <c r="U56" s="6">
        <v>112360.33000000002</v>
      </c>
      <c r="X56" s="8">
        <v>47030.75</v>
      </c>
      <c r="BX56" s="9">
        <v>1556565.9</v>
      </c>
    </row>
    <row r="57" spans="1:76" x14ac:dyDescent="0.25">
      <c r="A57" s="4" t="s">
        <v>156</v>
      </c>
      <c r="B57" s="1" t="s">
        <v>922</v>
      </c>
      <c r="D57" s="8">
        <v>414283.12640000007</v>
      </c>
      <c r="E57" s="6">
        <v>-4.6566128730773926E-10</v>
      </c>
      <c r="F57" s="8">
        <v>6507</v>
      </c>
      <c r="H57" s="8">
        <v>13208.86</v>
      </c>
      <c r="J57" s="8">
        <v>456952.28600000002</v>
      </c>
      <c r="M57" s="6">
        <v>99789.965599999996</v>
      </c>
      <c r="P57" s="8">
        <v>68768.69</v>
      </c>
      <c r="T57" s="8">
        <v>366956.32760000008</v>
      </c>
      <c r="U57" s="6">
        <v>88886.5</v>
      </c>
      <c r="V57" s="8">
        <v>41745.56</v>
      </c>
      <c r="W57" s="6">
        <v>21596.73</v>
      </c>
      <c r="X57" s="8">
        <v>25882.97</v>
      </c>
      <c r="Z57" s="8">
        <v>49267.910400000008</v>
      </c>
      <c r="AD57" s="8">
        <v>179367.41000000003</v>
      </c>
      <c r="AE57" s="6">
        <v>263452.49680000008</v>
      </c>
      <c r="AG57" s="6">
        <v>57895.61039999999</v>
      </c>
      <c r="AH57" s="8">
        <v>337496.68760000006</v>
      </c>
      <c r="AI57" s="6">
        <v>131797.476</v>
      </c>
      <c r="AJ57" s="8">
        <v>247595.36680000002</v>
      </c>
      <c r="AK57" s="6">
        <v>6460.37</v>
      </c>
      <c r="AN57" s="8">
        <v>53898.57</v>
      </c>
      <c r="AO57" s="6">
        <v>91379.94</v>
      </c>
      <c r="AS57" s="6">
        <v>803403.01300000038</v>
      </c>
      <c r="AT57" s="8">
        <v>31331.778599999991</v>
      </c>
      <c r="AU57" s="6">
        <v>57895.610399999998</v>
      </c>
      <c r="AV57" s="8">
        <v>215005.87160000001</v>
      </c>
      <c r="AW57" s="6">
        <v>414380.58280000009</v>
      </c>
      <c r="AX57" s="8">
        <v>100011</v>
      </c>
      <c r="AY57" s="6">
        <v>14466.86</v>
      </c>
      <c r="AZ57" s="8">
        <v>162196.82</v>
      </c>
      <c r="BA57" s="6">
        <v>8840</v>
      </c>
      <c r="BB57" s="8">
        <v>965674.55</v>
      </c>
      <c r="BC57" s="6">
        <v>59695.959999999992</v>
      </c>
      <c r="BD57" s="8">
        <v>24441.96</v>
      </c>
      <c r="BJ57" s="8">
        <v>108244.54000000001</v>
      </c>
      <c r="BK57" s="6">
        <v>35484.189999999995</v>
      </c>
      <c r="BL57" s="8">
        <v>167781.02</v>
      </c>
      <c r="BM57" s="6">
        <v>21060.339999999997</v>
      </c>
      <c r="BO57" s="6">
        <v>595948.41999999981</v>
      </c>
      <c r="BQ57" s="6">
        <v>14423.85</v>
      </c>
      <c r="BS57" s="6">
        <v>123209.89</v>
      </c>
      <c r="BU57" s="6">
        <v>115659.06</v>
      </c>
      <c r="BX57" s="9">
        <v>7062345.1699999999</v>
      </c>
    </row>
    <row r="58" spans="1:76" x14ac:dyDescent="0.25">
      <c r="A58" s="4" t="s">
        <v>158</v>
      </c>
      <c r="B58" s="1" t="s">
        <v>159</v>
      </c>
      <c r="D58" s="8">
        <v>4724</v>
      </c>
      <c r="F58" s="8">
        <v>2362</v>
      </c>
      <c r="J58" s="8">
        <v>2362</v>
      </c>
      <c r="AZ58" s="8">
        <v>1701</v>
      </c>
      <c r="BB58" s="8">
        <v>10275</v>
      </c>
      <c r="BC58" s="6">
        <v>7086</v>
      </c>
      <c r="BJ58" s="8">
        <v>7724</v>
      </c>
      <c r="BL58" s="8">
        <v>4724</v>
      </c>
      <c r="BO58" s="6">
        <v>21258</v>
      </c>
      <c r="BS58" s="6">
        <v>7086</v>
      </c>
      <c r="BX58" s="9">
        <v>69302</v>
      </c>
    </row>
    <row r="59" spans="1:76" x14ac:dyDescent="0.25">
      <c r="A59" s="4" t="s">
        <v>160</v>
      </c>
      <c r="B59" s="1" t="s">
        <v>161</v>
      </c>
      <c r="D59" s="8">
        <v>4445</v>
      </c>
      <c r="E59" s="6">
        <v>0</v>
      </c>
      <c r="F59" s="8">
        <v>141096</v>
      </c>
      <c r="J59" s="8">
        <v>3175</v>
      </c>
      <c r="M59" s="6">
        <v>1905</v>
      </c>
      <c r="P59" s="8">
        <v>116844</v>
      </c>
      <c r="T59" s="8">
        <v>8255</v>
      </c>
      <c r="U59" s="6">
        <v>33500</v>
      </c>
      <c r="V59" s="8">
        <v>4000</v>
      </c>
      <c r="Z59" s="8">
        <v>1270</v>
      </c>
      <c r="AD59" s="8">
        <v>116844</v>
      </c>
      <c r="AE59" s="6">
        <v>5715</v>
      </c>
      <c r="AG59" s="6">
        <v>1270</v>
      </c>
      <c r="AH59" s="8">
        <v>8255</v>
      </c>
      <c r="AI59" s="6">
        <v>3175</v>
      </c>
      <c r="AJ59" s="8">
        <v>5715</v>
      </c>
      <c r="AO59" s="6">
        <v>42327</v>
      </c>
      <c r="AS59" s="6">
        <v>98200.693599999955</v>
      </c>
      <c r="AT59" s="8">
        <v>330155.18639999983</v>
      </c>
      <c r="AU59" s="6">
        <v>1270</v>
      </c>
      <c r="AV59" s="8">
        <v>5080</v>
      </c>
      <c r="AW59" s="6">
        <v>8890</v>
      </c>
      <c r="AZ59" s="8">
        <v>62361.840000000011</v>
      </c>
      <c r="BA59" s="6">
        <v>5196.82</v>
      </c>
      <c r="BB59" s="8">
        <v>417344.28</v>
      </c>
      <c r="BC59" s="6">
        <v>81540</v>
      </c>
      <c r="BJ59" s="8">
        <v>42327</v>
      </c>
      <c r="BO59" s="6">
        <v>31520426</v>
      </c>
      <c r="BU59" s="6">
        <v>4746951</v>
      </c>
      <c r="BX59" s="9">
        <v>37817533.82</v>
      </c>
    </row>
    <row r="60" spans="1:76" x14ac:dyDescent="0.25">
      <c r="A60" s="4" t="s">
        <v>164</v>
      </c>
      <c r="B60" s="1" t="s">
        <v>165</v>
      </c>
      <c r="D60" s="8">
        <v>334670.00000000006</v>
      </c>
      <c r="E60" s="6">
        <v>-9.3132257461547852E-10</v>
      </c>
      <c r="F60" s="8">
        <v>3309000</v>
      </c>
      <c r="J60" s="8">
        <v>239050</v>
      </c>
      <c r="M60" s="6">
        <v>143430</v>
      </c>
      <c r="T60" s="8">
        <v>621530</v>
      </c>
      <c r="Z60" s="8">
        <v>95620</v>
      </c>
      <c r="AD60" s="8">
        <v>1318500</v>
      </c>
      <c r="AE60" s="6">
        <v>430290</v>
      </c>
      <c r="AG60" s="6">
        <v>95620</v>
      </c>
      <c r="AH60" s="8">
        <v>621530</v>
      </c>
      <c r="AI60" s="6">
        <v>239050</v>
      </c>
      <c r="AJ60" s="8">
        <v>430290</v>
      </c>
      <c r="AO60" s="6">
        <v>299512.5</v>
      </c>
      <c r="AS60" s="6">
        <v>757800</v>
      </c>
      <c r="AT60" s="8">
        <v>1330680</v>
      </c>
      <c r="AU60" s="6">
        <v>95620</v>
      </c>
      <c r="AV60" s="8">
        <v>382480</v>
      </c>
      <c r="AW60" s="6">
        <v>669340.00000000012</v>
      </c>
      <c r="AZ60" s="8">
        <v>434316.85</v>
      </c>
      <c r="BA60" s="6">
        <v>34144.5</v>
      </c>
      <c r="BB60" s="8">
        <v>2957561.4</v>
      </c>
      <c r="BD60" s="8">
        <v>1004250</v>
      </c>
      <c r="BJ60" s="8">
        <v>299512.5</v>
      </c>
      <c r="BO60" s="6">
        <v>1782000</v>
      </c>
      <c r="BX60" s="9">
        <v>17925797.75</v>
      </c>
    </row>
    <row r="61" spans="1:76" x14ac:dyDescent="0.25">
      <c r="A61" s="4" t="s">
        <v>166</v>
      </c>
      <c r="B61" s="1" t="s">
        <v>167</v>
      </c>
      <c r="E61" s="6">
        <v>-1.862645149230957E-9</v>
      </c>
      <c r="BX61" s="9">
        <v>-1.862645149230957E-9</v>
      </c>
    </row>
    <row r="62" spans="1:76" x14ac:dyDescent="0.25">
      <c r="A62" s="4" t="s">
        <v>168</v>
      </c>
      <c r="B62" s="1" t="s">
        <v>169</v>
      </c>
      <c r="D62" s="8">
        <v>113229.2</v>
      </c>
      <c r="E62" s="6">
        <v>-5.8207660913467407E-11</v>
      </c>
      <c r="J62" s="8">
        <v>228923.1</v>
      </c>
      <c r="P62" s="8">
        <v>47063.099999999991</v>
      </c>
      <c r="T62" s="8">
        <v>59768.800000000003</v>
      </c>
      <c r="V62" s="8">
        <v>558604.79999999981</v>
      </c>
      <c r="W62" s="6">
        <v>94714.2</v>
      </c>
      <c r="X62" s="8">
        <v>75446.8</v>
      </c>
      <c r="AD62" s="8">
        <v>763689.40000000014</v>
      </c>
      <c r="AE62" s="6">
        <v>93475.199999999997</v>
      </c>
      <c r="AG62" s="6">
        <v>371500.1</v>
      </c>
      <c r="AI62" s="6">
        <v>96465.600000000006</v>
      </c>
      <c r="AJ62" s="8">
        <v>89016.9</v>
      </c>
      <c r="AN62" s="8">
        <v>286205.5</v>
      </c>
      <c r="AO62" s="6">
        <v>55050.5</v>
      </c>
      <c r="AS62" s="6">
        <v>345659.00779999996</v>
      </c>
      <c r="AT62" s="8">
        <v>290304.68220000016</v>
      </c>
      <c r="AV62" s="8">
        <v>93872.1</v>
      </c>
      <c r="AW62" s="6">
        <v>157283.69999999998</v>
      </c>
      <c r="AZ62" s="8">
        <v>95096.959999999992</v>
      </c>
      <c r="BB62" s="8">
        <v>666060.99000000034</v>
      </c>
      <c r="BC62" s="6">
        <v>156321.5</v>
      </c>
      <c r="BJ62" s="8">
        <v>143929.40000000002</v>
      </c>
      <c r="BO62" s="6">
        <v>20600</v>
      </c>
      <c r="BU62" s="6">
        <v>149685</v>
      </c>
      <c r="BX62" s="9">
        <v>5051966.540000001</v>
      </c>
    </row>
    <row r="63" spans="1:76" x14ac:dyDescent="0.25">
      <c r="A63" s="4" t="s">
        <v>1758</v>
      </c>
      <c r="B63" s="1" t="s">
        <v>1759</v>
      </c>
      <c r="D63" s="8">
        <v>418617</v>
      </c>
      <c r="F63" s="8">
        <v>53192</v>
      </c>
      <c r="J63" s="8">
        <v>129543</v>
      </c>
      <c r="U63" s="6">
        <v>19135</v>
      </c>
      <c r="AS63" s="6">
        <v>8432.1</v>
      </c>
      <c r="BB63" s="8">
        <v>28609</v>
      </c>
      <c r="BC63" s="6">
        <v>227180.96999999991</v>
      </c>
      <c r="BE63" s="6">
        <v>108000</v>
      </c>
      <c r="BG63" s="6">
        <v>27768.82</v>
      </c>
      <c r="BJ63" s="8">
        <v>643726.39</v>
      </c>
      <c r="BK63" s="6">
        <v>3926.5</v>
      </c>
      <c r="BL63" s="8">
        <v>9928831.120000001</v>
      </c>
      <c r="BM63" s="6">
        <v>493659.71</v>
      </c>
      <c r="BO63" s="6">
        <v>11145988.480000004</v>
      </c>
      <c r="BS63" s="6">
        <v>82457502.860000014</v>
      </c>
      <c r="BT63" s="8">
        <v>4081.88</v>
      </c>
      <c r="BX63" s="9">
        <v>105698194.83</v>
      </c>
    </row>
    <row r="64" spans="1:76" x14ac:dyDescent="0.25">
      <c r="A64" s="4" t="s">
        <v>856</v>
      </c>
      <c r="B64" s="1" t="s">
        <v>914</v>
      </c>
      <c r="AS64" s="6">
        <v>904691</v>
      </c>
      <c r="BX64" s="9">
        <v>904691</v>
      </c>
    </row>
    <row r="65" spans="1:76" x14ac:dyDescent="0.25">
      <c r="A65" s="4" t="s">
        <v>857</v>
      </c>
      <c r="B65" s="1" t="s">
        <v>915</v>
      </c>
      <c r="D65" s="8">
        <v>36846</v>
      </c>
      <c r="E65" s="6">
        <v>-3.637978807091713E-12</v>
      </c>
      <c r="F65" s="8">
        <v>32711</v>
      </c>
      <c r="J65" s="8">
        <v>31040</v>
      </c>
      <c r="M65" s="6">
        <v>534</v>
      </c>
      <c r="O65" s="6">
        <v>5800</v>
      </c>
      <c r="P65" s="8">
        <v>9475</v>
      </c>
      <c r="T65" s="8">
        <v>2314</v>
      </c>
      <c r="Z65" s="8">
        <v>356</v>
      </c>
      <c r="AD65" s="8">
        <v>23250</v>
      </c>
      <c r="AE65" s="6">
        <v>1602</v>
      </c>
      <c r="AG65" s="6">
        <v>356</v>
      </c>
      <c r="AH65" s="8">
        <v>2314</v>
      </c>
      <c r="AI65" s="6">
        <v>890</v>
      </c>
      <c r="AJ65" s="8">
        <v>1602</v>
      </c>
      <c r="AO65" s="6">
        <v>7702.52</v>
      </c>
      <c r="AS65" s="6">
        <v>6308961</v>
      </c>
      <c r="AT65" s="8">
        <v>11232</v>
      </c>
      <c r="AU65" s="6">
        <v>356</v>
      </c>
      <c r="AV65" s="8">
        <v>1424</v>
      </c>
      <c r="AW65" s="6">
        <v>2492.0000000000005</v>
      </c>
      <c r="AZ65" s="8">
        <v>14525.900000000001</v>
      </c>
      <c r="BB65" s="8">
        <v>75948.62</v>
      </c>
      <c r="BC65" s="6">
        <v>7050</v>
      </c>
      <c r="BJ65" s="8">
        <v>7702.5199999997858</v>
      </c>
      <c r="BK65" s="6">
        <v>16977</v>
      </c>
      <c r="BL65" s="8">
        <v>32385.239999999998</v>
      </c>
      <c r="BO65" s="6">
        <v>282800.74</v>
      </c>
      <c r="BS65" s="6">
        <v>11400</v>
      </c>
      <c r="BU65" s="6">
        <v>195000</v>
      </c>
      <c r="BX65" s="9">
        <v>7125047.54</v>
      </c>
    </row>
    <row r="66" spans="1:76" x14ac:dyDescent="0.25">
      <c r="A66" s="4" t="s">
        <v>858</v>
      </c>
      <c r="B66" s="1" t="s">
        <v>916</v>
      </c>
      <c r="J66" s="8">
        <v>5166</v>
      </c>
      <c r="BX66" s="9">
        <v>5166</v>
      </c>
    </row>
    <row r="67" spans="1:76" x14ac:dyDescent="0.25">
      <c r="A67" s="4" t="s">
        <v>859</v>
      </c>
      <c r="B67" s="1" t="s">
        <v>917</v>
      </c>
      <c r="D67" s="8">
        <v>157674.76000000004</v>
      </c>
      <c r="E67" s="6">
        <v>123239.99999999997</v>
      </c>
      <c r="F67" s="8">
        <v>159775</v>
      </c>
      <c r="J67" s="8">
        <v>588882.44999999995</v>
      </c>
      <c r="M67" s="6">
        <v>4197.87</v>
      </c>
      <c r="P67" s="8">
        <v>24938.5</v>
      </c>
      <c r="T67" s="8">
        <v>18190.77</v>
      </c>
      <c r="U67" s="6">
        <v>75996</v>
      </c>
      <c r="Z67" s="8">
        <v>2798.5800000000004</v>
      </c>
      <c r="AD67" s="8">
        <v>61171.5</v>
      </c>
      <c r="AE67" s="6">
        <v>12593.61</v>
      </c>
      <c r="AG67" s="6">
        <v>2798.58</v>
      </c>
      <c r="AH67" s="8">
        <v>18190.77</v>
      </c>
      <c r="AI67" s="6">
        <v>6996.4500000000007</v>
      </c>
      <c r="AJ67" s="8">
        <v>12593.61</v>
      </c>
      <c r="AS67" s="6">
        <v>1643762.1999999997</v>
      </c>
      <c r="AT67" s="8">
        <v>13887.12</v>
      </c>
      <c r="AU67" s="6">
        <v>2798.58</v>
      </c>
      <c r="AV67" s="8">
        <v>11194.32</v>
      </c>
      <c r="AW67" s="6">
        <v>19590.060000000001</v>
      </c>
      <c r="AZ67" s="8">
        <v>61910.67</v>
      </c>
      <c r="BB67" s="8">
        <v>414328.33</v>
      </c>
      <c r="BC67" s="6">
        <v>46999</v>
      </c>
      <c r="BD67" s="8">
        <v>59483</v>
      </c>
      <c r="BJ67" s="8">
        <v>3937</v>
      </c>
      <c r="BL67" s="8">
        <v>1445748</v>
      </c>
      <c r="BM67" s="6">
        <v>2132332.25</v>
      </c>
      <c r="BO67" s="6">
        <v>953426</v>
      </c>
      <c r="BS67" s="6">
        <v>2833420</v>
      </c>
      <c r="BU67" s="6">
        <v>2306547</v>
      </c>
      <c r="BV67" s="8">
        <v>1446500</v>
      </c>
      <c r="BX67" s="9">
        <v>14665901.979999999</v>
      </c>
    </row>
    <row r="68" spans="1:76" x14ac:dyDescent="0.25">
      <c r="A68" s="4" t="s">
        <v>170</v>
      </c>
      <c r="B68" s="1" t="s">
        <v>171</v>
      </c>
      <c r="D68" s="8">
        <v>148324</v>
      </c>
      <c r="J68" s="8">
        <v>302600</v>
      </c>
      <c r="AD68" s="8">
        <v>27000</v>
      </c>
      <c r="AE68" s="6">
        <v>14000</v>
      </c>
      <c r="AG68" s="6">
        <v>70000</v>
      </c>
      <c r="AH68" s="8">
        <v>984039</v>
      </c>
      <c r="AO68" s="6">
        <v>108487</v>
      </c>
      <c r="AS68" s="6">
        <v>227000</v>
      </c>
      <c r="AV68" s="8">
        <v>303000</v>
      </c>
      <c r="AW68" s="6">
        <v>339250</v>
      </c>
      <c r="AZ68" s="8">
        <v>675585</v>
      </c>
      <c r="BA68" s="6">
        <v>28325</v>
      </c>
      <c r="BB68" s="8">
        <v>6966290</v>
      </c>
      <c r="BJ68" s="8">
        <v>11250</v>
      </c>
      <c r="BO68" s="6">
        <v>17090</v>
      </c>
      <c r="BU68" s="6">
        <v>80900</v>
      </c>
      <c r="BX68" s="9">
        <v>10303140</v>
      </c>
    </row>
    <row r="69" spans="1:76" x14ac:dyDescent="0.25">
      <c r="A69" s="4" t="s">
        <v>172</v>
      </c>
      <c r="B69" s="1" t="s">
        <v>173</v>
      </c>
      <c r="AH69" s="8">
        <v>124050</v>
      </c>
      <c r="BB69" s="8">
        <v>9030</v>
      </c>
      <c r="BX69" s="9">
        <v>133080</v>
      </c>
    </row>
    <row r="70" spans="1:76" x14ac:dyDescent="0.25">
      <c r="A70" s="4" t="s">
        <v>174</v>
      </c>
      <c r="B70" s="1" t="s">
        <v>175</v>
      </c>
      <c r="D70" s="8">
        <v>22545</v>
      </c>
      <c r="U70" s="6">
        <v>119887</v>
      </c>
      <c r="AC70" s="6">
        <v>7609</v>
      </c>
      <c r="AF70" s="8">
        <v>914563</v>
      </c>
      <c r="AH70" s="8">
        <v>8832928</v>
      </c>
      <c r="AI70" s="6">
        <v>4788098</v>
      </c>
      <c r="AJ70" s="8">
        <v>59620</v>
      </c>
      <c r="AV70" s="8">
        <v>281998</v>
      </c>
      <c r="AW70" s="6">
        <v>1632402</v>
      </c>
      <c r="AZ70" s="8">
        <v>15865205</v>
      </c>
      <c r="BB70" s="8">
        <v>76445742</v>
      </c>
      <c r="BU70" s="6">
        <v>52010</v>
      </c>
      <c r="BX70" s="9">
        <v>109022607</v>
      </c>
    </row>
    <row r="71" spans="1:76" x14ac:dyDescent="0.25">
      <c r="A71" s="4" t="s">
        <v>176</v>
      </c>
      <c r="B71" s="1" t="s">
        <v>177</v>
      </c>
      <c r="C71" s="6">
        <v>0</v>
      </c>
      <c r="D71" s="8">
        <v>10228635</v>
      </c>
      <c r="K71" s="6">
        <v>3796</v>
      </c>
      <c r="AW71" s="6">
        <v>572</v>
      </c>
      <c r="BX71" s="9">
        <v>10233003</v>
      </c>
    </row>
    <row r="72" spans="1:76" x14ac:dyDescent="0.25">
      <c r="A72" s="4" t="s">
        <v>178</v>
      </c>
      <c r="B72" s="1" t="s">
        <v>179</v>
      </c>
      <c r="D72" s="8">
        <v>615173.32000000007</v>
      </c>
      <c r="J72" s="8">
        <v>122604</v>
      </c>
      <c r="U72" s="6">
        <v>137124</v>
      </c>
      <c r="AZ72" s="8">
        <v>1025640.18</v>
      </c>
      <c r="BA72" s="6">
        <v>1943.5</v>
      </c>
      <c r="BB72" s="8">
        <v>410326.80000000005</v>
      </c>
      <c r="BC72" s="6">
        <v>318732</v>
      </c>
      <c r="BJ72" s="8">
        <v>382795</v>
      </c>
      <c r="BL72" s="8">
        <v>564949</v>
      </c>
      <c r="BO72" s="6">
        <v>2265596</v>
      </c>
      <c r="BS72" s="6">
        <v>262236</v>
      </c>
      <c r="BX72" s="9">
        <v>6107119.7999999998</v>
      </c>
    </row>
    <row r="73" spans="1:76" x14ac:dyDescent="0.25">
      <c r="A73" s="4" t="s">
        <v>180</v>
      </c>
      <c r="B73" s="1" t="s">
        <v>181</v>
      </c>
      <c r="D73" s="8">
        <v>220507.88</v>
      </c>
      <c r="J73" s="8">
        <v>161858.81000000052</v>
      </c>
      <c r="AD73" s="8">
        <v>55137.599999999999</v>
      </c>
      <c r="AO73" s="6">
        <v>1125310.2</v>
      </c>
      <c r="BX73" s="9">
        <v>1562814.4900000005</v>
      </c>
    </row>
    <row r="74" spans="1:76" x14ac:dyDescent="0.25">
      <c r="A74" s="4" t="s">
        <v>182</v>
      </c>
      <c r="B74" s="1" t="s">
        <v>183</v>
      </c>
      <c r="D74" s="8">
        <v>1937432.8399999999</v>
      </c>
      <c r="BX74" s="9">
        <v>1937432.8399999999</v>
      </c>
    </row>
    <row r="75" spans="1:76" x14ac:dyDescent="0.25">
      <c r="A75" s="4" t="s">
        <v>184</v>
      </c>
      <c r="B75" s="1" t="s">
        <v>185</v>
      </c>
      <c r="D75" s="8">
        <v>35378432</v>
      </c>
      <c r="H75" s="8">
        <v>16194303</v>
      </c>
      <c r="J75" s="8">
        <v>26810717</v>
      </c>
      <c r="M75" s="6">
        <v>15896089</v>
      </c>
      <c r="P75" s="8">
        <v>22404888</v>
      </c>
      <c r="T75" s="8">
        <v>27778968</v>
      </c>
      <c r="U75" s="6">
        <v>22287051</v>
      </c>
      <c r="V75" s="8">
        <v>59919982</v>
      </c>
      <c r="W75" s="6">
        <v>16807109</v>
      </c>
      <c r="X75" s="8">
        <v>13729610</v>
      </c>
      <c r="AD75" s="8">
        <v>57842411</v>
      </c>
      <c r="AE75" s="6">
        <v>24135499</v>
      </c>
      <c r="AG75" s="6">
        <v>6544252</v>
      </c>
      <c r="AH75" s="8">
        <v>46903656</v>
      </c>
      <c r="AI75" s="6">
        <v>20080107</v>
      </c>
      <c r="AJ75" s="8">
        <v>21935929</v>
      </c>
      <c r="AK75" s="6">
        <v>11419280</v>
      </c>
      <c r="AN75" s="8">
        <v>32991994</v>
      </c>
      <c r="AO75" s="6">
        <v>19257013</v>
      </c>
      <c r="AP75" s="8">
        <v>294286</v>
      </c>
      <c r="AS75" s="6">
        <v>84923524</v>
      </c>
      <c r="AT75" s="8">
        <v>49785189</v>
      </c>
      <c r="AU75" s="6">
        <v>6725688</v>
      </c>
      <c r="AV75" s="8">
        <v>19925260</v>
      </c>
      <c r="AW75" s="6">
        <v>25745753</v>
      </c>
      <c r="AX75" s="8">
        <v>79504950</v>
      </c>
      <c r="AY75" s="6">
        <v>16858526</v>
      </c>
      <c r="AZ75" s="8">
        <v>54767196</v>
      </c>
      <c r="BB75" s="8">
        <v>-54767196</v>
      </c>
      <c r="BC75" s="6">
        <v>47679142</v>
      </c>
      <c r="BD75" s="8">
        <v>21798455</v>
      </c>
      <c r="BJ75" s="8">
        <v>23444981</v>
      </c>
      <c r="BK75" s="6">
        <v>92733299</v>
      </c>
      <c r="BL75" s="8">
        <v>41113814</v>
      </c>
      <c r="BM75" s="6">
        <v>30106681</v>
      </c>
      <c r="BO75" s="6">
        <v>185581992</v>
      </c>
      <c r="BP75" s="8">
        <v>14531342</v>
      </c>
      <c r="BQ75" s="6">
        <v>11278773</v>
      </c>
      <c r="BS75" s="6">
        <v>29508728</v>
      </c>
      <c r="BU75" s="6">
        <v>19354061</v>
      </c>
      <c r="BW75" s="6">
        <v>32606472</v>
      </c>
      <c r="BX75" s="9">
        <v>1331818206</v>
      </c>
    </row>
    <row r="76" spans="1:76" x14ac:dyDescent="0.25">
      <c r="A76" s="4" t="s">
        <v>186</v>
      </c>
      <c r="B76" s="1" t="s">
        <v>187</v>
      </c>
      <c r="BK76" s="6">
        <v>2722524</v>
      </c>
      <c r="BM76" s="6">
        <v>807670</v>
      </c>
      <c r="BQ76" s="6">
        <v>395862</v>
      </c>
      <c r="BW76" s="6">
        <v>308219</v>
      </c>
      <c r="BX76" s="9">
        <v>4234275</v>
      </c>
    </row>
    <row r="77" spans="1:76" x14ac:dyDescent="0.25">
      <c r="A77" s="4" t="s">
        <v>188</v>
      </c>
      <c r="B77" s="1" t="s">
        <v>189</v>
      </c>
      <c r="D77" s="8">
        <v>586182</v>
      </c>
      <c r="H77" s="8">
        <v>125714</v>
      </c>
      <c r="J77" s="8">
        <v>55839</v>
      </c>
      <c r="P77" s="8">
        <v>128947</v>
      </c>
      <c r="T77" s="8">
        <v>94286</v>
      </c>
      <c r="V77" s="8">
        <v>834180</v>
      </c>
      <c r="X77" s="8">
        <v>554286</v>
      </c>
      <c r="AD77" s="8">
        <v>330757</v>
      </c>
      <c r="AE77" s="6">
        <v>216221</v>
      </c>
      <c r="AH77" s="8">
        <v>88290</v>
      </c>
      <c r="AJ77" s="8">
        <v>303872</v>
      </c>
      <c r="AK77" s="6">
        <v>143636</v>
      </c>
      <c r="AN77" s="8">
        <v>38182</v>
      </c>
      <c r="AS77" s="6">
        <v>145454</v>
      </c>
      <c r="AT77" s="8">
        <v>274354</v>
      </c>
      <c r="AW77" s="6">
        <v>220520</v>
      </c>
      <c r="AX77" s="8">
        <v>397979</v>
      </c>
      <c r="BC77" s="6">
        <v>15714</v>
      </c>
      <c r="BD77" s="8">
        <v>56250</v>
      </c>
      <c r="BJ77" s="8">
        <v>342857</v>
      </c>
      <c r="BK77" s="6">
        <v>280387</v>
      </c>
      <c r="BM77" s="6">
        <v>32609</v>
      </c>
      <c r="BO77" s="6">
        <v>391457</v>
      </c>
      <c r="BQ77" s="6">
        <v>79031</v>
      </c>
      <c r="BS77" s="6">
        <v>64565</v>
      </c>
      <c r="BW77" s="6">
        <v>23263</v>
      </c>
      <c r="BX77" s="9">
        <v>5824832</v>
      </c>
    </row>
    <row r="78" spans="1:76" x14ac:dyDescent="0.25">
      <c r="A78" s="4" t="s">
        <v>190</v>
      </c>
      <c r="B78" s="1" t="s">
        <v>191</v>
      </c>
      <c r="J78" s="8">
        <v>35862</v>
      </c>
      <c r="AT78" s="8">
        <v>522476</v>
      </c>
      <c r="AX78" s="8">
        <v>648505</v>
      </c>
      <c r="BD78" s="8">
        <v>10290</v>
      </c>
      <c r="BK78" s="6">
        <v>2382202</v>
      </c>
      <c r="BM78" s="6">
        <v>899668</v>
      </c>
      <c r="BO78" s="6">
        <v>225008</v>
      </c>
      <c r="BP78" s="8">
        <v>4974</v>
      </c>
      <c r="BQ78" s="6">
        <v>483205</v>
      </c>
      <c r="BW78" s="6">
        <v>455093</v>
      </c>
      <c r="BX78" s="9">
        <v>5667283</v>
      </c>
    </row>
    <row r="79" spans="1:76" x14ac:dyDescent="0.25">
      <c r="A79" s="4" t="s">
        <v>192</v>
      </c>
      <c r="B79" s="1" t="s">
        <v>193</v>
      </c>
      <c r="AO79" s="6">
        <v>625000</v>
      </c>
      <c r="AS79" s="6">
        <v>150000</v>
      </c>
      <c r="BX79" s="9">
        <v>775000</v>
      </c>
    </row>
    <row r="80" spans="1:76" x14ac:dyDescent="0.25">
      <c r="A80" s="4" t="s">
        <v>194</v>
      </c>
      <c r="B80" s="1" t="s">
        <v>195</v>
      </c>
      <c r="AN80" s="8">
        <v>975863</v>
      </c>
      <c r="AX80" s="8">
        <v>1738355</v>
      </c>
      <c r="BK80" s="6">
        <v>9310</v>
      </c>
      <c r="BM80" s="6">
        <v>1582078</v>
      </c>
      <c r="BO80" s="6">
        <v>17379</v>
      </c>
      <c r="BQ80" s="6">
        <v>789570</v>
      </c>
      <c r="BS80" s="6">
        <v>195861</v>
      </c>
      <c r="BU80" s="6">
        <v>92414</v>
      </c>
      <c r="BW80" s="6">
        <v>137196</v>
      </c>
      <c r="BX80" s="9">
        <v>5538026</v>
      </c>
    </row>
    <row r="81" spans="1:76" x14ac:dyDescent="0.25">
      <c r="A81" s="4" t="s">
        <v>196</v>
      </c>
      <c r="B81" s="1" t="s">
        <v>197</v>
      </c>
      <c r="D81" s="8">
        <v>1550000</v>
      </c>
      <c r="H81" s="8">
        <v>1182900</v>
      </c>
      <c r="J81" s="8">
        <v>2139000</v>
      </c>
      <c r="M81" s="6">
        <v>1590000</v>
      </c>
      <c r="P81" s="8">
        <v>2150000</v>
      </c>
      <c r="T81" s="8">
        <v>2920000</v>
      </c>
      <c r="U81" s="6">
        <v>1416000</v>
      </c>
      <c r="V81" s="8">
        <v>5879998</v>
      </c>
      <c r="W81" s="6">
        <v>1250000</v>
      </c>
      <c r="X81" s="8">
        <v>1200000</v>
      </c>
      <c r="AD81" s="8">
        <v>8974500</v>
      </c>
      <c r="AE81" s="6">
        <v>6660000</v>
      </c>
      <c r="AG81" s="6">
        <v>600000</v>
      </c>
      <c r="AH81" s="8">
        <v>3750000</v>
      </c>
      <c r="AI81" s="6">
        <v>1470000</v>
      </c>
      <c r="AJ81" s="8">
        <v>2110000</v>
      </c>
      <c r="AK81" s="6">
        <v>900000</v>
      </c>
      <c r="AN81" s="8">
        <v>2899999</v>
      </c>
      <c r="AO81" s="6">
        <v>3660000</v>
      </c>
      <c r="AS81" s="6">
        <v>11396000</v>
      </c>
      <c r="AT81" s="8">
        <v>6660000</v>
      </c>
      <c r="AV81" s="8">
        <v>1960000</v>
      </c>
      <c r="AW81" s="6">
        <v>1980000</v>
      </c>
      <c r="AX81" s="8">
        <v>8985000</v>
      </c>
      <c r="AY81" s="6">
        <v>1701000</v>
      </c>
      <c r="BC81" s="6">
        <v>4513000</v>
      </c>
      <c r="BD81" s="8">
        <v>3042500</v>
      </c>
      <c r="BJ81" s="8">
        <v>1564600</v>
      </c>
      <c r="BK81" s="6">
        <v>8068800</v>
      </c>
      <c r="BL81" s="8">
        <v>4810000</v>
      </c>
      <c r="BM81" s="6">
        <v>2613000</v>
      </c>
      <c r="BO81" s="6">
        <v>15144500</v>
      </c>
      <c r="BP81" s="8">
        <v>1314750</v>
      </c>
      <c r="BQ81" s="6">
        <v>62100</v>
      </c>
      <c r="BS81" s="6">
        <v>2490000</v>
      </c>
      <c r="BU81" s="6">
        <v>1890000</v>
      </c>
      <c r="BW81" s="6">
        <v>4128400</v>
      </c>
      <c r="BX81" s="9">
        <v>134626047</v>
      </c>
    </row>
    <row r="82" spans="1:76" x14ac:dyDescent="0.25">
      <c r="A82" s="4" t="s">
        <v>198</v>
      </c>
      <c r="B82" s="1" t="s">
        <v>199</v>
      </c>
      <c r="AT82" s="8">
        <v>8519235</v>
      </c>
      <c r="BC82" s="6">
        <v>330000</v>
      </c>
      <c r="BD82" s="8">
        <v>1714250</v>
      </c>
      <c r="BP82" s="8">
        <v>0</v>
      </c>
      <c r="BX82" s="9">
        <v>10563485</v>
      </c>
    </row>
    <row r="83" spans="1:76" x14ac:dyDescent="0.25">
      <c r="A83" s="4" t="s">
        <v>200</v>
      </c>
      <c r="B83" s="1" t="s">
        <v>201</v>
      </c>
      <c r="P83" s="8">
        <v>82057</v>
      </c>
      <c r="AE83" s="6">
        <v>178500</v>
      </c>
      <c r="AH83" s="8">
        <v>395996</v>
      </c>
      <c r="AJ83" s="8">
        <v>190476</v>
      </c>
      <c r="BS83" s="6">
        <v>12913</v>
      </c>
      <c r="BX83" s="9">
        <v>859942</v>
      </c>
    </row>
    <row r="84" spans="1:76" x14ac:dyDescent="0.25">
      <c r="A84" s="4" t="s">
        <v>202</v>
      </c>
      <c r="B84" s="1" t="s">
        <v>203</v>
      </c>
      <c r="D84" s="8">
        <v>3009000</v>
      </c>
      <c r="H84" s="8">
        <v>1093800</v>
      </c>
      <c r="J84" s="8">
        <v>2312800</v>
      </c>
      <c r="M84" s="6">
        <v>1464000</v>
      </c>
      <c r="P84" s="8">
        <v>2015000</v>
      </c>
      <c r="T84" s="8">
        <v>2320000</v>
      </c>
      <c r="U84" s="6">
        <v>2061800</v>
      </c>
      <c r="V84" s="8">
        <v>5495000</v>
      </c>
      <c r="W84" s="6">
        <v>1460000</v>
      </c>
      <c r="X84" s="8">
        <v>790000</v>
      </c>
      <c r="AD84" s="8">
        <v>5085000</v>
      </c>
      <c r="AE84" s="6">
        <v>1703000</v>
      </c>
      <c r="AG84" s="6">
        <v>700000</v>
      </c>
      <c r="AH84" s="8">
        <v>3810000</v>
      </c>
      <c r="AI84" s="6">
        <v>1680000</v>
      </c>
      <c r="AJ84" s="8">
        <v>1880000</v>
      </c>
      <c r="AK84" s="6">
        <v>915000</v>
      </c>
      <c r="AN84" s="8">
        <v>2650000</v>
      </c>
      <c r="AO84" s="6">
        <v>1750000</v>
      </c>
      <c r="AS84" s="6">
        <v>6058000</v>
      </c>
      <c r="AT84" s="8">
        <v>4022800</v>
      </c>
      <c r="AU84" s="6">
        <v>400000</v>
      </c>
      <c r="AV84" s="8">
        <v>1750000</v>
      </c>
      <c r="AW84" s="6">
        <v>1955000</v>
      </c>
      <c r="AX84" s="8">
        <v>6313000</v>
      </c>
      <c r="AY84" s="6">
        <v>1549000</v>
      </c>
      <c r="BC84" s="6">
        <v>3882000</v>
      </c>
      <c r="BD84" s="8">
        <v>1691000</v>
      </c>
      <c r="BJ84" s="8">
        <v>2068200</v>
      </c>
      <c r="BK84" s="6">
        <v>7178700</v>
      </c>
      <c r="BL84" s="8">
        <v>3568200</v>
      </c>
      <c r="BM84" s="6">
        <v>2929600</v>
      </c>
      <c r="BO84" s="6">
        <v>15636000</v>
      </c>
      <c r="BP84" s="8">
        <v>1258400</v>
      </c>
      <c r="BS84" s="6">
        <v>2364000</v>
      </c>
      <c r="BU84" s="6">
        <v>1757000</v>
      </c>
      <c r="BW84" s="6">
        <v>2353200</v>
      </c>
      <c r="BX84" s="9">
        <v>108928500</v>
      </c>
    </row>
    <row r="85" spans="1:76" x14ac:dyDescent="0.25">
      <c r="A85" s="4" t="s">
        <v>204</v>
      </c>
      <c r="B85" s="1" t="s">
        <v>205</v>
      </c>
      <c r="D85" s="8">
        <v>15820644</v>
      </c>
      <c r="U85" s="6">
        <v>2512872</v>
      </c>
      <c r="BJ85" s="8">
        <v>2512872</v>
      </c>
      <c r="BX85" s="9">
        <v>20846388</v>
      </c>
    </row>
    <row r="86" spans="1:76" x14ac:dyDescent="0.25">
      <c r="A86" s="4" t="s">
        <v>206</v>
      </c>
      <c r="B86" s="1" t="s">
        <v>207</v>
      </c>
      <c r="D86" s="8">
        <v>90000</v>
      </c>
      <c r="J86" s="8">
        <v>237300</v>
      </c>
      <c r="T86" s="8">
        <v>3480000</v>
      </c>
      <c r="AE86" s="6">
        <v>3240000</v>
      </c>
      <c r="AS86" s="6">
        <v>11445000</v>
      </c>
      <c r="AV86" s="8">
        <v>428571</v>
      </c>
      <c r="AX86" s="8">
        <v>100000</v>
      </c>
      <c r="BD86" s="8">
        <v>5006120</v>
      </c>
      <c r="BK86" s="6">
        <v>23520600</v>
      </c>
      <c r="BL86" s="8">
        <v>4187500</v>
      </c>
      <c r="BM86" s="6">
        <v>1140000</v>
      </c>
      <c r="BO86" s="6">
        <v>20773000</v>
      </c>
      <c r="BP86" s="8">
        <v>3143000</v>
      </c>
      <c r="BQ86" s="6">
        <v>1090000</v>
      </c>
      <c r="BS86" s="6">
        <v>720000</v>
      </c>
      <c r="BW86" s="6">
        <v>3040700</v>
      </c>
      <c r="BX86" s="9">
        <v>81641791</v>
      </c>
    </row>
    <row r="87" spans="1:76" x14ac:dyDescent="0.25">
      <c r="A87" s="4" t="s">
        <v>764</v>
      </c>
      <c r="B87" s="1" t="s">
        <v>765</v>
      </c>
      <c r="M87" s="6">
        <v>130000</v>
      </c>
      <c r="BL87" s="8">
        <v>80881</v>
      </c>
      <c r="BS87" s="6">
        <v>52381</v>
      </c>
      <c r="BX87" s="9">
        <v>263262</v>
      </c>
    </row>
    <row r="88" spans="1:76" x14ac:dyDescent="0.25">
      <c r="A88" s="4" t="s">
        <v>208</v>
      </c>
      <c r="B88" s="1" t="s">
        <v>209</v>
      </c>
      <c r="H88" s="8">
        <v>-15000</v>
      </c>
      <c r="AD88" s="8">
        <v>-15714</v>
      </c>
      <c r="AH88" s="8">
        <v>-16667</v>
      </c>
      <c r="AI88" s="6">
        <v>-123230</v>
      </c>
      <c r="AJ88" s="8">
        <v>71739</v>
      </c>
      <c r="AS88" s="6">
        <v>-63354</v>
      </c>
      <c r="AT88" s="8">
        <v>-29350</v>
      </c>
      <c r="AU88" s="6">
        <v>34952</v>
      </c>
      <c r="AW88" s="6">
        <v>-49478</v>
      </c>
      <c r="AX88" s="8">
        <v>-46727</v>
      </c>
      <c r="AY88" s="6">
        <v>-26727</v>
      </c>
      <c r="BC88" s="6">
        <v>-29207</v>
      </c>
      <c r="BD88" s="8">
        <v>21273</v>
      </c>
      <c r="BL88" s="8">
        <v>-27749</v>
      </c>
      <c r="BM88" s="6">
        <v>-12273</v>
      </c>
      <c r="BO88" s="6">
        <v>-154114</v>
      </c>
      <c r="BP88" s="8">
        <v>-64565</v>
      </c>
      <c r="BQ88" s="6">
        <v>-55217</v>
      </c>
      <c r="BW88" s="6">
        <v>-46957</v>
      </c>
      <c r="BX88" s="9">
        <v>-648365</v>
      </c>
    </row>
    <row r="89" spans="1:76" x14ac:dyDescent="0.25">
      <c r="A89" s="4" t="s">
        <v>766</v>
      </c>
      <c r="B89" s="1" t="s">
        <v>767</v>
      </c>
      <c r="AX89" s="8">
        <v>1085600</v>
      </c>
      <c r="BM89" s="6">
        <v>101200</v>
      </c>
      <c r="BO89" s="6">
        <v>24260400</v>
      </c>
      <c r="BW89" s="6">
        <v>607200</v>
      </c>
      <c r="BX89" s="9">
        <v>26054400</v>
      </c>
    </row>
    <row r="90" spans="1:76" x14ac:dyDescent="0.25">
      <c r="A90" s="4" t="s">
        <v>210</v>
      </c>
      <c r="B90" s="1" t="s">
        <v>211</v>
      </c>
      <c r="P90" s="8">
        <v>269023</v>
      </c>
      <c r="T90" s="8">
        <v>45719</v>
      </c>
      <c r="V90" s="8">
        <v>156358</v>
      </c>
      <c r="W90" s="6">
        <v>112574</v>
      </c>
      <c r="AD90" s="8">
        <v>57673</v>
      </c>
      <c r="AE90" s="6">
        <v>241606</v>
      </c>
      <c r="AH90" s="8">
        <v>60286</v>
      </c>
      <c r="AJ90" s="8">
        <v>80210</v>
      </c>
      <c r="AK90" s="6">
        <v>367392</v>
      </c>
      <c r="AN90" s="8">
        <v>132282</v>
      </c>
      <c r="AS90" s="6">
        <v>97520</v>
      </c>
      <c r="AV90" s="8">
        <v>35108</v>
      </c>
      <c r="AX90" s="8">
        <v>888678</v>
      </c>
      <c r="BC90" s="6">
        <v>148060</v>
      </c>
      <c r="BX90" s="9">
        <v>2692489</v>
      </c>
    </row>
    <row r="91" spans="1:76" x14ac:dyDescent="0.25">
      <c r="A91" s="4" t="s">
        <v>212</v>
      </c>
      <c r="B91" s="1" t="s">
        <v>213</v>
      </c>
      <c r="D91" s="8">
        <v>147000</v>
      </c>
      <c r="J91" s="8">
        <v>31500</v>
      </c>
      <c r="M91" s="6">
        <v>357000</v>
      </c>
      <c r="P91" s="8">
        <v>441000</v>
      </c>
      <c r="T91" s="8">
        <v>735000</v>
      </c>
      <c r="U91" s="6">
        <v>126000</v>
      </c>
      <c r="V91" s="8">
        <v>588000</v>
      </c>
      <c r="X91" s="8">
        <v>199500</v>
      </c>
      <c r="AD91" s="8">
        <v>1375500</v>
      </c>
      <c r="AE91" s="6">
        <v>717500</v>
      </c>
      <c r="AJ91" s="8">
        <v>10500</v>
      </c>
      <c r="AN91" s="8">
        <v>371000</v>
      </c>
      <c r="AO91" s="6">
        <v>84000</v>
      </c>
      <c r="AS91" s="6">
        <v>2318050</v>
      </c>
      <c r="AT91" s="8">
        <v>133000</v>
      </c>
      <c r="AV91" s="8">
        <v>259000</v>
      </c>
      <c r="AW91" s="6">
        <v>588000</v>
      </c>
      <c r="BO91" s="6">
        <v>115500</v>
      </c>
      <c r="BX91" s="9">
        <v>8597050</v>
      </c>
    </row>
    <row r="92" spans="1:76" x14ac:dyDescent="0.25">
      <c r="A92" s="4" t="s">
        <v>214</v>
      </c>
      <c r="B92" s="1" t="s">
        <v>215</v>
      </c>
      <c r="D92" s="8">
        <v>225564</v>
      </c>
      <c r="P92" s="8">
        <v>360904</v>
      </c>
      <c r="AE92" s="6">
        <v>406017</v>
      </c>
      <c r="AH92" s="8">
        <v>365418</v>
      </c>
      <c r="AS92" s="6">
        <v>172029</v>
      </c>
      <c r="BC92" s="6">
        <v>612000</v>
      </c>
      <c r="BO92" s="6">
        <v>166919</v>
      </c>
      <c r="BW92" s="6">
        <v>45113</v>
      </c>
      <c r="BX92" s="9">
        <v>2353964</v>
      </c>
    </row>
    <row r="93" spans="1:76" x14ac:dyDescent="0.25">
      <c r="A93" s="4" t="s">
        <v>216</v>
      </c>
      <c r="B93" s="1" t="s">
        <v>217</v>
      </c>
      <c r="D93" s="8">
        <v>202651</v>
      </c>
      <c r="H93" s="8">
        <v>131447</v>
      </c>
      <c r="J93" s="8">
        <v>588531</v>
      </c>
      <c r="M93" s="6">
        <v>197937</v>
      </c>
      <c r="P93" s="8">
        <v>222514</v>
      </c>
      <c r="T93" s="8">
        <v>83333</v>
      </c>
      <c r="U93" s="6">
        <v>368092</v>
      </c>
      <c r="V93" s="8">
        <v>597100</v>
      </c>
      <c r="W93" s="6">
        <v>282023</v>
      </c>
      <c r="X93" s="8">
        <v>96000</v>
      </c>
      <c r="AD93" s="8">
        <v>1031288</v>
      </c>
      <c r="AE93" s="6">
        <v>568196</v>
      </c>
      <c r="AG93" s="6">
        <v>322500</v>
      </c>
      <c r="AH93" s="8">
        <v>1065233</v>
      </c>
      <c r="AI93" s="6">
        <v>517377</v>
      </c>
      <c r="AJ93" s="8">
        <v>798155</v>
      </c>
      <c r="AK93" s="6">
        <v>547460</v>
      </c>
      <c r="AN93" s="8">
        <v>751199</v>
      </c>
      <c r="AO93" s="6">
        <v>70691</v>
      </c>
      <c r="AS93" s="6">
        <v>1956861</v>
      </c>
      <c r="AT93" s="8">
        <v>650425</v>
      </c>
      <c r="AU93" s="6">
        <v>111012</v>
      </c>
      <c r="AV93" s="8">
        <v>221333</v>
      </c>
      <c r="AW93" s="6">
        <v>104825</v>
      </c>
      <c r="AX93" s="8">
        <v>1993229</v>
      </c>
      <c r="AY93" s="6">
        <v>374069</v>
      </c>
      <c r="BC93" s="6">
        <v>1203739</v>
      </c>
      <c r="BD93" s="8">
        <v>664563</v>
      </c>
      <c r="BJ93" s="8">
        <v>167760</v>
      </c>
      <c r="BK93" s="6">
        <v>777602</v>
      </c>
      <c r="BL93" s="8">
        <v>373217</v>
      </c>
      <c r="BM93" s="6">
        <v>104124</v>
      </c>
      <c r="BO93" s="6">
        <v>3899609</v>
      </c>
      <c r="BP93" s="8">
        <v>271666</v>
      </c>
      <c r="BQ93" s="6">
        <v>276936</v>
      </c>
      <c r="BS93" s="6">
        <v>371993</v>
      </c>
      <c r="BU93" s="6">
        <v>357891</v>
      </c>
      <c r="BW93" s="6">
        <v>418091</v>
      </c>
      <c r="BX93" s="9">
        <v>22740672</v>
      </c>
    </row>
    <row r="94" spans="1:76" x14ac:dyDescent="0.25">
      <c r="A94" s="4" t="s">
        <v>218</v>
      </c>
      <c r="B94" s="1" t="s">
        <v>219</v>
      </c>
      <c r="M94" s="6">
        <v>5427</v>
      </c>
      <c r="V94" s="8">
        <v>5102</v>
      </c>
      <c r="X94" s="8">
        <v>812383</v>
      </c>
      <c r="AD94" s="8">
        <v>20015</v>
      </c>
      <c r="AE94" s="6">
        <v>4445</v>
      </c>
      <c r="AG94" s="6">
        <v>186135</v>
      </c>
      <c r="AH94" s="8">
        <v>70815</v>
      </c>
      <c r="AI94" s="6">
        <v>38792</v>
      </c>
      <c r="AJ94" s="8">
        <v>24101</v>
      </c>
      <c r="AN94" s="8">
        <v>14978</v>
      </c>
      <c r="AS94" s="6">
        <v>88281</v>
      </c>
      <c r="AT94" s="8">
        <v>328643</v>
      </c>
      <c r="AW94" s="6">
        <v>82310</v>
      </c>
      <c r="AX94" s="8">
        <v>402629</v>
      </c>
      <c r="AY94" s="6">
        <v>47893</v>
      </c>
      <c r="BC94" s="6">
        <v>216727</v>
      </c>
      <c r="BD94" s="8">
        <v>207413</v>
      </c>
      <c r="BK94" s="6">
        <v>59699</v>
      </c>
      <c r="BL94" s="8">
        <v>74377</v>
      </c>
      <c r="BM94" s="6">
        <v>5557</v>
      </c>
      <c r="BO94" s="6">
        <v>1051225</v>
      </c>
      <c r="BP94" s="8">
        <v>1887</v>
      </c>
      <c r="BQ94" s="6">
        <v>99795</v>
      </c>
      <c r="BS94" s="6">
        <v>16643</v>
      </c>
      <c r="BU94" s="6">
        <v>65876</v>
      </c>
      <c r="BW94" s="6">
        <v>56050</v>
      </c>
      <c r="BX94" s="9">
        <v>3987198</v>
      </c>
    </row>
    <row r="95" spans="1:76" x14ac:dyDescent="0.25">
      <c r="A95" s="4" t="s">
        <v>220</v>
      </c>
      <c r="B95" s="1" t="s">
        <v>221</v>
      </c>
      <c r="V95" s="8">
        <v>950000</v>
      </c>
      <c r="AS95" s="6">
        <v>616000</v>
      </c>
      <c r="BC95" s="6">
        <v>360000</v>
      </c>
      <c r="BJ95" s="8">
        <v>500000</v>
      </c>
      <c r="BX95" s="9">
        <v>2426000</v>
      </c>
    </row>
    <row r="96" spans="1:76" x14ac:dyDescent="0.25">
      <c r="A96" s="4" t="s">
        <v>768</v>
      </c>
      <c r="B96" s="1" t="s">
        <v>769</v>
      </c>
      <c r="T96" s="8">
        <v>90226</v>
      </c>
      <c r="W96" s="6">
        <v>90226</v>
      </c>
      <c r="AD96" s="8">
        <v>254102</v>
      </c>
      <c r="AJ96" s="8">
        <v>45113</v>
      </c>
      <c r="AS96" s="6">
        <v>270678</v>
      </c>
      <c r="AT96" s="8">
        <v>552091</v>
      </c>
      <c r="AV96" s="8">
        <v>45113</v>
      </c>
      <c r="AW96" s="6">
        <v>90226</v>
      </c>
      <c r="AX96" s="8">
        <v>315791</v>
      </c>
      <c r="AY96" s="6">
        <v>45113</v>
      </c>
      <c r="BC96" s="6">
        <v>232663</v>
      </c>
      <c r="BD96" s="8">
        <v>175350</v>
      </c>
      <c r="BK96" s="6">
        <v>45113</v>
      </c>
      <c r="BL96" s="8">
        <v>45113</v>
      </c>
      <c r="BM96" s="6">
        <v>311726</v>
      </c>
      <c r="BO96" s="6">
        <v>599417</v>
      </c>
      <c r="BS96" s="6">
        <v>117163</v>
      </c>
      <c r="BW96" s="6">
        <v>210900</v>
      </c>
      <c r="BX96" s="9">
        <v>3536124</v>
      </c>
    </row>
    <row r="97" spans="1:76" x14ac:dyDescent="0.25">
      <c r="A97" s="4" t="s">
        <v>224</v>
      </c>
      <c r="B97" s="1" t="s">
        <v>225</v>
      </c>
      <c r="P97" s="8">
        <v>60000</v>
      </c>
      <c r="AD97" s="8">
        <v>40000</v>
      </c>
      <c r="AI97" s="6">
        <v>60000</v>
      </c>
      <c r="AT97" s="8">
        <v>50000</v>
      </c>
      <c r="AV97" s="8">
        <v>100000</v>
      </c>
      <c r="BD97" s="8">
        <v>130000</v>
      </c>
      <c r="BL97" s="8">
        <v>40000</v>
      </c>
      <c r="BO97" s="6">
        <v>120000</v>
      </c>
      <c r="BS97" s="6">
        <v>40000</v>
      </c>
      <c r="BX97" s="9">
        <v>640000</v>
      </c>
    </row>
    <row r="98" spans="1:76" x14ac:dyDescent="0.25">
      <c r="A98" s="4" t="s">
        <v>226</v>
      </c>
      <c r="B98" s="1" t="s">
        <v>227</v>
      </c>
      <c r="D98" s="8">
        <v>3868607.3029</v>
      </c>
      <c r="E98" s="6">
        <v>-2.3283064365386963E-10</v>
      </c>
      <c r="F98" s="8">
        <v>347803.7</v>
      </c>
      <c r="J98" s="8">
        <v>664158.07350000017</v>
      </c>
      <c r="M98" s="6">
        <v>19285.844100000002</v>
      </c>
      <c r="T98" s="8">
        <v>83571.991100000014</v>
      </c>
      <c r="U98" s="6">
        <v>81621</v>
      </c>
      <c r="Z98" s="8">
        <v>12857.2294</v>
      </c>
      <c r="AD98" s="8">
        <v>169732.95999999996</v>
      </c>
      <c r="AE98" s="6">
        <v>57857.532299999999</v>
      </c>
      <c r="AG98" s="6">
        <v>12857.2294</v>
      </c>
      <c r="AH98" s="8">
        <v>83571.991100000014</v>
      </c>
      <c r="AI98" s="6">
        <v>32143.073500000002</v>
      </c>
      <c r="AJ98" s="8">
        <v>57857.532299999999</v>
      </c>
      <c r="AO98" s="6">
        <v>4704.579999999999</v>
      </c>
      <c r="AS98" s="6">
        <v>65250.276800000007</v>
      </c>
      <c r="AT98" s="8">
        <v>49003.000800000002</v>
      </c>
      <c r="AU98" s="6">
        <v>12857.229399999998</v>
      </c>
      <c r="AV98" s="8">
        <v>51428.917599999993</v>
      </c>
      <c r="AW98" s="6">
        <v>90000.605800000005</v>
      </c>
      <c r="AZ98" s="8">
        <v>50195.950000000004</v>
      </c>
      <c r="BB98" s="8">
        <v>349273.16</v>
      </c>
      <c r="BC98" s="6">
        <v>93266.26</v>
      </c>
      <c r="BH98" s="8">
        <v>929748.00000000035</v>
      </c>
      <c r="BJ98" s="8">
        <v>911301.58000000007</v>
      </c>
      <c r="BU98" s="6">
        <v>126650.43999999999</v>
      </c>
      <c r="BX98" s="9">
        <v>8225605.4600000009</v>
      </c>
    </row>
    <row r="99" spans="1:76" x14ac:dyDescent="0.25">
      <c r="A99" s="4" t="s">
        <v>228</v>
      </c>
      <c r="B99" s="1" t="s">
        <v>229</v>
      </c>
      <c r="D99" s="8">
        <v>1560000</v>
      </c>
      <c r="BX99" s="9">
        <v>1560000</v>
      </c>
    </row>
    <row r="100" spans="1:76" x14ac:dyDescent="0.25">
      <c r="A100" s="4" t="s">
        <v>230</v>
      </c>
      <c r="B100" s="1" t="s">
        <v>231</v>
      </c>
      <c r="D100" s="8">
        <v>0</v>
      </c>
      <c r="AS100" s="6">
        <v>101093.36</v>
      </c>
      <c r="AZ100" s="8">
        <v>29750.68</v>
      </c>
      <c r="BB100" s="8">
        <v>144286.36000000002</v>
      </c>
      <c r="BC100" s="6">
        <v>257750.03999999998</v>
      </c>
      <c r="BJ100" s="8">
        <v>184944.08000000002</v>
      </c>
      <c r="BL100" s="8">
        <v>103140.08</v>
      </c>
      <c r="BO100" s="6">
        <v>1044536.36</v>
      </c>
      <c r="BS100" s="6">
        <v>146804.08000000002</v>
      </c>
      <c r="BX100" s="9">
        <v>2012305.0400000003</v>
      </c>
    </row>
    <row r="101" spans="1:76" x14ac:dyDescent="0.25">
      <c r="A101" s="4" t="s">
        <v>232</v>
      </c>
      <c r="B101" s="1" t="s">
        <v>233</v>
      </c>
      <c r="D101" s="8">
        <v>811543</v>
      </c>
      <c r="H101" s="8">
        <v>522264</v>
      </c>
      <c r="J101" s="8">
        <v>910167</v>
      </c>
      <c r="M101" s="6">
        <v>565715</v>
      </c>
      <c r="P101" s="8">
        <v>676965</v>
      </c>
      <c r="T101" s="8">
        <v>1018572</v>
      </c>
      <c r="U101" s="6">
        <v>645877</v>
      </c>
      <c r="V101" s="8">
        <v>1723632</v>
      </c>
      <c r="W101" s="6">
        <v>526004</v>
      </c>
      <c r="X101" s="8">
        <v>415134</v>
      </c>
      <c r="AD101" s="8">
        <v>1973732</v>
      </c>
      <c r="AE101" s="6">
        <v>813305</v>
      </c>
      <c r="AG101" s="6">
        <v>257810</v>
      </c>
      <c r="AH101" s="8">
        <v>1387894</v>
      </c>
      <c r="AI101" s="6">
        <v>595194</v>
      </c>
      <c r="AJ101" s="8">
        <v>716671</v>
      </c>
      <c r="AK101" s="6">
        <v>316144</v>
      </c>
      <c r="AN101" s="8">
        <v>963513</v>
      </c>
      <c r="AO101" s="6">
        <v>531249</v>
      </c>
      <c r="AS101" s="6">
        <v>2779820</v>
      </c>
      <c r="AT101" s="8">
        <v>2113715</v>
      </c>
      <c r="AU101" s="6">
        <v>211903</v>
      </c>
      <c r="AV101" s="8">
        <v>601193</v>
      </c>
      <c r="AW101" s="6">
        <v>935041</v>
      </c>
      <c r="AX101" s="8">
        <v>2792226</v>
      </c>
      <c r="AY101" s="6">
        <v>667973</v>
      </c>
      <c r="AZ101" s="8">
        <v>1713115</v>
      </c>
      <c r="BB101" s="8">
        <v>-1713115</v>
      </c>
      <c r="BC101" s="6">
        <v>1601022</v>
      </c>
      <c r="BD101" s="8">
        <v>1148553</v>
      </c>
      <c r="BJ101" s="8">
        <v>778707</v>
      </c>
      <c r="BK101" s="6">
        <v>3875462</v>
      </c>
      <c r="BL101" s="8">
        <v>1613773</v>
      </c>
      <c r="BM101" s="6">
        <v>1290409</v>
      </c>
      <c r="BO101" s="6">
        <v>8032490</v>
      </c>
      <c r="BP101" s="8">
        <v>701205</v>
      </c>
      <c r="BQ101" s="6">
        <v>373079</v>
      </c>
      <c r="BS101" s="6">
        <v>1332089</v>
      </c>
      <c r="BU101" s="6">
        <v>667975</v>
      </c>
      <c r="BW101" s="6">
        <v>1477325</v>
      </c>
      <c r="BX101" s="9">
        <v>48365345</v>
      </c>
    </row>
    <row r="102" spans="1:76" x14ac:dyDescent="0.25">
      <c r="A102" s="4" t="s">
        <v>234</v>
      </c>
      <c r="B102" s="1" t="s">
        <v>235</v>
      </c>
      <c r="U102" s="6">
        <v>261360</v>
      </c>
      <c r="W102" s="6">
        <v>272040</v>
      </c>
      <c r="X102" s="8">
        <v>248160</v>
      </c>
      <c r="AD102" s="8">
        <v>173340</v>
      </c>
      <c r="AN102" s="8">
        <v>8256</v>
      </c>
      <c r="AZ102" s="8">
        <v>0</v>
      </c>
      <c r="BB102" s="8">
        <v>756000</v>
      </c>
      <c r="BC102" s="6">
        <v>378000</v>
      </c>
      <c r="BL102" s="8">
        <v>3150</v>
      </c>
      <c r="BS102" s="6">
        <v>16620</v>
      </c>
      <c r="BU102" s="6">
        <v>103020</v>
      </c>
      <c r="BX102" s="9">
        <v>2219946</v>
      </c>
    </row>
    <row r="103" spans="1:76" x14ac:dyDescent="0.25">
      <c r="A103" s="4" t="s">
        <v>240</v>
      </c>
      <c r="B103" s="1" t="s">
        <v>241</v>
      </c>
      <c r="T103" s="8">
        <v>60000</v>
      </c>
      <c r="V103" s="8">
        <v>60000</v>
      </c>
      <c r="X103" s="8">
        <v>30000</v>
      </c>
      <c r="AD103" s="8">
        <v>82329</v>
      </c>
      <c r="AE103" s="6">
        <v>50000</v>
      </c>
      <c r="AG103" s="6">
        <v>30000</v>
      </c>
      <c r="AI103" s="6">
        <v>90000</v>
      </c>
      <c r="AN103" s="8">
        <v>60000</v>
      </c>
      <c r="AS103" s="6">
        <v>60000</v>
      </c>
      <c r="AW103" s="6">
        <v>30000</v>
      </c>
      <c r="AY103" s="6">
        <v>27349</v>
      </c>
      <c r="AZ103" s="8">
        <v>15600</v>
      </c>
      <c r="BB103" s="8">
        <v>104400</v>
      </c>
      <c r="BJ103" s="8">
        <v>60000</v>
      </c>
      <c r="BX103" s="9">
        <v>759678</v>
      </c>
    </row>
    <row r="104" spans="1:76" x14ac:dyDescent="0.25">
      <c r="A104" s="4" t="s">
        <v>244</v>
      </c>
      <c r="B104" s="1" t="s">
        <v>245</v>
      </c>
      <c r="D104" s="8">
        <v>121738</v>
      </c>
      <c r="H104" s="8">
        <v>78345</v>
      </c>
      <c r="J104" s="8">
        <v>136538</v>
      </c>
      <c r="M104" s="6">
        <v>84865</v>
      </c>
      <c r="P104" s="8">
        <v>101554</v>
      </c>
      <c r="T104" s="8">
        <v>152801</v>
      </c>
      <c r="U104" s="6">
        <v>96891</v>
      </c>
      <c r="V104" s="8">
        <v>258895</v>
      </c>
      <c r="W104" s="6">
        <v>78907</v>
      </c>
      <c r="X104" s="8">
        <v>62274</v>
      </c>
      <c r="AD104" s="8">
        <v>296084</v>
      </c>
      <c r="AE104" s="6">
        <v>122005</v>
      </c>
      <c r="AG104" s="6">
        <v>38671</v>
      </c>
      <c r="AH104" s="8">
        <v>208205</v>
      </c>
      <c r="AI104" s="6">
        <v>89288</v>
      </c>
      <c r="AJ104" s="8">
        <v>107509</v>
      </c>
      <c r="AK104" s="6">
        <v>47425</v>
      </c>
      <c r="AN104" s="8">
        <v>144538</v>
      </c>
      <c r="AO104" s="6">
        <v>79696</v>
      </c>
      <c r="AS104" s="6">
        <v>418279</v>
      </c>
      <c r="AT104" s="8">
        <v>317057</v>
      </c>
      <c r="AU104" s="6">
        <v>31789</v>
      </c>
      <c r="AV104" s="8">
        <v>90186</v>
      </c>
      <c r="AW104" s="6">
        <v>140265</v>
      </c>
      <c r="AX104" s="8">
        <v>418870</v>
      </c>
      <c r="AY104" s="6">
        <v>100201</v>
      </c>
      <c r="BC104" s="6">
        <v>240172</v>
      </c>
      <c r="BD104" s="8">
        <v>172277</v>
      </c>
      <c r="BJ104" s="8">
        <v>116813</v>
      </c>
      <c r="BK104" s="6">
        <v>582243</v>
      </c>
      <c r="BL104" s="8">
        <v>242085</v>
      </c>
      <c r="BM104" s="6">
        <v>193580</v>
      </c>
      <c r="BO104" s="6">
        <v>1205334</v>
      </c>
      <c r="BP104" s="8">
        <v>105192</v>
      </c>
      <c r="BQ104" s="6">
        <v>55964</v>
      </c>
      <c r="BS104" s="6">
        <v>199827</v>
      </c>
      <c r="BU104" s="6">
        <v>100206</v>
      </c>
      <c r="BW104" s="6">
        <v>221618</v>
      </c>
      <c r="BX104" s="9">
        <v>7258187</v>
      </c>
    </row>
    <row r="105" spans="1:76" x14ac:dyDescent="0.25">
      <c r="A105" s="4" t="s">
        <v>246</v>
      </c>
      <c r="B105" s="1" t="s">
        <v>247</v>
      </c>
      <c r="D105" s="8">
        <v>1455932</v>
      </c>
      <c r="BX105" s="9">
        <v>1455932</v>
      </c>
    </row>
    <row r="106" spans="1:76" x14ac:dyDescent="0.25">
      <c r="A106" s="4" t="s">
        <v>248</v>
      </c>
      <c r="B106" s="1" t="s">
        <v>249</v>
      </c>
      <c r="D106" s="8">
        <v>124474</v>
      </c>
      <c r="BX106" s="9">
        <v>124474</v>
      </c>
    </row>
    <row r="107" spans="1:76" x14ac:dyDescent="0.25">
      <c r="A107" s="4" t="s">
        <v>1760</v>
      </c>
      <c r="B107" s="1" t="s">
        <v>1761</v>
      </c>
      <c r="AS107" s="6">
        <v>27470.66</v>
      </c>
      <c r="AZ107" s="8">
        <v>337.07</v>
      </c>
      <c r="BB107" s="8">
        <v>4875.74</v>
      </c>
      <c r="BC107" s="6">
        <v>69769.119999999995</v>
      </c>
      <c r="BJ107" s="8">
        <v>52197.220000000008</v>
      </c>
      <c r="BL107" s="8">
        <v>27847.920000000002</v>
      </c>
      <c r="BO107" s="6">
        <v>282024.55</v>
      </c>
      <c r="BS107" s="6">
        <v>39877.22</v>
      </c>
      <c r="BX107" s="9">
        <v>504399.5</v>
      </c>
    </row>
    <row r="108" spans="1:76" x14ac:dyDescent="0.25">
      <c r="A108" s="4" t="s">
        <v>252</v>
      </c>
      <c r="B108" s="1" t="s">
        <v>253</v>
      </c>
      <c r="D108" s="8">
        <v>4286584</v>
      </c>
      <c r="H108" s="8">
        <v>2500610</v>
      </c>
      <c r="J108" s="8">
        <v>4222277</v>
      </c>
      <c r="M108" s="6">
        <v>2267693</v>
      </c>
      <c r="P108" s="8">
        <v>3645373</v>
      </c>
      <c r="T108" s="8">
        <v>4449894</v>
      </c>
      <c r="U108" s="6">
        <v>2700415</v>
      </c>
      <c r="V108" s="8">
        <v>9188349</v>
      </c>
      <c r="W108" s="6">
        <v>2654002</v>
      </c>
      <c r="X108" s="8">
        <v>2182058</v>
      </c>
      <c r="AD108" s="8">
        <v>9278135</v>
      </c>
      <c r="AE108" s="6">
        <v>4646800</v>
      </c>
      <c r="AG108" s="6">
        <v>1095192</v>
      </c>
      <c r="AH108" s="8">
        <v>6380273</v>
      </c>
      <c r="AI108" s="6">
        <v>3083532</v>
      </c>
      <c r="AJ108" s="8">
        <v>3040589</v>
      </c>
      <c r="AK108" s="6">
        <v>1721400</v>
      </c>
      <c r="AN108" s="8">
        <v>5261208</v>
      </c>
      <c r="AO108" s="6">
        <v>1724615</v>
      </c>
      <c r="AP108" s="8">
        <v>38257</v>
      </c>
      <c r="AS108" s="6">
        <v>13258230</v>
      </c>
      <c r="AT108" s="8">
        <v>5682546</v>
      </c>
      <c r="AU108" s="6">
        <v>972864</v>
      </c>
      <c r="AV108" s="8">
        <v>3185385</v>
      </c>
      <c r="AW108" s="6">
        <v>3767649</v>
      </c>
      <c r="AX108" s="8">
        <v>11929744</v>
      </c>
      <c r="AY108" s="6">
        <v>2751965</v>
      </c>
      <c r="AZ108" s="8">
        <v>6531267</v>
      </c>
      <c r="BB108" s="8">
        <v>-6531267</v>
      </c>
      <c r="BC108" s="6">
        <v>7399263</v>
      </c>
      <c r="BD108" s="8">
        <v>3107191</v>
      </c>
      <c r="BJ108" s="8">
        <v>3228321</v>
      </c>
      <c r="BK108" s="6">
        <v>14741036</v>
      </c>
      <c r="BL108" s="8">
        <v>6391071</v>
      </c>
      <c r="BM108" s="6">
        <v>4508429</v>
      </c>
      <c r="BO108" s="6">
        <v>23536572</v>
      </c>
      <c r="BP108" s="8">
        <v>1960989</v>
      </c>
      <c r="BQ108" s="6">
        <v>1665160</v>
      </c>
      <c r="BS108" s="6">
        <v>4066612</v>
      </c>
      <c r="BU108" s="6">
        <v>3135522</v>
      </c>
      <c r="BW108" s="6">
        <v>4267529</v>
      </c>
      <c r="BX108" s="9">
        <v>193923334</v>
      </c>
    </row>
    <row r="109" spans="1:76" x14ac:dyDescent="0.25">
      <c r="A109" s="4" t="s">
        <v>772</v>
      </c>
      <c r="B109" s="1" t="s">
        <v>773</v>
      </c>
      <c r="AX109" s="8">
        <v>173000</v>
      </c>
      <c r="BM109" s="6">
        <v>22000</v>
      </c>
      <c r="BO109" s="6">
        <v>3446000</v>
      </c>
      <c r="BW109" s="6">
        <v>112000</v>
      </c>
      <c r="BX109" s="9">
        <v>3753000</v>
      </c>
    </row>
    <row r="110" spans="1:76" x14ac:dyDescent="0.25">
      <c r="A110" s="4" t="s">
        <v>1499</v>
      </c>
      <c r="B110" s="1" t="s">
        <v>1500</v>
      </c>
      <c r="D110" s="8">
        <v>1369682</v>
      </c>
      <c r="BX110" s="9">
        <v>1369682</v>
      </c>
    </row>
    <row r="111" spans="1:76" x14ac:dyDescent="0.25">
      <c r="A111" s="4" t="s">
        <v>1601</v>
      </c>
      <c r="B111" s="1" t="s">
        <v>1602</v>
      </c>
      <c r="AT111" s="8">
        <v>308296</v>
      </c>
      <c r="BD111" s="8">
        <v>6564</v>
      </c>
      <c r="BO111" s="6">
        <v>798</v>
      </c>
      <c r="BX111" s="9">
        <v>315658</v>
      </c>
    </row>
    <row r="112" spans="1:76" x14ac:dyDescent="0.25">
      <c r="A112" s="4" t="s">
        <v>1603</v>
      </c>
      <c r="B112" s="1" t="s">
        <v>1604</v>
      </c>
      <c r="AT112" s="8">
        <v>438732</v>
      </c>
      <c r="BD112" s="8">
        <v>9337</v>
      </c>
      <c r="BO112" s="6">
        <v>1135</v>
      </c>
      <c r="BX112" s="9">
        <v>449204</v>
      </c>
    </row>
    <row r="113" spans="1:76" x14ac:dyDescent="0.25">
      <c r="A113" s="4" t="s">
        <v>258</v>
      </c>
      <c r="B113" s="1" t="s">
        <v>259</v>
      </c>
      <c r="BK113" s="6">
        <v>-74000</v>
      </c>
      <c r="BX113" s="9">
        <v>-74000</v>
      </c>
    </row>
    <row r="114" spans="1:76" x14ac:dyDescent="0.25">
      <c r="A114" s="4" t="s">
        <v>260</v>
      </c>
      <c r="B114" s="1" t="s">
        <v>261</v>
      </c>
      <c r="D114" s="8">
        <v>19440000</v>
      </c>
      <c r="BX114" s="9">
        <v>19440000</v>
      </c>
    </row>
    <row r="115" spans="1:76" x14ac:dyDescent="0.25">
      <c r="A115" s="4" t="s">
        <v>262</v>
      </c>
      <c r="B115" s="1" t="s">
        <v>263</v>
      </c>
      <c r="F115" s="8">
        <v>26400</v>
      </c>
      <c r="AZ115" s="8">
        <v>17160</v>
      </c>
      <c r="BB115" s="8">
        <v>57420</v>
      </c>
      <c r="BC115" s="6">
        <v>66000</v>
      </c>
      <c r="BJ115" s="8">
        <v>33000</v>
      </c>
      <c r="BO115" s="6">
        <v>23100</v>
      </c>
      <c r="BX115" s="9">
        <v>223080</v>
      </c>
    </row>
    <row r="116" spans="1:76" x14ac:dyDescent="0.25">
      <c r="A116" s="4" t="s">
        <v>1855</v>
      </c>
      <c r="B116" s="1" t="s">
        <v>1856</v>
      </c>
      <c r="BK116" s="6">
        <v>-789000</v>
      </c>
      <c r="BX116" s="9">
        <v>-789000</v>
      </c>
    </row>
    <row r="117" spans="1:76" x14ac:dyDescent="0.25">
      <c r="A117" s="4" t="s">
        <v>264</v>
      </c>
      <c r="B117" s="1" t="s">
        <v>265</v>
      </c>
      <c r="D117" s="8">
        <v>-3059894</v>
      </c>
      <c r="E117" s="6">
        <v>714036</v>
      </c>
      <c r="F117" s="8">
        <v>123114</v>
      </c>
      <c r="G117" s="6">
        <v>236600</v>
      </c>
      <c r="J117" s="8">
        <v>1477093</v>
      </c>
      <c r="M117" s="6">
        <v>208185</v>
      </c>
      <c r="P117" s="8">
        <v>155033</v>
      </c>
      <c r="R117" s="8">
        <v>0</v>
      </c>
      <c r="T117" s="8">
        <v>0</v>
      </c>
      <c r="U117" s="6">
        <v>0</v>
      </c>
      <c r="V117" s="8">
        <v>100920</v>
      </c>
      <c r="W117" s="6">
        <v>283152</v>
      </c>
      <c r="Y117" s="6">
        <v>-379530</v>
      </c>
      <c r="AC117" s="6">
        <v>21121</v>
      </c>
      <c r="AD117" s="8">
        <v>291359</v>
      </c>
      <c r="AH117" s="8">
        <v>115860</v>
      </c>
      <c r="AI117" s="6">
        <v>0</v>
      </c>
      <c r="AK117" s="6">
        <v>288962</v>
      </c>
      <c r="AL117" s="8">
        <v>421468</v>
      </c>
      <c r="AN117" s="8">
        <v>0</v>
      </c>
      <c r="AO117" s="6">
        <v>-29463</v>
      </c>
      <c r="AS117" s="6">
        <v>637710</v>
      </c>
      <c r="AV117" s="8">
        <v>0</v>
      </c>
      <c r="AW117" s="6">
        <v>0</v>
      </c>
      <c r="AX117" s="8">
        <v>-77034</v>
      </c>
      <c r="AY117" s="6">
        <v>34075</v>
      </c>
      <c r="AZ117" s="8">
        <v>260459</v>
      </c>
      <c r="BB117" s="8">
        <v>740638</v>
      </c>
      <c r="BC117" s="6">
        <v>40586</v>
      </c>
      <c r="BD117" s="8">
        <v>258548</v>
      </c>
      <c r="BJ117" s="8">
        <v>1233014</v>
      </c>
      <c r="BL117" s="8">
        <v>-252064</v>
      </c>
      <c r="BO117" s="6">
        <v>3758951</v>
      </c>
      <c r="BQ117" s="6">
        <v>-1015746</v>
      </c>
      <c r="BS117" s="6">
        <v>2913201</v>
      </c>
      <c r="BT117" s="8">
        <v>-183858</v>
      </c>
      <c r="BU117" s="6">
        <v>0</v>
      </c>
      <c r="BX117" s="9">
        <v>9316496</v>
      </c>
    </row>
    <row r="118" spans="1:76" x14ac:dyDescent="0.25">
      <c r="A118" s="4" t="s">
        <v>266</v>
      </c>
      <c r="B118" s="1" t="s">
        <v>267</v>
      </c>
      <c r="D118" s="8">
        <v>12821720</v>
      </c>
      <c r="F118" s="8">
        <v>94839</v>
      </c>
      <c r="J118" s="8">
        <v>6578922</v>
      </c>
      <c r="M118" s="6">
        <v>3855031</v>
      </c>
      <c r="P118" s="8">
        <v>124800</v>
      </c>
      <c r="R118" s="8">
        <v>48838</v>
      </c>
      <c r="T118" s="8">
        <v>48020</v>
      </c>
      <c r="U118" s="6">
        <v>815331</v>
      </c>
      <c r="V118" s="8">
        <v>192898</v>
      </c>
      <c r="Y118" s="6">
        <v>379530</v>
      </c>
      <c r="AD118" s="8">
        <v>213016</v>
      </c>
      <c r="AE118" s="6">
        <v>62400</v>
      </c>
      <c r="AH118" s="8">
        <v>327563</v>
      </c>
      <c r="AI118" s="6">
        <v>137280</v>
      </c>
      <c r="AN118" s="8">
        <v>111380</v>
      </c>
      <c r="AO118" s="6">
        <v>45000</v>
      </c>
      <c r="AS118" s="6">
        <v>7677772</v>
      </c>
      <c r="AV118" s="8">
        <v>144009</v>
      </c>
      <c r="AW118" s="6">
        <v>537238</v>
      </c>
      <c r="AX118" s="8">
        <v>199563</v>
      </c>
      <c r="BB118" s="8">
        <v>169880</v>
      </c>
      <c r="BJ118" s="8">
        <v>1481422</v>
      </c>
      <c r="BL118" s="8">
        <v>3324366</v>
      </c>
      <c r="BO118" s="6">
        <v>17226605</v>
      </c>
      <c r="BQ118" s="6">
        <v>1045886</v>
      </c>
      <c r="BS118" s="6">
        <v>2744486</v>
      </c>
      <c r="BT118" s="8">
        <v>183858</v>
      </c>
      <c r="BU118" s="6">
        <v>536680</v>
      </c>
      <c r="BX118" s="9">
        <v>61128333</v>
      </c>
    </row>
    <row r="119" spans="1:76" x14ac:dyDescent="0.25">
      <c r="A119" s="4" t="s">
        <v>268</v>
      </c>
      <c r="B119" s="1" t="s">
        <v>269</v>
      </c>
      <c r="BL119" s="8">
        <v>592280</v>
      </c>
      <c r="BS119" s="6">
        <v>185715</v>
      </c>
      <c r="BT119" s="8">
        <v>183858</v>
      </c>
      <c r="BX119" s="9">
        <v>961853</v>
      </c>
    </row>
    <row r="120" spans="1:76" x14ac:dyDescent="0.25">
      <c r="A120" s="4" t="s">
        <v>270</v>
      </c>
      <c r="B120" s="1" t="s">
        <v>271</v>
      </c>
      <c r="D120" s="8">
        <v>3665704</v>
      </c>
      <c r="E120" s="6">
        <v>57480</v>
      </c>
      <c r="F120" s="8">
        <v>-94839</v>
      </c>
      <c r="J120" s="8">
        <v>416638</v>
      </c>
      <c r="M120" s="6">
        <v>57480</v>
      </c>
      <c r="P120" s="8">
        <v>142077</v>
      </c>
      <c r="T120" s="8">
        <v>222479</v>
      </c>
      <c r="U120" s="6">
        <v>241732</v>
      </c>
      <c r="AD120" s="8">
        <v>103837</v>
      </c>
      <c r="AE120" s="6">
        <v>0</v>
      </c>
      <c r="AG120" s="6">
        <v>67308</v>
      </c>
      <c r="AH120" s="8">
        <v>0</v>
      </c>
      <c r="AI120" s="6">
        <v>56000</v>
      </c>
      <c r="AK120" s="6">
        <v>505070</v>
      </c>
      <c r="AO120" s="6">
        <v>45000</v>
      </c>
      <c r="AS120" s="6">
        <v>1420760</v>
      </c>
      <c r="AV120" s="8">
        <v>136486</v>
      </c>
      <c r="BB120" s="8">
        <v>1095100</v>
      </c>
      <c r="BC120" s="6">
        <v>487889</v>
      </c>
      <c r="BJ120" s="8">
        <v>271270</v>
      </c>
      <c r="BL120" s="8">
        <v>242248</v>
      </c>
      <c r="BO120" s="6">
        <v>148278</v>
      </c>
      <c r="BU120" s="6">
        <v>145659</v>
      </c>
      <c r="BX120" s="9">
        <v>9433656</v>
      </c>
    </row>
    <row r="121" spans="1:76" x14ac:dyDescent="0.25">
      <c r="A121" s="4" t="s">
        <v>273</v>
      </c>
      <c r="B121" s="1" t="s">
        <v>274</v>
      </c>
      <c r="D121" s="8">
        <v>15185.82</v>
      </c>
      <c r="P121" s="8">
        <v>1148.03</v>
      </c>
      <c r="U121" s="6">
        <v>7042.5199999999986</v>
      </c>
      <c r="W121" s="6">
        <v>2309.4499999999998</v>
      </c>
      <c r="AD121" s="8">
        <v>13066.119999999999</v>
      </c>
      <c r="AH121" s="8">
        <v>60000</v>
      </c>
      <c r="AO121" s="6">
        <v>1002.36</v>
      </c>
      <c r="AW121" s="6">
        <v>840.95</v>
      </c>
      <c r="AX121" s="8">
        <v>31388.189999999995</v>
      </c>
      <c r="BC121" s="6">
        <v>1036.22</v>
      </c>
      <c r="BH121" s="8">
        <v>283068</v>
      </c>
      <c r="BS121" s="6">
        <v>110260.95000000001</v>
      </c>
      <c r="BX121" s="9">
        <v>526348.61</v>
      </c>
    </row>
    <row r="122" spans="1:76" x14ac:dyDescent="0.25">
      <c r="A122" s="4" t="s">
        <v>1501</v>
      </c>
      <c r="B122" s="1" t="s">
        <v>1502</v>
      </c>
      <c r="AO122" s="6">
        <v>7768027</v>
      </c>
      <c r="AS122" s="6">
        <v>11978679.870000003</v>
      </c>
      <c r="BL122" s="8">
        <v>16052774</v>
      </c>
      <c r="BN122" s="8">
        <v>2615506</v>
      </c>
      <c r="BS122" s="6">
        <v>24628125</v>
      </c>
      <c r="BT122" s="8">
        <v>429491</v>
      </c>
      <c r="BX122" s="9">
        <v>63472602.870000005</v>
      </c>
    </row>
    <row r="123" spans="1:76" x14ac:dyDescent="0.25">
      <c r="A123" s="4" t="s">
        <v>993</v>
      </c>
      <c r="B123" s="1" t="s">
        <v>994</v>
      </c>
      <c r="AS123" s="6">
        <v>616500</v>
      </c>
      <c r="BX123" s="9">
        <v>616500</v>
      </c>
    </row>
    <row r="124" spans="1:76" x14ac:dyDescent="0.25">
      <c r="A124" s="4" t="s">
        <v>275</v>
      </c>
      <c r="B124" s="1" t="s">
        <v>276</v>
      </c>
      <c r="AS124" s="6">
        <v>75000</v>
      </c>
      <c r="BF124" s="8">
        <v>286260.76999999996</v>
      </c>
      <c r="BX124" s="9">
        <v>361260.76999999996</v>
      </c>
    </row>
    <row r="125" spans="1:76" x14ac:dyDescent="0.25">
      <c r="A125" s="4" t="s">
        <v>1772</v>
      </c>
      <c r="B125" s="1" t="s">
        <v>1773</v>
      </c>
      <c r="BT125" s="8">
        <v>115965</v>
      </c>
      <c r="BX125" s="9">
        <v>115965</v>
      </c>
    </row>
    <row r="126" spans="1:76" x14ac:dyDescent="0.25">
      <c r="A126" s="4" t="s">
        <v>1774</v>
      </c>
      <c r="B126" s="1" t="s">
        <v>1775</v>
      </c>
      <c r="AN126" s="8">
        <v>616000</v>
      </c>
      <c r="BX126" s="9">
        <v>616000</v>
      </c>
    </row>
    <row r="127" spans="1:76" x14ac:dyDescent="0.25">
      <c r="A127" s="4" t="s">
        <v>860</v>
      </c>
      <c r="B127" s="1" t="s">
        <v>1467</v>
      </c>
      <c r="AN127" s="8">
        <v>-47327</v>
      </c>
      <c r="BX127" s="9">
        <v>-47327</v>
      </c>
    </row>
    <row r="128" spans="1:76" x14ac:dyDescent="0.25">
      <c r="A128" s="4" t="s">
        <v>861</v>
      </c>
      <c r="B128" s="1" t="s">
        <v>925</v>
      </c>
      <c r="AN128" s="8">
        <v>1340462.56</v>
      </c>
      <c r="BX128" s="9">
        <v>1340462.56</v>
      </c>
    </row>
    <row r="129" spans="1:76" x14ac:dyDescent="0.25">
      <c r="A129" s="4" t="s">
        <v>774</v>
      </c>
      <c r="B129" s="1" t="s">
        <v>775</v>
      </c>
      <c r="AN129" s="8">
        <v>5220909.1400000099</v>
      </c>
      <c r="BX129" s="9">
        <v>5220909.1400000099</v>
      </c>
    </row>
    <row r="130" spans="1:76" x14ac:dyDescent="0.25">
      <c r="A130" s="4" t="s">
        <v>906</v>
      </c>
      <c r="B130" s="1" t="s">
        <v>926</v>
      </c>
      <c r="AN130" s="8">
        <v>39078123</v>
      </c>
      <c r="BX130" s="9">
        <v>39078123</v>
      </c>
    </row>
    <row r="131" spans="1:76" x14ac:dyDescent="0.25">
      <c r="A131" s="4" t="s">
        <v>862</v>
      </c>
      <c r="B131" s="1" t="s">
        <v>927</v>
      </c>
      <c r="AN131" s="8">
        <v>-445710.4</v>
      </c>
      <c r="BX131" s="9">
        <v>-445710.4</v>
      </c>
    </row>
    <row r="132" spans="1:76" x14ac:dyDescent="0.25">
      <c r="A132" s="4" t="s">
        <v>863</v>
      </c>
      <c r="B132" s="1" t="s">
        <v>928</v>
      </c>
      <c r="AN132" s="8">
        <v>1016326.5399999999</v>
      </c>
      <c r="BX132" s="9">
        <v>1016326.5399999999</v>
      </c>
    </row>
    <row r="133" spans="1:76" x14ac:dyDescent="0.25">
      <c r="A133" s="4" t="s">
        <v>864</v>
      </c>
      <c r="B133" s="1" t="s">
        <v>929</v>
      </c>
      <c r="AN133" s="8">
        <v>15449744.900000026</v>
      </c>
      <c r="BX133" s="9">
        <v>15449744.900000026</v>
      </c>
    </row>
    <row r="134" spans="1:76" x14ac:dyDescent="0.25">
      <c r="A134" s="4" t="s">
        <v>865</v>
      </c>
      <c r="B134" s="1" t="s">
        <v>930</v>
      </c>
      <c r="AN134" s="8">
        <v>3498778.9499999997</v>
      </c>
      <c r="BX134" s="9">
        <v>3498778.9499999997</v>
      </c>
    </row>
    <row r="135" spans="1:76" x14ac:dyDescent="0.25">
      <c r="A135" s="4" t="s">
        <v>867</v>
      </c>
      <c r="B135" s="1" t="s">
        <v>931</v>
      </c>
      <c r="AN135" s="8">
        <v>2821021</v>
      </c>
      <c r="BX135" s="9">
        <v>2821021</v>
      </c>
    </row>
    <row r="136" spans="1:76" x14ac:dyDescent="0.25">
      <c r="A136" s="4" t="s">
        <v>869</v>
      </c>
      <c r="B136" s="1" t="s">
        <v>932</v>
      </c>
      <c r="AN136" s="8">
        <v>211267</v>
      </c>
      <c r="BX136" s="9">
        <v>211267</v>
      </c>
    </row>
    <row r="137" spans="1:76" x14ac:dyDescent="0.25">
      <c r="A137" s="4" t="s">
        <v>776</v>
      </c>
      <c r="B137" s="1" t="s">
        <v>777</v>
      </c>
      <c r="AN137" s="8">
        <v>1743345.1800000002</v>
      </c>
      <c r="BX137" s="9">
        <v>1743345.1800000002</v>
      </c>
    </row>
    <row r="138" spans="1:76" x14ac:dyDescent="0.25">
      <c r="A138" s="4" t="s">
        <v>778</v>
      </c>
      <c r="B138" s="1" t="s">
        <v>779</v>
      </c>
      <c r="AN138" s="8">
        <v>68928828.160000056</v>
      </c>
      <c r="BX138" s="9">
        <v>68928828.160000056</v>
      </c>
    </row>
    <row r="139" spans="1:76" x14ac:dyDescent="0.25">
      <c r="A139" s="4" t="s">
        <v>780</v>
      </c>
      <c r="B139" s="1" t="s">
        <v>781</v>
      </c>
      <c r="AN139" s="8">
        <v>428397</v>
      </c>
      <c r="BX139" s="9">
        <v>428397</v>
      </c>
    </row>
    <row r="140" spans="1:76" x14ac:dyDescent="0.25">
      <c r="A140" s="4" t="s">
        <v>997</v>
      </c>
      <c r="B140" s="1" t="s">
        <v>998</v>
      </c>
      <c r="AN140" s="8">
        <v>69777359.620000005</v>
      </c>
      <c r="BX140" s="9">
        <v>69777359.620000005</v>
      </c>
    </row>
    <row r="141" spans="1:76" x14ac:dyDescent="0.25">
      <c r="A141" s="4" t="s">
        <v>871</v>
      </c>
      <c r="B141" s="1" t="s">
        <v>934</v>
      </c>
      <c r="AN141" s="8">
        <v>23567655.059999999</v>
      </c>
      <c r="BX141" s="9">
        <v>23567655.059999999</v>
      </c>
    </row>
    <row r="142" spans="1:76" x14ac:dyDescent="0.25">
      <c r="A142" s="4" t="s">
        <v>1677</v>
      </c>
      <c r="B142" s="1" t="s">
        <v>1678</v>
      </c>
      <c r="AN142" s="8">
        <v>2415097</v>
      </c>
      <c r="BX142" s="9">
        <v>2415097</v>
      </c>
    </row>
    <row r="143" spans="1:76" x14ac:dyDescent="0.25">
      <c r="A143" s="4" t="s">
        <v>872</v>
      </c>
      <c r="B143" s="1" t="s">
        <v>935</v>
      </c>
      <c r="AN143" s="8">
        <v>155875352.26999998</v>
      </c>
      <c r="BX143" s="9">
        <v>155875352.26999998</v>
      </c>
    </row>
    <row r="144" spans="1:76" x14ac:dyDescent="0.25">
      <c r="A144" s="4" t="s">
        <v>873</v>
      </c>
      <c r="B144" s="1" t="s">
        <v>936</v>
      </c>
      <c r="AN144" s="8">
        <v>71432342.669999987</v>
      </c>
      <c r="BX144" s="9">
        <v>71432342.669999987</v>
      </c>
    </row>
    <row r="145" spans="1:76" x14ac:dyDescent="0.25">
      <c r="A145" s="4" t="s">
        <v>874</v>
      </c>
      <c r="B145" s="1" t="s">
        <v>937</v>
      </c>
      <c r="AN145" s="8">
        <v>6613118</v>
      </c>
      <c r="BX145" s="9">
        <v>6613118</v>
      </c>
    </row>
    <row r="146" spans="1:76" x14ac:dyDescent="0.25">
      <c r="A146" s="4" t="s">
        <v>875</v>
      </c>
      <c r="B146" s="1" t="s">
        <v>938</v>
      </c>
      <c r="AN146" s="8">
        <v>68031926</v>
      </c>
      <c r="BX146" s="9">
        <v>68031926</v>
      </c>
    </row>
    <row r="147" spans="1:76" x14ac:dyDescent="0.25">
      <c r="A147" s="4" t="s">
        <v>876</v>
      </c>
      <c r="B147" s="1" t="s">
        <v>939</v>
      </c>
      <c r="AN147" s="8">
        <v>80445553</v>
      </c>
      <c r="BX147" s="9">
        <v>80445553</v>
      </c>
    </row>
    <row r="148" spans="1:76" x14ac:dyDescent="0.25">
      <c r="A148" s="4" t="s">
        <v>1776</v>
      </c>
      <c r="B148" s="1" t="s">
        <v>1777</v>
      </c>
      <c r="AN148" s="8">
        <v>0</v>
      </c>
      <c r="BX148" s="9">
        <v>0</v>
      </c>
    </row>
    <row r="149" spans="1:76" x14ac:dyDescent="0.25">
      <c r="A149" s="4" t="s">
        <v>879</v>
      </c>
      <c r="B149" s="1" t="s">
        <v>940</v>
      </c>
      <c r="AN149" s="8">
        <v>63500</v>
      </c>
      <c r="BX149" s="9">
        <v>63500</v>
      </c>
    </row>
    <row r="150" spans="1:76" x14ac:dyDescent="0.25">
      <c r="A150" s="4" t="s">
        <v>880</v>
      </c>
      <c r="B150" s="1" t="s">
        <v>1833</v>
      </c>
      <c r="AN150" s="8">
        <v>76000</v>
      </c>
      <c r="BX150" s="9">
        <v>76000</v>
      </c>
    </row>
    <row r="151" spans="1:76" x14ac:dyDescent="0.25">
      <c r="A151" s="4" t="s">
        <v>881</v>
      </c>
      <c r="B151" s="1" t="s">
        <v>941</v>
      </c>
      <c r="AN151" s="8">
        <v>3053739</v>
      </c>
      <c r="BX151" s="9">
        <v>3053739</v>
      </c>
    </row>
    <row r="152" spans="1:76" x14ac:dyDescent="0.25">
      <c r="A152" s="4" t="s">
        <v>1728</v>
      </c>
      <c r="B152" s="1" t="s">
        <v>1729</v>
      </c>
      <c r="AN152" s="8">
        <v>333594</v>
      </c>
      <c r="BX152" s="9">
        <v>333594</v>
      </c>
    </row>
    <row r="153" spans="1:76" x14ac:dyDescent="0.25">
      <c r="A153" s="4" t="s">
        <v>782</v>
      </c>
      <c r="B153" s="1" t="s">
        <v>783</v>
      </c>
      <c r="AN153" s="8">
        <v>517006</v>
      </c>
      <c r="BX153" s="9">
        <v>517006</v>
      </c>
    </row>
    <row r="154" spans="1:76" x14ac:dyDescent="0.25">
      <c r="A154" s="4" t="s">
        <v>882</v>
      </c>
      <c r="B154" s="1" t="s">
        <v>942</v>
      </c>
      <c r="AN154" s="8">
        <v>1060012.0799999994</v>
      </c>
      <c r="BX154" s="9">
        <v>1060012.0799999994</v>
      </c>
    </row>
    <row r="155" spans="1:76" x14ac:dyDescent="0.25">
      <c r="A155" s="4" t="s">
        <v>883</v>
      </c>
      <c r="B155" s="1" t="s">
        <v>943</v>
      </c>
      <c r="AN155" s="8">
        <v>4579369.4399999911</v>
      </c>
      <c r="BX155" s="9">
        <v>4579369.4399999911</v>
      </c>
    </row>
    <row r="156" spans="1:76" x14ac:dyDescent="0.25">
      <c r="A156" s="4" t="s">
        <v>884</v>
      </c>
      <c r="B156" s="1" t="s">
        <v>944</v>
      </c>
      <c r="AN156" s="8">
        <v>2680318</v>
      </c>
      <c r="BX156" s="9">
        <v>2680318</v>
      </c>
    </row>
    <row r="157" spans="1:76" x14ac:dyDescent="0.25">
      <c r="A157" s="4" t="s">
        <v>885</v>
      </c>
      <c r="B157" s="1" t="s">
        <v>945</v>
      </c>
      <c r="AN157" s="8">
        <v>639057.49000000011</v>
      </c>
      <c r="BX157" s="9">
        <v>639057.49000000011</v>
      </c>
    </row>
    <row r="158" spans="1:76" x14ac:dyDescent="0.25">
      <c r="A158" s="4" t="s">
        <v>886</v>
      </c>
      <c r="B158" s="1" t="s">
        <v>946</v>
      </c>
      <c r="AN158" s="8">
        <v>16479656.409999961</v>
      </c>
      <c r="BX158" s="9">
        <v>16479656.409999961</v>
      </c>
    </row>
    <row r="159" spans="1:76" x14ac:dyDescent="0.25">
      <c r="A159" s="4" t="s">
        <v>1715</v>
      </c>
      <c r="B159" s="1" t="s">
        <v>1716</v>
      </c>
      <c r="AN159" s="8">
        <v>80000</v>
      </c>
      <c r="BX159" s="9">
        <v>80000</v>
      </c>
    </row>
    <row r="160" spans="1:76" x14ac:dyDescent="0.25">
      <c r="A160" s="4" t="s">
        <v>887</v>
      </c>
      <c r="B160" s="1" t="s">
        <v>947</v>
      </c>
      <c r="AN160" s="8">
        <v>88224</v>
      </c>
      <c r="BX160" s="9">
        <v>88224</v>
      </c>
    </row>
    <row r="161" spans="1:76" x14ac:dyDescent="0.25">
      <c r="A161" s="4" t="s">
        <v>888</v>
      </c>
      <c r="B161" s="1" t="s">
        <v>948</v>
      </c>
      <c r="AN161" s="8">
        <v>501670.93000000005</v>
      </c>
      <c r="BX161" s="9">
        <v>501670.93000000005</v>
      </c>
    </row>
    <row r="162" spans="1:76" x14ac:dyDescent="0.25">
      <c r="A162" s="4" t="s">
        <v>1679</v>
      </c>
      <c r="B162" s="1" t="s">
        <v>1680</v>
      </c>
      <c r="AN162" s="8">
        <v>249250</v>
      </c>
      <c r="BX162" s="9">
        <v>249250</v>
      </c>
    </row>
    <row r="163" spans="1:76" x14ac:dyDescent="0.25">
      <c r="A163" s="4" t="s">
        <v>1681</v>
      </c>
      <c r="B163" s="1" t="s">
        <v>346</v>
      </c>
      <c r="AN163" s="8">
        <v>-717176</v>
      </c>
      <c r="BX163" s="9">
        <v>-717176</v>
      </c>
    </row>
    <row r="164" spans="1:76" x14ac:dyDescent="0.25">
      <c r="A164" s="4" t="s">
        <v>1503</v>
      </c>
      <c r="B164" s="1" t="s">
        <v>1504</v>
      </c>
      <c r="P164" s="8">
        <v>0</v>
      </c>
      <c r="V164" s="8">
        <v>0</v>
      </c>
      <c r="AI164" s="6">
        <v>0</v>
      </c>
      <c r="BJ164" s="8">
        <v>0</v>
      </c>
      <c r="BX164" s="9">
        <v>0</v>
      </c>
    </row>
    <row r="165" spans="1:76" x14ac:dyDescent="0.25">
      <c r="A165" s="4" t="s">
        <v>283</v>
      </c>
      <c r="B165" s="1" t="s">
        <v>284</v>
      </c>
      <c r="D165" s="8">
        <v>68328</v>
      </c>
      <c r="BX165" s="9">
        <v>68328</v>
      </c>
    </row>
    <row r="166" spans="1:76" x14ac:dyDescent="0.25">
      <c r="A166" s="4" t="s">
        <v>285</v>
      </c>
      <c r="B166" s="1" t="s">
        <v>286</v>
      </c>
      <c r="D166" s="8">
        <v>17046</v>
      </c>
      <c r="P166" s="8">
        <v>0</v>
      </c>
      <c r="AH166" s="8">
        <v>17793</v>
      </c>
      <c r="AX166" s="8">
        <v>2237</v>
      </c>
      <c r="BB166" s="8">
        <v>934.18999999999994</v>
      </c>
      <c r="BC166" s="6">
        <v>220</v>
      </c>
      <c r="BJ166" s="8">
        <v>474</v>
      </c>
      <c r="BO166" s="6">
        <v>405</v>
      </c>
      <c r="BS166" s="6">
        <v>287831</v>
      </c>
      <c r="BU166" s="6">
        <v>798.67</v>
      </c>
      <c r="BX166" s="9">
        <v>327738.86</v>
      </c>
    </row>
    <row r="167" spans="1:76" x14ac:dyDescent="0.25">
      <c r="A167" s="4" t="s">
        <v>287</v>
      </c>
      <c r="B167" s="1" t="s">
        <v>288</v>
      </c>
      <c r="D167" s="8">
        <v>17000</v>
      </c>
      <c r="BX167" s="9">
        <v>17000</v>
      </c>
    </row>
    <row r="168" spans="1:76" x14ac:dyDescent="0.25">
      <c r="A168" s="4" t="s">
        <v>289</v>
      </c>
      <c r="B168" s="1" t="s">
        <v>290</v>
      </c>
      <c r="D168" s="8">
        <v>180254.94</v>
      </c>
      <c r="AB168" s="8">
        <v>1</v>
      </c>
      <c r="AN168" s="8">
        <v>16</v>
      </c>
      <c r="AS168" s="6">
        <v>1</v>
      </c>
      <c r="BK168" s="6">
        <v>1612</v>
      </c>
      <c r="BL168" s="8">
        <v>0.47</v>
      </c>
      <c r="BS168" s="6">
        <v>0</v>
      </c>
      <c r="BX168" s="9">
        <v>181885.41</v>
      </c>
    </row>
    <row r="169" spans="1:76" x14ac:dyDescent="0.25">
      <c r="A169" s="4" t="s">
        <v>1857</v>
      </c>
      <c r="B169" s="1" t="s">
        <v>1858</v>
      </c>
      <c r="BO169" s="6">
        <v>77640</v>
      </c>
      <c r="BX169" s="9">
        <v>77640</v>
      </c>
    </row>
    <row r="170" spans="1:76" x14ac:dyDescent="0.25">
      <c r="A170" s="4" t="s">
        <v>716</v>
      </c>
      <c r="B170" s="1" t="s">
        <v>717</v>
      </c>
      <c r="D170" s="8">
        <v>2197624</v>
      </c>
      <c r="BX170" s="9">
        <v>2197624</v>
      </c>
    </row>
    <row r="171" spans="1:76" x14ac:dyDescent="0.25">
      <c r="A171" s="4" t="s">
        <v>291</v>
      </c>
      <c r="B171" s="1" t="s">
        <v>292</v>
      </c>
      <c r="D171" s="8">
        <v>15759258.659999998</v>
      </c>
      <c r="BX171" s="9">
        <v>15759258.659999998</v>
      </c>
    </row>
    <row r="172" spans="1:76" x14ac:dyDescent="0.25">
      <c r="A172" s="4" t="s">
        <v>1631</v>
      </c>
      <c r="B172" s="1" t="s">
        <v>1632</v>
      </c>
      <c r="D172" s="8">
        <v>27673.460000000021</v>
      </c>
      <c r="J172" s="8">
        <v>9340.42</v>
      </c>
      <c r="P172" s="8">
        <v>157585.46999999997</v>
      </c>
      <c r="U172" s="6">
        <v>13714.33</v>
      </c>
      <c r="AN172" s="8">
        <v>520</v>
      </c>
      <c r="AR172" s="8">
        <v>40682.620000000003</v>
      </c>
      <c r="BB172" s="8">
        <v>196613.98</v>
      </c>
      <c r="BC172" s="6">
        <v>55420.089999999967</v>
      </c>
      <c r="BJ172" s="8">
        <v>483379.94</v>
      </c>
      <c r="BK172" s="6">
        <v>514.08000000000004</v>
      </c>
      <c r="BL172" s="8">
        <v>47396.6</v>
      </c>
      <c r="BO172" s="6">
        <v>1716674.76</v>
      </c>
      <c r="BQ172" s="6">
        <v>214.86999999999989</v>
      </c>
      <c r="BS172" s="6">
        <v>2126297.9899999993</v>
      </c>
      <c r="BT172" s="8">
        <v>-55831</v>
      </c>
      <c r="BU172" s="6">
        <v>6891.8</v>
      </c>
      <c r="BX172" s="9">
        <v>4827089.41</v>
      </c>
    </row>
    <row r="173" spans="1:76" x14ac:dyDescent="0.25">
      <c r="A173" s="4" t="s">
        <v>715</v>
      </c>
      <c r="B173" s="1" t="s">
        <v>718</v>
      </c>
      <c r="D173" s="8">
        <v>14650826</v>
      </c>
      <c r="BX173" s="9">
        <v>14650826</v>
      </c>
    </row>
    <row r="174" spans="1:76" x14ac:dyDescent="0.25">
      <c r="A174" s="4" t="s">
        <v>293</v>
      </c>
      <c r="B174" s="1" t="s">
        <v>294</v>
      </c>
      <c r="D174" s="8">
        <v>1398259</v>
      </c>
      <c r="BX174" s="9">
        <v>1398259</v>
      </c>
    </row>
    <row r="175" spans="1:76" x14ac:dyDescent="0.25">
      <c r="A175" s="4" t="s">
        <v>1522</v>
      </c>
      <c r="B175" s="1" t="s">
        <v>1523</v>
      </c>
      <c r="D175" s="8">
        <v>31631</v>
      </c>
      <c r="E175" s="6">
        <v>272796</v>
      </c>
      <c r="AX175" s="8">
        <v>29952</v>
      </c>
      <c r="BX175" s="9">
        <v>334379</v>
      </c>
    </row>
    <row r="176" spans="1:76" x14ac:dyDescent="0.25">
      <c r="A176" s="4" t="s">
        <v>999</v>
      </c>
      <c r="B176" s="1" t="s">
        <v>1000</v>
      </c>
      <c r="C176" s="6">
        <v>0</v>
      </c>
      <c r="D176" s="8">
        <v>1958</v>
      </c>
      <c r="E176" s="6">
        <v>0</v>
      </c>
      <c r="F176" s="8">
        <v>0</v>
      </c>
      <c r="J176" s="8">
        <v>0</v>
      </c>
      <c r="M176" s="6">
        <v>0</v>
      </c>
      <c r="P176" s="8">
        <v>0</v>
      </c>
      <c r="T176" s="8">
        <v>0</v>
      </c>
      <c r="U176" s="6">
        <v>0</v>
      </c>
      <c r="V176" s="8">
        <v>0</v>
      </c>
      <c r="AD176" s="8">
        <v>0</v>
      </c>
      <c r="AH176" s="8">
        <v>0</v>
      </c>
      <c r="AJ176" s="8">
        <v>0</v>
      </c>
      <c r="AS176" s="6">
        <v>0</v>
      </c>
      <c r="AV176" s="8">
        <v>0</v>
      </c>
      <c r="AW176" s="6">
        <v>0</v>
      </c>
      <c r="BJ176" s="8">
        <v>0</v>
      </c>
      <c r="BO176" s="6">
        <v>0</v>
      </c>
      <c r="BR176" s="8">
        <v>0</v>
      </c>
      <c r="BU176" s="6">
        <v>0</v>
      </c>
      <c r="BX176" s="9">
        <v>1958</v>
      </c>
    </row>
    <row r="177" spans="1:76" x14ac:dyDescent="0.25">
      <c r="A177" s="4" t="s">
        <v>297</v>
      </c>
      <c r="B177" s="1" t="s">
        <v>298</v>
      </c>
      <c r="C177" s="6">
        <v>-35</v>
      </c>
      <c r="D177" s="8">
        <v>15</v>
      </c>
      <c r="F177" s="8">
        <v>2</v>
      </c>
      <c r="J177" s="8">
        <v>1</v>
      </c>
      <c r="M177" s="6">
        <v>-1</v>
      </c>
      <c r="P177" s="8">
        <v>-1</v>
      </c>
      <c r="T177" s="8">
        <v>2</v>
      </c>
      <c r="U177" s="6">
        <v>1</v>
      </c>
      <c r="AD177" s="8">
        <v>1</v>
      </c>
      <c r="AG177" s="6">
        <v>-1</v>
      </c>
      <c r="AI177" s="6">
        <v>1</v>
      </c>
      <c r="AS177" s="6">
        <v>3</v>
      </c>
      <c r="AY177" s="6">
        <v>1</v>
      </c>
      <c r="AZ177" s="8">
        <v>-1</v>
      </c>
      <c r="BB177" s="8">
        <v>-5</v>
      </c>
      <c r="BJ177" s="8">
        <v>1</v>
      </c>
      <c r="BL177" s="8">
        <v>2</v>
      </c>
      <c r="BN177" s="8">
        <v>-3</v>
      </c>
      <c r="BO177" s="6">
        <v>-1</v>
      </c>
      <c r="BS177" s="6">
        <v>1</v>
      </c>
      <c r="BU177" s="6">
        <v>-7</v>
      </c>
      <c r="BX177" s="9">
        <v>-24</v>
      </c>
    </row>
    <row r="178" spans="1:76" x14ac:dyDescent="0.25">
      <c r="A178" s="4" t="s">
        <v>1838</v>
      </c>
      <c r="B178" s="1" t="s">
        <v>1839</v>
      </c>
      <c r="AZ178" s="8">
        <v>19845.54</v>
      </c>
      <c r="BB178" s="8">
        <v>129664.45999999999</v>
      </c>
      <c r="BJ178" s="8">
        <v>149039.00000000003</v>
      </c>
      <c r="BX178" s="9">
        <v>298549</v>
      </c>
    </row>
    <row r="179" spans="1:76" x14ac:dyDescent="0.25">
      <c r="A179" s="4" t="s">
        <v>299</v>
      </c>
      <c r="B179" s="1" t="s">
        <v>300</v>
      </c>
      <c r="AA179" s="6">
        <v>-47213484</v>
      </c>
      <c r="AB179" s="8">
        <v>-43115154</v>
      </c>
      <c r="BX179" s="9">
        <v>-90328638</v>
      </c>
    </row>
    <row r="180" spans="1:76" x14ac:dyDescent="0.25">
      <c r="A180" s="4" t="s">
        <v>301</v>
      </c>
      <c r="B180" s="1" t="s">
        <v>302</v>
      </c>
      <c r="AA180" s="6">
        <v>-1148652</v>
      </c>
      <c r="AB180" s="8">
        <v>-1690020</v>
      </c>
      <c r="BX180" s="9">
        <v>-2838672</v>
      </c>
    </row>
    <row r="181" spans="1:76" x14ac:dyDescent="0.25">
      <c r="A181" s="4" t="s">
        <v>303</v>
      </c>
      <c r="B181" s="1" t="s">
        <v>304</v>
      </c>
      <c r="AA181" s="6">
        <v>-5617324</v>
      </c>
      <c r="AB181" s="8">
        <v>-3440388</v>
      </c>
      <c r="BX181" s="9">
        <v>-9057712</v>
      </c>
    </row>
    <row r="182" spans="1:76" x14ac:dyDescent="0.25">
      <c r="A182" s="4" t="s">
        <v>307</v>
      </c>
      <c r="B182" s="1" t="s">
        <v>308</v>
      </c>
      <c r="AV182" s="8">
        <v>-192500</v>
      </c>
      <c r="BX182" s="9">
        <v>-192500</v>
      </c>
    </row>
    <row r="183" spans="1:76" x14ac:dyDescent="0.25">
      <c r="A183" s="4" t="s">
        <v>309</v>
      </c>
      <c r="B183" s="1" t="s">
        <v>310</v>
      </c>
      <c r="C183" s="6">
        <v>0</v>
      </c>
      <c r="AV183" s="8">
        <v>-150000</v>
      </c>
      <c r="AW183" s="6">
        <v>-1180000</v>
      </c>
      <c r="BX183" s="9">
        <v>-1330000</v>
      </c>
    </row>
    <row r="184" spans="1:76" x14ac:dyDescent="0.25">
      <c r="A184" s="4" t="s">
        <v>311</v>
      </c>
      <c r="B184" s="1" t="s">
        <v>312</v>
      </c>
      <c r="AV184" s="8">
        <v>-697263</v>
      </c>
      <c r="BX184" s="9">
        <v>-697263</v>
      </c>
    </row>
    <row r="185" spans="1:76" x14ac:dyDescent="0.25">
      <c r="A185" s="4" t="s">
        <v>313</v>
      </c>
      <c r="B185" s="1" t="s">
        <v>314</v>
      </c>
      <c r="J185" s="8">
        <v>-97028933</v>
      </c>
      <c r="BX185" s="9">
        <v>-97028933</v>
      </c>
    </row>
    <row r="186" spans="1:76" x14ac:dyDescent="0.25">
      <c r="A186" s="4" t="s">
        <v>315</v>
      </c>
      <c r="B186" s="1" t="s">
        <v>316</v>
      </c>
      <c r="D186" s="8">
        <v>-1350000</v>
      </c>
      <c r="J186" s="8">
        <v>0</v>
      </c>
      <c r="AO186" s="6">
        <v>-2100000</v>
      </c>
      <c r="BX186" s="9">
        <v>-3450000</v>
      </c>
    </row>
    <row r="187" spans="1:76" x14ac:dyDescent="0.25">
      <c r="A187" s="4" t="s">
        <v>962</v>
      </c>
      <c r="B187" s="1" t="s">
        <v>963</v>
      </c>
      <c r="J187" s="8">
        <v>-97028714</v>
      </c>
      <c r="BX187" s="9">
        <v>-97028714</v>
      </c>
    </row>
    <row r="188" spans="1:76" x14ac:dyDescent="0.25">
      <c r="A188" s="4" t="s">
        <v>964</v>
      </c>
      <c r="B188" s="1" t="s">
        <v>965</v>
      </c>
      <c r="J188" s="8">
        <v>-293091774</v>
      </c>
      <c r="BX188" s="9">
        <v>-293091774</v>
      </c>
    </row>
    <row r="189" spans="1:76" x14ac:dyDescent="0.25">
      <c r="A189" s="4" t="s">
        <v>966</v>
      </c>
      <c r="B189" s="1" t="s">
        <v>967</v>
      </c>
      <c r="J189" s="8">
        <v>-168448666.47999993</v>
      </c>
      <c r="BX189" s="9">
        <v>-168448666.47999993</v>
      </c>
    </row>
    <row r="190" spans="1:76" x14ac:dyDescent="0.25">
      <c r="A190" s="4" t="s">
        <v>968</v>
      </c>
      <c r="B190" s="1" t="s">
        <v>969</v>
      </c>
      <c r="J190" s="8">
        <v>-69398271.049999997</v>
      </c>
      <c r="BX190" s="9">
        <v>-69398271.049999997</v>
      </c>
    </row>
    <row r="191" spans="1:76" x14ac:dyDescent="0.25">
      <c r="A191" s="4" t="s">
        <v>970</v>
      </c>
      <c r="B191" s="1" t="s">
        <v>971</v>
      </c>
      <c r="J191" s="8">
        <v>-343731436.46999991</v>
      </c>
      <c r="AQ191" s="6">
        <v>-6190000</v>
      </c>
      <c r="BX191" s="9">
        <v>-349921436.46999991</v>
      </c>
    </row>
    <row r="192" spans="1:76" x14ac:dyDescent="0.25">
      <c r="A192" s="4" t="s">
        <v>321</v>
      </c>
      <c r="B192" s="1" t="s">
        <v>322</v>
      </c>
      <c r="H192" s="8">
        <v>-655251110</v>
      </c>
      <c r="BX192" s="9">
        <v>-655251110</v>
      </c>
    </row>
    <row r="193" spans="1:76" x14ac:dyDescent="0.25">
      <c r="A193" s="4" t="s">
        <v>323</v>
      </c>
      <c r="B193" s="1" t="s">
        <v>324</v>
      </c>
      <c r="BD193" s="8">
        <v>-781847</v>
      </c>
      <c r="BI193" s="6">
        <v>-38400000</v>
      </c>
      <c r="BX193" s="9">
        <v>-39181847</v>
      </c>
    </row>
    <row r="194" spans="1:76" x14ac:dyDescent="0.25">
      <c r="A194" s="4" t="s">
        <v>325</v>
      </c>
      <c r="B194" s="1" t="s">
        <v>326</v>
      </c>
      <c r="BO194" s="6">
        <v>-831621</v>
      </c>
      <c r="BX194" s="9">
        <v>-831621</v>
      </c>
    </row>
    <row r="195" spans="1:76" x14ac:dyDescent="0.25">
      <c r="A195" s="4" t="s">
        <v>1486</v>
      </c>
      <c r="B195" s="1" t="s">
        <v>1487</v>
      </c>
      <c r="BO195" s="6">
        <v>-918867</v>
      </c>
      <c r="BQ195" s="6">
        <v>-200767</v>
      </c>
      <c r="BX195" s="9">
        <v>-1119634</v>
      </c>
    </row>
    <row r="196" spans="1:76" x14ac:dyDescent="0.25">
      <c r="A196" s="4" t="s">
        <v>327</v>
      </c>
      <c r="B196" s="1" t="s">
        <v>328</v>
      </c>
      <c r="L196" s="8">
        <v>-153133467.5</v>
      </c>
      <c r="BU196" s="6">
        <v>0</v>
      </c>
      <c r="BV196" s="8">
        <v>-1446500</v>
      </c>
      <c r="BX196" s="9">
        <v>-154579967.5</v>
      </c>
    </row>
    <row r="197" spans="1:76" x14ac:dyDescent="0.25">
      <c r="A197" s="4" t="s">
        <v>331</v>
      </c>
      <c r="B197" s="1" t="s">
        <v>332</v>
      </c>
      <c r="D197" s="8">
        <v>-15185</v>
      </c>
      <c r="P197" s="8">
        <v>-1148</v>
      </c>
      <c r="U197" s="6">
        <v>-7042</v>
      </c>
      <c r="W197" s="6">
        <v>-2309</v>
      </c>
      <c r="AD197" s="8">
        <v>-12193</v>
      </c>
      <c r="AH197" s="8">
        <v>-60000</v>
      </c>
      <c r="AO197" s="6">
        <v>-1002</v>
      </c>
      <c r="AW197" s="6">
        <v>-841</v>
      </c>
      <c r="AX197" s="8">
        <v>-31390</v>
      </c>
      <c r="BC197" s="6">
        <v>-1036</v>
      </c>
      <c r="BH197" s="8">
        <v>-283068</v>
      </c>
      <c r="BS197" s="6">
        <v>-110264</v>
      </c>
      <c r="BX197" s="9">
        <v>-525478</v>
      </c>
    </row>
    <row r="198" spans="1:76" x14ac:dyDescent="0.25">
      <c r="A198" s="4" t="s">
        <v>333</v>
      </c>
      <c r="B198" s="1" t="s">
        <v>334</v>
      </c>
      <c r="AS198" s="6">
        <v>-616500</v>
      </c>
      <c r="BX198" s="9">
        <v>-616500</v>
      </c>
    </row>
    <row r="199" spans="1:76" x14ac:dyDescent="0.25">
      <c r="A199" s="4" t="s">
        <v>335</v>
      </c>
      <c r="B199" s="1" t="s">
        <v>336</v>
      </c>
      <c r="AO199" s="6">
        <v>-9299212.5099999998</v>
      </c>
      <c r="AS199" s="6">
        <v>-11023621</v>
      </c>
      <c r="BL199" s="8">
        <v>-18110236</v>
      </c>
      <c r="BN199" s="8">
        <v>-2314961</v>
      </c>
      <c r="BS199" s="6">
        <v>-24834646</v>
      </c>
      <c r="BT199" s="8">
        <v>-1574803</v>
      </c>
      <c r="BX199" s="9">
        <v>-67157479.50999999</v>
      </c>
    </row>
    <row r="200" spans="1:76" x14ac:dyDescent="0.25">
      <c r="A200" s="4" t="s">
        <v>337</v>
      </c>
      <c r="B200" s="1" t="s">
        <v>338</v>
      </c>
      <c r="AS200" s="6">
        <v>-75000</v>
      </c>
      <c r="BF200" s="8">
        <v>-286260</v>
      </c>
      <c r="BX200" s="9">
        <v>-361260</v>
      </c>
    </row>
    <row r="201" spans="1:76" x14ac:dyDescent="0.25">
      <c r="A201" s="4" t="s">
        <v>1778</v>
      </c>
      <c r="B201" s="1" t="s">
        <v>1779</v>
      </c>
      <c r="AH201" s="8">
        <v>0</v>
      </c>
      <c r="BX201" s="9">
        <v>0</v>
      </c>
    </row>
    <row r="202" spans="1:76" x14ac:dyDescent="0.25">
      <c r="A202" s="4" t="s">
        <v>784</v>
      </c>
      <c r="B202" s="1" t="s">
        <v>785</v>
      </c>
      <c r="AN202" s="8">
        <v>-237947713</v>
      </c>
      <c r="BX202" s="9">
        <v>-237947713</v>
      </c>
    </row>
    <row r="203" spans="1:76" x14ac:dyDescent="0.25">
      <c r="A203" s="4" t="s">
        <v>890</v>
      </c>
      <c r="B203" s="1" t="s">
        <v>919</v>
      </c>
      <c r="AN203" s="8">
        <v>-408997043.00000024</v>
      </c>
      <c r="BX203" s="9">
        <v>-408997043.00000024</v>
      </c>
    </row>
    <row r="204" spans="1:76" x14ac:dyDescent="0.25">
      <c r="A204" s="4" t="s">
        <v>1593</v>
      </c>
      <c r="B204" s="1" t="s">
        <v>1594</v>
      </c>
      <c r="AN204" s="8">
        <v>-758023</v>
      </c>
      <c r="BX204" s="9">
        <v>-758023</v>
      </c>
    </row>
    <row r="205" spans="1:76" x14ac:dyDescent="0.25">
      <c r="A205" s="4" t="s">
        <v>339</v>
      </c>
      <c r="B205" s="1" t="s">
        <v>340</v>
      </c>
      <c r="BL205" s="8">
        <v>-47500</v>
      </c>
      <c r="BO205" s="6">
        <v>-784170</v>
      </c>
      <c r="BX205" s="9">
        <v>-831670</v>
      </c>
    </row>
    <row r="206" spans="1:76" x14ac:dyDescent="0.25">
      <c r="A206" s="4" t="s">
        <v>786</v>
      </c>
      <c r="B206" s="1" t="s">
        <v>787</v>
      </c>
      <c r="P206" s="8">
        <v>-31496</v>
      </c>
      <c r="V206" s="8">
        <v>-86614</v>
      </c>
      <c r="AW206" s="6">
        <v>-11811</v>
      </c>
      <c r="BJ206" s="8">
        <v>-43307</v>
      </c>
      <c r="BX206" s="9">
        <v>-173228</v>
      </c>
    </row>
    <row r="207" spans="1:76" x14ac:dyDescent="0.25">
      <c r="A207" s="4" t="s">
        <v>343</v>
      </c>
      <c r="B207" s="1" t="s">
        <v>344</v>
      </c>
      <c r="D207" s="8">
        <v>-130577</v>
      </c>
      <c r="H207" s="8">
        <v>-601785</v>
      </c>
      <c r="U207" s="6">
        <v>-6929</v>
      </c>
      <c r="BO207" s="6">
        <v>-186380</v>
      </c>
      <c r="BX207" s="9">
        <v>-925671</v>
      </c>
    </row>
    <row r="208" spans="1:76" x14ac:dyDescent="0.25">
      <c r="A208" s="4" t="s">
        <v>345</v>
      </c>
      <c r="B208" s="1" t="s">
        <v>346</v>
      </c>
      <c r="AS208" s="6">
        <v>-13400</v>
      </c>
      <c r="BC208" s="6">
        <v>-157668</v>
      </c>
      <c r="BS208" s="6">
        <v>-10000</v>
      </c>
      <c r="BX208" s="9">
        <v>-181068</v>
      </c>
    </row>
    <row r="209" spans="1:76" x14ac:dyDescent="0.25">
      <c r="A209" s="4" t="s">
        <v>349</v>
      </c>
      <c r="B209" s="1" t="s">
        <v>350</v>
      </c>
      <c r="D209" s="8">
        <v>-407439</v>
      </c>
      <c r="AS209" s="6">
        <v>-6600</v>
      </c>
      <c r="BX209" s="9">
        <v>-414039</v>
      </c>
    </row>
    <row r="210" spans="1:76" x14ac:dyDescent="0.25">
      <c r="A210" s="4" t="s">
        <v>351</v>
      </c>
      <c r="B210" s="1" t="s">
        <v>352</v>
      </c>
      <c r="D210" s="8">
        <v>-30000</v>
      </c>
      <c r="J210" s="8">
        <v>-3850</v>
      </c>
      <c r="P210" s="8">
        <v>-700</v>
      </c>
      <c r="T210" s="8">
        <v>-3850</v>
      </c>
      <c r="V210" s="8">
        <v>-8750</v>
      </c>
      <c r="X210" s="8">
        <v>-1750</v>
      </c>
      <c r="AE210" s="6">
        <v>-90000</v>
      </c>
      <c r="AJ210" s="8">
        <v>-7350</v>
      </c>
      <c r="AS210" s="6">
        <v>-7023</v>
      </c>
      <c r="AT210" s="8">
        <v>-1750</v>
      </c>
      <c r="AW210" s="6">
        <v>-12950</v>
      </c>
      <c r="BD210" s="8">
        <v>-3350</v>
      </c>
      <c r="BO210" s="6">
        <v>-13191</v>
      </c>
      <c r="BX210" s="9">
        <v>-184514</v>
      </c>
    </row>
    <row r="211" spans="1:76" x14ac:dyDescent="0.25">
      <c r="A211" s="4" t="s">
        <v>984</v>
      </c>
      <c r="B211" s="1" t="s">
        <v>1854</v>
      </c>
      <c r="D211" s="8">
        <v>-381057</v>
      </c>
      <c r="BX211" s="9">
        <v>-381057</v>
      </c>
    </row>
    <row r="212" spans="1:76" x14ac:dyDescent="0.25">
      <c r="A212" s="4" t="s">
        <v>1684</v>
      </c>
      <c r="B212" s="1" t="s">
        <v>738</v>
      </c>
      <c r="I212" s="6">
        <v>0</v>
      </c>
      <c r="BC212" s="6">
        <v>-135958028</v>
      </c>
      <c r="BX212" s="9">
        <v>-135958028</v>
      </c>
    </row>
    <row r="213" spans="1:76" x14ac:dyDescent="0.25">
      <c r="A213" s="4" t="s">
        <v>1685</v>
      </c>
      <c r="B213" s="1" t="s">
        <v>742</v>
      </c>
      <c r="K213" s="6">
        <v>0</v>
      </c>
      <c r="BJ213" s="8">
        <v>-1579171517</v>
      </c>
      <c r="BS213" s="6">
        <v>-17322374.550000001</v>
      </c>
      <c r="BX213" s="9">
        <v>-1596493891.55</v>
      </c>
    </row>
    <row r="214" spans="1:76" x14ac:dyDescent="0.25">
      <c r="A214" s="4" t="s">
        <v>355</v>
      </c>
      <c r="B214" s="1" t="s">
        <v>356</v>
      </c>
      <c r="Y214" s="6">
        <v>-379530</v>
      </c>
      <c r="BX214" s="9">
        <v>-379530</v>
      </c>
    </row>
    <row r="215" spans="1:76" x14ac:dyDescent="0.25">
      <c r="A215" s="4" t="s">
        <v>357</v>
      </c>
      <c r="B215" s="1" t="s">
        <v>358</v>
      </c>
      <c r="AD215" s="8">
        <v>-88216</v>
      </c>
      <c r="BX215" s="9">
        <v>-88216</v>
      </c>
    </row>
    <row r="216" spans="1:76" x14ac:dyDescent="0.25">
      <c r="A216" s="4" t="s">
        <v>359</v>
      </c>
      <c r="B216" s="1" t="s">
        <v>1686</v>
      </c>
      <c r="D216" s="8">
        <v>-12821720</v>
      </c>
      <c r="F216" s="8">
        <v>-94839</v>
      </c>
      <c r="J216" s="8">
        <v>-6578922</v>
      </c>
      <c r="M216" s="6">
        <v>-3855031</v>
      </c>
      <c r="P216" s="8">
        <v>-124800</v>
      </c>
      <c r="R216" s="8">
        <v>-48838</v>
      </c>
      <c r="T216" s="8">
        <v>-48020</v>
      </c>
      <c r="U216" s="6">
        <v>-815331</v>
      </c>
      <c r="V216" s="8">
        <v>-192898</v>
      </c>
      <c r="AD216" s="8">
        <v>-124800</v>
      </c>
      <c r="AE216" s="6">
        <v>-62400</v>
      </c>
      <c r="AH216" s="8">
        <v>-327563</v>
      </c>
      <c r="AI216" s="6">
        <v>-137280</v>
      </c>
      <c r="AN216" s="8">
        <v>-111380</v>
      </c>
      <c r="AO216" s="6">
        <v>-45000</v>
      </c>
      <c r="AS216" s="6">
        <v>-7677772</v>
      </c>
      <c r="AV216" s="8">
        <v>-144009</v>
      </c>
      <c r="AW216" s="6">
        <v>-537238</v>
      </c>
      <c r="AX216" s="8">
        <v>-199563</v>
      </c>
      <c r="BB216" s="8">
        <v>-169880</v>
      </c>
      <c r="BJ216" s="8">
        <v>-1481422</v>
      </c>
      <c r="BL216" s="8">
        <v>-3324366</v>
      </c>
      <c r="BO216" s="6">
        <v>-17226605</v>
      </c>
      <c r="BQ216" s="6">
        <v>-1045886</v>
      </c>
      <c r="BS216" s="6">
        <v>-2744486</v>
      </c>
      <c r="BT216" s="8">
        <v>-183858</v>
      </c>
      <c r="BU216" s="6">
        <v>-536680</v>
      </c>
      <c r="BX216" s="9">
        <v>-60660587</v>
      </c>
    </row>
    <row r="217" spans="1:76" x14ac:dyDescent="0.25">
      <c r="A217" s="4" t="s">
        <v>361</v>
      </c>
      <c r="B217" s="1" t="s">
        <v>362</v>
      </c>
      <c r="D217" s="8">
        <v>-189953.34</v>
      </c>
      <c r="H217" s="8">
        <v>-5</v>
      </c>
      <c r="J217" s="8">
        <v>-1</v>
      </c>
      <c r="AW217" s="6">
        <v>-32</v>
      </c>
      <c r="BK217" s="6">
        <v>-3232</v>
      </c>
      <c r="BX217" s="9">
        <v>-193223.34</v>
      </c>
    </row>
    <row r="218" spans="1:76" x14ac:dyDescent="0.25">
      <c r="A218" s="4" t="s">
        <v>363</v>
      </c>
      <c r="B218" s="1" t="s">
        <v>364</v>
      </c>
      <c r="D218" s="8">
        <v>-567</v>
      </c>
      <c r="BX218" s="9">
        <v>-567</v>
      </c>
    </row>
    <row r="219" spans="1:76" s="3" customFormat="1" ht="12.75" customHeight="1" x14ac:dyDescent="0.3">
      <c r="A219" s="5"/>
      <c r="B219" s="3" t="s">
        <v>365</v>
      </c>
      <c r="C219" s="7">
        <v>-35</v>
      </c>
      <c r="D219" s="7">
        <v>209739778.90319997</v>
      </c>
      <c r="E219" s="7">
        <v>1167551.9999999851</v>
      </c>
      <c r="F219" s="7">
        <v>7917691.29</v>
      </c>
      <c r="G219" s="7">
        <v>236600</v>
      </c>
      <c r="H219" s="7">
        <v>-633877138.35000002</v>
      </c>
      <c r="I219" s="7">
        <v>0</v>
      </c>
      <c r="J219" s="7">
        <v>-1016551311.3519998</v>
      </c>
      <c r="K219" s="7">
        <v>3796</v>
      </c>
      <c r="L219" s="7">
        <v>-153133467.5</v>
      </c>
      <c r="M219" s="7">
        <v>24601476.092800003</v>
      </c>
      <c r="N219" s="7">
        <v>6240000</v>
      </c>
      <c r="O219" s="7">
        <v>5800</v>
      </c>
      <c r="P219" s="7">
        <v>43029770.230000004</v>
      </c>
      <c r="Q219" s="7">
        <v>120000</v>
      </c>
      <c r="R219" s="7">
        <v>512248.16000000003</v>
      </c>
      <c r="S219" s="7">
        <v>1906.8000000000002</v>
      </c>
      <c r="T219" s="7">
        <v>49709765.4388</v>
      </c>
      <c r="U219" s="7">
        <v>37329132.699999988</v>
      </c>
      <c r="V219" s="7">
        <v>86819133.060000002</v>
      </c>
      <c r="W219" s="7">
        <v>25840590.629999999</v>
      </c>
      <c r="X219" s="7">
        <v>20585578.700000003</v>
      </c>
      <c r="Y219" s="7">
        <v>-379530</v>
      </c>
      <c r="Z219" s="7">
        <v>1836667.0151999998</v>
      </c>
      <c r="AA219" s="7">
        <v>-53979460</v>
      </c>
      <c r="AB219" s="7">
        <v>-48245561</v>
      </c>
      <c r="AC219" s="7">
        <v>28730</v>
      </c>
      <c r="AD219" s="7">
        <v>95304952.840000004</v>
      </c>
      <c r="AE219" s="7">
        <v>49395923.588400006</v>
      </c>
      <c r="AF219" s="7">
        <v>914563</v>
      </c>
      <c r="AG219" s="7">
        <v>11245444.775199998</v>
      </c>
      <c r="AH219" s="7">
        <v>89785185.098799989</v>
      </c>
      <c r="AI219" s="7">
        <v>55907629.968000002</v>
      </c>
      <c r="AJ219" s="7">
        <v>44579215.30839999</v>
      </c>
      <c r="AK219" s="7">
        <v>17743544.559999999</v>
      </c>
      <c r="AL219" s="7">
        <v>421468</v>
      </c>
      <c r="AM219" s="7">
        <v>190000</v>
      </c>
      <c r="AN219" s="7">
        <v>48238932.809999704</v>
      </c>
      <c r="AO219" s="7">
        <v>31539566.330000009</v>
      </c>
      <c r="AP219" s="7">
        <v>354346.94</v>
      </c>
      <c r="AQ219" s="7">
        <v>0</v>
      </c>
      <c r="AR219" s="7">
        <v>40682.620000000003</v>
      </c>
      <c r="AS219" s="7">
        <v>182672898.19279999</v>
      </c>
      <c r="AT219" s="7">
        <v>85947533.627999991</v>
      </c>
      <c r="AU219" s="7">
        <v>9148000.2151999995</v>
      </c>
      <c r="AV219" s="7">
        <v>53451867.470799997</v>
      </c>
      <c r="AW219" s="7">
        <v>55701859.53640002</v>
      </c>
      <c r="AX219" s="7">
        <v>117878790.19</v>
      </c>
      <c r="AY219" s="7">
        <v>24243681.759999998</v>
      </c>
      <c r="AZ219" s="7">
        <v>135216171.64999998</v>
      </c>
      <c r="BA219" s="7">
        <v>3832600.5199999996</v>
      </c>
      <c r="BB219" s="7">
        <v>247320616.41000009</v>
      </c>
      <c r="BC219" s="7">
        <v>-59936191.330000013</v>
      </c>
      <c r="BD219" s="7">
        <v>44811501.439999998</v>
      </c>
      <c r="BE219" s="7">
        <v>508000</v>
      </c>
      <c r="BF219" s="7">
        <v>6142.7699999999022</v>
      </c>
      <c r="BG219" s="7">
        <v>130616.31000000001</v>
      </c>
      <c r="BH219" s="7">
        <v>929748.00000000047</v>
      </c>
      <c r="BI219" s="7">
        <v>-38400000</v>
      </c>
      <c r="BJ219" s="7">
        <v>-1533470269.77</v>
      </c>
      <c r="BK219" s="7">
        <v>156524979.38999999</v>
      </c>
      <c r="BL219" s="7">
        <v>138003711.07999998</v>
      </c>
      <c r="BM219" s="7">
        <v>52401795.469999991</v>
      </c>
      <c r="BN219" s="7">
        <v>5433834.2400000002</v>
      </c>
      <c r="BO219" s="7">
        <v>408418409.85000002</v>
      </c>
      <c r="BP219" s="7">
        <v>23228840</v>
      </c>
      <c r="BQ219" s="7">
        <v>15705688.890000001</v>
      </c>
      <c r="BR219" s="7">
        <v>0</v>
      </c>
      <c r="BS219" s="7">
        <v>497024983.62000012</v>
      </c>
      <c r="BT219" s="7">
        <v>-1049783.04</v>
      </c>
      <c r="BU219" s="7">
        <v>70221627.399999991</v>
      </c>
      <c r="BV219" s="7">
        <v>0</v>
      </c>
      <c r="BW219" s="7">
        <v>50479412</v>
      </c>
      <c r="BX219" s="7">
        <v>-198391764.45000052</v>
      </c>
    </row>
    <row r="220" spans="1:76" s="3" customFormat="1" ht="12.75" customHeight="1" x14ac:dyDescent="0.3">
      <c r="A220" s="5"/>
      <c r="B220" s="3" t="s">
        <v>365</v>
      </c>
      <c r="C220" s="7">
        <v>15945</v>
      </c>
      <c r="D220" s="7">
        <v>209958946.59799999</v>
      </c>
      <c r="E220" s="7">
        <v>894755.9999999851</v>
      </c>
      <c r="F220" s="7">
        <v>7101758.29</v>
      </c>
      <c r="G220" s="7">
        <v>236600</v>
      </c>
      <c r="H220" s="7">
        <v>-633877138.35000002</v>
      </c>
      <c r="I220" s="7">
        <v>0</v>
      </c>
      <c r="J220" s="7">
        <v>-1017472656.5700001</v>
      </c>
      <c r="K220" s="7">
        <v>3796</v>
      </c>
      <c r="L220" s="7">
        <v>-153133467.5</v>
      </c>
      <c r="M220" s="7">
        <v>24594122.961999997</v>
      </c>
      <c r="N220" s="7">
        <v>6240000</v>
      </c>
      <c r="O220" s="7">
        <v>5800</v>
      </c>
      <c r="P220" s="7">
        <v>43132335.920000002</v>
      </c>
      <c r="Q220" s="7">
        <v>120000</v>
      </c>
      <c r="R220" s="7">
        <v>512248.16000000003</v>
      </c>
      <c r="S220" s="7">
        <v>1906.8000000000002</v>
      </c>
      <c r="T220" s="7">
        <v>49677901.872000001</v>
      </c>
      <c r="U220" s="7">
        <v>37329132.699999996</v>
      </c>
      <c r="V220" s="7">
        <v>86819133.060000002</v>
      </c>
      <c r="W220" s="7">
        <v>25840590.629999999</v>
      </c>
      <c r="X220" s="7">
        <v>20585578.699999999</v>
      </c>
      <c r="Y220" s="7">
        <v>-379530</v>
      </c>
      <c r="Z220" s="7">
        <v>1831764.9279999998</v>
      </c>
      <c r="AA220" s="7">
        <v>-53979460</v>
      </c>
      <c r="AB220" s="7">
        <v>-48245561</v>
      </c>
      <c r="AC220" s="7">
        <v>28730</v>
      </c>
      <c r="AD220" s="7">
        <v>95429752.840000004</v>
      </c>
      <c r="AE220" s="7">
        <v>49436264.196000002</v>
      </c>
      <c r="AF220" s="7">
        <v>914563</v>
      </c>
      <c r="AG220" s="7">
        <v>11240542.687999997</v>
      </c>
      <c r="AH220" s="7">
        <v>89940521.532000005</v>
      </c>
      <c r="AI220" s="7">
        <v>55895374.75</v>
      </c>
      <c r="AJ220" s="7">
        <v>44557155.915999994</v>
      </c>
      <c r="AK220" s="7">
        <v>17743544.559999999</v>
      </c>
      <c r="AL220" s="7">
        <v>421468</v>
      </c>
      <c r="AM220" s="7">
        <v>190000</v>
      </c>
      <c r="AN220" s="7">
        <v>48238932.809999943</v>
      </c>
      <c r="AO220" s="7">
        <v>31538745.090000007</v>
      </c>
      <c r="AP220" s="7">
        <v>354346.94</v>
      </c>
      <c r="AQ220" s="7">
        <v>-8960000</v>
      </c>
      <c r="AR220" s="7">
        <v>40682.620000000003</v>
      </c>
      <c r="AS220" s="7">
        <v>183024479.3312</v>
      </c>
      <c r="AT220" s="7">
        <v>85912750.900800005</v>
      </c>
      <c r="AU220" s="7">
        <v>9143098.1279999986</v>
      </c>
      <c r="AV220" s="7">
        <v>53432259.122000001</v>
      </c>
      <c r="AW220" s="7">
        <v>55667544.926000021</v>
      </c>
      <c r="AX220" s="7">
        <v>117878790.19</v>
      </c>
      <c r="AY220" s="7">
        <v>24243681.759999998</v>
      </c>
      <c r="AZ220" s="7">
        <v>135216171.65000001</v>
      </c>
      <c r="BA220" s="7">
        <v>3849069.0799999996</v>
      </c>
      <c r="BB220" s="7">
        <v>247304089.53000009</v>
      </c>
      <c r="BC220" s="7">
        <v>-59185411.860000014</v>
      </c>
      <c r="BD220" s="7">
        <v>44811501.440000005</v>
      </c>
      <c r="BE220" s="7">
        <v>508000</v>
      </c>
      <c r="BF220" s="7">
        <v>6142.7699999997858</v>
      </c>
      <c r="BG220" s="7">
        <v>130616.30999999998</v>
      </c>
      <c r="BH220" s="7">
        <v>929748.00000000047</v>
      </c>
      <c r="BI220" s="7">
        <v>-38400000</v>
      </c>
      <c r="BJ220" s="7">
        <v>-1533476984.0100002</v>
      </c>
      <c r="BK220" s="7">
        <v>157389599.39000002</v>
      </c>
      <c r="BL220" s="7">
        <v>125353228.08</v>
      </c>
      <c r="BM220" s="7">
        <v>52398398.269999996</v>
      </c>
      <c r="BN220" s="7">
        <v>5433834.2400000002</v>
      </c>
      <c r="BO220" s="7">
        <v>408678401.46000004</v>
      </c>
      <c r="BP220" s="7">
        <v>23228840</v>
      </c>
      <c r="BQ220" s="7">
        <v>15705688.890000001</v>
      </c>
      <c r="BR220" s="7">
        <v>0</v>
      </c>
      <c r="BS220" s="7">
        <v>510248917.21000016</v>
      </c>
      <c r="BT220" s="7">
        <v>-1049783.04</v>
      </c>
      <c r="BU220" s="7">
        <v>70189155.399999991</v>
      </c>
      <c r="BV220" s="7">
        <v>-614205</v>
      </c>
      <c r="BW220" s="7">
        <v>50479412</v>
      </c>
      <c r="BX220" s="7">
        <v>-206737836.69000006</v>
      </c>
    </row>
    <row r="222" spans="1:76" x14ac:dyDescent="0.25">
      <c r="C222" s="6">
        <f>+C220-C219</f>
        <v>15980</v>
      </c>
      <c r="D222" s="6">
        <f t="shared" ref="D222:BO222" si="0">+D220-D219</f>
        <v>219167.69480001926</v>
      </c>
      <c r="E222" s="6">
        <f t="shared" si="0"/>
        <v>-272796</v>
      </c>
      <c r="F222" s="6">
        <f t="shared" si="0"/>
        <v>-815933</v>
      </c>
      <c r="G222" s="6">
        <f t="shared" si="0"/>
        <v>0</v>
      </c>
      <c r="H222" s="6">
        <f t="shared" si="0"/>
        <v>0</v>
      </c>
      <c r="I222" s="6">
        <f t="shared" si="0"/>
        <v>0</v>
      </c>
      <c r="J222" s="6">
        <f t="shared" si="0"/>
        <v>-921345.21800029278</v>
      </c>
      <c r="K222" s="6">
        <f t="shared" si="0"/>
        <v>0</v>
      </c>
      <c r="L222" s="6">
        <f t="shared" si="0"/>
        <v>0</v>
      </c>
      <c r="M222" s="6">
        <f t="shared" si="0"/>
        <v>-7353.1308000050485</v>
      </c>
      <c r="N222" s="6">
        <f t="shared" si="0"/>
        <v>0</v>
      </c>
      <c r="O222" s="6">
        <f t="shared" si="0"/>
        <v>0</v>
      </c>
      <c r="P222" s="6">
        <f t="shared" si="0"/>
        <v>102565.68999999762</v>
      </c>
      <c r="Q222" s="6">
        <f t="shared" si="0"/>
        <v>0</v>
      </c>
      <c r="R222" s="6">
        <f t="shared" si="0"/>
        <v>0</v>
      </c>
      <c r="S222" s="6">
        <f t="shared" si="0"/>
        <v>0</v>
      </c>
      <c r="T222" s="6">
        <f t="shared" si="0"/>
        <v>-31863.566799998283</v>
      </c>
      <c r="U222" s="6">
        <f t="shared" si="0"/>
        <v>0</v>
      </c>
      <c r="V222" s="6">
        <f t="shared" si="0"/>
        <v>0</v>
      </c>
      <c r="W222" s="6">
        <f t="shared" si="0"/>
        <v>0</v>
      </c>
      <c r="X222" s="6">
        <f t="shared" si="0"/>
        <v>0</v>
      </c>
      <c r="Y222" s="6">
        <f t="shared" si="0"/>
        <v>0</v>
      </c>
      <c r="Z222" s="6">
        <f t="shared" si="0"/>
        <v>-4902.0871999999508</v>
      </c>
      <c r="AA222" s="6">
        <f t="shared" si="0"/>
        <v>0</v>
      </c>
      <c r="AB222" s="6">
        <f t="shared" si="0"/>
        <v>0</v>
      </c>
      <c r="AC222" s="6">
        <f t="shared" si="0"/>
        <v>0</v>
      </c>
      <c r="AD222" s="6">
        <f t="shared" si="0"/>
        <v>124800</v>
      </c>
      <c r="AE222" s="6">
        <f t="shared" si="0"/>
        <v>40340.60759999603</v>
      </c>
      <c r="AF222" s="6">
        <f t="shared" si="0"/>
        <v>0</v>
      </c>
      <c r="AG222" s="6">
        <f t="shared" si="0"/>
        <v>-4902.0872000008821</v>
      </c>
      <c r="AH222" s="6">
        <f t="shared" si="0"/>
        <v>155336.43320001662</v>
      </c>
      <c r="AI222" s="6">
        <f t="shared" si="0"/>
        <v>-12255.218000002205</v>
      </c>
      <c r="AJ222" s="6">
        <f t="shared" si="0"/>
        <v>-22059.392399996519</v>
      </c>
      <c r="AK222" s="6">
        <f t="shared" si="0"/>
        <v>0</v>
      </c>
      <c r="AL222" s="6">
        <f t="shared" si="0"/>
        <v>0</v>
      </c>
      <c r="AM222" s="6">
        <f t="shared" si="0"/>
        <v>0</v>
      </c>
      <c r="AN222" s="6">
        <f t="shared" si="0"/>
        <v>2.384185791015625E-7</v>
      </c>
      <c r="AO222" s="6">
        <f t="shared" si="0"/>
        <v>-821.24000000208616</v>
      </c>
      <c r="AP222" s="6">
        <f t="shared" si="0"/>
        <v>0</v>
      </c>
      <c r="AQ222" s="6">
        <f t="shared" si="0"/>
        <v>-8960000</v>
      </c>
      <c r="AR222" s="6">
        <f t="shared" si="0"/>
        <v>0</v>
      </c>
      <c r="AS222" s="6">
        <f t="shared" si="0"/>
        <v>351581.13840001822</v>
      </c>
      <c r="AT222" s="6">
        <f t="shared" si="0"/>
        <v>-34782.727199986577</v>
      </c>
      <c r="AU222" s="6">
        <f t="shared" si="0"/>
        <v>-4902.0872000008821</v>
      </c>
      <c r="AV222" s="6">
        <f t="shared" si="0"/>
        <v>-19608.348799996078</v>
      </c>
      <c r="AW222" s="6">
        <f t="shared" si="0"/>
        <v>-34314.610399998724</v>
      </c>
      <c r="AX222" s="6">
        <f t="shared" si="0"/>
        <v>0</v>
      </c>
      <c r="AY222" s="6">
        <f t="shared" si="0"/>
        <v>0</v>
      </c>
      <c r="AZ222" s="6">
        <f t="shared" si="0"/>
        <v>0</v>
      </c>
      <c r="BA222" s="6">
        <f t="shared" si="0"/>
        <v>16468.560000000056</v>
      </c>
      <c r="BB222" s="6">
        <f t="shared" si="0"/>
        <v>-16526.879999995232</v>
      </c>
      <c r="BC222" s="6">
        <f t="shared" si="0"/>
        <v>750779.46999999881</v>
      </c>
      <c r="BD222" s="6">
        <f t="shared" si="0"/>
        <v>0</v>
      </c>
      <c r="BE222" s="6">
        <f t="shared" si="0"/>
        <v>0</v>
      </c>
      <c r="BF222" s="6">
        <f t="shared" si="0"/>
        <v>-1.1641532182693481E-10</v>
      </c>
      <c r="BG222" s="6">
        <f t="shared" si="0"/>
        <v>0</v>
      </c>
      <c r="BH222" s="6">
        <f t="shared" si="0"/>
        <v>0</v>
      </c>
      <c r="BI222" s="6">
        <f t="shared" si="0"/>
        <v>0</v>
      </c>
      <c r="BJ222" s="6">
        <f t="shared" si="0"/>
        <v>-6714.2400002479553</v>
      </c>
      <c r="BK222" s="6">
        <f t="shared" si="0"/>
        <v>864620.0000000298</v>
      </c>
      <c r="BL222" s="6">
        <f t="shared" si="0"/>
        <v>-12650482.999999985</v>
      </c>
      <c r="BM222" s="6">
        <f t="shared" si="0"/>
        <v>-3397.1999999955297</v>
      </c>
      <c r="BN222" s="6">
        <f t="shared" si="0"/>
        <v>0</v>
      </c>
      <c r="BO222" s="6">
        <f t="shared" si="0"/>
        <v>259991.61000001431</v>
      </c>
      <c r="BP222" s="6">
        <f t="shared" ref="BP222:BX222" si="1">+BP220-BP219</f>
        <v>0</v>
      </c>
      <c r="BQ222" s="6">
        <f t="shared" si="1"/>
        <v>0</v>
      </c>
      <c r="BR222" s="6">
        <f t="shared" si="1"/>
        <v>0</v>
      </c>
      <c r="BS222" s="6">
        <f t="shared" si="1"/>
        <v>13223933.590000033</v>
      </c>
      <c r="BT222" s="6">
        <f t="shared" si="1"/>
        <v>0</v>
      </c>
      <c r="BU222" s="6">
        <f t="shared" si="1"/>
        <v>-32472</v>
      </c>
      <c r="BV222" s="6">
        <f t="shared" si="1"/>
        <v>-614205</v>
      </c>
      <c r="BW222" s="6">
        <f t="shared" si="1"/>
        <v>0</v>
      </c>
      <c r="BX222" s="6">
        <f t="shared" si="1"/>
        <v>-8346072.2399995327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6"/>
  <sheetViews>
    <sheetView topLeftCell="A10" zoomScaleNormal="100" workbookViewId="0">
      <selection activeCell="C42" sqref="C42"/>
    </sheetView>
  </sheetViews>
  <sheetFormatPr defaultRowHeight="12.5" x14ac:dyDescent="0.25"/>
  <cols>
    <col min="2" max="2" width="17.7265625" customWidth="1"/>
  </cols>
  <sheetData>
    <row r="1" spans="1:12" x14ac:dyDescent="0.25">
      <c r="A1" s="197" t="s">
        <v>649</v>
      </c>
      <c r="C1" s="1174" t="s">
        <v>1795</v>
      </c>
      <c r="D1" s="1175"/>
      <c r="E1" s="1175"/>
      <c r="F1" s="1175"/>
      <c r="I1" s="1174" t="s">
        <v>1708</v>
      </c>
      <c r="J1" s="1175"/>
      <c r="K1" s="1175"/>
      <c r="L1" s="1175"/>
    </row>
    <row r="2" spans="1:12" x14ac:dyDescent="0.25">
      <c r="B2" s="197" t="s">
        <v>650</v>
      </c>
      <c r="C2" s="453">
        <v>44.93</v>
      </c>
      <c r="I2" s="453">
        <v>44.22</v>
      </c>
    </row>
    <row r="3" spans="1:12" x14ac:dyDescent="0.25">
      <c r="B3" s="197" t="s">
        <v>1021</v>
      </c>
      <c r="C3" s="453"/>
      <c r="I3" s="453"/>
    </row>
    <row r="4" spans="1:12" x14ac:dyDescent="0.25">
      <c r="B4" s="197" t="s">
        <v>651</v>
      </c>
      <c r="C4" s="453"/>
      <c r="I4" s="453"/>
    </row>
    <row r="5" spans="1:12" x14ac:dyDescent="0.25">
      <c r="B5" s="197" t="s">
        <v>540</v>
      </c>
      <c r="C5" s="453"/>
      <c r="I5" s="453"/>
    </row>
    <row r="6" spans="1:12" x14ac:dyDescent="0.25">
      <c r="B6" s="197" t="s">
        <v>652</v>
      </c>
      <c r="C6" s="453"/>
      <c r="D6">
        <f>SUM(C2:C6)</f>
        <v>44.93</v>
      </c>
      <c r="I6" s="453"/>
      <c r="J6">
        <f>SUM(I2:I6)</f>
        <v>44.22</v>
      </c>
    </row>
    <row r="7" spans="1:12" x14ac:dyDescent="0.25">
      <c r="C7" s="453"/>
      <c r="I7" s="453"/>
    </row>
    <row r="8" spans="1:12" x14ac:dyDescent="0.25">
      <c r="A8" s="197" t="s">
        <v>478</v>
      </c>
      <c r="C8" s="453"/>
      <c r="I8" s="453"/>
    </row>
    <row r="9" spans="1:12" x14ac:dyDescent="0.25">
      <c r="B9" s="197" t="s">
        <v>653</v>
      </c>
      <c r="C9" s="453">
        <v>4.4000000000000004</v>
      </c>
      <c r="I9" s="453">
        <v>4.7300000000000004</v>
      </c>
    </row>
    <row r="10" spans="1:12" x14ac:dyDescent="0.25">
      <c r="B10" s="197" t="s">
        <v>1635</v>
      </c>
      <c r="C10" s="453">
        <f>15.16-1</f>
        <v>14.16</v>
      </c>
      <c r="I10" s="453">
        <v>13.94</v>
      </c>
    </row>
    <row r="11" spans="1:12" x14ac:dyDescent="0.25">
      <c r="B11" s="197" t="s">
        <v>654</v>
      </c>
      <c r="C11" s="453"/>
      <c r="I11" s="453"/>
    </row>
    <row r="12" spans="1:12" x14ac:dyDescent="0.25">
      <c r="B12" s="197" t="s">
        <v>655</v>
      </c>
      <c r="C12" s="453"/>
      <c r="E12">
        <f>SUM(C10:C12)</f>
        <v>14.16</v>
      </c>
      <c r="I12" s="453"/>
      <c r="K12">
        <f>SUM(I10:I12)</f>
        <v>13.94</v>
      </c>
    </row>
    <row r="13" spans="1:12" x14ac:dyDescent="0.25">
      <c r="B13" s="197" t="s">
        <v>1636</v>
      </c>
      <c r="C13" s="453">
        <f>40.65-1-4</f>
        <v>35.65</v>
      </c>
      <c r="I13" s="453">
        <v>35.229999999999997</v>
      </c>
    </row>
    <row r="14" spans="1:12" x14ac:dyDescent="0.25">
      <c r="B14" s="197" t="s">
        <v>656</v>
      </c>
      <c r="C14" s="453">
        <f>0.98+22.02</f>
        <v>23</v>
      </c>
      <c r="I14" s="453">
        <f>1+2.31+8.09+3.07+6.28</f>
        <v>20.75</v>
      </c>
    </row>
    <row r="15" spans="1:12" x14ac:dyDescent="0.25">
      <c r="B15" s="197" t="s">
        <v>657</v>
      </c>
      <c r="C15" s="453">
        <v>19.43</v>
      </c>
      <c r="I15" s="453">
        <v>15.88</v>
      </c>
    </row>
    <row r="16" spans="1:12" x14ac:dyDescent="0.25">
      <c r="B16" s="197" t="s">
        <v>658</v>
      </c>
      <c r="C16" s="453">
        <v>3.05</v>
      </c>
      <c r="I16" s="453">
        <v>2</v>
      </c>
    </row>
    <row r="17" spans="1:12" x14ac:dyDescent="0.25">
      <c r="B17" s="197" t="s">
        <v>1461</v>
      </c>
      <c r="C17" s="453"/>
      <c r="I17" s="453"/>
    </row>
    <row r="18" spans="1:12" x14ac:dyDescent="0.25">
      <c r="B18" s="197" t="s">
        <v>1637</v>
      </c>
      <c r="C18" s="453">
        <f>5.62+0.5</f>
        <v>6.12</v>
      </c>
      <c r="I18" s="453">
        <v>6.66</v>
      </c>
    </row>
    <row r="19" spans="1:12" x14ac:dyDescent="0.25">
      <c r="B19" s="197" t="s">
        <v>672</v>
      </c>
      <c r="C19" s="453">
        <f>5.5+0.5</f>
        <v>6</v>
      </c>
      <c r="I19" s="453">
        <v>6</v>
      </c>
    </row>
    <row r="20" spans="1:12" x14ac:dyDescent="0.25">
      <c r="B20" s="197" t="s">
        <v>659</v>
      </c>
      <c r="C20" s="453">
        <v>4.4000000000000004</v>
      </c>
      <c r="D20">
        <f>SUM(C9:C20)</f>
        <v>116.21000000000002</v>
      </c>
      <c r="F20">
        <f>+D20-E12</f>
        <v>102.05000000000003</v>
      </c>
      <c r="I20" s="453">
        <f>1+4</f>
        <v>5</v>
      </c>
      <c r="J20">
        <f>SUM(I9:I20)</f>
        <v>110.19</v>
      </c>
      <c r="L20">
        <f>+J20-K12</f>
        <v>96.25</v>
      </c>
    </row>
    <row r="22" spans="1:12" x14ac:dyDescent="0.25">
      <c r="A22" s="197" t="s">
        <v>476</v>
      </c>
      <c r="C22" s="453">
        <v>27.47</v>
      </c>
      <c r="D22">
        <f>C22</f>
        <v>27.47</v>
      </c>
      <c r="I22" s="453">
        <f>3.33+19.73+2.63</f>
        <v>25.69</v>
      </c>
      <c r="J22">
        <f>I22</f>
        <v>25.69</v>
      </c>
    </row>
    <row r="24" spans="1:12" x14ac:dyDescent="0.25">
      <c r="A24" s="197" t="s">
        <v>1322</v>
      </c>
    </row>
    <row r="25" spans="1:12" x14ac:dyDescent="0.25">
      <c r="B25" s="197" t="s">
        <v>660</v>
      </c>
      <c r="C25" s="453">
        <v>11.1</v>
      </c>
      <c r="I25" s="453">
        <v>13.07</v>
      </c>
    </row>
    <row r="26" spans="1:12" x14ac:dyDescent="0.25">
      <c r="B26" s="197" t="s">
        <v>661</v>
      </c>
    </row>
    <row r="27" spans="1:12" x14ac:dyDescent="0.25">
      <c r="B27" s="197" t="s">
        <v>662</v>
      </c>
    </row>
    <row r="28" spans="1:12" x14ac:dyDescent="0.25">
      <c r="B28" s="197" t="s">
        <v>663</v>
      </c>
      <c r="C28" s="453">
        <v>12.96</v>
      </c>
      <c r="D28">
        <f>SUM(C25:C28)</f>
        <v>24.060000000000002</v>
      </c>
      <c r="I28" s="453">
        <v>11.63</v>
      </c>
      <c r="J28">
        <f>SUM(I25:I28)</f>
        <v>24.700000000000003</v>
      </c>
    </row>
    <row r="30" spans="1:12" x14ac:dyDescent="0.25">
      <c r="A30" s="197" t="s">
        <v>1335</v>
      </c>
    </row>
    <row r="31" spans="1:12" x14ac:dyDescent="0.25">
      <c r="B31" s="197" t="s">
        <v>660</v>
      </c>
      <c r="C31" s="453">
        <v>3.96</v>
      </c>
      <c r="I31" s="453">
        <v>3.98</v>
      </c>
    </row>
    <row r="32" spans="1:12" x14ac:dyDescent="0.25">
      <c r="B32" s="197" t="s">
        <v>540</v>
      </c>
      <c r="C32">
        <v>0</v>
      </c>
      <c r="I32">
        <v>0</v>
      </c>
    </row>
    <row r="33" spans="1:11" x14ac:dyDescent="0.25">
      <c r="B33" s="197" t="s">
        <v>664</v>
      </c>
      <c r="C33" s="1032">
        <f>27.43</f>
        <v>27.43</v>
      </c>
      <c r="I33" s="453">
        <v>32.89</v>
      </c>
    </row>
    <row r="34" spans="1:11" x14ac:dyDescent="0.25">
      <c r="B34" s="197" t="s">
        <v>665</v>
      </c>
      <c r="C34" s="453">
        <f>12.32+11</f>
        <v>23.32</v>
      </c>
      <c r="I34" s="453">
        <v>10.53</v>
      </c>
    </row>
    <row r="35" spans="1:11" x14ac:dyDescent="0.25">
      <c r="B35" s="197" t="s">
        <v>666</v>
      </c>
      <c r="C35" s="453">
        <v>8.58</v>
      </c>
      <c r="I35" s="453">
        <v>8.65</v>
      </c>
    </row>
    <row r="36" spans="1:11" x14ac:dyDescent="0.25">
      <c r="B36" s="197" t="s">
        <v>667</v>
      </c>
      <c r="C36" s="453">
        <v>59.7</v>
      </c>
      <c r="I36" s="453">
        <v>63.94</v>
      </c>
    </row>
    <row r="37" spans="1:11" x14ac:dyDescent="0.25">
      <c r="B37" s="197" t="s">
        <v>670</v>
      </c>
      <c r="C37" s="453">
        <v>4.67</v>
      </c>
      <c r="E37">
        <f>SUM(C31:C37)</f>
        <v>127.66000000000001</v>
      </c>
      <c r="I37" s="453">
        <v>5.53</v>
      </c>
      <c r="K37">
        <f>SUM(I31:I37)</f>
        <v>125.52</v>
      </c>
    </row>
    <row r="38" spans="1:11" x14ac:dyDescent="0.25">
      <c r="B38" s="197" t="s">
        <v>668</v>
      </c>
    </row>
    <row r="39" spans="1:11" x14ac:dyDescent="0.25">
      <c r="B39" s="197" t="s">
        <v>669</v>
      </c>
      <c r="E39">
        <f>SUM(C38:C39)</f>
        <v>0</v>
      </c>
      <c r="K39">
        <f>SUM(I38:I39)</f>
        <v>0</v>
      </c>
    </row>
    <row r="40" spans="1:11" x14ac:dyDescent="0.25">
      <c r="B40" s="197"/>
      <c r="D40">
        <f>SUM(C31:C40)</f>
        <v>127.66000000000001</v>
      </c>
      <c r="J40">
        <f>SUM(I31:I40)</f>
        <v>125.52</v>
      </c>
    </row>
    <row r="42" spans="1:11" x14ac:dyDescent="0.25">
      <c r="A42" s="197" t="s">
        <v>671</v>
      </c>
      <c r="C42" s="1032">
        <f>4+11.2</f>
        <v>15.2</v>
      </c>
      <c r="D42">
        <f>C42</f>
        <v>15.2</v>
      </c>
      <c r="I42" s="453">
        <f>11.4+4</f>
        <v>15.4</v>
      </c>
      <c r="J42">
        <f>I42</f>
        <v>15.4</v>
      </c>
    </row>
    <row r="44" spans="1:11" x14ac:dyDescent="0.25">
      <c r="B44" s="197" t="s">
        <v>365</v>
      </c>
      <c r="C44">
        <f>SUM(C2:C43)</f>
        <v>355.53000000000003</v>
      </c>
      <c r="D44">
        <f>SUM(D2:D43)</f>
        <v>355.53000000000003</v>
      </c>
      <c r="I44">
        <f>SUM(I2:I43)</f>
        <v>345.71999999999991</v>
      </c>
      <c r="J44">
        <f>SUM(J2:J43)</f>
        <v>345.71999999999997</v>
      </c>
    </row>
    <row r="46" spans="1:11" x14ac:dyDescent="0.25">
      <c r="C46">
        <f>+C44-C2-C28</f>
        <v>297.64000000000004</v>
      </c>
      <c r="I46">
        <f>+I44-I2-I28</f>
        <v>289.86999999999989</v>
      </c>
    </row>
  </sheetData>
  <mergeCells count="2">
    <mergeCell ref="I1:L1"/>
    <mergeCell ref="C1:F1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8"/>
  <sheetViews>
    <sheetView workbookViewId="0">
      <selection activeCell="I95" sqref="I95"/>
    </sheetView>
  </sheetViews>
  <sheetFormatPr defaultRowHeight="12.5" x14ac:dyDescent="0.25"/>
  <cols>
    <col min="1" max="1" width="14.453125" bestFit="1" customWidth="1"/>
    <col min="2" max="2" width="24.54296875" bestFit="1" customWidth="1"/>
    <col min="3" max="3" width="25.54296875" bestFit="1" customWidth="1"/>
    <col min="4" max="4" width="11" bestFit="1" customWidth="1"/>
  </cols>
  <sheetData>
    <row r="1" spans="1:5" ht="13" x14ac:dyDescent="0.3">
      <c r="A1" s="125" t="s">
        <v>649</v>
      </c>
    </row>
    <row r="2" spans="1:5" x14ac:dyDescent="0.25">
      <c r="B2" s="197" t="s">
        <v>1057</v>
      </c>
      <c r="C2" s="197" t="s">
        <v>1060</v>
      </c>
      <c r="D2" s="197" t="s">
        <v>1049</v>
      </c>
      <c r="E2">
        <v>660</v>
      </c>
    </row>
    <row r="3" spans="1:5" ht="13" x14ac:dyDescent="0.3">
      <c r="B3" s="452" t="s">
        <v>1052</v>
      </c>
      <c r="C3" s="197" t="s">
        <v>1060</v>
      </c>
      <c r="D3" s="197" t="s">
        <v>1049</v>
      </c>
      <c r="E3">
        <v>660</v>
      </c>
    </row>
    <row r="4" spans="1:5" x14ac:dyDescent="0.25">
      <c r="B4" s="197" t="s">
        <v>1053</v>
      </c>
      <c r="C4" s="197" t="s">
        <v>1060</v>
      </c>
      <c r="D4" s="197" t="s">
        <v>1049</v>
      </c>
      <c r="E4">
        <v>660</v>
      </c>
    </row>
    <row r="5" spans="1:5" x14ac:dyDescent="0.25">
      <c r="B5" s="197" t="s">
        <v>1054</v>
      </c>
      <c r="C5" s="197" t="s">
        <v>1060</v>
      </c>
      <c r="D5" s="197" t="s">
        <v>1049</v>
      </c>
      <c r="E5">
        <v>660</v>
      </c>
    </row>
    <row r="6" spans="1:5" x14ac:dyDescent="0.25">
      <c r="B6" s="197" t="s">
        <v>1055</v>
      </c>
      <c r="C6" s="197" t="s">
        <v>1060</v>
      </c>
      <c r="D6" s="197" t="s">
        <v>1049</v>
      </c>
      <c r="E6">
        <v>660</v>
      </c>
    </row>
    <row r="7" spans="1:5" x14ac:dyDescent="0.25">
      <c r="B7" s="197" t="s">
        <v>1056</v>
      </c>
      <c r="C7" s="197" t="s">
        <v>1060</v>
      </c>
      <c r="D7" s="197" t="s">
        <v>1049</v>
      </c>
      <c r="E7">
        <v>660</v>
      </c>
    </row>
    <row r="8" spans="1:5" x14ac:dyDescent="0.25">
      <c r="B8" s="197" t="s">
        <v>1058</v>
      </c>
      <c r="C8" s="197" t="s">
        <v>1060</v>
      </c>
      <c r="D8" s="197" t="s">
        <v>1049</v>
      </c>
      <c r="E8">
        <v>660</v>
      </c>
    </row>
    <row r="9" spans="1:5" ht="13" x14ac:dyDescent="0.3">
      <c r="B9" s="452" t="s">
        <v>1059</v>
      </c>
      <c r="C9" s="197" t="s">
        <v>1060</v>
      </c>
      <c r="D9" s="197" t="s">
        <v>1049</v>
      </c>
      <c r="E9">
        <v>660</v>
      </c>
    </row>
    <row r="10" spans="1:5" x14ac:dyDescent="0.25">
      <c r="B10" s="197" t="s">
        <v>1061</v>
      </c>
      <c r="C10" t="s">
        <v>1080</v>
      </c>
      <c r="D10" s="197" t="s">
        <v>1051</v>
      </c>
      <c r="E10">
        <v>70141</v>
      </c>
    </row>
    <row r="11" spans="1:5" x14ac:dyDescent="0.25">
      <c r="B11" s="197" t="s">
        <v>1062</v>
      </c>
      <c r="C11" t="s">
        <v>1081</v>
      </c>
      <c r="D11" s="197" t="s">
        <v>1051</v>
      </c>
      <c r="E11">
        <v>70112</v>
      </c>
    </row>
    <row r="12" spans="1:5" x14ac:dyDescent="0.25">
      <c r="B12" s="197" t="s">
        <v>1063</v>
      </c>
      <c r="C12" t="s">
        <v>1082</v>
      </c>
      <c r="D12" s="197" t="s">
        <v>1092</v>
      </c>
      <c r="E12">
        <v>70140</v>
      </c>
    </row>
    <row r="13" spans="1:5" x14ac:dyDescent="0.25">
      <c r="B13" s="197" t="s">
        <v>1064</v>
      </c>
      <c r="C13" t="s">
        <v>1083</v>
      </c>
      <c r="D13" s="197" t="s">
        <v>1092</v>
      </c>
      <c r="E13">
        <v>70112</v>
      </c>
    </row>
    <row r="14" spans="1:5" x14ac:dyDescent="0.25">
      <c r="B14" s="197" t="s">
        <v>1065</v>
      </c>
      <c r="C14" t="s">
        <v>1084</v>
      </c>
      <c r="D14" s="197" t="s">
        <v>1092</v>
      </c>
      <c r="E14">
        <v>70112</v>
      </c>
    </row>
    <row r="15" spans="1:5" ht="13" x14ac:dyDescent="0.3">
      <c r="B15" s="452" t="s">
        <v>1066</v>
      </c>
      <c r="C15" t="s">
        <v>1085</v>
      </c>
      <c r="D15" s="197" t="s">
        <v>1051</v>
      </c>
    </row>
    <row r="16" spans="1:5" x14ac:dyDescent="0.25">
      <c r="B16" s="197" t="s">
        <v>1067</v>
      </c>
      <c r="C16" t="s">
        <v>1086</v>
      </c>
      <c r="D16" s="197" t="s">
        <v>1051</v>
      </c>
      <c r="E16">
        <v>70110</v>
      </c>
    </row>
    <row r="17" spans="2:5" x14ac:dyDescent="0.25">
      <c r="B17" s="197" t="s">
        <v>1068</v>
      </c>
      <c r="C17" t="s">
        <v>1087</v>
      </c>
      <c r="D17" s="197" t="s">
        <v>1051</v>
      </c>
      <c r="E17">
        <v>70110</v>
      </c>
    </row>
    <row r="18" spans="2:5" x14ac:dyDescent="0.25">
      <c r="B18" s="197" t="s">
        <v>1069</v>
      </c>
      <c r="C18" t="s">
        <v>1087</v>
      </c>
      <c r="D18" s="197" t="s">
        <v>1138</v>
      </c>
      <c r="E18">
        <v>70110</v>
      </c>
    </row>
    <row r="19" spans="2:5" x14ac:dyDescent="0.25">
      <c r="B19" s="197" t="s">
        <v>1070</v>
      </c>
      <c r="C19" t="s">
        <v>1088</v>
      </c>
      <c r="D19" s="197" t="s">
        <v>1051</v>
      </c>
      <c r="E19">
        <v>70141</v>
      </c>
    </row>
    <row r="20" spans="2:5" x14ac:dyDescent="0.25">
      <c r="B20" s="197" t="s">
        <v>1071</v>
      </c>
      <c r="C20" t="s">
        <v>1088</v>
      </c>
      <c r="D20" s="197" t="s">
        <v>1051</v>
      </c>
      <c r="E20">
        <v>70141</v>
      </c>
    </row>
    <row r="21" spans="2:5" x14ac:dyDescent="0.25">
      <c r="B21" s="197" t="s">
        <v>1072</v>
      </c>
      <c r="C21" t="s">
        <v>1088</v>
      </c>
      <c r="D21" s="197" t="s">
        <v>1051</v>
      </c>
      <c r="E21">
        <v>70141</v>
      </c>
    </row>
    <row r="22" spans="2:5" x14ac:dyDescent="0.25">
      <c r="B22" s="197" t="s">
        <v>1073</v>
      </c>
      <c r="C22" t="s">
        <v>1088</v>
      </c>
      <c r="D22" s="197" t="s">
        <v>1051</v>
      </c>
      <c r="E22">
        <v>70141</v>
      </c>
    </row>
    <row r="23" spans="2:5" ht="13" x14ac:dyDescent="0.3">
      <c r="B23" s="452" t="s">
        <v>1074</v>
      </c>
      <c r="C23" t="s">
        <v>1088</v>
      </c>
      <c r="D23" s="197" t="s">
        <v>1051</v>
      </c>
      <c r="E23">
        <v>70141</v>
      </c>
    </row>
    <row r="24" spans="2:5" x14ac:dyDescent="0.25">
      <c r="B24" s="197" t="s">
        <v>1075</v>
      </c>
      <c r="C24" t="s">
        <v>1089</v>
      </c>
      <c r="D24" s="197" t="s">
        <v>1051</v>
      </c>
      <c r="E24">
        <v>70141</v>
      </c>
    </row>
    <row r="25" spans="2:5" x14ac:dyDescent="0.25">
      <c r="B25" s="197" t="s">
        <v>1076</v>
      </c>
      <c r="C25" t="s">
        <v>1090</v>
      </c>
      <c r="D25" s="197" t="s">
        <v>1051</v>
      </c>
      <c r="E25">
        <v>70141</v>
      </c>
    </row>
    <row r="26" spans="2:5" x14ac:dyDescent="0.25">
      <c r="B26" s="197" t="s">
        <v>1077</v>
      </c>
      <c r="C26" t="s">
        <v>1091</v>
      </c>
      <c r="D26" s="197" t="s">
        <v>1051</v>
      </c>
      <c r="E26">
        <v>70141</v>
      </c>
    </row>
    <row r="27" spans="2:5" x14ac:dyDescent="0.25">
      <c r="B27" s="197" t="s">
        <v>1078</v>
      </c>
      <c r="C27" t="s">
        <v>1091</v>
      </c>
      <c r="D27" s="197" t="s">
        <v>1051</v>
      </c>
      <c r="E27">
        <v>70141</v>
      </c>
    </row>
    <row r="28" spans="2:5" x14ac:dyDescent="0.25">
      <c r="B28" s="197" t="s">
        <v>1079</v>
      </c>
      <c r="C28" t="s">
        <v>1091</v>
      </c>
      <c r="D28" s="197" t="s">
        <v>1051</v>
      </c>
      <c r="E28">
        <v>70141</v>
      </c>
    </row>
    <row r="29" spans="2:5" x14ac:dyDescent="0.25">
      <c r="B29" s="197" t="s">
        <v>1106</v>
      </c>
      <c r="C29" t="s">
        <v>1126</v>
      </c>
      <c r="D29" s="197" t="s">
        <v>1138</v>
      </c>
      <c r="E29">
        <v>70200</v>
      </c>
    </row>
    <row r="30" spans="2:5" x14ac:dyDescent="0.25">
      <c r="B30" s="197" t="s">
        <v>1099</v>
      </c>
      <c r="C30" t="s">
        <v>1128</v>
      </c>
      <c r="D30" s="197" t="s">
        <v>1138</v>
      </c>
      <c r="E30">
        <v>70200</v>
      </c>
    </row>
    <row r="31" spans="2:5" x14ac:dyDescent="0.25">
      <c r="B31" s="197" t="s">
        <v>1110</v>
      </c>
      <c r="C31" t="s">
        <v>1128</v>
      </c>
      <c r="D31" s="197" t="s">
        <v>1138</v>
      </c>
      <c r="E31">
        <v>70200</v>
      </c>
    </row>
    <row r="32" spans="2:5" x14ac:dyDescent="0.25">
      <c r="B32" s="197" t="s">
        <v>1113</v>
      </c>
      <c r="C32" t="s">
        <v>1125</v>
      </c>
      <c r="D32" s="197" t="s">
        <v>1138</v>
      </c>
      <c r="E32">
        <v>70220</v>
      </c>
    </row>
    <row r="33" spans="2:5" ht="13" x14ac:dyDescent="0.3">
      <c r="B33" s="452" t="s">
        <v>1118</v>
      </c>
      <c r="C33" t="s">
        <v>1124</v>
      </c>
      <c r="D33" s="197" t="s">
        <v>1138</v>
      </c>
      <c r="E33">
        <v>70220</v>
      </c>
    </row>
    <row r="34" spans="2:5" x14ac:dyDescent="0.25">
      <c r="B34" s="197" t="s">
        <v>1109</v>
      </c>
      <c r="C34" t="s">
        <v>1129</v>
      </c>
      <c r="D34" s="197" t="s">
        <v>1138</v>
      </c>
      <c r="E34">
        <v>70220</v>
      </c>
    </row>
    <row r="35" spans="2:5" x14ac:dyDescent="0.25">
      <c r="B35" s="197" t="s">
        <v>1112</v>
      </c>
      <c r="C35" t="s">
        <v>1129</v>
      </c>
      <c r="D35" s="197" t="s">
        <v>1138</v>
      </c>
      <c r="E35">
        <v>70220</v>
      </c>
    </row>
    <row r="36" spans="2:5" x14ac:dyDescent="0.25">
      <c r="B36" s="197" t="s">
        <v>1108</v>
      </c>
      <c r="C36" t="s">
        <v>1130</v>
      </c>
      <c r="D36" s="197" t="s">
        <v>1138</v>
      </c>
      <c r="E36">
        <v>70220</v>
      </c>
    </row>
    <row r="37" spans="2:5" x14ac:dyDescent="0.25">
      <c r="B37" s="197" t="s">
        <v>1107</v>
      </c>
      <c r="C37" t="s">
        <v>1089</v>
      </c>
      <c r="D37" s="197" t="s">
        <v>1138</v>
      </c>
      <c r="E37">
        <v>70210</v>
      </c>
    </row>
    <row r="38" spans="2:5" x14ac:dyDescent="0.25">
      <c r="B38" s="197" t="s">
        <v>1102</v>
      </c>
      <c r="C38" t="s">
        <v>1131</v>
      </c>
      <c r="D38" s="197" t="s">
        <v>1138</v>
      </c>
      <c r="E38">
        <v>70210</v>
      </c>
    </row>
    <row r="39" spans="2:5" x14ac:dyDescent="0.25">
      <c r="B39" s="197" t="s">
        <v>1103</v>
      </c>
      <c r="C39" t="s">
        <v>1131</v>
      </c>
      <c r="D39" s="197" t="s">
        <v>1138</v>
      </c>
      <c r="E39">
        <v>70210</v>
      </c>
    </row>
    <row r="40" spans="2:5" x14ac:dyDescent="0.25">
      <c r="B40" s="197" t="s">
        <v>1104</v>
      </c>
      <c r="C40" t="s">
        <v>1131</v>
      </c>
      <c r="D40" s="197" t="s">
        <v>1138</v>
      </c>
      <c r="E40">
        <v>70210</v>
      </c>
    </row>
    <row r="41" spans="2:5" x14ac:dyDescent="0.25">
      <c r="B41" s="197" t="s">
        <v>1105</v>
      </c>
      <c r="C41" t="s">
        <v>1131</v>
      </c>
      <c r="D41" s="197" t="s">
        <v>1138</v>
      </c>
      <c r="E41">
        <v>70210</v>
      </c>
    </row>
    <row r="42" spans="2:5" x14ac:dyDescent="0.25">
      <c r="B42" s="197" t="s">
        <v>1111</v>
      </c>
      <c r="C42" t="s">
        <v>1131</v>
      </c>
      <c r="D42" s="197" t="s">
        <v>1138</v>
      </c>
      <c r="E42">
        <v>70210</v>
      </c>
    </row>
    <row r="43" spans="2:5" x14ac:dyDescent="0.25">
      <c r="B43" s="197" t="s">
        <v>1116</v>
      </c>
      <c r="C43" t="s">
        <v>1131</v>
      </c>
      <c r="D43" s="197" t="s">
        <v>1138</v>
      </c>
      <c r="E43">
        <v>70210</v>
      </c>
    </row>
    <row r="44" spans="2:5" x14ac:dyDescent="0.25">
      <c r="B44" s="197" t="s">
        <v>1117</v>
      </c>
      <c r="C44" t="s">
        <v>1131</v>
      </c>
      <c r="D44" s="197" t="s">
        <v>1138</v>
      </c>
      <c r="E44">
        <v>70210</v>
      </c>
    </row>
    <row r="45" spans="2:5" x14ac:dyDescent="0.25">
      <c r="B45" s="197" t="s">
        <v>1119</v>
      </c>
      <c r="C45" t="s">
        <v>1131</v>
      </c>
      <c r="D45" s="197" t="s">
        <v>1138</v>
      </c>
      <c r="E45">
        <v>70210</v>
      </c>
    </row>
    <row r="46" spans="2:5" x14ac:dyDescent="0.25">
      <c r="B46" s="197" t="s">
        <v>1120</v>
      </c>
      <c r="C46" t="s">
        <v>1131</v>
      </c>
      <c r="D46" s="197" t="s">
        <v>1138</v>
      </c>
      <c r="E46">
        <v>70210</v>
      </c>
    </row>
    <row r="47" spans="2:5" x14ac:dyDescent="0.25">
      <c r="B47" s="197" t="s">
        <v>1121</v>
      </c>
      <c r="C47" t="s">
        <v>1131</v>
      </c>
      <c r="D47" s="197" t="s">
        <v>1138</v>
      </c>
      <c r="E47">
        <v>70210</v>
      </c>
    </row>
    <row r="48" spans="2:5" x14ac:dyDescent="0.25">
      <c r="B48" s="197" t="s">
        <v>1122</v>
      </c>
      <c r="C48" t="s">
        <v>1131</v>
      </c>
      <c r="D48" s="197" t="s">
        <v>1138</v>
      </c>
      <c r="E48">
        <v>70210</v>
      </c>
    </row>
    <row r="49" spans="1:5" x14ac:dyDescent="0.25">
      <c r="B49" s="197" t="s">
        <v>1123</v>
      </c>
      <c r="C49" t="s">
        <v>1131</v>
      </c>
      <c r="D49" s="197" t="s">
        <v>1138</v>
      </c>
      <c r="E49">
        <v>70210</v>
      </c>
    </row>
    <row r="50" spans="1:5" x14ac:dyDescent="0.25">
      <c r="B50" s="197" t="s">
        <v>1097</v>
      </c>
      <c r="C50" t="s">
        <v>1127</v>
      </c>
      <c r="D50" s="197" t="s">
        <v>1138</v>
      </c>
      <c r="E50">
        <v>70240</v>
      </c>
    </row>
    <row r="51" spans="1:5" x14ac:dyDescent="0.25">
      <c r="B51" s="197" t="s">
        <v>1098</v>
      </c>
      <c r="C51" t="s">
        <v>1132</v>
      </c>
      <c r="D51" s="197" t="s">
        <v>1138</v>
      </c>
      <c r="E51">
        <v>70240</v>
      </c>
    </row>
    <row r="52" spans="1:5" x14ac:dyDescent="0.25">
      <c r="B52" s="197" t="s">
        <v>1100</v>
      </c>
      <c r="C52" t="s">
        <v>1132</v>
      </c>
      <c r="D52" s="197" t="s">
        <v>1138</v>
      </c>
      <c r="E52">
        <v>70240</v>
      </c>
    </row>
    <row r="53" spans="1:5" x14ac:dyDescent="0.25">
      <c r="B53" s="197" t="s">
        <v>1101</v>
      </c>
      <c r="C53" t="s">
        <v>1132</v>
      </c>
      <c r="D53" s="197" t="s">
        <v>1138</v>
      </c>
      <c r="E53">
        <v>70240</v>
      </c>
    </row>
    <row r="54" spans="1:5" x14ac:dyDescent="0.25">
      <c r="B54" s="197" t="s">
        <v>1115</v>
      </c>
      <c r="C54" t="s">
        <v>1132</v>
      </c>
      <c r="D54" s="197" t="s">
        <v>1138</v>
      </c>
      <c r="E54">
        <v>70240</v>
      </c>
    </row>
    <row r="55" spans="1:5" x14ac:dyDescent="0.25">
      <c r="B55" s="197" t="s">
        <v>1096</v>
      </c>
      <c r="C55" t="s">
        <v>1133</v>
      </c>
      <c r="D55" s="197" t="s">
        <v>1138</v>
      </c>
      <c r="E55">
        <v>70210</v>
      </c>
    </row>
    <row r="56" spans="1:5" ht="13" x14ac:dyDescent="0.3">
      <c r="B56" s="452" t="s">
        <v>1095</v>
      </c>
      <c r="C56" t="s">
        <v>1134</v>
      </c>
      <c r="D56" s="197" t="s">
        <v>1138</v>
      </c>
      <c r="E56">
        <v>70230</v>
      </c>
    </row>
    <row r="57" spans="1:5" x14ac:dyDescent="0.25">
      <c r="B57" s="197" t="s">
        <v>1093</v>
      </c>
      <c r="C57" t="s">
        <v>1135</v>
      </c>
      <c r="D57" s="197" t="s">
        <v>1138</v>
      </c>
      <c r="E57">
        <v>70230</v>
      </c>
    </row>
    <row r="58" spans="1:5" x14ac:dyDescent="0.25">
      <c r="B58" s="197" t="s">
        <v>1114</v>
      </c>
      <c r="C58" t="s">
        <v>1136</v>
      </c>
      <c r="D58" s="197" t="s">
        <v>1138</v>
      </c>
      <c r="E58">
        <v>70230</v>
      </c>
    </row>
    <row r="59" spans="1:5" x14ac:dyDescent="0.25">
      <c r="B59" s="197" t="s">
        <v>1094</v>
      </c>
      <c r="C59" t="s">
        <v>1137</v>
      </c>
      <c r="D59" s="197" t="s">
        <v>1138</v>
      </c>
      <c r="E59">
        <v>70230</v>
      </c>
    </row>
    <row r="64" spans="1:5" ht="13" x14ac:dyDescent="0.3">
      <c r="A64" s="125" t="s">
        <v>1030</v>
      </c>
    </row>
    <row r="65" spans="2:6" x14ac:dyDescent="0.25">
      <c r="B65" t="s">
        <v>1025</v>
      </c>
      <c r="C65" s="197" t="s">
        <v>1029</v>
      </c>
      <c r="D65" s="197" t="s">
        <v>1049</v>
      </c>
      <c r="E65">
        <v>753000</v>
      </c>
    </row>
    <row r="66" spans="2:6" x14ac:dyDescent="0.25">
      <c r="B66" t="s">
        <v>1026</v>
      </c>
      <c r="C66" s="197" t="s">
        <v>1029</v>
      </c>
      <c r="D66" s="197" t="s">
        <v>1049</v>
      </c>
      <c r="E66">
        <v>753000</v>
      </c>
    </row>
    <row r="67" spans="2:6" x14ac:dyDescent="0.25">
      <c r="B67" t="s">
        <v>1027</v>
      </c>
      <c r="C67" s="197" t="s">
        <v>1029</v>
      </c>
      <c r="D67" s="197" t="s">
        <v>1049</v>
      </c>
      <c r="E67">
        <v>753000</v>
      </c>
    </row>
    <row r="68" spans="2:6" ht="13" x14ac:dyDescent="0.3">
      <c r="B68" s="452" t="s">
        <v>1028</v>
      </c>
      <c r="C68" s="197" t="s">
        <v>1029</v>
      </c>
      <c r="D68" s="197" t="s">
        <v>1049</v>
      </c>
      <c r="E68">
        <v>753000</v>
      </c>
    </row>
    <row r="69" spans="2:6" x14ac:dyDescent="0.25">
      <c r="B69" t="s">
        <v>1031</v>
      </c>
      <c r="C69" s="197" t="s">
        <v>1035</v>
      </c>
      <c r="D69" s="197" t="s">
        <v>1446</v>
      </c>
      <c r="E69">
        <v>75301</v>
      </c>
    </row>
    <row r="70" spans="2:6" x14ac:dyDescent="0.25">
      <c r="B70" t="s">
        <v>1032</v>
      </c>
      <c r="C70" s="197" t="s">
        <v>1035</v>
      </c>
      <c r="D70" s="197" t="s">
        <v>1446</v>
      </c>
      <c r="E70">
        <v>75301</v>
      </c>
    </row>
    <row r="71" spans="2:6" x14ac:dyDescent="0.25">
      <c r="B71" t="s">
        <v>1033</v>
      </c>
      <c r="C71" s="197" t="s">
        <v>1035</v>
      </c>
      <c r="D71" s="197" t="s">
        <v>1446</v>
      </c>
      <c r="E71">
        <v>75301</v>
      </c>
    </row>
    <row r="72" spans="2:6" x14ac:dyDescent="0.25">
      <c r="B72" t="s">
        <v>1034</v>
      </c>
      <c r="C72" s="197" t="s">
        <v>1035</v>
      </c>
      <c r="D72" s="197" t="s">
        <v>1446</v>
      </c>
      <c r="E72">
        <v>75301</v>
      </c>
    </row>
    <row r="73" spans="2:6" s="453" customFormat="1" x14ac:dyDescent="0.25">
      <c r="B73" s="453" t="s">
        <v>1036</v>
      </c>
      <c r="C73" s="453" t="s">
        <v>657</v>
      </c>
      <c r="D73" s="454" t="s">
        <v>1050</v>
      </c>
      <c r="E73" s="453">
        <v>75304</v>
      </c>
      <c r="F73" s="454">
        <v>0.5</v>
      </c>
    </row>
    <row r="74" spans="2:6" x14ac:dyDescent="0.25">
      <c r="B74" t="s">
        <v>1037</v>
      </c>
      <c r="C74" s="197" t="s">
        <v>657</v>
      </c>
      <c r="D74" s="197" t="s">
        <v>1051</v>
      </c>
      <c r="E74">
        <v>75304</v>
      </c>
    </row>
    <row r="75" spans="2:6" x14ac:dyDescent="0.25">
      <c r="B75" t="s">
        <v>1038</v>
      </c>
      <c r="C75" s="197" t="s">
        <v>657</v>
      </c>
      <c r="D75" s="197" t="s">
        <v>1051</v>
      </c>
      <c r="E75">
        <v>75304</v>
      </c>
    </row>
    <row r="76" spans="2:6" x14ac:dyDescent="0.25">
      <c r="B76" t="s">
        <v>1039</v>
      </c>
      <c r="C76" s="197" t="s">
        <v>657</v>
      </c>
      <c r="D76" s="197" t="s">
        <v>1051</v>
      </c>
      <c r="E76">
        <v>75304</v>
      </c>
    </row>
    <row r="77" spans="2:6" x14ac:dyDescent="0.25">
      <c r="B77" t="s">
        <v>1040</v>
      </c>
      <c r="C77" s="197" t="s">
        <v>657</v>
      </c>
      <c r="D77" s="197" t="s">
        <v>1051</v>
      </c>
      <c r="E77">
        <v>75304</v>
      </c>
    </row>
    <row r="78" spans="2:6" x14ac:dyDescent="0.25">
      <c r="B78" t="s">
        <v>1041</v>
      </c>
      <c r="C78" s="197" t="s">
        <v>657</v>
      </c>
      <c r="D78" s="197" t="s">
        <v>1051</v>
      </c>
      <c r="E78">
        <v>75304</v>
      </c>
    </row>
    <row r="79" spans="2:6" x14ac:dyDescent="0.25">
      <c r="B79" t="s">
        <v>1042</v>
      </c>
      <c r="C79" s="197" t="s">
        <v>657</v>
      </c>
      <c r="D79" s="197" t="s">
        <v>1051</v>
      </c>
      <c r="E79">
        <v>75304</v>
      </c>
    </row>
    <row r="80" spans="2:6" x14ac:dyDescent="0.25">
      <c r="B80" t="s">
        <v>1043</v>
      </c>
      <c r="C80" s="197" t="s">
        <v>657</v>
      </c>
      <c r="D80" s="197" t="s">
        <v>1051</v>
      </c>
      <c r="E80">
        <v>75304</v>
      </c>
    </row>
    <row r="81" spans="1:6" x14ac:dyDescent="0.25">
      <c r="B81" t="s">
        <v>1044</v>
      </c>
      <c r="C81" s="197" t="s">
        <v>657</v>
      </c>
      <c r="D81" s="197" t="s">
        <v>1051</v>
      </c>
      <c r="E81">
        <v>75304</v>
      </c>
    </row>
    <row r="82" spans="1:6" x14ac:dyDescent="0.25">
      <c r="B82" t="s">
        <v>1045</v>
      </c>
      <c r="C82" s="197" t="s">
        <v>657</v>
      </c>
      <c r="D82" s="197" t="s">
        <v>1051</v>
      </c>
      <c r="E82">
        <v>75304</v>
      </c>
    </row>
    <row r="83" spans="1:6" x14ac:dyDescent="0.25">
      <c r="B83" t="s">
        <v>1046</v>
      </c>
      <c r="C83" s="197" t="s">
        <v>657</v>
      </c>
      <c r="D83" s="197" t="s">
        <v>1051</v>
      </c>
      <c r="E83">
        <v>75304</v>
      </c>
    </row>
    <row r="84" spans="1:6" x14ac:dyDescent="0.25">
      <c r="B84" t="s">
        <v>1047</v>
      </c>
      <c r="C84" s="197" t="s">
        <v>657</v>
      </c>
      <c r="D84" s="197" t="s">
        <v>1051</v>
      </c>
      <c r="E84">
        <v>75304</v>
      </c>
    </row>
    <row r="85" spans="1:6" x14ac:dyDescent="0.25">
      <c r="B85" t="s">
        <v>1048</v>
      </c>
      <c r="C85" s="197" t="s">
        <v>657</v>
      </c>
      <c r="D85" s="197" t="s">
        <v>1051</v>
      </c>
      <c r="E85">
        <v>75304</v>
      </c>
    </row>
    <row r="88" spans="1:6" ht="13" x14ac:dyDescent="0.3">
      <c r="A88" s="125" t="s">
        <v>478</v>
      </c>
    </row>
    <row r="89" spans="1:6" x14ac:dyDescent="0.25">
      <c r="B89" t="s">
        <v>1022</v>
      </c>
      <c r="C89" s="197" t="s">
        <v>1024</v>
      </c>
      <c r="D89" s="197" t="s">
        <v>1051</v>
      </c>
      <c r="E89">
        <v>666</v>
      </c>
    </row>
    <row r="90" spans="1:6" x14ac:dyDescent="0.25">
      <c r="B90" t="s">
        <v>1023</v>
      </c>
      <c r="C90" s="197" t="s">
        <v>1024</v>
      </c>
      <c r="D90" s="197" t="s">
        <v>1051</v>
      </c>
      <c r="E90">
        <v>666</v>
      </c>
    </row>
    <row r="91" spans="1:6" s="453" customFormat="1" x14ac:dyDescent="0.25">
      <c r="B91" s="453" t="s">
        <v>1152</v>
      </c>
      <c r="C91" s="453" t="s">
        <v>595</v>
      </c>
      <c r="D91" s="453" t="s">
        <v>1051</v>
      </c>
      <c r="E91" s="453">
        <v>75124</v>
      </c>
      <c r="F91" s="454">
        <v>0.5</v>
      </c>
    </row>
    <row r="92" spans="1:6" x14ac:dyDescent="0.25">
      <c r="B92" t="s">
        <v>1153</v>
      </c>
      <c r="C92" s="197" t="s">
        <v>595</v>
      </c>
      <c r="E92">
        <v>75124</v>
      </c>
    </row>
    <row r="93" spans="1:6" x14ac:dyDescent="0.25">
      <c r="B93" t="s">
        <v>1154</v>
      </c>
      <c r="C93" s="197" t="s">
        <v>595</v>
      </c>
      <c r="E93">
        <v>75124</v>
      </c>
    </row>
    <row r="94" spans="1:6" x14ac:dyDescent="0.25">
      <c r="B94" t="s">
        <v>1155</v>
      </c>
      <c r="C94" s="197" t="s">
        <v>595</v>
      </c>
      <c r="E94">
        <v>75124</v>
      </c>
    </row>
    <row r="95" spans="1:6" x14ac:dyDescent="0.25">
      <c r="B95" t="s">
        <v>1156</v>
      </c>
      <c r="C95" s="197" t="s">
        <v>595</v>
      </c>
      <c r="E95">
        <v>75124</v>
      </c>
    </row>
    <row r="96" spans="1:6" x14ac:dyDescent="0.25">
      <c r="B96" t="s">
        <v>1157</v>
      </c>
      <c r="C96" s="197" t="s">
        <v>595</v>
      </c>
      <c r="E96">
        <v>75124</v>
      </c>
    </row>
    <row r="97" spans="2:6" x14ac:dyDescent="0.25">
      <c r="B97" t="s">
        <v>1158</v>
      </c>
      <c r="C97" s="197" t="s">
        <v>595</v>
      </c>
      <c r="E97">
        <v>75124</v>
      </c>
    </row>
    <row r="98" spans="2:6" x14ac:dyDescent="0.25">
      <c r="B98" t="s">
        <v>1159</v>
      </c>
      <c r="C98" s="197" t="s">
        <v>595</v>
      </c>
      <c r="E98">
        <v>75124</v>
      </c>
    </row>
    <row r="99" spans="2:6" x14ac:dyDescent="0.25">
      <c r="B99" t="s">
        <v>1160</v>
      </c>
      <c r="C99" s="197" t="s">
        <v>595</v>
      </c>
      <c r="E99">
        <v>75124</v>
      </c>
    </row>
    <row r="100" spans="2:6" x14ac:dyDescent="0.25">
      <c r="B100" t="s">
        <v>1161</v>
      </c>
      <c r="C100" s="197" t="s">
        <v>595</v>
      </c>
      <c r="E100">
        <v>75124</v>
      </c>
    </row>
    <row r="101" spans="2:6" x14ac:dyDescent="0.25">
      <c r="B101" s="197" t="s">
        <v>1162</v>
      </c>
      <c r="C101" s="197" t="s">
        <v>595</v>
      </c>
      <c r="E101">
        <v>75124</v>
      </c>
    </row>
    <row r="102" spans="2:6" x14ac:dyDescent="0.25">
      <c r="B102" t="s">
        <v>1163</v>
      </c>
      <c r="C102" s="197" t="s">
        <v>595</v>
      </c>
      <c r="E102">
        <v>75124</v>
      </c>
    </row>
    <row r="103" spans="2:6" x14ac:dyDescent="0.25">
      <c r="B103" s="197" t="s">
        <v>1164</v>
      </c>
      <c r="C103" s="197" t="s">
        <v>595</v>
      </c>
      <c r="E103">
        <v>75124</v>
      </c>
    </row>
    <row r="104" spans="2:6" s="452" customFormat="1" ht="13" x14ac:dyDescent="0.3">
      <c r="B104" s="452" t="s">
        <v>1165</v>
      </c>
      <c r="C104" s="452" t="s">
        <v>595</v>
      </c>
      <c r="E104" s="452">
        <v>75124</v>
      </c>
    </row>
    <row r="105" spans="2:6" x14ac:dyDescent="0.25">
      <c r="B105" t="s">
        <v>1166</v>
      </c>
      <c r="C105" s="197" t="s">
        <v>595</v>
      </c>
      <c r="E105">
        <v>75124</v>
      </c>
    </row>
    <row r="106" spans="2:6" x14ac:dyDescent="0.25">
      <c r="B106" t="s">
        <v>1167</v>
      </c>
      <c r="C106" s="197" t="s">
        <v>595</v>
      </c>
      <c r="E106">
        <v>75124</v>
      </c>
    </row>
    <row r="107" spans="2:6" s="453" customFormat="1" x14ac:dyDescent="0.25">
      <c r="B107" s="453" t="s">
        <v>1152</v>
      </c>
      <c r="C107" s="453" t="s">
        <v>1178</v>
      </c>
      <c r="D107" s="453" t="s">
        <v>1051</v>
      </c>
      <c r="E107" s="453">
        <v>75125</v>
      </c>
      <c r="F107" s="454">
        <v>0.5</v>
      </c>
    </row>
    <row r="108" spans="2:6" x14ac:dyDescent="0.25">
      <c r="B108" t="s">
        <v>1168</v>
      </c>
      <c r="C108" s="197" t="s">
        <v>1178</v>
      </c>
      <c r="D108" s="197" t="s">
        <v>1051</v>
      </c>
      <c r="E108">
        <v>75125</v>
      </c>
    </row>
    <row r="109" spans="2:6" x14ac:dyDescent="0.25">
      <c r="B109" s="197" t="s">
        <v>1169</v>
      </c>
      <c r="C109" s="197" t="s">
        <v>1178</v>
      </c>
      <c r="D109" s="197" t="s">
        <v>1051</v>
      </c>
      <c r="E109">
        <v>75125</v>
      </c>
    </row>
    <row r="110" spans="2:6" x14ac:dyDescent="0.25">
      <c r="B110" t="s">
        <v>1170</v>
      </c>
      <c r="C110" s="197" t="s">
        <v>1178</v>
      </c>
      <c r="D110" s="197" t="s">
        <v>1051</v>
      </c>
      <c r="E110">
        <v>75125</v>
      </c>
    </row>
    <row r="111" spans="2:6" x14ac:dyDescent="0.25">
      <c r="B111" t="s">
        <v>1171</v>
      </c>
      <c r="C111" s="197" t="s">
        <v>1178</v>
      </c>
      <c r="D111" s="197" t="s">
        <v>1051</v>
      </c>
      <c r="E111">
        <v>75125</v>
      </c>
    </row>
    <row r="112" spans="2:6" x14ac:dyDescent="0.25">
      <c r="B112" t="s">
        <v>1172</v>
      </c>
      <c r="C112" s="197" t="s">
        <v>1178</v>
      </c>
      <c r="D112" s="197" t="s">
        <v>1051</v>
      </c>
      <c r="E112">
        <v>75125</v>
      </c>
    </row>
    <row r="113" spans="2:5" x14ac:dyDescent="0.25">
      <c r="B113" t="s">
        <v>1173</v>
      </c>
      <c r="C113" s="197" t="s">
        <v>1178</v>
      </c>
      <c r="D113" s="197" t="s">
        <v>1051</v>
      </c>
      <c r="E113">
        <v>75125</v>
      </c>
    </row>
    <row r="114" spans="2:5" x14ac:dyDescent="0.25">
      <c r="B114" t="s">
        <v>1174</v>
      </c>
      <c r="C114" s="197" t="s">
        <v>1178</v>
      </c>
      <c r="D114" s="197" t="s">
        <v>1051</v>
      </c>
      <c r="E114">
        <v>75125</v>
      </c>
    </row>
    <row r="115" spans="2:5" s="452" customFormat="1" ht="13" x14ac:dyDescent="0.3">
      <c r="B115" s="452" t="s">
        <v>1175</v>
      </c>
      <c r="C115" s="452" t="s">
        <v>1178</v>
      </c>
      <c r="D115" s="452" t="s">
        <v>1051</v>
      </c>
      <c r="E115" s="452">
        <v>75125</v>
      </c>
    </row>
    <row r="116" spans="2:5" x14ac:dyDescent="0.25">
      <c r="B116" t="s">
        <v>1176</v>
      </c>
      <c r="C116" s="197" t="s">
        <v>1178</v>
      </c>
      <c r="D116" s="197" t="s">
        <v>1051</v>
      </c>
      <c r="E116">
        <v>75125</v>
      </c>
    </row>
    <row r="117" spans="2:5" x14ac:dyDescent="0.25">
      <c r="B117" t="s">
        <v>1177</v>
      </c>
      <c r="C117" s="197" t="s">
        <v>1178</v>
      </c>
      <c r="D117" s="197" t="s">
        <v>1051</v>
      </c>
      <c r="E117">
        <v>75125</v>
      </c>
    </row>
    <row r="118" spans="2:5" x14ac:dyDescent="0.25">
      <c r="B118" t="s">
        <v>1179</v>
      </c>
      <c r="C118" s="197" t="s">
        <v>1214</v>
      </c>
      <c r="D118" s="197" t="s">
        <v>1215</v>
      </c>
      <c r="E118">
        <v>75123</v>
      </c>
    </row>
    <row r="119" spans="2:5" x14ac:dyDescent="0.25">
      <c r="B119" t="s">
        <v>1180</v>
      </c>
      <c r="C119" s="197" t="s">
        <v>1214</v>
      </c>
      <c r="D119" s="197" t="s">
        <v>1215</v>
      </c>
      <c r="E119">
        <v>75123</v>
      </c>
    </row>
    <row r="120" spans="2:5" x14ac:dyDescent="0.25">
      <c r="B120" t="s">
        <v>1181</v>
      </c>
      <c r="C120" s="197" t="s">
        <v>1214</v>
      </c>
      <c r="D120" s="197" t="s">
        <v>1215</v>
      </c>
      <c r="E120">
        <v>75123</v>
      </c>
    </row>
    <row r="121" spans="2:5" x14ac:dyDescent="0.25">
      <c r="B121" s="197" t="s">
        <v>1182</v>
      </c>
      <c r="C121" s="197" t="s">
        <v>1214</v>
      </c>
      <c r="D121" s="197" t="s">
        <v>1215</v>
      </c>
      <c r="E121">
        <v>75123</v>
      </c>
    </row>
    <row r="122" spans="2:5" x14ac:dyDescent="0.25">
      <c r="B122" t="s">
        <v>1183</v>
      </c>
      <c r="C122" s="197" t="s">
        <v>1214</v>
      </c>
      <c r="D122" s="197" t="s">
        <v>1215</v>
      </c>
      <c r="E122">
        <v>75123</v>
      </c>
    </row>
    <row r="123" spans="2:5" x14ac:dyDescent="0.25">
      <c r="B123" t="s">
        <v>1184</v>
      </c>
      <c r="C123" s="197" t="s">
        <v>1214</v>
      </c>
      <c r="D123" s="197" t="s">
        <v>1215</v>
      </c>
      <c r="E123">
        <v>75123</v>
      </c>
    </row>
    <row r="124" spans="2:5" x14ac:dyDescent="0.25">
      <c r="B124" t="s">
        <v>1185</v>
      </c>
      <c r="C124" s="197" t="s">
        <v>1214</v>
      </c>
      <c r="D124" s="197" t="s">
        <v>1215</v>
      </c>
      <c r="E124">
        <v>75123</v>
      </c>
    </row>
    <row r="125" spans="2:5" x14ac:dyDescent="0.25">
      <c r="B125" t="s">
        <v>1186</v>
      </c>
      <c r="C125" s="197" t="s">
        <v>1214</v>
      </c>
      <c r="D125" s="197" t="s">
        <v>1215</v>
      </c>
      <c r="E125">
        <v>75123</v>
      </c>
    </row>
    <row r="126" spans="2:5" x14ac:dyDescent="0.25">
      <c r="B126" t="s">
        <v>1187</v>
      </c>
      <c r="C126" s="197" t="s">
        <v>1214</v>
      </c>
      <c r="D126" s="197" t="s">
        <v>1215</v>
      </c>
      <c r="E126">
        <v>75123</v>
      </c>
    </row>
    <row r="127" spans="2:5" x14ac:dyDescent="0.25">
      <c r="B127" t="s">
        <v>1188</v>
      </c>
      <c r="C127" s="197" t="s">
        <v>1214</v>
      </c>
      <c r="D127" s="197" t="s">
        <v>1215</v>
      </c>
      <c r="E127">
        <v>75123</v>
      </c>
    </row>
    <row r="128" spans="2:5" x14ac:dyDescent="0.25">
      <c r="B128" t="s">
        <v>1189</v>
      </c>
      <c r="C128" s="197" t="s">
        <v>1214</v>
      </c>
      <c r="D128" s="197" t="s">
        <v>1215</v>
      </c>
      <c r="E128">
        <v>75123</v>
      </c>
    </row>
    <row r="129" spans="2:5" x14ac:dyDescent="0.25">
      <c r="B129" t="s">
        <v>1190</v>
      </c>
      <c r="C129" s="197" t="s">
        <v>1214</v>
      </c>
      <c r="D129" s="197" t="s">
        <v>1215</v>
      </c>
      <c r="E129">
        <v>75123</v>
      </c>
    </row>
    <row r="130" spans="2:5" x14ac:dyDescent="0.25">
      <c r="B130" t="s">
        <v>1191</v>
      </c>
      <c r="C130" s="197" t="s">
        <v>1214</v>
      </c>
      <c r="D130" s="197" t="s">
        <v>1215</v>
      </c>
      <c r="E130">
        <v>75123</v>
      </c>
    </row>
    <row r="131" spans="2:5" x14ac:dyDescent="0.25">
      <c r="B131" t="s">
        <v>1192</v>
      </c>
      <c r="C131" s="197" t="s">
        <v>1214</v>
      </c>
      <c r="D131" s="197" t="s">
        <v>1215</v>
      </c>
      <c r="E131">
        <v>75123</v>
      </c>
    </row>
    <row r="132" spans="2:5" x14ac:dyDescent="0.25">
      <c r="B132" t="s">
        <v>1193</v>
      </c>
      <c r="C132" s="197" t="s">
        <v>1214</v>
      </c>
      <c r="D132" s="197" t="s">
        <v>1215</v>
      </c>
      <c r="E132">
        <v>75123</v>
      </c>
    </row>
    <row r="133" spans="2:5" x14ac:dyDescent="0.25">
      <c r="B133" t="s">
        <v>1194</v>
      </c>
      <c r="C133" s="197" t="s">
        <v>1214</v>
      </c>
      <c r="D133" s="197" t="s">
        <v>1215</v>
      </c>
      <c r="E133">
        <v>75123</v>
      </c>
    </row>
    <row r="134" spans="2:5" x14ac:dyDescent="0.25">
      <c r="B134" t="s">
        <v>1195</v>
      </c>
      <c r="C134" s="197" t="s">
        <v>1214</v>
      </c>
      <c r="D134" s="197" t="s">
        <v>1215</v>
      </c>
      <c r="E134">
        <v>75123</v>
      </c>
    </row>
    <row r="135" spans="2:5" x14ac:dyDescent="0.25">
      <c r="B135" t="s">
        <v>1196</v>
      </c>
      <c r="C135" s="197" t="s">
        <v>1214</v>
      </c>
      <c r="D135" s="197" t="s">
        <v>1215</v>
      </c>
      <c r="E135">
        <v>75123</v>
      </c>
    </row>
    <row r="136" spans="2:5" x14ac:dyDescent="0.25">
      <c r="B136" t="s">
        <v>1197</v>
      </c>
      <c r="C136" s="197" t="s">
        <v>1214</v>
      </c>
      <c r="D136" s="197" t="s">
        <v>1215</v>
      </c>
      <c r="E136">
        <v>75123</v>
      </c>
    </row>
    <row r="137" spans="2:5" x14ac:dyDescent="0.25">
      <c r="B137" t="s">
        <v>1198</v>
      </c>
      <c r="C137" s="197" t="s">
        <v>1214</v>
      </c>
      <c r="D137" s="197" t="s">
        <v>1215</v>
      </c>
      <c r="E137">
        <v>75123</v>
      </c>
    </row>
    <row r="138" spans="2:5" x14ac:dyDescent="0.25">
      <c r="B138" t="s">
        <v>1199</v>
      </c>
      <c r="C138" s="197" t="s">
        <v>1214</v>
      </c>
      <c r="D138" s="197" t="s">
        <v>1215</v>
      </c>
      <c r="E138">
        <v>75123</v>
      </c>
    </row>
    <row r="139" spans="2:5" x14ac:dyDescent="0.25">
      <c r="B139" t="s">
        <v>1200</v>
      </c>
      <c r="C139" s="197" t="s">
        <v>1214</v>
      </c>
      <c r="D139" s="197" t="s">
        <v>1215</v>
      </c>
      <c r="E139">
        <v>75123</v>
      </c>
    </row>
    <row r="140" spans="2:5" x14ac:dyDescent="0.25">
      <c r="B140" t="s">
        <v>1201</v>
      </c>
      <c r="C140" s="197" t="s">
        <v>1214</v>
      </c>
      <c r="D140" s="197" t="s">
        <v>1215</v>
      </c>
      <c r="E140">
        <v>75123</v>
      </c>
    </row>
    <row r="141" spans="2:5" x14ac:dyDescent="0.25">
      <c r="B141" t="s">
        <v>1202</v>
      </c>
      <c r="C141" s="197" t="s">
        <v>1214</v>
      </c>
      <c r="D141" s="197" t="s">
        <v>1215</v>
      </c>
      <c r="E141">
        <v>75123</v>
      </c>
    </row>
    <row r="142" spans="2:5" x14ac:dyDescent="0.25">
      <c r="B142" t="s">
        <v>1203</v>
      </c>
      <c r="C142" s="197" t="s">
        <v>1214</v>
      </c>
      <c r="D142" s="197" t="s">
        <v>1215</v>
      </c>
      <c r="E142">
        <v>75123</v>
      </c>
    </row>
    <row r="143" spans="2:5" x14ac:dyDescent="0.25">
      <c r="B143" t="s">
        <v>1204</v>
      </c>
      <c r="C143" s="197" t="s">
        <v>1214</v>
      </c>
      <c r="D143" s="197" t="s">
        <v>1215</v>
      </c>
      <c r="E143">
        <v>75123</v>
      </c>
    </row>
    <row r="144" spans="2:5" x14ac:dyDescent="0.25">
      <c r="B144" t="s">
        <v>1205</v>
      </c>
      <c r="C144" s="197" t="s">
        <v>1214</v>
      </c>
      <c r="D144" s="197" t="s">
        <v>1215</v>
      </c>
      <c r="E144">
        <v>75123</v>
      </c>
    </row>
    <row r="145" spans="2:6" x14ac:dyDescent="0.25">
      <c r="B145" t="s">
        <v>1206</v>
      </c>
      <c r="C145" s="197" t="s">
        <v>1214</v>
      </c>
      <c r="D145" s="197" t="s">
        <v>1215</v>
      </c>
      <c r="E145">
        <v>75123</v>
      </c>
    </row>
    <row r="146" spans="2:6" x14ac:dyDescent="0.25">
      <c r="B146" t="s">
        <v>1207</v>
      </c>
      <c r="C146" s="197" t="s">
        <v>1214</v>
      </c>
      <c r="D146" s="197" t="s">
        <v>1215</v>
      </c>
      <c r="E146">
        <v>75123</v>
      </c>
    </row>
    <row r="147" spans="2:6" x14ac:dyDescent="0.25">
      <c r="B147" t="s">
        <v>1208</v>
      </c>
      <c r="C147" s="197" t="s">
        <v>1214</v>
      </c>
      <c r="D147" s="197" t="s">
        <v>1215</v>
      </c>
      <c r="E147">
        <v>75123</v>
      </c>
    </row>
    <row r="148" spans="2:6" x14ac:dyDescent="0.25">
      <c r="B148" t="s">
        <v>1209</v>
      </c>
      <c r="C148" s="197" t="s">
        <v>1214</v>
      </c>
      <c r="D148" s="197" t="s">
        <v>1215</v>
      </c>
      <c r="E148">
        <v>75123</v>
      </c>
    </row>
    <row r="149" spans="2:6" x14ac:dyDescent="0.25">
      <c r="B149" t="s">
        <v>1210</v>
      </c>
      <c r="C149" s="197" t="s">
        <v>1214</v>
      </c>
      <c r="D149" s="197" t="s">
        <v>1215</v>
      </c>
      <c r="E149">
        <v>75123</v>
      </c>
    </row>
    <row r="150" spans="2:6" x14ac:dyDescent="0.25">
      <c r="B150" t="s">
        <v>1211</v>
      </c>
      <c r="C150" s="197" t="s">
        <v>1214</v>
      </c>
      <c r="D150" s="197" t="s">
        <v>1215</v>
      </c>
      <c r="E150">
        <v>75123</v>
      </c>
    </row>
    <row r="151" spans="2:6" x14ac:dyDescent="0.25">
      <c r="B151" t="s">
        <v>1212</v>
      </c>
      <c r="C151" s="197" t="s">
        <v>1214</v>
      </c>
      <c r="D151" s="197" t="s">
        <v>1215</v>
      </c>
      <c r="E151">
        <v>75123</v>
      </c>
    </row>
    <row r="152" spans="2:6" x14ac:dyDescent="0.25">
      <c r="B152" t="s">
        <v>1213</v>
      </c>
      <c r="C152" s="197" t="s">
        <v>1214</v>
      </c>
      <c r="D152" s="197" t="s">
        <v>1215</v>
      </c>
      <c r="E152">
        <v>75123</v>
      </c>
    </row>
    <row r="153" spans="2:6" s="453" customFormat="1" x14ac:dyDescent="0.25">
      <c r="B153" s="453" t="s">
        <v>1216</v>
      </c>
      <c r="C153" s="453" t="s">
        <v>1229</v>
      </c>
      <c r="D153" s="453" t="s">
        <v>1051</v>
      </c>
      <c r="E153" s="453">
        <v>75512</v>
      </c>
      <c r="F153" s="454">
        <v>0.5</v>
      </c>
    </row>
    <row r="154" spans="2:6" s="453" customFormat="1" x14ac:dyDescent="0.25">
      <c r="B154" s="453" t="s">
        <v>1217</v>
      </c>
      <c r="C154" s="453" t="s">
        <v>1229</v>
      </c>
      <c r="D154" s="453" t="s">
        <v>1051</v>
      </c>
      <c r="E154" s="453">
        <v>75512</v>
      </c>
      <c r="F154" s="454">
        <v>0.5</v>
      </c>
    </row>
    <row r="155" spans="2:6" x14ac:dyDescent="0.25">
      <c r="B155" t="s">
        <v>1218</v>
      </c>
      <c r="C155" s="197" t="s">
        <v>1229</v>
      </c>
      <c r="D155" s="197" t="s">
        <v>1051</v>
      </c>
      <c r="E155">
        <v>75512</v>
      </c>
    </row>
    <row r="156" spans="2:6" x14ac:dyDescent="0.25">
      <c r="B156" t="s">
        <v>1219</v>
      </c>
      <c r="C156" s="197" t="s">
        <v>1229</v>
      </c>
      <c r="D156" s="197" t="s">
        <v>1051</v>
      </c>
      <c r="E156">
        <v>75512</v>
      </c>
    </row>
    <row r="157" spans="2:6" x14ac:dyDescent="0.25">
      <c r="B157" t="s">
        <v>1220</v>
      </c>
      <c r="C157" s="197" t="s">
        <v>1229</v>
      </c>
      <c r="D157" s="197" t="s">
        <v>1051</v>
      </c>
      <c r="E157">
        <v>75512</v>
      </c>
    </row>
    <row r="158" spans="2:6" x14ac:dyDescent="0.25">
      <c r="B158" t="s">
        <v>1221</v>
      </c>
      <c r="C158" s="197" t="s">
        <v>1229</v>
      </c>
      <c r="D158" s="197" t="s">
        <v>1051</v>
      </c>
      <c r="E158">
        <v>75512</v>
      </c>
    </row>
    <row r="159" spans="2:6" x14ac:dyDescent="0.25">
      <c r="B159" t="s">
        <v>1222</v>
      </c>
      <c r="C159" s="197" t="s">
        <v>1229</v>
      </c>
      <c r="D159" s="197" t="s">
        <v>1051</v>
      </c>
      <c r="E159">
        <v>75512</v>
      </c>
    </row>
    <row r="160" spans="2:6" x14ac:dyDescent="0.25">
      <c r="B160" t="s">
        <v>1223</v>
      </c>
      <c r="C160" s="197" t="s">
        <v>1229</v>
      </c>
      <c r="D160" s="197" t="s">
        <v>1051</v>
      </c>
      <c r="E160">
        <v>75512</v>
      </c>
    </row>
    <row r="161" spans="2:6" x14ac:dyDescent="0.25">
      <c r="B161" t="s">
        <v>1224</v>
      </c>
      <c r="C161" s="197" t="s">
        <v>1229</v>
      </c>
      <c r="D161" s="197" t="s">
        <v>1051</v>
      </c>
      <c r="E161">
        <v>75512</v>
      </c>
    </row>
    <row r="162" spans="2:6" s="452" customFormat="1" ht="13" x14ac:dyDescent="0.3">
      <c r="B162" s="452" t="s">
        <v>1225</v>
      </c>
      <c r="C162" s="452" t="s">
        <v>1229</v>
      </c>
      <c r="D162" s="452" t="s">
        <v>1051</v>
      </c>
      <c r="E162" s="452">
        <v>75512</v>
      </c>
    </row>
    <row r="163" spans="2:6" x14ac:dyDescent="0.25">
      <c r="B163" t="s">
        <v>1226</v>
      </c>
      <c r="C163" s="197" t="s">
        <v>1229</v>
      </c>
      <c r="D163" s="197" t="s">
        <v>1051</v>
      </c>
      <c r="E163">
        <v>75512</v>
      </c>
    </row>
    <row r="164" spans="2:6" x14ac:dyDescent="0.25">
      <c r="B164" t="s">
        <v>1227</v>
      </c>
      <c r="C164" s="197" t="s">
        <v>1229</v>
      </c>
      <c r="D164" s="197" t="s">
        <v>1051</v>
      </c>
      <c r="E164">
        <v>75512</v>
      </c>
    </row>
    <row r="165" spans="2:6" s="452" customFormat="1" ht="13" x14ac:dyDescent="0.3">
      <c r="B165" s="452" t="s">
        <v>1228</v>
      </c>
      <c r="C165" s="452" t="s">
        <v>1229</v>
      </c>
      <c r="D165" s="452" t="s">
        <v>1051</v>
      </c>
      <c r="E165" s="452">
        <v>75512</v>
      </c>
    </row>
    <row r="166" spans="2:6" s="453" customFormat="1" x14ac:dyDescent="0.25">
      <c r="B166" s="453" t="s">
        <v>1216</v>
      </c>
      <c r="C166" s="453" t="s">
        <v>901</v>
      </c>
      <c r="D166" s="453" t="s">
        <v>1051</v>
      </c>
      <c r="E166" s="453">
        <v>75511</v>
      </c>
      <c r="F166" s="454">
        <v>0.5</v>
      </c>
    </row>
    <row r="167" spans="2:6" s="453" customFormat="1" x14ac:dyDescent="0.25">
      <c r="B167" s="453" t="s">
        <v>1217</v>
      </c>
      <c r="C167" s="453" t="s">
        <v>901</v>
      </c>
      <c r="D167" s="453" t="s">
        <v>1051</v>
      </c>
      <c r="E167" s="453">
        <v>75511</v>
      </c>
      <c r="F167" s="454">
        <v>0.5</v>
      </c>
    </row>
    <row r="168" spans="2:6" x14ac:dyDescent="0.25">
      <c r="B168" t="s">
        <v>1218</v>
      </c>
      <c r="C168" s="197" t="s">
        <v>901</v>
      </c>
      <c r="D168" s="197" t="s">
        <v>1051</v>
      </c>
      <c r="E168">
        <v>75511</v>
      </c>
    </row>
    <row r="169" spans="2:6" x14ac:dyDescent="0.25">
      <c r="B169" t="s">
        <v>1230</v>
      </c>
      <c r="C169" s="197" t="s">
        <v>901</v>
      </c>
      <c r="D169" s="197" t="s">
        <v>1051</v>
      </c>
      <c r="E169">
        <v>75511</v>
      </c>
    </row>
    <row r="170" spans="2:6" x14ac:dyDescent="0.25">
      <c r="B170" t="s">
        <v>1231</v>
      </c>
      <c r="C170" s="197" t="s">
        <v>901</v>
      </c>
      <c r="D170" s="197" t="s">
        <v>1051</v>
      </c>
      <c r="E170">
        <v>75511</v>
      </c>
    </row>
    <row r="171" spans="2:6" x14ac:dyDescent="0.25">
      <c r="B171" t="s">
        <v>1232</v>
      </c>
      <c r="C171" s="197" t="s">
        <v>901</v>
      </c>
      <c r="D171" s="197" t="s">
        <v>1051</v>
      </c>
      <c r="E171">
        <v>75511</v>
      </c>
    </row>
    <row r="172" spans="2:6" x14ac:dyDescent="0.25">
      <c r="B172" t="s">
        <v>1233</v>
      </c>
      <c r="C172" s="197" t="s">
        <v>901</v>
      </c>
      <c r="D172" s="197" t="s">
        <v>1051</v>
      </c>
      <c r="E172">
        <v>75511</v>
      </c>
    </row>
    <row r="173" spans="2:6" x14ac:dyDescent="0.25">
      <c r="B173" t="s">
        <v>1234</v>
      </c>
      <c r="C173" s="197" t="s">
        <v>901</v>
      </c>
      <c r="D173" s="197" t="s">
        <v>1051</v>
      </c>
      <c r="E173">
        <v>75511</v>
      </c>
    </row>
    <row r="174" spans="2:6" x14ac:dyDescent="0.25">
      <c r="B174" t="s">
        <v>1235</v>
      </c>
      <c r="C174" s="197" t="s">
        <v>1262</v>
      </c>
      <c r="D174" s="197" t="s">
        <v>1051</v>
      </c>
      <c r="E174">
        <v>751310</v>
      </c>
    </row>
    <row r="175" spans="2:6" x14ac:dyDescent="0.25">
      <c r="B175" t="s">
        <v>1236</v>
      </c>
      <c r="C175" t="s">
        <v>1263</v>
      </c>
      <c r="D175" s="197" t="s">
        <v>1051</v>
      </c>
      <c r="E175">
        <v>751314</v>
      </c>
    </row>
    <row r="176" spans="2:6" x14ac:dyDescent="0.25">
      <c r="B176" t="s">
        <v>1237</v>
      </c>
      <c r="C176" t="s">
        <v>1264</v>
      </c>
      <c r="D176" s="197" t="s">
        <v>1051</v>
      </c>
      <c r="E176">
        <v>751313</v>
      </c>
    </row>
    <row r="177" spans="2:5" x14ac:dyDescent="0.25">
      <c r="B177" t="s">
        <v>1238</v>
      </c>
      <c r="C177" t="s">
        <v>1263</v>
      </c>
      <c r="D177" s="197" t="s">
        <v>1051</v>
      </c>
      <c r="E177">
        <v>751314</v>
      </c>
    </row>
    <row r="178" spans="2:5" x14ac:dyDescent="0.25">
      <c r="B178" t="s">
        <v>1239</v>
      </c>
      <c r="C178" t="s">
        <v>1264</v>
      </c>
      <c r="D178" s="197" t="s">
        <v>1051</v>
      </c>
      <c r="E178">
        <v>751313</v>
      </c>
    </row>
    <row r="179" spans="2:5" x14ac:dyDescent="0.25">
      <c r="B179" t="s">
        <v>1240</v>
      </c>
      <c r="C179" t="s">
        <v>1263</v>
      </c>
      <c r="D179" s="197" t="s">
        <v>1051</v>
      </c>
      <c r="E179">
        <v>751314</v>
      </c>
    </row>
    <row r="180" spans="2:5" x14ac:dyDescent="0.25">
      <c r="B180" t="s">
        <v>1241</v>
      </c>
      <c r="C180" t="s">
        <v>1265</v>
      </c>
      <c r="D180" s="197" t="s">
        <v>1051</v>
      </c>
      <c r="E180">
        <v>751311</v>
      </c>
    </row>
    <row r="181" spans="2:5" x14ac:dyDescent="0.25">
      <c r="B181" t="s">
        <v>1242</v>
      </c>
      <c r="C181" t="s">
        <v>1265</v>
      </c>
      <c r="D181" s="197" t="s">
        <v>1051</v>
      </c>
      <c r="E181">
        <v>751311</v>
      </c>
    </row>
    <row r="182" spans="2:5" x14ac:dyDescent="0.25">
      <c r="B182" t="s">
        <v>1243</v>
      </c>
      <c r="C182" t="s">
        <v>1264</v>
      </c>
      <c r="D182" s="197" t="s">
        <v>1051</v>
      </c>
      <c r="E182">
        <v>751313</v>
      </c>
    </row>
    <row r="183" spans="2:5" x14ac:dyDescent="0.25">
      <c r="B183" t="s">
        <v>1244</v>
      </c>
      <c r="C183" t="s">
        <v>1264</v>
      </c>
      <c r="D183" s="197" t="s">
        <v>1051</v>
      </c>
      <c r="E183">
        <v>751313</v>
      </c>
    </row>
    <row r="184" spans="2:5" x14ac:dyDescent="0.25">
      <c r="B184" t="s">
        <v>1245</v>
      </c>
      <c r="C184" t="s">
        <v>1265</v>
      </c>
      <c r="D184" s="197" t="s">
        <v>1051</v>
      </c>
      <c r="E184">
        <v>751311</v>
      </c>
    </row>
    <row r="185" spans="2:5" x14ac:dyDescent="0.25">
      <c r="B185" t="s">
        <v>1246</v>
      </c>
      <c r="C185" t="s">
        <v>1263</v>
      </c>
      <c r="D185" s="197" t="s">
        <v>1051</v>
      </c>
      <c r="E185">
        <v>751314</v>
      </c>
    </row>
    <row r="186" spans="2:5" x14ac:dyDescent="0.25">
      <c r="B186" t="s">
        <v>1247</v>
      </c>
      <c r="C186" t="s">
        <v>1265</v>
      </c>
      <c r="D186" s="197" t="s">
        <v>1051</v>
      </c>
      <c r="E186">
        <v>751311</v>
      </c>
    </row>
    <row r="187" spans="2:5" x14ac:dyDescent="0.25">
      <c r="B187" t="s">
        <v>1248</v>
      </c>
      <c r="C187" t="s">
        <v>1264</v>
      </c>
      <c r="D187" s="197" t="s">
        <v>1051</v>
      </c>
      <c r="E187">
        <v>751313</v>
      </c>
    </row>
    <row r="188" spans="2:5" x14ac:dyDescent="0.25">
      <c r="B188" t="s">
        <v>1249</v>
      </c>
      <c r="C188" t="s">
        <v>1264</v>
      </c>
      <c r="D188" s="197" t="s">
        <v>1051</v>
      </c>
      <c r="E188">
        <v>751313</v>
      </c>
    </row>
    <row r="189" spans="2:5" x14ac:dyDescent="0.25">
      <c r="B189" t="s">
        <v>1250</v>
      </c>
      <c r="C189" t="s">
        <v>1263</v>
      </c>
      <c r="D189" s="197" t="s">
        <v>1051</v>
      </c>
      <c r="E189">
        <v>751314</v>
      </c>
    </row>
    <row r="190" spans="2:5" x14ac:dyDescent="0.25">
      <c r="B190" t="s">
        <v>1251</v>
      </c>
      <c r="C190" t="s">
        <v>1265</v>
      </c>
      <c r="D190" s="197" t="s">
        <v>1051</v>
      </c>
      <c r="E190">
        <v>751311</v>
      </c>
    </row>
    <row r="191" spans="2:5" x14ac:dyDescent="0.25">
      <c r="B191" t="s">
        <v>1252</v>
      </c>
      <c r="C191" t="s">
        <v>1266</v>
      </c>
      <c r="D191" s="197" t="s">
        <v>1051</v>
      </c>
      <c r="E191">
        <v>751312</v>
      </c>
    </row>
    <row r="192" spans="2:5" x14ac:dyDescent="0.25">
      <c r="B192" t="s">
        <v>1253</v>
      </c>
      <c r="C192" t="s">
        <v>1265</v>
      </c>
      <c r="D192" s="197" t="s">
        <v>1051</v>
      </c>
      <c r="E192">
        <v>751311</v>
      </c>
    </row>
    <row r="193" spans="1:5" x14ac:dyDescent="0.25">
      <c r="B193" t="s">
        <v>1254</v>
      </c>
      <c r="C193" t="s">
        <v>1266</v>
      </c>
      <c r="D193" s="197" t="s">
        <v>1051</v>
      </c>
      <c r="E193">
        <v>751312</v>
      </c>
    </row>
    <row r="194" spans="1:5" x14ac:dyDescent="0.25">
      <c r="B194" t="s">
        <v>1255</v>
      </c>
      <c r="C194" t="s">
        <v>1265</v>
      </c>
      <c r="D194" s="197" t="s">
        <v>1051</v>
      </c>
      <c r="E194">
        <v>751311</v>
      </c>
    </row>
    <row r="195" spans="1:5" x14ac:dyDescent="0.25">
      <c r="B195" t="s">
        <v>1256</v>
      </c>
      <c r="C195" t="s">
        <v>1263</v>
      </c>
      <c r="D195" s="197" t="s">
        <v>1051</v>
      </c>
      <c r="E195">
        <v>751314</v>
      </c>
    </row>
    <row r="196" spans="1:5" x14ac:dyDescent="0.25">
      <c r="B196" t="s">
        <v>1257</v>
      </c>
      <c r="D196" s="197" t="s">
        <v>1051</v>
      </c>
    </row>
    <row r="197" spans="1:5" x14ac:dyDescent="0.25">
      <c r="B197" t="s">
        <v>1258</v>
      </c>
      <c r="C197" t="s">
        <v>1265</v>
      </c>
      <c r="D197" s="197" t="s">
        <v>1051</v>
      </c>
      <c r="E197">
        <v>751311</v>
      </c>
    </row>
    <row r="198" spans="1:5" x14ac:dyDescent="0.25">
      <c r="B198" t="s">
        <v>1259</v>
      </c>
      <c r="C198" t="s">
        <v>1266</v>
      </c>
      <c r="D198" s="197" t="s">
        <v>1051</v>
      </c>
      <c r="E198">
        <v>751312</v>
      </c>
    </row>
    <row r="199" spans="1:5" x14ac:dyDescent="0.25">
      <c r="B199" t="s">
        <v>1260</v>
      </c>
      <c r="C199" t="s">
        <v>1266</v>
      </c>
      <c r="D199" s="197" t="s">
        <v>1051</v>
      </c>
      <c r="E199">
        <v>751312</v>
      </c>
    </row>
    <row r="200" spans="1:5" x14ac:dyDescent="0.25">
      <c r="B200" t="s">
        <v>1261</v>
      </c>
      <c r="C200" t="s">
        <v>1264</v>
      </c>
      <c r="D200" s="197" t="s">
        <v>1051</v>
      </c>
      <c r="E200">
        <v>751313</v>
      </c>
    </row>
    <row r="203" spans="1:5" ht="13" x14ac:dyDescent="0.3">
      <c r="A203" s="125" t="s">
        <v>1305</v>
      </c>
    </row>
    <row r="204" spans="1:5" x14ac:dyDescent="0.25">
      <c r="B204" t="s">
        <v>1267</v>
      </c>
      <c r="C204" t="s">
        <v>1268</v>
      </c>
      <c r="D204" s="197" t="s">
        <v>1306</v>
      </c>
      <c r="E204">
        <v>80200</v>
      </c>
    </row>
    <row r="205" spans="1:5" x14ac:dyDescent="0.25">
      <c r="B205" t="s">
        <v>1269</v>
      </c>
      <c r="C205" t="s">
        <v>1268</v>
      </c>
      <c r="D205" s="197" t="s">
        <v>1306</v>
      </c>
      <c r="E205">
        <v>80200</v>
      </c>
    </row>
    <row r="206" spans="1:5" x14ac:dyDescent="0.25">
      <c r="B206" t="s">
        <v>1270</v>
      </c>
      <c r="C206" t="s">
        <v>1268</v>
      </c>
      <c r="D206" s="197" t="s">
        <v>1306</v>
      </c>
      <c r="E206">
        <v>80200</v>
      </c>
    </row>
    <row r="207" spans="1:5" x14ac:dyDescent="0.25">
      <c r="B207" t="s">
        <v>1271</v>
      </c>
      <c r="C207" t="s">
        <v>1268</v>
      </c>
      <c r="D207" s="197" t="s">
        <v>1306</v>
      </c>
      <c r="E207">
        <v>80200</v>
      </c>
    </row>
    <row r="208" spans="1:5" x14ac:dyDescent="0.25">
      <c r="B208" t="s">
        <v>1272</v>
      </c>
      <c r="C208" t="s">
        <v>1268</v>
      </c>
      <c r="D208" s="197" t="s">
        <v>1306</v>
      </c>
      <c r="E208">
        <v>80200</v>
      </c>
    </row>
    <row r="209" spans="2:5" x14ac:dyDescent="0.25">
      <c r="B209" t="s">
        <v>1273</v>
      </c>
      <c r="C209" t="s">
        <v>1268</v>
      </c>
      <c r="D209" s="197" t="s">
        <v>1306</v>
      </c>
      <c r="E209">
        <v>80200</v>
      </c>
    </row>
    <row r="210" spans="2:5" x14ac:dyDescent="0.25">
      <c r="B210" t="s">
        <v>1274</v>
      </c>
      <c r="C210" t="s">
        <v>1268</v>
      </c>
      <c r="D210" s="197" t="s">
        <v>1306</v>
      </c>
      <c r="E210">
        <v>80200</v>
      </c>
    </row>
    <row r="211" spans="2:5" x14ac:dyDescent="0.25">
      <c r="B211" t="s">
        <v>1275</v>
      </c>
      <c r="C211" t="s">
        <v>1268</v>
      </c>
      <c r="D211" s="197" t="s">
        <v>1306</v>
      </c>
      <c r="E211">
        <v>80200</v>
      </c>
    </row>
    <row r="212" spans="2:5" x14ac:dyDescent="0.25">
      <c r="B212" t="s">
        <v>1276</v>
      </c>
      <c r="C212" t="s">
        <v>1268</v>
      </c>
      <c r="D212" s="197" t="s">
        <v>1306</v>
      </c>
      <c r="E212">
        <v>80200</v>
      </c>
    </row>
    <row r="213" spans="2:5" x14ac:dyDescent="0.25">
      <c r="B213" t="s">
        <v>1277</v>
      </c>
      <c r="C213" t="s">
        <v>505</v>
      </c>
      <c r="D213" s="197" t="s">
        <v>1306</v>
      </c>
      <c r="E213">
        <v>80300</v>
      </c>
    </row>
    <row r="214" spans="2:5" x14ac:dyDescent="0.25">
      <c r="B214" t="s">
        <v>1278</v>
      </c>
      <c r="C214" t="s">
        <v>505</v>
      </c>
      <c r="D214" s="197" t="s">
        <v>1306</v>
      </c>
      <c r="E214">
        <v>80300</v>
      </c>
    </row>
    <row r="215" spans="2:5" x14ac:dyDescent="0.25">
      <c r="B215" t="s">
        <v>1279</v>
      </c>
      <c r="C215" t="s">
        <v>505</v>
      </c>
      <c r="D215" s="197" t="s">
        <v>1306</v>
      </c>
      <c r="E215">
        <v>80300</v>
      </c>
    </row>
    <row r="216" spans="2:5" x14ac:dyDescent="0.25">
      <c r="B216" t="s">
        <v>1280</v>
      </c>
      <c r="C216" t="s">
        <v>505</v>
      </c>
      <c r="D216" s="197" t="s">
        <v>1306</v>
      </c>
      <c r="E216">
        <v>80300</v>
      </c>
    </row>
    <row r="217" spans="2:5" x14ac:dyDescent="0.25">
      <c r="B217" t="s">
        <v>1281</v>
      </c>
      <c r="C217" t="s">
        <v>505</v>
      </c>
      <c r="D217" s="197" t="s">
        <v>1306</v>
      </c>
      <c r="E217">
        <v>80300</v>
      </c>
    </row>
    <row r="218" spans="2:5" x14ac:dyDescent="0.25">
      <c r="B218" t="s">
        <v>1282</v>
      </c>
      <c r="C218" t="s">
        <v>505</v>
      </c>
      <c r="D218" s="197" t="s">
        <v>1306</v>
      </c>
      <c r="E218">
        <v>80300</v>
      </c>
    </row>
    <row r="219" spans="2:5" x14ac:dyDescent="0.25">
      <c r="B219" t="s">
        <v>1283</v>
      </c>
      <c r="C219" t="s">
        <v>505</v>
      </c>
      <c r="D219" s="197" t="s">
        <v>1306</v>
      </c>
      <c r="E219">
        <v>80300</v>
      </c>
    </row>
    <row r="220" spans="2:5" x14ac:dyDescent="0.25">
      <c r="B220" t="s">
        <v>1284</v>
      </c>
      <c r="C220" t="s">
        <v>505</v>
      </c>
      <c r="D220" s="197" t="s">
        <v>1306</v>
      </c>
      <c r="E220">
        <v>80300</v>
      </c>
    </row>
    <row r="221" spans="2:5" x14ac:dyDescent="0.25">
      <c r="B221" t="s">
        <v>1285</v>
      </c>
      <c r="C221" t="s">
        <v>505</v>
      </c>
      <c r="D221" s="197" t="s">
        <v>1306</v>
      </c>
      <c r="E221">
        <v>80300</v>
      </c>
    </row>
    <row r="222" spans="2:5" x14ac:dyDescent="0.25">
      <c r="B222" t="s">
        <v>1286</v>
      </c>
      <c r="C222" t="s">
        <v>505</v>
      </c>
      <c r="D222" s="197" t="s">
        <v>1306</v>
      </c>
      <c r="E222">
        <v>80300</v>
      </c>
    </row>
    <row r="223" spans="2:5" x14ac:dyDescent="0.25">
      <c r="B223" t="s">
        <v>1287</v>
      </c>
      <c r="C223" t="s">
        <v>505</v>
      </c>
      <c r="D223" s="197" t="s">
        <v>1306</v>
      </c>
      <c r="E223">
        <v>80300</v>
      </c>
    </row>
    <row r="224" spans="2:5" x14ac:dyDescent="0.25">
      <c r="B224" t="s">
        <v>1288</v>
      </c>
      <c r="C224" t="s">
        <v>505</v>
      </c>
      <c r="D224" s="197" t="s">
        <v>1306</v>
      </c>
      <c r="E224">
        <v>80300</v>
      </c>
    </row>
    <row r="225" spans="2:5" x14ac:dyDescent="0.25">
      <c r="B225" t="s">
        <v>1289</v>
      </c>
      <c r="C225" t="s">
        <v>505</v>
      </c>
      <c r="D225" s="197" t="s">
        <v>1306</v>
      </c>
      <c r="E225">
        <v>80300</v>
      </c>
    </row>
    <row r="226" spans="2:5" x14ac:dyDescent="0.25">
      <c r="B226" t="s">
        <v>1290</v>
      </c>
      <c r="C226" t="s">
        <v>505</v>
      </c>
      <c r="D226" s="197" t="s">
        <v>1306</v>
      </c>
      <c r="E226">
        <v>80300</v>
      </c>
    </row>
    <row r="227" spans="2:5" x14ac:dyDescent="0.25">
      <c r="B227" t="s">
        <v>1291</v>
      </c>
      <c r="C227" t="s">
        <v>505</v>
      </c>
      <c r="D227" s="197" t="s">
        <v>1306</v>
      </c>
      <c r="E227">
        <v>80300</v>
      </c>
    </row>
    <row r="228" spans="2:5" x14ac:dyDescent="0.25">
      <c r="B228" t="s">
        <v>1291</v>
      </c>
      <c r="C228" t="s">
        <v>505</v>
      </c>
      <c r="D228" s="197" t="s">
        <v>1306</v>
      </c>
      <c r="E228">
        <v>80300</v>
      </c>
    </row>
    <row r="229" spans="2:5" x14ac:dyDescent="0.25">
      <c r="B229" t="s">
        <v>1291</v>
      </c>
      <c r="C229" t="s">
        <v>505</v>
      </c>
      <c r="D229" s="197" t="s">
        <v>1306</v>
      </c>
      <c r="E229">
        <v>80300</v>
      </c>
    </row>
    <row r="230" spans="2:5" x14ac:dyDescent="0.25">
      <c r="B230" t="s">
        <v>1291</v>
      </c>
      <c r="C230" t="s">
        <v>505</v>
      </c>
      <c r="D230" s="197" t="s">
        <v>1306</v>
      </c>
      <c r="E230">
        <v>80300</v>
      </c>
    </row>
    <row r="231" spans="2:5" x14ac:dyDescent="0.25">
      <c r="B231" t="s">
        <v>1291</v>
      </c>
      <c r="C231" t="s">
        <v>505</v>
      </c>
      <c r="D231" s="197" t="s">
        <v>1306</v>
      </c>
      <c r="E231">
        <v>80300</v>
      </c>
    </row>
    <row r="232" spans="2:5" x14ac:dyDescent="0.25">
      <c r="B232" t="s">
        <v>1292</v>
      </c>
      <c r="C232" t="s">
        <v>1293</v>
      </c>
      <c r="D232" s="197" t="s">
        <v>1306</v>
      </c>
      <c r="E232">
        <v>664</v>
      </c>
    </row>
    <row r="233" spans="2:5" x14ac:dyDescent="0.25">
      <c r="B233" t="s">
        <v>1294</v>
      </c>
      <c r="C233" t="s">
        <v>1293</v>
      </c>
      <c r="D233" s="197" t="s">
        <v>1306</v>
      </c>
      <c r="E233">
        <v>664</v>
      </c>
    </row>
    <row r="234" spans="2:5" x14ac:dyDescent="0.25">
      <c r="B234" t="s">
        <v>1295</v>
      </c>
      <c r="C234" t="s">
        <v>1293</v>
      </c>
      <c r="D234" s="197" t="s">
        <v>1306</v>
      </c>
      <c r="E234">
        <v>664</v>
      </c>
    </row>
    <row r="235" spans="2:5" x14ac:dyDescent="0.25">
      <c r="B235" t="s">
        <v>1296</v>
      </c>
      <c r="C235" t="s">
        <v>1293</v>
      </c>
      <c r="D235" s="197" t="s">
        <v>1306</v>
      </c>
      <c r="E235">
        <v>664</v>
      </c>
    </row>
    <row r="236" spans="2:5" x14ac:dyDescent="0.25">
      <c r="B236" t="s">
        <v>1297</v>
      </c>
      <c r="C236" t="s">
        <v>1293</v>
      </c>
      <c r="D236" s="197" t="s">
        <v>1306</v>
      </c>
      <c r="E236">
        <v>664</v>
      </c>
    </row>
    <row r="237" spans="2:5" x14ac:dyDescent="0.25">
      <c r="B237" t="s">
        <v>1298</v>
      </c>
      <c r="C237" t="s">
        <v>1293</v>
      </c>
      <c r="D237" s="197" t="s">
        <v>1306</v>
      </c>
      <c r="E237">
        <v>664</v>
      </c>
    </row>
    <row r="238" spans="2:5" x14ac:dyDescent="0.25">
      <c r="B238" t="s">
        <v>1299</v>
      </c>
      <c r="C238" t="s">
        <v>1293</v>
      </c>
      <c r="D238" s="197" t="s">
        <v>1306</v>
      </c>
      <c r="E238">
        <v>664</v>
      </c>
    </row>
    <row r="239" spans="2:5" x14ac:dyDescent="0.25">
      <c r="B239" t="s">
        <v>1300</v>
      </c>
      <c r="C239" t="s">
        <v>1293</v>
      </c>
      <c r="D239" s="197" t="s">
        <v>1306</v>
      </c>
      <c r="E239">
        <v>664</v>
      </c>
    </row>
    <row r="240" spans="2:5" x14ac:dyDescent="0.25">
      <c r="B240" t="s">
        <v>1301</v>
      </c>
      <c r="C240" t="s">
        <v>1293</v>
      </c>
      <c r="D240" s="197" t="s">
        <v>1306</v>
      </c>
      <c r="E240">
        <v>664</v>
      </c>
    </row>
    <row r="241" spans="1:6" x14ac:dyDescent="0.25">
      <c r="B241" t="s">
        <v>1302</v>
      </c>
      <c r="C241" t="s">
        <v>1293</v>
      </c>
      <c r="D241" s="197" t="s">
        <v>1306</v>
      </c>
      <c r="E241">
        <v>664</v>
      </c>
    </row>
    <row r="242" spans="1:6" x14ac:dyDescent="0.25">
      <c r="B242" t="s">
        <v>1303</v>
      </c>
      <c r="C242" t="s">
        <v>1293</v>
      </c>
      <c r="D242" s="197" t="s">
        <v>1306</v>
      </c>
      <c r="E242">
        <v>664</v>
      </c>
    </row>
    <row r="243" spans="1:6" x14ac:dyDescent="0.25">
      <c r="B243" t="s">
        <v>1304</v>
      </c>
      <c r="C243" t="s">
        <v>1293</v>
      </c>
      <c r="D243" s="197" t="s">
        <v>1306</v>
      </c>
      <c r="E243">
        <v>664</v>
      </c>
    </row>
    <row r="246" spans="1:6" ht="13" x14ac:dyDescent="0.3">
      <c r="A246" s="125" t="s">
        <v>1322</v>
      </c>
    </row>
    <row r="247" spans="1:6" s="453" customFormat="1" x14ac:dyDescent="0.25">
      <c r="B247" s="453" t="s">
        <v>1036</v>
      </c>
      <c r="D247" s="453" t="s">
        <v>1323</v>
      </c>
      <c r="E247" s="453">
        <v>81000</v>
      </c>
      <c r="F247" s="454">
        <v>0.5</v>
      </c>
    </row>
    <row r="248" spans="1:6" x14ac:dyDescent="0.25">
      <c r="B248" t="s">
        <v>1307</v>
      </c>
      <c r="D248" s="197" t="s">
        <v>1323</v>
      </c>
      <c r="E248">
        <v>81000</v>
      </c>
    </row>
    <row r="249" spans="1:6" x14ac:dyDescent="0.25">
      <c r="B249" t="s">
        <v>1308</v>
      </c>
      <c r="D249" s="197" t="s">
        <v>1323</v>
      </c>
      <c r="E249">
        <v>81000</v>
      </c>
    </row>
    <row r="250" spans="1:6" x14ac:dyDescent="0.25">
      <c r="B250" t="s">
        <v>1309</v>
      </c>
      <c r="D250" s="197" t="s">
        <v>1323</v>
      </c>
      <c r="E250">
        <v>81000</v>
      </c>
    </row>
    <row r="251" spans="1:6" x14ac:dyDescent="0.25">
      <c r="B251" t="s">
        <v>1310</v>
      </c>
      <c r="D251" s="197" t="s">
        <v>1323</v>
      </c>
      <c r="E251">
        <v>81000</v>
      </c>
    </row>
    <row r="252" spans="1:6" x14ac:dyDescent="0.25">
      <c r="B252" t="s">
        <v>1311</v>
      </c>
      <c r="D252" s="197" t="s">
        <v>1323</v>
      </c>
      <c r="E252">
        <v>81000</v>
      </c>
    </row>
    <row r="253" spans="1:6" x14ac:dyDescent="0.25">
      <c r="B253" t="s">
        <v>1312</v>
      </c>
      <c r="D253" s="197" t="s">
        <v>1323</v>
      </c>
      <c r="E253">
        <v>81000</v>
      </c>
    </row>
    <row r="254" spans="1:6" x14ac:dyDescent="0.25">
      <c r="B254" t="s">
        <v>1313</v>
      </c>
      <c r="D254" s="197" t="s">
        <v>1323</v>
      </c>
      <c r="E254">
        <v>81000</v>
      </c>
    </row>
    <row r="255" spans="1:6" x14ac:dyDescent="0.25">
      <c r="B255" t="s">
        <v>1314</v>
      </c>
      <c r="D255" s="197" t="s">
        <v>1323</v>
      </c>
      <c r="E255">
        <v>81000</v>
      </c>
    </row>
    <row r="256" spans="1:6" x14ac:dyDescent="0.25">
      <c r="B256" t="s">
        <v>1315</v>
      </c>
      <c r="D256" s="197" t="s">
        <v>1323</v>
      </c>
      <c r="E256">
        <v>81000</v>
      </c>
    </row>
    <row r="257" spans="2:6" x14ac:dyDescent="0.25">
      <c r="B257" t="s">
        <v>1316</v>
      </c>
      <c r="D257" s="197" t="s">
        <v>1323</v>
      </c>
      <c r="E257">
        <v>81000</v>
      </c>
    </row>
    <row r="258" spans="2:6" x14ac:dyDescent="0.25">
      <c r="B258" t="s">
        <v>1317</v>
      </c>
      <c r="D258" s="197" t="s">
        <v>1323</v>
      </c>
      <c r="E258">
        <v>81000</v>
      </c>
    </row>
    <row r="259" spans="2:6" x14ac:dyDescent="0.25">
      <c r="B259" t="s">
        <v>1318</v>
      </c>
      <c r="D259" s="197" t="s">
        <v>1323</v>
      </c>
      <c r="E259">
        <v>81000</v>
      </c>
    </row>
    <row r="260" spans="2:6" s="453" customFormat="1" x14ac:dyDescent="0.25">
      <c r="B260" s="453" t="s">
        <v>1319</v>
      </c>
      <c r="D260" s="453" t="s">
        <v>1323</v>
      </c>
      <c r="E260" s="453">
        <v>81000</v>
      </c>
      <c r="F260" s="454">
        <v>0.5</v>
      </c>
    </row>
    <row r="261" spans="2:6" x14ac:dyDescent="0.25">
      <c r="B261" t="s">
        <v>1320</v>
      </c>
      <c r="D261" s="197" t="s">
        <v>1323</v>
      </c>
      <c r="E261">
        <v>81000</v>
      </c>
    </row>
    <row r="262" spans="2:6" x14ac:dyDescent="0.25">
      <c r="B262" t="s">
        <v>1321</v>
      </c>
      <c r="D262" s="197" t="s">
        <v>1323</v>
      </c>
      <c r="E262">
        <v>81000</v>
      </c>
    </row>
    <row r="263" spans="2:6" s="453" customFormat="1" x14ac:dyDescent="0.25">
      <c r="B263" s="453" t="s">
        <v>1319</v>
      </c>
      <c r="D263" s="453" t="s">
        <v>1323</v>
      </c>
      <c r="E263" s="453">
        <v>81010</v>
      </c>
      <c r="F263" s="454">
        <v>0.5</v>
      </c>
    </row>
    <row r="264" spans="2:6" x14ac:dyDescent="0.25">
      <c r="B264" t="s">
        <v>1324</v>
      </c>
      <c r="D264" s="197" t="s">
        <v>1323</v>
      </c>
      <c r="E264">
        <v>81010</v>
      </c>
    </row>
    <row r="265" spans="2:6" x14ac:dyDescent="0.25">
      <c r="B265" t="s">
        <v>1325</v>
      </c>
      <c r="D265" s="197" t="s">
        <v>1323</v>
      </c>
      <c r="E265">
        <v>81010</v>
      </c>
    </row>
    <row r="266" spans="2:6" x14ac:dyDescent="0.25">
      <c r="B266" t="s">
        <v>1326</v>
      </c>
      <c r="D266" s="197" t="s">
        <v>1323</v>
      </c>
      <c r="E266">
        <v>81010</v>
      </c>
    </row>
    <row r="267" spans="2:6" x14ac:dyDescent="0.25">
      <c r="B267" t="s">
        <v>1327</v>
      </c>
      <c r="D267" s="197" t="s">
        <v>1323</v>
      </c>
      <c r="E267">
        <v>81010</v>
      </c>
    </row>
    <row r="268" spans="2:6" ht="13" x14ac:dyDescent="0.3">
      <c r="B268" s="452" t="s">
        <v>1328</v>
      </c>
      <c r="D268" s="197" t="s">
        <v>1323</v>
      </c>
    </row>
    <row r="269" spans="2:6" x14ac:dyDescent="0.25">
      <c r="B269" t="s">
        <v>1329</v>
      </c>
      <c r="D269" s="197" t="s">
        <v>1323</v>
      </c>
      <c r="E269">
        <v>81010</v>
      </c>
    </row>
    <row r="270" spans="2:6" x14ac:dyDescent="0.25">
      <c r="B270" t="s">
        <v>1330</v>
      </c>
      <c r="D270" s="197" t="s">
        <v>1323</v>
      </c>
      <c r="E270">
        <v>81010</v>
      </c>
    </row>
    <row r="271" spans="2:6" x14ac:dyDescent="0.25">
      <c r="B271" t="s">
        <v>1331</v>
      </c>
      <c r="D271" s="197" t="s">
        <v>1323</v>
      </c>
      <c r="E271">
        <v>81010</v>
      </c>
    </row>
    <row r="272" spans="2:6" ht="13" x14ac:dyDescent="0.3">
      <c r="B272" s="452" t="s">
        <v>1332</v>
      </c>
      <c r="D272" s="197" t="s">
        <v>1323</v>
      </c>
    </row>
    <row r="273" spans="1:5" x14ac:dyDescent="0.25">
      <c r="B273" t="s">
        <v>1333</v>
      </c>
      <c r="D273" s="197" t="s">
        <v>1323</v>
      </c>
      <c r="E273">
        <v>81010</v>
      </c>
    </row>
    <row r="274" spans="1:5" x14ac:dyDescent="0.25">
      <c r="B274" t="s">
        <v>1334</v>
      </c>
      <c r="D274" s="197" t="s">
        <v>1323</v>
      </c>
      <c r="E274">
        <v>81010</v>
      </c>
    </row>
    <row r="277" spans="1:5" ht="13" x14ac:dyDescent="0.3">
      <c r="A277" s="125" t="s">
        <v>1335</v>
      </c>
    </row>
    <row r="278" spans="1:5" ht="13" x14ac:dyDescent="0.3">
      <c r="A278" s="125"/>
      <c r="B278" t="s">
        <v>1442</v>
      </c>
      <c r="C278" s="197" t="s">
        <v>660</v>
      </c>
      <c r="D278" s="197" t="s">
        <v>1446</v>
      </c>
      <c r="E278">
        <v>667</v>
      </c>
    </row>
    <row r="279" spans="1:5" ht="13" x14ac:dyDescent="0.3">
      <c r="A279" s="125"/>
      <c r="B279" t="s">
        <v>1443</v>
      </c>
      <c r="C279" s="197" t="s">
        <v>660</v>
      </c>
      <c r="D279" s="197" t="s">
        <v>1446</v>
      </c>
      <c r="E279">
        <v>667</v>
      </c>
    </row>
    <row r="280" spans="1:5" ht="13" x14ac:dyDescent="0.3">
      <c r="A280" s="125"/>
      <c r="B280" t="s">
        <v>1444</v>
      </c>
      <c r="C280" s="197" t="s">
        <v>660</v>
      </c>
      <c r="D280" s="197" t="s">
        <v>1446</v>
      </c>
      <c r="E280">
        <v>667</v>
      </c>
    </row>
    <row r="281" spans="1:5" ht="13" x14ac:dyDescent="0.3">
      <c r="A281" s="125"/>
      <c r="B281" t="s">
        <v>1445</v>
      </c>
      <c r="C281" s="197" t="s">
        <v>660</v>
      </c>
      <c r="D281" s="197" t="s">
        <v>1446</v>
      </c>
      <c r="E281">
        <v>667</v>
      </c>
    </row>
    <row r="282" spans="1:5" x14ac:dyDescent="0.25">
      <c r="B282" t="s">
        <v>1336</v>
      </c>
      <c r="C282" s="197" t="s">
        <v>1342</v>
      </c>
      <c r="E282">
        <v>82600</v>
      </c>
    </row>
    <row r="283" spans="1:5" x14ac:dyDescent="0.25">
      <c r="B283" t="s">
        <v>1337</v>
      </c>
      <c r="C283" s="197" t="s">
        <v>1342</v>
      </c>
      <c r="E283">
        <v>82600</v>
      </c>
    </row>
    <row r="284" spans="1:5" x14ac:dyDescent="0.25">
      <c r="B284" t="s">
        <v>1338</v>
      </c>
      <c r="C284" s="197" t="s">
        <v>1342</v>
      </c>
      <c r="E284">
        <v>82600</v>
      </c>
    </row>
    <row r="285" spans="1:5" x14ac:dyDescent="0.25">
      <c r="B285" t="s">
        <v>1339</v>
      </c>
      <c r="C285" s="197" t="s">
        <v>1342</v>
      </c>
      <c r="E285">
        <v>82600</v>
      </c>
    </row>
    <row r="286" spans="1:5" s="452" customFormat="1" ht="13" x14ac:dyDescent="0.3">
      <c r="B286" s="452" t="s">
        <v>1340</v>
      </c>
      <c r="C286" s="452" t="s">
        <v>1342</v>
      </c>
      <c r="E286" s="452">
        <v>82600</v>
      </c>
    </row>
    <row r="287" spans="1:5" x14ac:dyDescent="0.25">
      <c r="B287" t="s">
        <v>1341</v>
      </c>
      <c r="C287" s="197" t="s">
        <v>1342</v>
      </c>
      <c r="E287">
        <v>82600</v>
      </c>
    </row>
    <row r="288" spans="1:5" x14ac:dyDescent="0.25">
      <c r="B288" t="s">
        <v>1343</v>
      </c>
      <c r="C288" s="197" t="s">
        <v>1355</v>
      </c>
      <c r="E288">
        <v>82300</v>
      </c>
    </row>
    <row r="289" spans="2:5" x14ac:dyDescent="0.25">
      <c r="B289" t="s">
        <v>1344</v>
      </c>
      <c r="C289" s="197" t="s">
        <v>1355</v>
      </c>
      <c r="E289">
        <v>82300</v>
      </c>
    </row>
    <row r="290" spans="2:5" x14ac:dyDescent="0.25">
      <c r="B290" t="s">
        <v>1345</v>
      </c>
      <c r="C290" s="197" t="s">
        <v>1355</v>
      </c>
      <c r="E290">
        <v>82300</v>
      </c>
    </row>
    <row r="291" spans="2:5" x14ac:dyDescent="0.25">
      <c r="B291" t="s">
        <v>1346</v>
      </c>
      <c r="C291" s="197" t="s">
        <v>1355</v>
      </c>
      <c r="E291">
        <v>82300</v>
      </c>
    </row>
    <row r="292" spans="2:5" x14ac:dyDescent="0.25">
      <c r="B292" t="s">
        <v>1347</v>
      </c>
      <c r="C292" s="197" t="s">
        <v>1355</v>
      </c>
      <c r="E292">
        <v>82300</v>
      </c>
    </row>
    <row r="293" spans="2:5" x14ac:dyDescent="0.25">
      <c r="B293" t="s">
        <v>1348</v>
      </c>
      <c r="C293" s="197" t="s">
        <v>1355</v>
      </c>
      <c r="E293">
        <v>82300</v>
      </c>
    </row>
    <row r="294" spans="2:5" x14ac:dyDescent="0.25">
      <c r="B294" t="s">
        <v>1349</v>
      </c>
      <c r="C294" s="197" t="s">
        <v>1355</v>
      </c>
      <c r="E294">
        <v>82300</v>
      </c>
    </row>
    <row r="295" spans="2:5" x14ac:dyDescent="0.25">
      <c r="B295" t="s">
        <v>1350</v>
      </c>
      <c r="C295" s="197" t="s">
        <v>1355</v>
      </c>
      <c r="E295">
        <v>82300</v>
      </c>
    </row>
    <row r="296" spans="2:5" x14ac:dyDescent="0.25">
      <c r="B296" t="s">
        <v>1351</v>
      </c>
      <c r="C296" s="197" t="s">
        <v>1355</v>
      </c>
      <c r="E296">
        <v>82300</v>
      </c>
    </row>
    <row r="297" spans="2:5" x14ac:dyDescent="0.25">
      <c r="B297" t="s">
        <v>1352</v>
      </c>
      <c r="C297" s="197" t="s">
        <v>1355</v>
      </c>
      <c r="E297">
        <v>82300</v>
      </c>
    </row>
    <row r="298" spans="2:5" x14ac:dyDescent="0.25">
      <c r="B298" t="s">
        <v>1353</v>
      </c>
      <c r="C298" s="197" t="s">
        <v>1355</v>
      </c>
      <c r="E298">
        <v>82300</v>
      </c>
    </row>
    <row r="299" spans="2:5" x14ac:dyDescent="0.25">
      <c r="B299" t="s">
        <v>1354</v>
      </c>
      <c r="C299" s="197" t="s">
        <v>1355</v>
      </c>
      <c r="E299">
        <v>82300</v>
      </c>
    </row>
    <row r="300" spans="2:5" x14ac:dyDescent="0.25">
      <c r="B300" t="s">
        <v>1356</v>
      </c>
      <c r="C300" s="197" t="s">
        <v>667</v>
      </c>
      <c r="E300">
        <v>82400</v>
      </c>
    </row>
    <row r="301" spans="2:5" x14ac:dyDescent="0.25">
      <c r="B301" t="s">
        <v>1357</v>
      </c>
      <c r="C301" s="197" t="s">
        <v>667</v>
      </c>
      <c r="E301">
        <v>82400</v>
      </c>
    </row>
    <row r="302" spans="2:5" x14ac:dyDescent="0.25">
      <c r="B302" t="s">
        <v>1358</v>
      </c>
      <c r="C302" s="197" t="s">
        <v>667</v>
      </c>
      <c r="E302">
        <v>82400</v>
      </c>
    </row>
    <row r="303" spans="2:5" x14ac:dyDescent="0.25">
      <c r="B303" t="s">
        <v>1359</v>
      </c>
      <c r="C303" s="197" t="s">
        <v>667</v>
      </c>
      <c r="E303">
        <v>82400</v>
      </c>
    </row>
    <row r="304" spans="2:5" x14ac:dyDescent="0.25">
      <c r="B304" t="s">
        <v>1360</v>
      </c>
      <c r="C304" s="197" t="s">
        <v>667</v>
      </c>
      <c r="E304">
        <v>82400</v>
      </c>
    </row>
    <row r="305" spans="2:5" x14ac:dyDescent="0.25">
      <c r="B305" t="s">
        <v>1361</v>
      </c>
      <c r="C305" s="197" t="s">
        <v>667</v>
      </c>
      <c r="E305">
        <v>82400</v>
      </c>
    </row>
    <row r="306" spans="2:5" x14ac:dyDescent="0.25">
      <c r="B306" t="s">
        <v>1362</v>
      </c>
      <c r="C306" s="197" t="s">
        <v>667</v>
      </c>
      <c r="E306">
        <v>82400</v>
      </c>
    </row>
    <row r="307" spans="2:5" x14ac:dyDescent="0.25">
      <c r="B307" t="s">
        <v>1363</v>
      </c>
      <c r="C307" s="197" t="s">
        <v>667</v>
      </c>
      <c r="E307">
        <v>82400</v>
      </c>
    </row>
    <row r="308" spans="2:5" x14ac:dyDescent="0.25">
      <c r="B308" t="s">
        <v>1364</v>
      </c>
      <c r="C308" s="197" t="s">
        <v>667</v>
      </c>
      <c r="E308">
        <v>82400</v>
      </c>
    </row>
    <row r="309" spans="2:5" x14ac:dyDescent="0.25">
      <c r="B309" t="s">
        <v>1365</v>
      </c>
      <c r="C309" s="197" t="s">
        <v>667</v>
      </c>
      <c r="E309">
        <v>82400</v>
      </c>
    </row>
    <row r="310" spans="2:5" x14ac:dyDescent="0.25">
      <c r="B310" t="s">
        <v>1366</v>
      </c>
      <c r="C310" s="197" t="s">
        <v>667</v>
      </c>
      <c r="E310">
        <v>82400</v>
      </c>
    </row>
    <row r="311" spans="2:5" x14ac:dyDescent="0.25">
      <c r="B311" t="s">
        <v>1367</v>
      </c>
      <c r="C311" s="197" t="s">
        <v>667</v>
      </c>
      <c r="E311">
        <v>82400</v>
      </c>
    </row>
    <row r="312" spans="2:5" x14ac:dyDescent="0.25">
      <c r="B312" t="s">
        <v>1368</v>
      </c>
      <c r="C312" s="197" t="s">
        <v>667</v>
      </c>
      <c r="E312">
        <v>82400</v>
      </c>
    </row>
    <row r="313" spans="2:5" x14ac:dyDescent="0.25">
      <c r="B313" t="s">
        <v>1369</v>
      </c>
      <c r="C313" s="197" t="s">
        <v>667</v>
      </c>
      <c r="E313">
        <v>82400</v>
      </c>
    </row>
    <row r="314" spans="2:5" x14ac:dyDescent="0.25">
      <c r="B314" t="s">
        <v>1370</v>
      </c>
      <c r="C314" s="197" t="s">
        <v>667</v>
      </c>
      <c r="E314">
        <v>82400</v>
      </c>
    </row>
    <row r="315" spans="2:5" x14ac:dyDescent="0.25">
      <c r="B315" t="s">
        <v>1371</v>
      </c>
      <c r="C315" s="197" t="s">
        <v>667</v>
      </c>
      <c r="E315">
        <v>82400</v>
      </c>
    </row>
    <row r="316" spans="2:5" x14ac:dyDescent="0.25">
      <c r="B316" t="s">
        <v>1372</v>
      </c>
      <c r="C316" s="197" t="s">
        <v>667</v>
      </c>
      <c r="E316">
        <v>82400</v>
      </c>
    </row>
    <row r="317" spans="2:5" x14ac:dyDescent="0.25">
      <c r="B317" t="s">
        <v>1373</v>
      </c>
      <c r="C317" s="197" t="s">
        <v>667</v>
      </c>
      <c r="E317">
        <v>82400</v>
      </c>
    </row>
    <row r="318" spans="2:5" x14ac:dyDescent="0.25">
      <c r="B318" t="s">
        <v>1374</v>
      </c>
      <c r="C318" s="197" t="s">
        <v>667</v>
      </c>
      <c r="E318">
        <v>82400</v>
      </c>
    </row>
    <row r="319" spans="2:5" x14ac:dyDescent="0.25">
      <c r="B319" t="s">
        <v>1375</v>
      </c>
      <c r="C319" s="197" t="s">
        <v>667</v>
      </c>
      <c r="E319">
        <v>82400</v>
      </c>
    </row>
    <row r="320" spans="2:5" x14ac:dyDescent="0.25">
      <c r="B320" t="s">
        <v>1376</v>
      </c>
      <c r="C320" s="197" t="s">
        <v>667</v>
      </c>
      <c r="E320">
        <v>82400</v>
      </c>
    </row>
    <row r="321" spans="2:5" x14ac:dyDescent="0.25">
      <c r="B321" t="s">
        <v>1377</v>
      </c>
      <c r="C321" s="197" t="s">
        <v>667</v>
      </c>
      <c r="E321">
        <v>82400</v>
      </c>
    </row>
    <row r="322" spans="2:5" x14ac:dyDescent="0.25">
      <c r="B322" t="s">
        <v>1378</v>
      </c>
      <c r="C322" s="197" t="s">
        <v>667</v>
      </c>
      <c r="E322">
        <v>82400</v>
      </c>
    </row>
    <row r="323" spans="2:5" x14ac:dyDescent="0.25">
      <c r="B323" t="s">
        <v>1379</v>
      </c>
      <c r="C323" s="197" t="s">
        <v>667</v>
      </c>
      <c r="E323">
        <v>82400</v>
      </c>
    </row>
    <row r="324" spans="2:5" x14ac:dyDescent="0.25">
      <c r="B324" t="s">
        <v>1380</v>
      </c>
      <c r="C324" s="197" t="s">
        <v>667</v>
      </c>
      <c r="E324">
        <v>82400</v>
      </c>
    </row>
    <row r="325" spans="2:5" x14ac:dyDescent="0.25">
      <c r="B325" t="s">
        <v>1381</v>
      </c>
      <c r="C325" s="197" t="s">
        <v>667</v>
      </c>
      <c r="E325">
        <v>82400</v>
      </c>
    </row>
    <row r="326" spans="2:5" x14ac:dyDescent="0.25">
      <c r="B326" t="s">
        <v>1382</v>
      </c>
      <c r="C326" s="197" t="s">
        <v>667</v>
      </c>
      <c r="E326">
        <v>82400</v>
      </c>
    </row>
    <row r="327" spans="2:5" x14ac:dyDescent="0.25">
      <c r="B327" t="s">
        <v>1383</v>
      </c>
      <c r="C327" s="197" t="s">
        <v>667</v>
      </c>
      <c r="E327">
        <v>82400</v>
      </c>
    </row>
    <row r="328" spans="2:5" x14ac:dyDescent="0.25">
      <c r="B328" t="s">
        <v>1384</v>
      </c>
      <c r="C328" s="197" t="s">
        <v>667</v>
      </c>
      <c r="E328">
        <v>82400</v>
      </c>
    </row>
    <row r="329" spans="2:5" x14ac:dyDescent="0.25">
      <c r="B329" t="s">
        <v>1385</v>
      </c>
      <c r="C329" s="197" t="s">
        <v>667</v>
      </c>
      <c r="E329">
        <v>82400</v>
      </c>
    </row>
    <row r="330" spans="2:5" x14ac:dyDescent="0.25">
      <c r="B330" t="s">
        <v>1386</v>
      </c>
      <c r="C330" s="197" t="s">
        <v>667</v>
      </c>
      <c r="E330">
        <v>82400</v>
      </c>
    </row>
    <row r="331" spans="2:5" x14ac:dyDescent="0.25">
      <c r="B331" t="s">
        <v>1387</v>
      </c>
      <c r="C331" s="197" t="s">
        <v>667</v>
      </c>
      <c r="E331">
        <v>82400</v>
      </c>
    </row>
    <row r="332" spans="2:5" x14ac:dyDescent="0.25">
      <c r="B332" t="s">
        <v>1388</v>
      </c>
      <c r="C332" s="197" t="s">
        <v>667</v>
      </c>
      <c r="E332">
        <v>82400</v>
      </c>
    </row>
    <row r="333" spans="2:5" x14ac:dyDescent="0.25">
      <c r="B333" t="s">
        <v>1389</v>
      </c>
      <c r="C333" s="197" t="s">
        <v>667</v>
      </c>
      <c r="E333">
        <v>82400</v>
      </c>
    </row>
    <row r="334" spans="2:5" x14ac:dyDescent="0.25">
      <c r="B334" t="s">
        <v>1390</v>
      </c>
      <c r="C334" s="197" t="s">
        <v>667</v>
      </c>
      <c r="E334">
        <v>82400</v>
      </c>
    </row>
    <row r="335" spans="2:5" x14ac:dyDescent="0.25">
      <c r="B335" t="s">
        <v>1391</v>
      </c>
      <c r="C335" s="197" t="s">
        <v>667</v>
      </c>
      <c r="E335">
        <v>82400</v>
      </c>
    </row>
    <row r="336" spans="2:5" x14ac:dyDescent="0.25">
      <c r="B336" t="s">
        <v>1392</v>
      </c>
      <c r="C336" s="197" t="s">
        <v>667</v>
      </c>
      <c r="E336">
        <v>82400</v>
      </c>
    </row>
    <row r="337" spans="2:5" x14ac:dyDescent="0.25">
      <c r="B337" t="s">
        <v>1393</v>
      </c>
      <c r="C337" s="197" t="s">
        <v>667</v>
      </c>
      <c r="E337">
        <v>82400</v>
      </c>
    </row>
    <row r="338" spans="2:5" x14ac:dyDescent="0.25">
      <c r="B338" t="s">
        <v>1394</v>
      </c>
      <c r="C338" s="197" t="s">
        <v>667</v>
      </c>
      <c r="E338">
        <v>82400</v>
      </c>
    </row>
    <row r="339" spans="2:5" x14ac:dyDescent="0.25">
      <c r="B339" t="s">
        <v>1395</v>
      </c>
      <c r="C339" s="197" t="s">
        <v>667</v>
      </c>
      <c r="E339">
        <v>82400</v>
      </c>
    </row>
    <row r="340" spans="2:5" x14ac:dyDescent="0.25">
      <c r="B340" t="s">
        <v>1396</v>
      </c>
      <c r="C340" s="197" t="s">
        <v>667</v>
      </c>
      <c r="E340">
        <v>82400</v>
      </c>
    </row>
    <row r="341" spans="2:5" x14ac:dyDescent="0.25">
      <c r="B341" t="s">
        <v>1397</v>
      </c>
      <c r="C341" s="197" t="s">
        <v>667</v>
      </c>
      <c r="E341">
        <v>82400</v>
      </c>
    </row>
    <row r="342" spans="2:5" x14ac:dyDescent="0.25">
      <c r="B342" t="s">
        <v>1398</v>
      </c>
      <c r="C342" s="197" t="s">
        <v>667</v>
      </c>
      <c r="E342">
        <v>82400</v>
      </c>
    </row>
    <row r="343" spans="2:5" x14ac:dyDescent="0.25">
      <c r="B343" t="s">
        <v>1399</v>
      </c>
      <c r="C343" s="197" t="s">
        <v>667</v>
      </c>
      <c r="E343">
        <v>82400</v>
      </c>
    </row>
    <row r="344" spans="2:5" x14ac:dyDescent="0.25">
      <c r="B344" t="s">
        <v>1400</v>
      </c>
      <c r="C344" s="197" t="s">
        <v>667</v>
      </c>
      <c r="E344">
        <v>82400</v>
      </c>
    </row>
    <row r="345" spans="2:5" x14ac:dyDescent="0.25">
      <c r="B345" t="s">
        <v>1401</v>
      </c>
      <c r="C345" s="197" t="s">
        <v>667</v>
      </c>
      <c r="E345">
        <v>82400</v>
      </c>
    </row>
    <row r="346" spans="2:5" x14ac:dyDescent="0.25">
      <c r="B346" t="s">
        <v>1402</v>
      </c>
      <c r="C346" s="197" t="s">
        <v>667</v>
      </c>
      <c r="E346">
        <v>82400</v>
      </c>
    </row>
    <row r="347" spans="2:5" x14ac:dyDescent="0.25">
      <c r="B347" t="s">
        <v>1403</v>
      </c>
      <c r="C347" s="197" t="s">
        <v>667</v>
      </c>
      <c r="E347">
        <v>82400</v>
      </c>
    </row>
    <row r="348" spans="2:5" x14ac:dyDescent="0.25">
      <c r="B348" t="s">
        <v>1404</v>
      </c>
      <c r="C348" s="197" t="s">
        <v>667</v>
      </c>
      <c r="E348">
        <v>82400</v>
      </c>
    </row>
    <row r="349" spans="2:5" x14ac:dyDescent="0.25">
      <c r="B349" t="s">
        <v>1405</v>
      </c>
      <c r="C349" s="197" t="s">
        <v>667</v>
      </c>
      <c r="E349">
        <v>82400</v>
      </c>
    </row>
    <row r="350" spans="2:5" x14ac:dyDescent="0.25">
      <c r="B350" t="s">
        <v>1406</v>
      </c>
      <c r="C350" s="197" t="s">
        <v>667</v>
      </c>
      <c r="E350">
        <v>82400</v>
      </c>
    </row>
    <row r="351" spans="2:5" x14ac:dyDescent="0.25">
      <c r="B351" t="s">
        <v>1407</v>
      </c>
      <c r="C351" s="197" t="s">
        <v>667</v>
      </c>
      <c r="E351">
        <v>82400</v>
      </c>
    </row>
    <row r="352" spans="2:5" x14ac:dyDescent="0.25">
      <c r="B352" t="s">
        <v>1408</v>
      </c>
      <c r="C352" s="197" t="s">
        <v>664</v>
      </c>
      <c r="E352">
        <v>82200</v>
      </c>
    </row>
    <row r="353" spans="2:5" x14ac:dyDescent="0.25">
      <c r="B353" t="s">
        <v>1409</v>
      </c>
      <c r="C353" s="197" t="s">
        <v>664</v>
      </c>
      <c r="E353">
        <v>82200</v>
      </c>
    </row>
    <row r="354" spans="2:5" x14ac:dyDescent="0.25">
      <c r="B354" t="s">
        <v>1410</v>
      </c>
      <c r="C354" s="197" t="s">
        <v>664</v>
      </c>
      <c r="E354">
        <v>82200</v>
      </c>
    </row>
    <row r="355" spans="2:5" x14ac:dyDescent="0.25">
      <c r="B355" t="s">
        <v>1411</v>
      </c>
      <c r="C355" s="197" t="s">
        <v>664</v>
      </c>
      <c r="E355">
        <v>82200</v>
      </c>
    </row>
    <row r="356" spans="2:5" x14ac:dyDescent="0.25">
      <c r="B356" t="s">
        <v>1412</v>
      </c>
      <c r="C356" s="197" t="s">
        <v>664</v>
      </c>
      <c r="E356">
        <v>82200</v>
      </c>
    </row>
    <row r="357" spans="2:5" x14ac:dyDescent="0.25">
      <c r="B357" t="s">
        <v>1413</v>
      </c>
      <c r="C357" s="197" t="s">
        <v>664</v>
      </c>
      <c r="E357">
        <v>82200</v>
      </c>
    </row>
    <row r="358" spans="2:5" x14ac:dyDescent="0.25">
      <c r="B358" t="s">
        <v>1414</v>
      </c>
      <c r="C358" s="197" t="s">
        <v>664</v>
      </c>
      <c r="E358">
        <v>82200</v>
      </c>
    </row>
    <row r="359" spans="2:5" x14ac:dyDescent="0.25">
      <c r="B359" t="s">
        <v>1415</v>
      </c>
      <c r="C359" s="197" t="s">
        <v>664</v>
      </c>
      <c r="E359">
        <v>82200</v>
      </c>
    </row>
    <row r="360" spans="2:5" x14ac:dyDescent="0.25">
      <c r="B360" t="s">
        <v>1416</v>
      </c>
      <c r="C360" s="197" t="s">
        <v>664</v>
      </c>
      <c r="E360">
        <v>82200</v>
      </c>
    </row>
    <row r="361" spans="2:5" x14ac:dyDescent="0.25">
      <c r="B361" t="s">
        <v>1417</v>
      </c>
      <c r="C361" s="197" t="s">
        <v>664</v>
      </c>
      <c r="E361">
        <v>82200</v>
      </c>
    </row>
    <row r="362" spans="2:5" x14ac:dyDescent="0.25">
      <c r="B362" t="s">
        <v>1418</v>
      </c>
      <c r="C362" s="197" t="s">
        <v>664</v>
      </c>
      <c r="E362">
        <v>82200</v>
      </c>
    </row>
    <row r="363" spans="2:5" x14ac:dyDescent="0.25">
      <c r="B363" t="s">
        <v>1419</v>
      </c>
      <c r="C363" s="197" t="s">
        <v>664</v>
      </c>
      <c r="E363">
        <v>82200</v>
      </c>
    </row>
    <row r="364" spans="2:5" x14ac:dyDescent="0.25">
      <c r="B364" t="s">
        <v>1420</v>
      </c>
      <c r="C364" s="197" t="s">
        <v>664</v>
      </c>
      <c r="E364">
        <v>82200</v>
      </c>
    </row>
    <row r="365" spans="2:5" x14ac:dyDescent="0.25">
      <c r="B365" t="s">
        <v>1421</v>
      </c>
      <c r="C365" s="197" t="s">
        <v>664</v>
      </c>
      <c r="E365">
        <v>82200</v>
      </c>
    </row>
    <row r="366" spans="2:5" x14ac:dyDescent="0.25">
      <c r="B366" t="s">
        <v>1422</v>
      </c>
      <c r="C366" s="197" t="s">
        <v>664</v>
      </c>
      <c r="E366">
        <v>82200</v>
      </c>
    </row>
    <row r="367" spans="2:5" x14ac:dyDescent="0.25">
      <c r="B367" t="s">
        <v>1423</v>
      </c>
      <c r="C367" s="197" t="s">
        <v>664</v>
      </c>
      <c r="E367">
        <v>82200</v>
      </c>
    </row>
    <row r="368" spans="2:5" x14ac:dyDescent="0.25">
      <c r="B368" t="s">
        <v>1424</v>
      </c>
      <c r="C368" s="197" t="s">
        <v>664</v>
      </c>
      <c r="E368">
        <v>82200</v>
      </c>
    </row>
    <row r="369" spans="2:5" x14ac:dyDescent="0.25">
      <c r="B369" t="s">
        <v>1425</v>
      </c>
      <c r="C369" s="197" t="s">
        <v>664</v>
      </c>
      <c r="E369">
        <v>82200</v>
      </c>
    </row>
    <row r="370" spans="2:5" x14ac:dyDescent="0.25">
      <c r="B370" t="s">
        <v>1426</v>
      </c>
      <c r="C370" s="197" t="s">
        <v>664</v>
      </c>
      <c r="E370">
        <v>82200</v>
      </c>
    </row>
    <row r="371" spans="2:5" x14ac:dyDescent="0.25">
      <c r="B371" t="s">
        <v>1427</v>
      </c>
      <c r="C371" s="197" t="s">
        <v>664</v>
      </c>
      <c r="E371">
        <v>82200</v>
      </c>
    </row>
    <row r="372" spans="2:5" x14ac:dyDescent="0.25">
      <c r="B372" t="s">
        <v>1428</v>
      </c>
      <c r="C372" s="197" t="s">
        <v>664</v>
      </c>
      <c r="E372">
        <v>82200</v>
      </c>
    </row>
    <row r="373" spans="2:5" x14ac:dyDescent="0.25">
      <c r="B373" t="s">
        <v>1429</v>
      </c>
      <c r="C373" s="197" t="s">
        <v>664</v>
      </c>
      <c r="E373">
        <v>82200</v>
      </c>
    </row>
    <row r="374" spans="2:5" x14ac:dyDescent="0.25">
      <c r="B374" t="s">
        <v>1430</v>
      </c>
      <c r="C374" s="197" t="s">
        <v>664</v>
      </c>
      <c r="E374">
        <v>82200</v>
      </c>
    </row>
    <row r="375" spans="2:5" x14ac:dyDescent="0.25">
      <c r="B375" t="s">
        <v>1431</v>
      </c>
      <c r="C375" s="197" t="s">
        <v>664</v>
      </c>
      <c r="E375">
        <v>82200</v>
      </c>
    </row>
    <row r="376" spans="2:5" x14ac:dyDescent="0.25">
      <c r="B376" t="s">
        <v>1432</v>
      </c>
      <c r="C376" s="197" t="s">
        <v>664</v>
      </c>
      <c r="E376">
        <v>82200</v>
      </c>
    </row>
    <row r="377" spans="2:5" x14ac:dyDescent="0.25">
      <c r="B377" t="s">
        <v>1433</v>
      </c>
      <c r="C377" s="197" t="s">
        <v>664</v>
      </c>
      <c r="E377">
        <v>82200</v>
      </c>
    </row>
    <row r="378" spans="2:5" x14ac:dyDescent="0.25">
      <c r="B378" t="s">
        <v>1434</v>
      </c>
      <c r="C378" s="197" t="s">
        <v>664</v>
      </c>
      <c r="E378">
        <v>82200</v>
      </c>
    </row>
    <row r="379" spans="2:5" x14ac:dyDescent="0.25">
      <c r="B379" t="s">
        <v>1435</v>
      </c>
      <c r="C379" s="197" t="s">
        <v>664</v>
      </c>
      <c r="E379">
        <v>82200</v>
      </c>
    </row>
    <row r="380" spans="2:5" x14ac:dyDescent="0.25">
      <c r="B380" t="s">
        <v>1436</v>
      </c>
      <c r="C380" s="197" t="s">
        <v>664</v>
      </c>
      <c r="E380">
        <v>82200</v>
      </c>
    </row>
    <row r="381" spans="2:5" x14ac:dyDescent="0.25">
      <c r="B381" t="s">
        <v>1437</v>
      </c>
      <c r="C381" s="197" t="s">
        <v>664</v>
      </c>
      <c r="E381">
        <v>82200</v>
      </c>
    </row>
    <row r="382" spans="2:5" x14ac:dyDescent="0.25">
      <c r="B382" t="s">
        <v>1438</v>
      </c>
      <c r="C382" s="197" t="s">
        <v>664</v>
      </c>
      <c r="E382">
        <v>82200</v>
      </c>
    </row>
    <row r="383" spans="2:5" x14ac:dyDescent="0.25">
      <c r="B383" t="s">
        <v>1439</v>
      </c>
      <c r="C383" s="197" t="s">
        <v>664</v>
      </c>
      <c r="E383">
        <v>82200</v>
      </c>
    </row>
    <row r="384" spans="2:5" x14ac:dyDescent="0.25">
      <c r="B384" t="s">
        <v>1440</v>
      </c>
      <c r="C384" s="197" t="s">
        <v>664</v>
      </c>
      <c r="E384">
        <v>82200</v>
      </c>
    </row>
    <row r="385" spans="1:5" x14ac:dyDescent="0.25">
      <c r="B385" t="s">
        <v>1441</v>
      </c>
      <c r="C385" s="197" t="s">
        <v>664</v>
      </c>
      <c r="E385">
        <v>82200</v>
      </c>
    </row>
    <row r="388" spans="1:5" ht="13" x14ac:dyDescent="0.3">
      <c r="A388" s="125" t="s">
        <v>671</v>
      </c>
      <c r="B388" t="s">
        <v>1447</v>
      </c>
      <c r="C388" t="s">
        <v>1126</v>
      </c>
      <c r="E388">
        <v>83000</v>
      </c>
    </row>
    <row r="389" spans="1:5" x14ac:dyDescent="0.25">
      <c r="B389" t="s">
        <v>1448</v>
      </c>
      <c r="C389" t="s">
        <v>1458</v>
      </c>
      <c r="E389">
        <v>83000</v>
      </c>
    </row>
    <row r="390" spans="1:5" x14ac:dyDescent="0.25">
      <c r="B390" t="s">
        <v>1449</v>
      </c>
      <c r="C390" t="s">
        <v>1128</v>
      </c>
      <c r="E390">
        <v>83000</v>
      </c>
    </row>
    <row r="391" spans="1:5" x14ac:dyDescent="0.25">
      <c r="B391" t="s">
        <v>1450</v>
      </c>
      <c r="C391" t="s">
        <v>1128</v>
      </c>
      <c r="E391">
        <v>83000</v>
      </c>
    </row>
    <row r="392" spans="1:5" x14ac:dyDescent="0.25">
      <c r="B392" t="s">
        <v>1451</v>
      </c>
      <c r="C392" t="s">
        <v>1459</v>
      </c>
      <c r="E392">
        <v>83000</v>
      </c>
    </row>
    <row r="393" spans="1:5" x14ac:dyDescent="0.25">
      <c r="B393" t="s">
        <v>1452</v>
      </c>
      <c r="C393" t="s">
        <v>1460</v>
      </c>
      <c r="E393">
        <v>75123</v>
      </c>
    </row>
    <row r="394" spans="1:5" x14ac:dyDescent="0.25">
      <c r="B394" t="s">
        <v>1453</v>
      </c>
      <c r="C394" t="s">
        <v>1460</v>
      </c>
      <c r="E394">
        <v>83100</v>
      </c>
    </row>
    <row r="395" spans="1:5" x14ac:dyDescent="0.25">
      <c r="B395" t="s">
        <v>1454</v>
      </c>
      <c r="C395" t="s">
        <v>1460</v>
      </c>
      <c r="E395">
        <v>83100</v>
      </c>
    </row>
    <row r="396" spans="1:5" x14ac:dyDescent="0.25">
      <c r="B396" t="s">
        <v>1455</v>
      </c>
      <c r="C396" t="s">
        <v>1460</v>
      </c>
      <c r="E396">
        <v>83100</v>
      </c>
    </row>
    <row r="397" spans="1:5" x14ac:dyDescent="0.25">
      <c r="B397" t="s">
        <v>1456</v>
      </c>
      <c r="C397" t="s">
        <v>1460</v>
      </c>
      <c r="E397">
        <v>83100</v>
      </c>
    </row>
    <row r="398" spans="1:5" x14ac:dyDescent="0.25">
      <c r="B398" t="s">
        <v>1457</v>
      </c>
      <c r="C398" t="s">
        <v>1460</v>
      </c>
      <c r="E398">
        <v>83100</v>
      </c>
    </row>
  </sheetData>
  <phoneticPr fontId="3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O11"/>
  <sheetViews>
    <sheetView zoomScaleNormal="100" workbookViewId="0">
      <selection activeCell="O1" sqref="O1:P1"/>
    </sheetView>
  </sheetViews>
  <sheetFormatPr defaultRowHeight="12.5" x14ac:dyDescent="0.25"/>
  <sheetData>
    <row r="1" spans="1:93" s="194" customFormat="1" ht="75" x14ac:dyDescent="0.25">
      <c r="A1" s="198"/>
      <c r="C1" s="199"/>
      <c r="D1" s="200" t="s">
        <v>472</v>
      </c>
      <c r="E1" s="195" t="s">
        <v>473</v>
      </c>
      <c r="F1" s="201" t="s">
        <v>474</v>
      </c>
      <c r="G1" s="195" t="s">
        <v>475</v>
      </c>
      <c r="H1" s="195" t="s">
        <v>476</v>
      </c>
      <c r="I1" s="201" t="s">
        <v>477</v>
      </c>
      <c r="J1" s="195" t="s">
        <v>478</v>
      </c>
      <c r="K1" s="195" t="s">
        <v>479</v>
      </c>
      <c r="L1" s="194" t="s">
        <v>1139</v>
      </c>
      <c r="M1" s="30" t="s">
        <v>576</v>
      </c>
      <c r="N1" s="195" t="s">
        <v>480</v>
      </c>
      <c r="O1" s="194" t="s">
        <v>1140</v>
      </c>
      <c r="P1" s="194" t="s">
        <v>1141</v>
      </c>
      <c r="Q1" s="23" t="s">
        <v>481</v>
      </c>
      <c r="R1" s="201" t="s">
        <v>482</v>
      </c>
      <c r="S1" s="194" t="s">
        <v>1142</v>
      </c>
      <c r="T1" s="194" t="s">
        <v>1020</v>
      </c>
      <c r="U1" s="195" t="s">
        <v>483</v>
      </c>
      <c r="V1" s="201" t="s">
        <v>484</v>
      </c>
      <c r="W1" s="24" t="s">
        <v>485</v>
      </c>
      <c r="X1" s="194" t="s">
        <v>1143</v>
      </c>
      <c r="Y1" s="194" t="s">
        <v>1144</v>
      </c>
      <c r="Z1" s="195" t="s">
        <v>487</v>
      </c>
      <c r="AA1" s="30" t="s">
        <v>577</v>
      </c>
      <c r="AB1" s="195" t="s">
        <v>490</v>
      </c>
      <c r="AC1" s="195" t="s">
        <v>491</v>
      </c>
      <c r="AD1" s="30" t="s">
        <v>578</v>
      </c>
      <c r="AE1" s="30" t="s">
        <v>579</v>
      </c>
      <c r="AF1" s="195" t="s">
        <v>1145</v>
      </c>
      <c r="AG1" s="195" t="s">
        <v>493</v>
      </c>
      <c r="AH1" s="195" t="s">
        <v>494</v>
      </c>
      <c r="AI1" s="195" t="s">
        <v>495</v>
      </c>
      <c r="AJ1" s="195" t="s">
        <v>496</v>
      </c>
      <c r="AK1" s="30" t="s">
        <v>580</v>
      </c>
      <c r="AL1" s="30" t="s">
        <v>581</v>
      </c>
      <c r="AM1" s="195" t="s">
        <v>487</v>
      </c>
      <c r="AN1" s="195" t="s">
        <v>497</v>
      </c>
      <c r="AO1" s="195" t="s">
        <v>495</v>
      </c>
      <c r="AP1" s="195" t="s">
        <v>489</v>
      </c>
      <c r="AQ1" s="195" t="s">
        <v>488</v>
      </c>
      <c r="AR1" s="195" t="s">
        <v>488</v>
      </c>
      <c r="AS1" s="195" t="s">
        <v>498</v>
      </c>
      <c r="AT1" s="30" t="s">
        <v>582</v>
      </c>
      <c r="AU1" s="194" t="s">
        <v>1146</v>
      </c>
      <c r="AV1" s="195" t="s">
        <v>499</v>
      </c>
      <c r="AW1" s="195" t="s">
        <v>500</v>
      </c>
      <c r="AX1" s="195" t="s">
        <v>501</v>
      </c>
      <c r="AY1" s="195" t="s">
        <v>476</v>
      </c>
      <c r="AZ1" s="195" t="s">
        <v>502</v>
      </c>
      <c r="BA1" s="195" t="s">
        <v>503</v>
      </c>
      <c r="BB1" s="195" t="s">
        <v>504</v>
      </c>
      <c r="BC1" s="195" t="s">
        <v>505</v>
      </c>
      <c r="BD1" s="195" t="s">
        <v>506</v>
      </c>
      <c r="BE1" s="195" t="s">
        <v>324</v>
      </c>
      <c r="BF1" s="195" t="s">
        <v>507</v>
      </c>
      <c r="BG1" s="195" t="s">
        <v>508</v>
      </c>
      <c r="BH1" s="25" t="s">
        <v>509</v>
      </c>
      <c r="BI1" s="30" t="s">
        <v>583</v>
      </c>
      <c r="BJ1" s="30" t="s">
        <v>584</v>
      </c>
      <c r="BK1" s="194" t="s">
        <v>796</v>
      </c>
      <c r="BL1" s="195" t="s">
        <v>510</v>
      </c>
      <c r="BM1" s="201" t="s">
        <v>511</v>
      </c>
      <c r="BN1" s="201" t="s">
        <v>512</v>
      </c>
      <c r="BO1" s="195" t="s">
        <v>513</v>
      </c>
      <c r="BP1" s="195" t="s">
        <v>514</v>
      </c>
      <c r="BQ1" s="195" t="s">
        <v>515</v>
      </c>
      <c r="BR1" s="195" t="s">
        <v>516</v>
      </c>
      <c r="BS1" s="195" t="s">
        <v>517</v>
      </c>
      <c r="BT1" s="201" t="s">
        <v>518</v>
      </c>
      <c r="BU1" s="23" t="s">
        <v>519</v>
      </c>
      <c r="BV1" s="195" t="s">
        <v>520</v>
      </c>
      <c r="BW1" s="195" t="s">
        <v>531</v>
      </c>
      <c r="BX1" s="201" t="s">
        <v>538</v>
      </c>
      <c r="BY1" s="201" t="s">
        <v>539</v>
      </c>
      <c r="BZ1" s="195" t="s">
        <v>540</v>
      </c>
      <c r="CA1" s="195" t="s">
        <v>541</v>
      </c>
      <c r="CB1" s="195" t="s">
        <v>542</v>
      </c>
      <c r="CC1" s="195" t="s">
        <v>543</v>
      </c>
      <c r="CD1" s="195" t="s">
        <v>544</v>
      </c>
      <c r="CE1" s="30" t="s">
        <v>585</v>
      </c>
      <c r="CF1" s="195" t="s">
        <v>545</v>
      </c>
      <c r="CG1" s="195" t="s">
        <v>546</v>
      </c>
      <c r="CH1" s="26" t="s">
        <v>1147</v>
      </c>
      <c r="CI1" s="30" t="s">
        <v>586</v>
      </c>
      <c r="CJ1" s="26" t="s">
        <v>1148</v>
      </c>
      <c r="CK1" s="26" t="s">
        <v>1150</v>
      </c>
      <c r="CL1" s="26" t="s">
        <v>1151</v>
      </c>
      <c r="CM1" s="195" t="s">
        <v>552</v>
      </c>
      <c r="CN1" s="195" t="s">
        <v>553</v>
      </c>
      <c r="CO1" s="26"/>
    </row>
    <row r="2" spans="1:93" s="1" customFormat="1" x14ac:dyDescent="0.25">
      <c r="A2" s="4"/>
      <c r="C2" s="6"/>
      <c r="D2" s="202" t="s">
        <v>371</v>
      </c>
      <c r="E2" s="196" t="s">
        <v>372</v>
      </c>
      <c r="F2" s="202" t="s">
        <v>373</v>
      </c>
      <c r="G2" s="196" t="s">
        <v>374</v>
      </c>
      <c r="H2" s="196" t="s">
        <v>375</v>
      </c>
      <c r="I2" s="196" t="s">
        <v>376</v>
      </c>
      <c r="J2" s="196" t="s">
        <v>377</v>
      </c>
      <c r="K2" s="196" t="s">
        <v>378</v>
      </c>
      <c r="M2" s="13" t="s">
        <v>379</v>
      </c>
      <c r="N2" s="196" t="s">
        <v>380</v>
      </c>
      <c r="Q2" s="12" t="s">
        <v>381</v>
      </c>
      <c r="R2" s="13" t="s">
        <v>382</v>
      </c>
      <c r="U2" s="196" t="s">
        <v>383</v>
      </c>
      <c r="V2" s="196" t="s">
        <v>384</v>
      </c>
      <c r="W2" s="13" t="s">
        <v>385</v>
      </c>
      <c r="Z2" s="196" t="s">
        <v>387</v>
      </c>
      <c r="AA2" s="12" t="s">
        <v>390</v>
      </c>
      <c r="AB2" s="196" t="s">
        <v>391</v>
      </c>
      <c r="AC2" s="196" t="s">
        <v>392</v>
      </c>
      <c r="AD2" s="13" t="s">
        <v>393</v>
      </c>
      <c r="AE2" s="12" t="s">
        <v>394</v>
      </c>
      <c r="AF2" s="196"/>
      <c r="AG2" s="196" t="s">
        <v>396</v>
      </c>
      <c r="AH2" s="196" t="s">
        <v>397</v>
      </c>
      <c r="AI2" s="196" t="s">
        <v>398</v>
      </c>
      <c r="AJ2" s="196" t="s">
        <v>399</v>
      </c>
      <c r="AK2" s="12" t="s">
        <v>400</v>
      </c>
      <c r="AL2" s="13" t="s">
        <v>401</v>
      </c>
      <c r="AM2" s="196" t="s">
        <v>402</v>
      </c>
      <c r="AN2" s="196" t="s">
        <v>403</v>
      </c>
      <c r="AO2" s="196" t="s">
        <v>405</v>
      </c>
      <c r="AP2" s="196" t="s">
        <v>406</v>
      </c>
      <c r="AQ2" s="196" t="s">
        <v>407</v>
      </c>
      <c r="AR2" s="196" t="s">
        <v>408</v>
      </c>
      <c r="AS2" s="13" t="s">
        <v>409</v>
      </c>
      <c r="AT2" s="12" t="s">
        <v>410</v>
      </c>
      <c r="AV2" s="196" t="s">
        <v>411</v>
      </c>
      <c r="AW2" s="196" t="s">
        <v>412</v>
      </c>
      <c r="AX2" s="196" t="s">
        <v>413</v>
      </c>
      <c r="AY2" s="196" t="s">
        <v>414</v>
      </c>
      <c r="AZ2" s="196" t="s">
        <v>415</v>
      </c>
      <c r="BA2" s="196" t="s">
        <v>416</v>
      </c>
      <c r="BB2" s="196" t="s">
        <v>417</v>
      </c>
      <c r="BC2" s="196" t="s">
        <v>418</v>
      </c>
      <c r="BD2" s="196" t="s">
        <v>419</v>
      </c>
      <c r="BE2" s="196" t="s">
        <v>420</v>
      </c>
      <c r="BF2" s="196" t="s">
        <v>421</v>
      </c>
      <c r="BG2" s="196" t="s">
        <v>422</v>
      </c>
      <c r="BH2" s="13" t="s">
        <v>423</v>
      </c>
      <c r="BI2" s="12" t="s">
        <v>424</v>
      </c>
      <c r="BJ2" s="13" t="s">
        <v>425</v>
      </c>
      <c r="BK2" s="13" t="s">
        <v>799</v>
      </c>
      <c r="BL2" s="196" t="s">
        <v>426</v>
      </c>
      <c r="BM2" s="202" t="s">
        <v>427</v>
      </c>
      <c r="BN2" s="202" t="s">
        <v>428</v>
      </c>
      <c r="BO2" s="196" t="s">
        <v>429</v>
      </c>
      <c r="BP2" s="196" t="s">
        <v>430</v>
      </c>
      <c r="BQ2" s="196" t="s">
        <v>431</v>
      </c>
      <c r="BR2" s="196" t="s">
        <v>432</v>
      </c>
      <c r="BS2" s="196" t="s">
        <v>433</v>
      </c>
      <c r="BT2" s="202" t="s">
        <v>434</v>
      </c>
      <c r="BU2" s="12" t="s">
        <v>435</v>
      </c>
      <c r="BV2" s="196" t="s">
        <v>436</v>
      </c>
      <c r="BW2" s="196" t="s">
        <v>447</v>
      </c>
      <c r="BX2" s="202" t="s">
        <v>454</v>
      </c>
      <c r="BY2" s="202" t="s">
        <v>455</v>
      </c>
      <c r="BZ2" s="196" t="s">
        <v>456</v>
      </c>
      <c r="CA2" s="196" t="s">
        <v>457</v>
      </c>
      <c r="CB2" s="196" t="s">
        <v>458</v>
      </c>
      <c r="CC2" s="196" t="s">
        <v>459</v>
      </c>
      <c r="CD2" s="196" t="s">
        <v>460</v>
      </c>
      <c r="CE2" s="13" t="s">
        <v>461</v>
      </c>
      <c r="CF2" s="196" t="s">
        <v>462</v>
      </c>
      <c r="CG2" s="196" t="s">
        <v>463</v>
      </c>
      <c r="CH2" s="12"/>
      <c r="CI2" s="13" t="s">
        <v>469</v>
      </c>
      <c r="CJ2" s="12"/>
      <c r="CK2" s="12"/>
      <c r="CL2" s="12"/>
      <c r="CM2" s="196" t="s">
        <v>470</v>
      </c>
      <c r="CN2" s="196" t="s">
        <v>471</v>
      </c>
      <c r="CO2" s="13"/>
    </row>
    <row r="3" spans="1:93" s="11" customFormat="1" x14ac:dyDescent="0.25">
      <c r="A3" s="10" t="s">
        <v>366</v>
      </c>
      <c r="B3" s="11" t="s">
        <v>54</v>
      </c>
      <c r="C3" s="12" t="s">
        <v>369</v>
      </c>
      <c r="D3" s="13" t="s">
        <v>371</v>
      </c>
      <c r="E3" s="12" t="s">
        <v>372</v>
      </c>
      <c r="F3" s="13" t="s">
        <v>373</v>
      </c>
      <c r="G3" s="12" t="s">
        <v>374</v>
      </c>
      <c r="H3" s="13" t="s">
        <v>375</v>
      </c>
      <c r="I3" s="12" t="s">
        <v>376</v>
      </c>
      <c r="J3" s="13" t="s">
        <v>377</v>
      </c>
      <c r="K3" s="12" t="s">
        <v>378</v>
      </c>
      <c r="L3" s="13" t="s">
        <v>897</v>
      </c>
      <c r="M3" s="12" t="s">
        <v>379</v>
      </c>
      <c r="N3" s="13" t="s">
        <v>380</v>
      </c>
      <c r="O3" s="12" t="s">
        <v>891</v>
      </c>
      <c r="P3" s="13" t="s">
        <v>892</v>
      </c>
      <c r="Q3" s="12" t="s">
        <v>381</v>
      </c>
      <c r="R3" s="13" t="s">
        <v>382</v>
      </c>
      <c r="S3" s="12" t="s">
        <v>893</v>
      </c>
      <c r="T3" s="13" t="s">
        <v>894</v>
      </c>
      <c r="U3" s="12" t="s">
        <v>383</v>
      </c>
      <c r="V3" s="13" t="s">
        <v>384</v>
      </c>
      <c r="W3" s="12" t="s">
        <v>385</v>
      </c>
      <c r="X3" s="13" t="s">
        <v>790</v>
      </c>
      <c r="Y3" s="12" t="s">
        <v>791</v>
      </c>
      <c r="Z3" s="13" t="s">
        <v>387</v>
      </c>
      <c r="AA3" s="12" t="s">
        <v>390</v>
      </c>
      <c r="AB3" s="13" t="s">
        <v>391</v>
      </c>
      <c r="AC3" s="12" t="s">
        <v>392</v>
      </c>
      <c r="AD3" s="13" t="s">
        <v>393</v>
      </c>
      <c r="AE3" s="12" t="s">
        <v>394</v>
      </c>
      <c r="AF3" s="13" t="s">
        <v>896</v>
      </c>
      <c r="AG3" s="12" t="s">
        <v>396</v>
      </c>
      <c r="AH3" s="13" t="s">
        <v>397</v>
      </c>
      <c r="AI3" s="12" t="s">
        <v>398</v>
      </c>
      <c r="AJ3" s="13" t="s">
        <v>399</v>
      </c>
      <c r="AK3" s="12" t="s">
        <v>400</v>
      </c>
      <c r="AL3" s="13" t="s">
        <v>401</v>
      </c>
      <c r="AM3" s="12" t="s">
        <v>402</v>
      </c>
      <c r="AN3" s="13" t="s">
        <v>403</v>
      </c>
      <c r="AO3" s="12" t="s">
        <v>405</v>
      </c>
      <c r="AP3" s="13" t="s">
        <v>406</v>
      </c>
      <c r="AQ3" s="12" t="s">
        <v>407</v>
      </c>
      <c r="AR3" s="13" t="s">
        <v>408</v>
      </c>
      <c r="AS3" s="12" t="s">
        <v>409</v>
      </c>
      <c r="AT3" s="13" t="s">
        <v>410</v>
      </c>
      <c r="AU3" s="12" t="s">
        <v>898</v>
      </c>
      <c r="AV3" s="13" t="s">
        <v>411</v>
      </c>
      <c r="AW3" s="12" t="s">
        <v>412</v>
      </c>
      <c r="AX3" s="13" t="s">
        <v>413</v>
      </c>
      <c r="AY3" s="12" t="s">
        <v>414</v>
      </c>
      <c r="AZ3" s="13" t="s">
        <v>415</v>
      </c>
      <c r="BA3" s="12" t="s">
        <v>416</v>
      </c>
      <c r="BB3" s="13" t="s">
        <v>417</v>
      </c>
      <c r="BC3" s="12" t="s">
        <v>418</v>
      </c>
      <c r="BD3" s="13" t="s">
        <v>419</v>
      </c>
      <c r="BE3" s="12" t="s">
        <v>420</v>
      </c>
      <c r="BG3" s="13" t="s">
        <v>422</v>
      </c>
      <c r="BH3" s="12" t="s">
        <v>423</v>
      </c>
      <c r="BJ3" s="13" t="s">
        <v>425</v>
      </c>
      <c r="BK3" s="12" t="s">
        <v>799</v>
      </c>
      <c r="BL3" s="13" t="s">
        <v>426</v>
      </c>
      <c r="BM3" s="12" t="s">
        <v>427</v>
      </c>
      <c r="BN3" s="13" t="s">
        <v>428</v>
      </c>
      <c r="BO3" s="12" t="s">
        <v>429</v>
      </c>
      <c r="BP3" s="13" t="s">
        <v>430</v>
      </c>
      <c r="BQ3" s="12" t="s">
        <v>431</v>
      </c>
      <c r="BR3" s="13" t="s">
        <v>432</v>
      </c>
      <c r="BS3" s="12" t="s">
        <v>433</v>
      </c>
      <c r="BT3" s="13" t="s">
        <v>434</v>
      </c>
      <c r="BU3" s="12" t="s">
        <v>435</v>
      </c>
      <c r="BV3" s="13" t="s">
        <v>436</v>
      </c>
      <c r="BW3" s="12" t="s">
        <v>447</v>
      </c>
      <c r="BX3" s="13" t="s">
        <v>454</v>
      </c>
      <c r="BY3" s="12" t="s">
        <v>455</v>
      </c>
      <c r="BZ3" s="13" t="s">
        <v>456</v>
      </c>
      <c r="CA3" s="12" t="s">
        <v>457</v>
      </c>
      <c r="CB3" s="13" t="s">
        <v>458</v>
      </c>
      <c r="CC3" s="12" t="s">
        <v>459</v>
      </c>
      <c r="CD3" s="13" t="s">
        <v>460</v>
      </c>
      <c r="CE3" s="12" t="s">
        <v>461</v>
      </c>
      <c r="CF3" s="13" t="s">
        <v>462</v>
      </c>
      <c r="CG3" s="12" t="s">
        <v>463</v>
      </c>
      <c r="CH3" s="13" t="s">
        <v>899</v>
      </c>
      <c r="CI3" s="12" t="s">
        <v>469</v>
      </c>
      <c r="CJ3" s="13" t="s">
        <v>895</v>
      </c>
      <c r="CK3" s="456" t="s">
        <v>920</v>
      </c>
      <c r="CL3" s="456" t="s">
        <v>1149</v>
      </c>
      <c r="CM3" s="12" t="s">
        <v>470</v>
      </c>
      <c r="CN3" s="13" t="s">
        <v>471</v>
      </c>
      <c r="CO3" s="14" t="s">
        <v>365</v>
      </c>
    </row>
    <row r="4" spans="1:93" s="309" customFormat="1" x14ac:dyDescent="0.25">
      <c r="A4" s="308"/>
      <c r="C4" s="310"/>
      <c r="D4" s="13" t="s">
        <v>371</v>
      </c>
      <c r="E4" s="12" t="s">
        <v>372</v>
      </c>
      <c r="F4" s="13" t="s">
        <v>373</v>
      </c>
      <c r="G4" s="12" t="s">
        <v>374</v>
      </c>
      <c r="H4" s="13" t="s">
        <v>375</v>
      </c>
      <c r="I4" s="12" t="s">
        <v>376</v>
      </c>
      <c r="J4" s="13" t="s">
        <v>377</v>
      </c>
      <c r="K4" s="12" t="s">
        <v>378</v>
      </c>
      <c r="L4" s="13" t="s">
        <v>897</v>
      </c>
      <c r="M4" s="12" t="s">
        <v>379</v>
      </c>
      <c r="N4" s="13" t="s">
        <v>380</v>
      </c>
      <c r="O4" s="12" t="s">
        <v>891</v>
      </c>
      <c r="P4" s="13" t="s">
        <v>892</v>
      </c>
      <c r="Q4" s="12" t="s">
        <v>381</v>
      </c>
      <c r="R4" s="13" t="s">
        <v>382</v>
      </c>
      <c r="S4" s="12" t="s">
        <v>893</v>
      </c>
      <c r="T4" s="13" t="s">
        <v>894</v>
      </c>
      <c r="U4" s="12" t="s">
        <v>383</v>
      </c>
      <c r="V4" s="13" t="s">
        <v>384</v>
      </c>
      <c r="W4" s="12" t="s">
        <v>385</v>
      </c>
      <c r="X4" s="13" t="s">
        <v>790</v>
      </c>
      <c r="Y4" s="12" t="s">
        <v>791</v>
      </c>
      <c r="Z4" s="13" t="s">
        <v>387</v>
      </c>
      <c r="AA4" s="12" t="s">
        <v>390</v>
      </c>
      <c r="AB4" s="13" t="s">
        <v>391</v>
      </c>
      <c r="AC4" s="12" t="s">
        <v>392</v>
      </c>
      <c r="AD4" s="13" t="s">
        <v>393</v>
      </c>
      <c r="AE4" s="12" t="s">
        <v>394</v>
      </c>
      <c r="AF4" s="13" t="s">
        <v>896</v>
      </c>
      <c r="AG4" s="12" t="s">
        <v>396</v>
      </c>
      <c r="AH4" s="13" t="s">
        <v>397</v>
      </c>
      <c r="AI4" s="12" t="s">
        <v>398</v>
      </c>
      <c r="AJ4" s="13" t="s">
        <v>399</v>
      </c>
      <c r="AK4" s="12" t="s">
        <v>400</v>
      </c>
      <c r="AL4" s="13" t="s">
        <v>401</v>
      </c>
      <c r="AM4" s="12" t="s">
        <v>402</v>
      </c>
      <c r="AN4" s="13" t="s">
        <v>403</v>
      </c>
      <c r="AO4" s="12" t="s">
        <v>405</v>
      </c>
      <c r="AP4" s="13" t="s">
        <v>406</v>
      </c>
      <c r="AQ4" s="12" t="s">
        <v>407</v>
      </c>
      <c r="AR4" s="13" t="s">
        <v>408</v>
      </c>
      <c r="AS4" s="12" t="s">
        <v>409</v>
      </c>
      <c r="AT4" s="13" t="s">
        <v>410</v>
      </c>
      <c r="AU4" s="12" t="s">
        <v>898</v>
      </c>
      <c r="AV4" s="13" t="s">
        <v>411</v>
      </c>
      <c r="AW4" s="12" t="s">
        <v>412</v>
      </c>
      <c r="AX4" s="13" t="s">
        <v>413</v>
      </c>
      <c r="AY4" s="12" t="s">
        <v>414</v>
      </c>
      <c r="AZ4" s="13" t="s">
        <v>415</v>
      </c>
      <c r="BA4" s="12" t="s">
        <v>416</v>
      </c>
      <c r="BB4" s="13" t="s">
        <v>417</v>
      </c>
      <c r="BC4" s="12" t="s">
        <v>418</v>
      </c>
      <c r="BD4" s="13" t="s">
        <v>419</v>
      </c>
      <c r="BE4" s="12" t="s">
        <v>420</v>
      </c>
      <c r="BG4" s="13" t="s">
        <v>422</v>
      </c>
      <c r="BH4" s="12" t="s">
        <v>423</v>
      </c>
      <c r="BJ4" s="13" t="s">
        <v>425</v>
      </c>
      <c r="BK4" s="12" t="s">
        <v>799</v>
      </c>
      <c r="BL4" s="13" t="s">
        <v>426</v>
      </c>
      <c r="BM4" s="12" t="s">
        <v>427</v>
      </c>
      <c r="BN4" s="13" t="s">
        <v>428</v>
      </c>
      <c r="BO4" s="12" t="s">
        <v>429</v>
      </c>
      <c r="BP4" s="13" t="s">
        <v>430</v>
      </c>
      <c r="BQ4" s="12" t="s">
        <v>431</v>
      </c>
      <c r="BR4" s="13" t="s">
        <v>432</v>
      </c>
      <c r="BS4" s="12" t="s">
        <v>433</v>
      </c>
      <c r="BT4" s="13" t="s">
        <v>434</v>
      </c>
      <c r="BU4" s="12" t="s">
        <v>435</v>
      </c>
      <c r="BV4" s="13" t="s">
        <v>436</v>
      </c>
      <c r="BW4" s="12" t="s">
        <v>447</v>
      </c>
      <c r="BX4" s="13" t="s">
        <v>454</v>
      </c>
      <c r="BY4" s="12" t="s">
        <v>455</v>
      </c>
      <c r="BZ4" s="13" t="s">
        <v>456</v>
      </c>
      <c r="CA4" s="12" t="s">
        <v>457</v>
      </c>
      <c r="CB4" s="13" t="s">
        <v>458</v>
      </c>
      <c r="CC4" s="12" t="s">
        <v>459</v>
      </c>
      <c r="CD4" s="13" t="s">
        <v>460</v>
      </c>
      <c r="CE4" s="12" t="s">
        <v>461</v>
      </c>
      <c r="CF4" s="13" t="s">
        <v>462</v>
      </c>
      <c r="CG4" s="12" t="s">
        <v>463</v>
      </c>
      <c r="CH4" s="13" t="s">
        <v>899</v>
      </c>
      <c r="CI4" s="12" t="s">
        <v>469</v>
      </c>
      <c r="CJ4" s="13" t="s">
        <v>895</v>
      </c>
      <c r="CK4" s="456" t="s">
        <v>920</v>
      </c>
      <c r="CL4" s="456" t="s">
        <v>1149</v>
      </c>
      <c r="CM4" s="12" t="s">
        <v>470</v>
      </c>
      <c r="CN4" s="13" t="s">
        <v>471</v>
      </c>
      <c r="CO4" s="14" t="s">
        <v>365</v>
      </c>
    </row>
    <row r="5" spans="1:93" s="16" customFormat="1" ht="13" thickBot="1" x14ac:dyDescent="0.3">
      <c r="A5" s="15" t="s">
        <v>367</v>
      </c>
      <c r="B5" s="16" t="s">
        <v>368</v>
      </c>
      <c r="C5" s="17" t="s">
        <v>370</v>
      </c>
      <c r="D5" s="18" t="s">
        <v>370</v>
      </c>
      <c r="E5" s="17" t="s">
        <v>370</v>
      </c>
      <c r="F5" s="18" t="s">
        <v>370</v>
      </c>
      <c r="G5" s="17" t="s">
        <v>370</v>
      </c>
      <c r="H5" s="18" t="s">
        <v>370</v>
      </c>
      <c r="I5" s="17" t="s">
        <v>370</v>
      </c>
      <c r="J5" s="18" t="s">
        <v>370</v>
      </c>
      <c r="K5" s="17" t="s">
        <v>370</v>
      </c>
      <c r="L5" s="18" t="s">
        <v>370</v>
      </c>
      <c r="M5" s="17" t="s">
        <v>370</v>
      </c>
      <c r="N5" s="18" t="s">
        <v>370</v>
      </c>
      <c r="O5" s="17" t="s">
        <v>370</v>
      </c>
      <c r="P5" s="18" t="s">
        <v>370</v>
      </c>
      <c r="Q5" s="17" t="s">
        <v>370</v>
      </c>
      <c r="R5" s="18" t="s">
        <v>370</v>
      </c>
      <c r="S5" s="17" t="s">
        <v>370</v>
      </c>
      <c r="T5" s="18" t="s">
        <v>370</v>
      </c>
      <c r="U5" s="17" t="s">
        <v>370</v>
      </c>
      <c r="V5" s="18" t="s">
        <v>370</v>
      </c>
      <c r="W5" s="17" t="s">
        <v>370</v>
      </c>
      <c r="X5" s="18" t="s">
        <v>370</v>
      </c>
      <c r="Y5" s="17" t="s">
        <v>370</v>
      </c>
      <c r="Z5" s="18" t="s">
        <v>370</v>
      </c>
      <c r="AA5" s="17" t="s">
        <v>370</v>
      </c>
      <c r="AB5" s="18" t="s">
        <v>370</v>
      </c>
      <c r="AC5" s="17" t="s">
        <v>370</v>
      </c>
      <c r="AD5" s="18" t="s">
        <v>370</v>
      </c>
      <c r="AE5" s="17" t="s">
        <v>370</v>
      </c>
      <c r="AF5" s="18" t="s">
        <v>370</v>
      </c>
      <c r="AG5" s="17" t="s">
        <v>370</v>
      </c>
      <c r="AH5" s="18" t="s">
        <v>370</v>
      </c>
      <c r="AI5" s="17" t="s">
        <v>370</v>
      </c>
      <c r="AJ5" s="18" t="s">
        <v>370</v>
      </c>
      <c r="AK5" s="17" t="s">
        <v>370</v>
      </c>
      <c r="AL5" s="18" t="s">
        <v>370</v>
      </c>
      <c r="AM5" s="17" t="s">
        <v>370</v>
      </c>
      <c r="AN5" s="18" t="s">
        <v>370</v>
      </c>
      <c r="AO5" s="17" t="s">
        <v>370</v>
      </c>
      <c r="AP5" s="18" t="s">
        <v>370</v>
      </c>
      <c r="AQ5" s="17" t="s">
        <v>370</v>
      </c>
      <c r="AR5" s="18" t="s">
        <v>370</v>
      </c>
      <c r="AS5" s="17" t="s">
        <v>370</v>
      </c>
      <c r="AT5" s="18" t="s">
        <v>370</v>
      </c>
      <c r="AU5" s="17" t="s">
        <v>370</v>
      </c>
      <c r="AV5" s="18" t="s">
        <v>370</v>
      </c>
      <c r="AW5" s="17" t="s">
        <v>370</v>
      </c>
      <c r="AX5" s="18" t="s">
        <v>370</v>
      </c>
      <c r="AY5" s="17" t="s">
        <v>370</v>
      </c>
      <c r="AZ5" s="18" t="s">
        <v>370</v>
      </c>
      <c r="BA5" s="17" t="s">
        <v>370</v>
      </c>
      <c r="BB5" s="18" t="s">
        <v>370</v>
      </c>
      <c r="BC5" s="17" t="s">
        <v>370</v>
      </c>
      <c r="BD5" s="18" t="s">
        <v>370</v>
      </c>
      <c r="BE5" s="17" t="s">
        <v>370</v>
      </c>
      <c r="BF5" s="18" t="s">
        <v>370</v>
      </c>
      <c r="BG5" s="17" t="s">
        <v>370</v>
      </c>
      <c r="BH5" s="18" t="s">
        <v>370</v>
      </c>
      <c r="BI5" s="17" t="s">
        <v>370</v>
      </c>
      <c r="BJ5" s="18" t="s">
        <v>370</v>
      </c>
      <c r="BK5" s="18" t="s">
        <v>370</v>
      </c>
      <c r="BL5" s="17" t="s">
        <v>370</v>
      </c>
      <c r="BM5" s="18" t="s">
        <v>370</v>
      </c>
      <c r="BN5" s="17" t="s">
        <v>370</v>
      </c>
      <c r="BO5" s="18" t="s">
        <v>370</v>
      </c>
      <c r="BP5" s="17" t="s">
        <v>370</v>
      </c>
      <c r="BQ5" s="18" t="s">
        <v>370</v>
      </c>
      <c r="BR5" s="17" t="s">
        <v>370</v>
      </c>
      <c r="BS5" s="18" t="s">
        <v>370</v>
      </c>
      <c r="BT5" s="17" t="s">
        <v>370</v>
      </c>
      <c r="BU5" s="18" t="s">
        <v>370</v>
      </c>
      <c r="BV5" s="17" t="s">
        <v>370</v>
      </c>
      <c r="BW5" s="18" t="s">
        <v>370</v>
      </c>
      <c r="BX5" s="17" t="s">
        <v>370</v>
      </c>
      <c r="BY5" s="18" t="s">
        <v>370</v>
      </c>
      <c r="BZ5" s="17" t="s">
        <v>370</v>
      </c>
      <c r="CA5" s="18" t="s">
        <v>370</v>
      </c>
      <c r="CB5" s="17" t="s">
        <v>370</v>
      </c>
      <c r="CC5" s="18" t="s">
        <v>370</v>
      </c>
      <c r="CD5" s="17" t="s">
        <v>370</v>
      </c>
      <c r="CE5" s="18" t="s">
        <v>370</v>
      </c>
      <c r="CF5" s="17" t="s">
        <v>370</v>
      </c>
      <c r="CG5" s="18" t="s">
        <v>370</v>
      </c>
      <c r="CH5" s="17" t="s">
        <v>370</v>
      </c>
      <c r="CI5" s="18" t="s">
        <v>370</v>
      </c>
      <c r="CJ5" s="19" t="s">
        <v>370</v>
      </c>
      <c r="CK5" s="455"/>
      <c r="CL5" s="455"/>
    </row>
    <row r="6" spans="1:93" ht="13" thickTop="1" x14ac:dyDescent="0.25"/>
    <row r="8" spans="1:93" ht="13" thickBot="1" x14ac:dyDescent="0.3"/>
    <row r="9" spans="1:93" ht="169" thickTop="1" thickBot="1" x14ac:dyDescent="0.35">
      <c r="A9" s="1179" t="s">
        <v>591</v>
      </c>
      <c r="B9" s="1177"/>
      <c r="C9" s="1178"/>
      <c r="D9" s="1176" t="s">
        <v>592</v>
      </c>
      <c r="E9" s="1177"/>
      <c r="F9" s="1178"/>
      <c r="G9" s="1176" t="s">
        <v>593</v>
      </c>
      <c r="H9" s="1177"/>
      <c r="I9" s="1178"/>
      <c r="J9" s="1176" t="s">
        <v>594</v>
      </c>
      <c r="K9" s="1177"/>
      <c r="L9" s="1177"/>
      <c r="M9" s="1180" t="s">
        <v>554</v>
      </c>
      <c r="N9" s="1177"/>
      <c r="O9" s="1181"/>
      <c r="P9" s="193" t="s">
        <v>595</v>
      </c>
      <c r="Q9" s="1176" t="s">
        <v>596</v>
      </c>
      <c r="R9" s="1177"/>
      <c r="S9" s="1178"/>
      <c r="U9" s="59" t="s">
        <v>598</v>
      </c>
      <c r="W9" s="1182" t="s">
        <v>599</v>
      </c>
      <c r="X9" s="1183"/>
      <c r="Y9" s="1184"/>
      <c r="AB9" s="1188" t="s">
        <v>558</v>
      </c>
      <c r="AC9" s="1188"/>
      <c r="AD9" s="1189"/>
      <c r="AE9" s="61" t="s">
        <v>559</v>
      </c>
      <c r="AF9" s="1190" t="s">
        <v>560</v>
      </c>
      <c r="AG9" s="1188"/>
      <c r="AH9" s="1189"/>
      <c r="AI9" s="1190" t="s">
        <v>561</v>
      </c>
      <c r="AJ9" s="1188"/>
      <c r="AK9" s="1189"/>
      <c r="AL9" s="62" t="s">
        <v>562</v>
      </c>
      <c r="AM9" s="63" t="s">
        <v>539</v>
      </c>
      <c r="AN9" s="61" t="s">
        <v>563</v>
      </c>
      <c r="AO9" s="1190" t="s">
        <v>601</v>
      </c>
      <c r="AP9" s="1188"/>
      <c r="AQ9" s="1189"/>
      <c r="AT9" s="1191" t="s">
        <v>606</v>
      </c>
      <c r="AU9" s="1192"/>
      <c r="AV9" s="1192"/>
      <c r="AW9" s="1192"/>
      <c r="AX9" s="1192"/>
      <c r="AY9" s="1192"/>
      <c r="AZ9" s="66" t="s">
        <v>607</v>
      </c>
      <c r="BC9" s="1182" t="s">
        <v>556</v>
      </c>
      <c r="BD9" s="1183"/>
      <c r="BE9" s="1184"/>
      <c r="BF9" s="1185" t="s">
        <v>557</v>
      </c>
      <c r="BG9" s="1185" t="s">
        <v>614</v>
      </c>
      <c r="BH9" s="1187" t="s">
        <v>614</v>
      </c>
      <c r="BI9" s="1187"/>
      <c r="BJ9" s="1187"/>
    </row>
    <row r="10" spans="1:93" ht="183" thickTop="1" thickBot="1" x14ac:dyDescent="0.4">
      <c r="A10" s="53" t="s">
        <v>575</v>
      </c>
      <c r="B10" s="53" t="s">
        <v>555</v>
      </c>
      <c r="C10" s="54" t="s">
        <v>564</v>
      </c>
      <c r="D10" s="55" t="s">
        <v>575</v>
      </c>
      <c r="E10" s="53" t="s">
        <v>555</v>
      </c>
      <c r="F10" s="54" t="s">
        <v>564</v>
      </c>
      <c r="G10" s="55" t="s">
        <v>575</v>
      </c>
      <c r="H10" s="53" t="s">
        <v>555</v>
      </c>
      <c r="I10" s="54" t="s">
        <v>564</v>
      </c>
      <c r="J10" s="55" t="s">
        <v>575</v>
      </c>
      <c r="K10" s="53" t="s">
        <v>555</v>
      </c>
      <c r="L10" s="56" t="s">
        <v>564</v>
      </c>
      <c r="M10" s="57" t="s">
        <v>575</v>
      </c>
      <c r="N10" s="53" t="s">
        <v>555</v>
      </c>
      <c r="O10" s="58" t="s">
        <v>564</v>
      </c>
      <c r="P10" s="53" t="s">
        <v>597</v>
      </c>
      <c r="Q10" s="55" t="s">
        <v>575</v>
      </c>
      <c r="R10" s="53" t="s">
        <v>555</v>
      </c>
      <c r="S10" s="54" t="s">
        <v>564</v>
      </c>
      <c r="U10" s="60"/>
      <c r="W10" s="29" t="s">
        <v>567</v>
      </c>
      <c r="X10" s="29" t="s">
        <v>600</v>
      </c>
      <c r="Y10" s="29" t="s">
        <v>564</v>
      </c>
      <c r="AB10" s="64" t="s">
        <v>569</v>
      </c>
      <c r="AC10" s="64" t="s">
        <v>570</v>
      </c>
      <c r="AD10" s="62" t="s">
        <v>564</v>
      </c>
      <c r="AE10" s="61" t="s">
        <v>569</v>
      </c>
      <c r="AF10" s="65" t="s">
        <v>569</v>
      </c>
      <c r="AG10" s="64" t="s">
        <v>571</v>
      </c>
      <c r="AH10" s="62" t="s">
        <v>564</v>
      </c>
      <c r="AI10" s="65" t="s">
        <v>572</v>
      </c>
      <c r="AJ10" s="64" t="s">
        <v>573</v>
      </c>
      <c r="AK10" s="62" t="s">
        <v>564</v>
      </c>
      <c r="AL10" s="62" t="s">
        <v>574</v>
      </c>
      <c r="AM10" s="63" t="s">
        <v>602</v>
      </c>
      <c r="AN10" s="61" t="s">
        <v>575</v>
      </c>
      <c r="AO10" s="65" t="s">
        <v>603</v>
      </c>
      <c r="AP10" s="64" t="s">
        <v>604</v>
      </c>
      <c r="AQ10" s="62" t="s">
        <v>605</v>
      </c>
      <c r="AT10" s="1193" t="s">
        <v>608</v>
      </c>
      <c r="AU10" s="1118"/>
      <c r="AV10" s="1118"/>
      <c r="AW10" s="1118"/>
      <c r="AX10" s="1118"/>
      <c r="AY10" s="1118"/>
      <c r="AZ10" s="67"/>
      <c r="BC10" s="29" t="s">
        <v>567</v>
      </c>
      <c r="BD10" s="29" t="s">
        <v>568</v>
      </c>
      <c r="BE10" s="29" t="s">
        <v>564</v>
      </c>
      <c r="BF10" s="1186"/>
      <c r="BG10" s="1186"/>
      <c r="BH10" s="192"/>
      <c r="BI10" s="192"/>
      <c r="BJ10" s="192"/>
    </row>
    <row r="11" spans="1:93" ht="202" thickTop="1" x14ac:dyDescent="0.35">
      <c r="U11" s="53" t="s">
        <v>555</v>
      </c>
      <c r="AT11" s="68" t="s">
        <v>609</v>
      </c>
      <c r="AU11" s="69" t="s">
        <v>610</v>
      </c>
      <c r="AV11" s="69" t="s">
        <v>611</v>
      </c>
      <c r="AW11" s="69" t="s">
        <v>565</v>
      </c>
      <c r="AX11" s="70" t="s">
        <v>612</v>
      </c>
      <c r="AY11" s="71" t="s">
        <v>613</v>
      </c>
      <c r="AZ11" s="72" t="s">
        <v>566</v>
      </c>
      <c r="BC11" s="29"/>
      <c r="BD11" s="29"/>
      <c r="BE11" s="29"/>
      <c r="BF11" s="191"/>
      <c r="BG11" s="191"/>
      <c r="BH11" s="192" t="s">
        <v>615</v>
      </c>
      <c r="BI11" s="192" t="s">
        <v>616</v>
      </c>
      <c r="BJ11" s="192" t="s">
        <v>617</v>
      </c>
    </row>
  </sheetData>
  <mergeCells count="17">
    <mergeCell ref="BC9:BE9"/>
    <mergeCell ref="BF9:BF10"/>
    <mergeCell ref="BG9:BG10"/>
    <mergeCell ref="BH9:BJ9"/>
    <mergeCell ref="W9:Y9"/>
    <mergeCell ref="AB9:AD9"/>
    <mergeCell ref="AF9:AH9"/>
    <mergeCell ref="AI9:AK9"/>
    <mergeCell ref="AO9:AQ9"/>
    <mergeCell ref="AT9:AY9"/>
    <mergeCell ref="AT10:AY10"/>
    <mergeCell ref="Q9:S9"/>
    <mergeCell ref="A9:C9"/>
    <mergeCell ref="D9:F9"/>
    <mergeCell ref="G9:I9"/>
    <mergeCell ref="J9:L9"/>
    <mergeCell ref="M9:O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/>
  <dimension ref="A1:B48"/>
  <sheetViews>
    <sheetView workbookViewId="0">
      <selection activeCell="B46" sqref="B46"/>
    </sheetView>
  </sheetViews>
  <sheetFormatPr defaultRowHeight="12.5" x14ac:dyDescent="0.25"/>
  <cols>
    <col min="1" max="1" width="25" customWidth="1"/>
    <col min="2" max="2" width="21.26953125" style="1" customWidth="1"/>
  </cols>
  <sheetData>
    <row r="1" spans="1:2" x14ac:dyDescent="0.25">
      <c r="A1" t="s">
        <v>21</v>
      </c>
      <c r="B1" s="1" t="s">
        <v>47</v>
      </c>
    </row>
    <row r="2" spans="1:2" x14ac:dyDescent="0.25">
      <c r="A2" t="s">
        <v>0</v>
      </c>
    </row>
    <row r="3" spans="1:2" x14ac:dyDescent="0.25">
      <c r="A3" t="s">
        <v>1</v>
      </c>
    </row>
    <row r="4" spans="1:2" x14ac:dyDescent="0.25">
      <c r="A4" t="s">
        <v>2</v>
      </c>
      <c r="B4" s="1" t="s">
        <v>48</v>
      </c>
    </row>
    <row r="5" spans="1:2" x14ac:dyDescent="0.25">
      <c r="A5" t="s">
        <v>27</v>
      </c>
      <c r="B5" s="1" t="s">
        <v>49</v>
      </c>
    </row>
    <row r="6" spans="1:2" x14ac:dyDescent="0.25">
      <c r="A6" t="s">
        <v>28</v>
      </c>
    </row>
    <row r="8" spans="1:2" x14ac:dyDescent="0.25">
      <c r="A8" t="s">
        <v>4</v>
      </c>
      <c r="B8" s="1">
        <v>3</v>
      </c>
    </row>
    <row r="9" spans="1:2" x14ac:dyDescent="0.25">
      <c r="A9" t="s">
        <v>5</v>
      </c>
      <c r="B9" s="1">
        <v>1</v>
      </c>
    </row>
    <row r="10" spans="1:2" x14ac:dyDescent="0.25">
      <c r="A10" t="s">
        <v>6</v>
      </c>
      <c r="B10" s="1">
        <v>0</v>
      </c>
    </row>
    <row r="11" spans="1:2" x14ac:dyDescent="0.25">
      <c r="A11" t="s">
        <v>7</v>
      </c>
      <c r="B11" s="1">
        <v>0</v>
      </c>
    </row>
    <row r="12" spans="1:2" x14ac:dyDescent="0.25">
      <c r="A12" t="s">
        <v>8</v>
      </c>
      <c r="B12" s="1">
        <v>0</v>
      </c>
    </row>
    <row r="13" spans="1:2" x14ac:dyDescent="0.25">
      <c r="A13" t="s">
        <v>9</v>
      </c>
      <c r="B13" s="1">
        <v>0</v>
      </c>
    </row>
    <row r="14" spans="1:2" x14ac:dyDescent="0.25">
      <c r="A14" t="s">
        <v>10</v>
      </c>
      <c r="B14" s="1">
        <v>1</v>
      </c>
    </row>
    <row r="15" spans="1:2" x14ac:dyDescent="0.25">
      <c r="A15" t="s">
        <v>22</v>
      </c>
      <c r="B15" s="1" t="s">
        <v>51</v>
      </c>
    </row>
    <row r="16" spans="1:2" x14ac:dyDescent="0.25">
      <c r="A16" t="s">
        <v>23</v>
      </c>
      <c r="B16" s="1" t="s">
        <v>52</v>
      </c>
    </row>
    <row r="17" spans="1:2" x14ac:dyDescent="0.25">
      <c r="A17" t="s">
        <v>24</v>
      </c>
    </row>
    <row r="18" spans="1:2" x14ac:dyDescent="0.25">
      <c r="A18" t="s">
        <v>25</v>
      </c>
    </row>
    <row r="19" spans="1:2" x14ac:dyDescent="0.25">
      <c r="A19" t="s">
        <v>11</v>
      </c>
    </row>
    <row r="20" spans="1:2" x14ac:dyDescent="0.25">
      <c r="A20" t="s">
        <v>12</v>
      </c>
    </row>
    <row r="21" spans="1:2" ht="13.5" customHeight="1" x14ac:dyDescent="0.25">
      <c r="A21" t="s">
        <v>33</v>
      </c>
      <c r="B21" s="1" t="s">
        <v>50</v>
      </c>
    </row>
    <row r="22" spans="1:2" x14ac:dyDescent="0.25">
      <c r="A22" t="s">
        <v>13</v>
      </c>
      <c r="B22" s="1">
        <v>0</v>
      </c>
    </row>
    <row r="23" spans="1:2" ht="13.5" customHeight="1" x14ac:dyDescent="0.25">
      <c r="A23" t="s">
        <v>34</v>
      </c>
    </row>
    <row r="24" spans="1:2" x14ac:dyDescent="0.25">
      <c r="A24" t="s">
        <v>14</v>
      </c>
      <c r="B24" s="1">
        <v>0</v>
      </c>
    </row>
    <row r="25" spans="1:2" x14ac:dyDescent="0.25">
      <c r="A25" t="s">
        <v>35</v>
      </c>
    </row>
    <row r="26" spans="1:2" x14ac:dyDescent="0.25">
      <c r="A26" t="s">
        <v>15</v>
      </c>
      <c r="B26" s="1">
        <v>0</v>
      </c>
    </row>
    <row r="27" spans="1:2" x14ac:dyDescent="0.25">
      <c r="A27" t="s">
        <v>36</v>
      </c>
    </row>
    <row r="28" spans="1:2" x14ac:dyDescent="0.25">
      <c r="A28" t="s">
        <v>17</v>
      </c>
      <c r="B28" s="1">
        <v>0</v>
      </c>
    </row>
    <row r="29" spans="1:2" x14ac:dyDescent="0.25">
      <c r="A29" t="s">
        <v>37</v>
      </c>
    </row>
    <row r="30" spans="1:2" x14ac:dyDescent="0.25">
      <c r="A30" t="s">
        <v>38</v>
      </c>
    </row>
    <row r="31" spans="1:2" x14ac:dyDescent="0.25">
      <c r="A31" t="s">
        <v>26</v>
      </c>
      <c r="B31" s="1">
        <v>0</v>
      </c>
    </row>
    <row r="32" spans="1:2" x14ac:dyDescent="0.25">
      <c r="A32" t="s">
        <v>18</v>
      </c>
      <c r="B32" s="1">
        <v>0</v>
      </c>
    </row>
    <row r="33" spans="1:2" x14ac:dyDescent="0.25">
      <c r="A33" t="s">
        <v>19</v>
      </c>
      <c r="B33" s="1">
        <v>0</v>
      </c>
    </row>
    <row r="34" spans="1:2" x14ac:dyDescent="0.25">
      <c r="A34" t="s">
        <v>20</v>
      </c>
      <c r="B34" s="1">
        <v>0</v>
      </c>
    </row>
    <row r="35" spans="1:2" x14ac:dyDescent="0.25">
      <c r="A35" t="s">
        <v>16</v>
      </c>
      <c r="B35" s="1">
        <v>0</v>
      </c>
    </row>
    <row r="36" spans="1:2" x14ac:dyDescent="0.25">
      <c r="A36" t="s">
        <v>31</v>
      </c>
      <c r="B36" s="1">
        <v>0</v>
      </c>
    </row>
    <row r="37" spans="1:2" x14ac:dyDescent="0.25">
      <c r="A37" t="s">
        <v>29</v>
      </c>
      <c r="B37" s="1">
        <v>0</v>
      </c>
    </row>
    <row r="38" spans="1:2" x14ac:dyDescent="0.25">
      <c r="A38" t="s">
        <v>3</v>
      </c>
      <c r="B38" s="1">
        <v>0</v>
      </c>
    </row>
    <row r="39" spans="1:2" x14ac:dyDescent="0.25">
      <c r="A39" t="s">
        <v>30</v>
      </c>
      <c r="B39" s="1">
        <v>1</v>
      </c>
    </row>
    <row r="40" spans="1:2" x14ac:dyDescent="0.25">
      <c r="A40" t="s">
        <v>43</v>
      </c>
      <c r="B40" s="1">
        <v>0</v>
      </c>
    </row>
    <row r="41" spans="1:2" x14ac:dyDescent="0.25">
      <c r="A41" t="s">
        <v>42</v>
      </c>
      <c r="B41" s="1">
        <v>0</v>
      </c>
    </row>
    <row r="42" spans="1:2" x14ac:dyDescent="0.25">
      <c r="A42" t="s">
        <v>44</v>
      </c>
      <c r="B42" s="1">
        <v>0</v>
      </c>
    </row>
    <row r="43" spans="1:2" x14ac:dyDescent="0.25">
      <c r="A43" t="s">
        <v>32</v>
      </c>
    </row>
    <row r="44" spans="1:2" x14ac:dyDescent="0.25">
      <c r="A44" t="s">
        <v>39</v>
      </c>
      <c r="B44" s="1">
        <v>0</v>
      </c>
    </row>
    <row r="45" spans="1:2" x14ac:dyDescent="0.25">
      <c r="A45" s="2" t="s">
        <v>40</v>
      </c>
      <c r="B45" s="1">
        <v>0</v>
      </c>
    </row>
    <row r="46" spans="1:2" x14ac:dyDescent="0.25">
      <c r="A46" t="s">
        <v>41</v>
      </c>
      <c r="B46" s="1" t="s">
        <v>53</v>
      </c>
    </row>
    <row r="47" spans="1:2" x14ac:dyDescent="0.25">
      <c r="A47" t="s">
        <v>45</v>
      </c>
      <c r="B47" s="1" t="s">
        <v>54</v>
      </c>
    </row>
    <row r="48" spans="1:2" x14ac:dyDescent="0.25">
      <c r="A48" t="s">
        <v>46</v>
      </c>
      <c r="B48" s="1">
        <v>0</v>
      </c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portrait" verticalDpi="300" r:id="rId1"/>
  <headerFooter alignWithMargins="0">
    <oddHeader>&amp;L&amp;B&amp;14Számlatükör&amp;R&amp;P/&amp;N</oddHeader>
    <oddFooter>&amp;L&amp;8Nagy Machinátor v3.0.0 - ©ProgEn&amp;R&amp;8&amp;D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9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I27" sqref="I27"/>
    </sheetView>
  </sheetViews>
  <sheetFormatPr defaultRowHeight="12.5" x14ac:dyDescent="0.25"/>
  <cols>
    <col min="1" max="1" width="44.453125" customWidth="1"/>
    <col min="2" max="2" width="12" bestFit="1" customWidth="1"/>
    <col min="3" max="3" width="16.453125" bestFit="1" customWidth="1"/>
    <col min="4" max="4" width="20" bestFit="1" customWidth="1"/>
    <col min="5" max="5" width="13.7265625" bestFit="1" customWidth="1"/>
    <col min="6" max="6" width="15.54296875" bestFit="1" customWidth="1"/>
    <col min="7" max="7" width="15.453125" customWidth="1"/>
    <col min="8" max="8" width="19.26953125" customWidth="1"/>
    <col min="9" max="11" width="16.26953125" bestFit="1" customWidth="1"/>
    <col min="12" max="12" width="16.26953125" style="453" bestFit="1" customWidth="1"/>
    <col min="13" max="13" width="16.26953125" style="453" customWidth="1"/>
    <col min="14" max="14" width="17.453125" bestFit="1" customWidth="1"/>
    <col min="15" max="15" width="16.26953125" bestFit="1" customWidth="1"/>
    <col min="16" max="16" width="14.7265625" bestFit="1" customWidth="1"/>
  </cols>
  <sheetData>
    <row r="1" spans="1:16" s="30" customFormat="1" ht="51" x14ac:dyDescent="0.25">
      <c r="A1" s="563" t="s">
        <v>1660</v>
      </c>
      <c r="B1" s="30" t="s">
        <v>1655</v>
      </c>
      <c r="C1" s="563" t="s">
        <v>1667</v>
      </c>
      <c r="D1" s="563" t="s">
        <v>1668</v>
      </c>
      <c r="E1" s="30" t="s">
        <v>1669</v>
      </c>
      <c r="F1" s="563" t="s">
        <v>1863</v>
      </c>
      <c r="G1" s="563" t="s">
        <v>1670</v>
      </c>
      <c r="H1" s="563" t="s">
        <v>1671</v>
      </c>
      <c r="I1" s="563" t="s">
        <v>1672</v>
      </c>
      <c r="J1" s="563" t="s">
        <v>1673</v>
      </c>
      <c r="K1" s="563" t="s">
        <v>1674</v>
      </c>
      <c r="L1" s="710" t="s">
        <v>1861</v>
      </c>
      <c r="M1" s="710" t="s">
        <v>1862</v>
      </c>
      <c r="N1" s="30" t="s">
        <v>1666</v>
      </c>
      <c r="O1" s="563" t="s">
        <v>1742</v>
      </c>
      <c r="P1" s="30" t="s">
        <v>1764</v>
      </c>
    </row>
    <row r="2" spans="1:16" s="30" customFormat="1" x14ac:dyDescent="0.25">
      <c r="A2" s="563" t="str">
        <f>számlázás!A2</f>
        <v>lakások és helyiségek elidegenítése</v>
      </c>
      <c r="C2" s="566">
        <f>-(számlázás!E2+számlázás!F2)</f>
        <v>97028933.420582265</v>
      </c>
      <c r="D2" s="567">
        <f>C2*1.27</f>
        <v>123226745.44413948</v>
      </c>
      <c r="E2" s="568"/>
      <c r="F2" s="568"/>
      <c r="G2" s="569">
        <f>(számlázás!D2)</f>
        <v>68691782.833879709</v>
      </c>
      <c r="H2" s="568">
        <f>G2*1.27</f>
        <v>87238564.199027225</v>
      </c>
      <c r="I2" s="568">
        <f>+C2-G2</f>
        <v>28337150.586702555</v>
      </c>
      <c r="J2" s="568">
        <f>+D2-H2</f>
        <v>35988181.245112255</v>
      </c>
      <c r="K2" s="568"/>
      <c r="L2" s="711"/>
      <c r="M2" s="711"/>
    </row>
    <row r="3" spans="1:16" s="30" customFormat="1" x14ac:dyDescent="0.25">
      <c r="A3" s="563" t="str">
        <f>számlázás!A3</f>
        <v>nem lakáscélú helyiségek bérbeadása</v>
      </c>
      <c r="C3" s="566">
        <f>-(számlázás!E3+számlázás!F3)</f>
        <v>97028709.993919194</v>
      </c>
      <c r="D3" s="567">
        <f t="shared" ref="D3:D7" si="0">C3*1.27</f>
        <v>123226461.69227737</v>
      </c>
      <c r="E3" s="568"/>
      <c r="F3" s="568"/>
      <c r="G3" s="569">
        <f>(számlázás!D3)</f>
        <v>75347778.135712713</v>
      </c>
      <c r="H3" s="568">
        <f t="shared" ref="H3:H7" si="1">G3*1.27</f>
        <v>95691678.232355148</v>
      </c>
      <c r="I3" s="568">
        <f t="shared" ref="I3:I7" si="2">+C3-G3</f>
        <v>21680931.858206481</v>
      </c>
      <c r="J3" s="568">
        <f t="shared" ref="J3:J7" si="3">+D3-H3</f>
        <v>27534783.459922224</v>
      </c>
      <c r="K3" s="568"/>
      <c r="L3" s="711"/>
      <c r="M3" s="711"/>
    </row>
    <row r="4" spans="1:16" s="30" customFormat="1" x14ac:dyDescent="0.25">
      <c r="A4" s="563" t="str">
        <f>számlázás!A4</f>
        <v>lakásgazdálkodás/bérbeadás</v>
      </c>
      <c r="C4" s="566">
        <f>-(számlázás!E4+számlázás!F4)</f>
        <v>293091773.74395442</v>
      </c>
      <c r="D4" s="567">
        <f t="shared" si="0"/>
        <v>372226552.65482211</v>
      </c>
      <c r="E4" s="568"/>
      <c r="F4" s="568"/>
      <c r="G4" s="569">
        <f>(számlázás!D4)</f>
        <v>276119230.6367712</v>
      </c>
      <c r="H4" s="568">
        <f t="shared" si="1"/>
        <v>350671422.90869945</v>
      </c>
      <c r="I4" s="568">
        <f t="shared" si="2"/>
        <v>16972543.107183218</v>
      </c>
      <c r="J4" s="568">
        <f t="shared" si="3"/>
        <v>21555129.746122658</v>
      </c>
      <c r="K4" s="568"/>
      <c r="L4" s="711"/>
      <c r="M4" s="711"/>
    </row>
    <row r="5" spans="1:16" s="30" customFormat="1" x14ac:dyDescent="0.25">
      <c r="A5" s="563" t="str">
        <f>számlázás!A5</f>
        <v>Házkezelő csoport</v>
      </c>
      <c r="C5" s="566">
        <f>-(számlázás!E5+számlázás!F5)</f>
        <v>168448666.88732108</v>
      </c>
      <c r="D5" s="567">
        <f t="shared" si="0"/>
        <v>213929806.94689777</v>
      </c>
      <c r="E5" s="568"/>
      <c r="F5" s="568"/>
      <c r="G5" s="569">
        <f>(számlázás!D5)</f>
        <v>172394417.91387543</v>
      </c>
      <c r="H5" s="568">
        <f t="shared" si="1"/>
        <v>218940910.7506218</v>
      </c>
      <c r="I5" s="568">
        <f t="shared" si="2"/>
        <v>-3945751.0265543461</v>
      </c>
      <c r="J5" s="568">
        <f t="shared" si="3"/>
        <v>-5011103.8037240207</v>
      </c>
      <c r="K5" s="568"/>
      <c r="L5" s="711"/>
      <c r="M5" s="711"/>
    </row>
    <row r="6" spans="1:16" s="30" customFormat="1" x14ac:dyDescent="0.25">
      <c r="A6" s="563" t="str">
        <f>számlázás!A6</f>
        <v>társasházi tulajdonosi képviselet</v>
      </c>
      <c r="C6" s="566">
        <f>-(számlázás!E6+számlázás!F6)</f>
        <v>69398269.563916489</v>
      </c>
      <c r="D6" s="567">
        <f t="shared" si="0"/>
        <v>88135802.346173942</v>
      </c>
      <c r="E6" s="568"/>
      <c r="F6" s="568"/>
      <c r="G6" s="569">
        <f>(számlázás!D6)</f>
        <v>64858686.989835978</v>
      </c>
      <c r="H6" s="568">
        <f t="shared" si="1"/>
        <v>82370532.4770917</v>
      </c>
      <c r="I6" s="568">
        <f t="shared" si="2"/>
        <v>4539582.5740805119</v>
      </c>
      <c r="J6" s="568">
        <f t="shared" si="3"/>
        <v>5765269.8690822423</v>
      </c>
      <c r="K6" s="568"/>
      <c r="L6" s="711"/>
      <c r="M6" s="711"/>
    </row>
    <row r="7" spans="1:16" s="30" customFormat="1" ht="13" x14ac:dyDescent="0.25">
      <c r="A7" s="565" t="str">
        <f>számlázás!A7</f>
        <v>Műszaki feladatok</v>
      </c>
      <c r="C7" s="566">
        <f>-(számlázás!E7+számlázás!F7)</f>
        <v>343731436.58728319</v>
      </c>
      <c r="D7" s="567">
        <f t="shared" si="0"/>
        <v>436538924.46584964</v>
      </c>
      <c r="E7" s="568"/>
      <c r="F7" s="568"/>
      <c r="G7" s="569">
        <f>(számlázás!D7)</f>
        <v>276001877.89170539</v>
      </c>
      <c r="H7" s="568">
        <f t="shared" si="1"/>
        <v>350522384.92246586</v>
      </c>
      <c r="I7" s="568">
        <f t="shared" si="2"/>
        <v>67729558.6955778</v>
      </c>
      <c r="J7" s="568">
        <f t="shared" si="3"/>
        <v>86016539.543383777</v>
      </c>
      <c r="K7" s="568"/>
      <c r="L7" s="712"/>
      <c r="M7" s="712">
        <f>+L7*1.27</f>
        <v>0</v>
      </c>
      <c r="O7" s="717">
        <f>M7-P7</f>
        <v>0</v>
      </c>
      <c r="P7" s="568">
        <f>M7</f>
        <v>0</v>
      </c>
    </row>
    <row r="8" spans="1:16" s="125" customFormat="1" ht="13" x14ac:dyDescent="0.3">
      <c r="A8" s="125" t="s">
        <v>1656</v>
      </c>
      <c r="B8" s="564">
        <v>21102.211050000002</v>
      </c>
      <c r="C8" s="570">
        <f>SUM(C2:C7)</f>
        <v>1068727790.1969767</v>
      </c>
      <c r="D8" s="322">
        <f>SUM(D2:D7)</f>
        <v>1357284293.5501604</v>
      </c>
      <c r="E8" s="322"/>
      <c r="F8" s="322"/>
      <c r="G8" s="322">
        <f>SUM(G2:G7)</f>
        <v>933413774.40178049</v>
      </c>
      <c r="H8" s="322">
        <f t="shared" ref="H8:J8" si="4">SUM(H2:H7)</f>
        <v>1185435493.4902611</v>
      </c>
      <c r="I8" s="322">
        <f t="shared" si="4"/>
        <v>135314015.79519624</v>
      </c>
      <c r="J8" s="322">
        <f t="shared" si="4"/>
        <v>171848800.05989915</v>
      </c>
      <c r="K8" s="322">
        <f>J8</f>
        <v>171848800.05989915</v>
      </c>
      <c r="L8" s="574"/>
      <c r="M8" s="712">
        <f>+L8*1.27</f>
        <v>0</v>
      </c>
      <c r="N8" s="131">
        <f>K8</f>
        <v>171848800.05989915</v>
      </c>
      <c r="O8" s="717">
        <f>M8-P8</f>
        <v>0</v>
      </c>
      <c r="P8" s="568">
        <f>M8</f>
        <v>0</v>
      </c>
    </row>
    <row r="9" spans="1:16" s="125" customFormat="1" ht="13" x14ac:dyDescent="0.3">
      <c r="A9" s="125" t="s">
        <v>1875</v>
      </c>
      <c r="B9" s="564">
        <v>21102.211050000002</v>
      </c>
      <c r="C9" s="572"/>
      <c r="D9" s="322">
        <f>-Összesítés!Q10</f>
        <v>31900000</v>
      </c>
      <c r="E9" s="322">
        <f>Összesítés!S10</f>
        <v>1119346</v>
      </c>
      <c r="F9" s="322"/>
      <c r="G9" s="322">
        <f>Összesítés!D10</f>
        <v>26976126</v>
      </c>
      <c r="H9" s="322">
        <f>G9</f>
        <v>26976126</v>
      </c>
      <c r="I9" s="322"/>
      <c r="J9" s="322">
        <v>0</v>
      </c>
      <c r="K9" s="322">
        <f>D9+F9-H9-E9</f>
        <v>3804528</v>
      </c>
      <c r="L9" s="574">
        <v>2800000</v>
      </c>
      <c r="M9" s="574">
        <v>2800000</v>
      </c>
      <c r="N9" s="131"/>
      <c r="O9" s="131">
        <f>K9-M9</f>
        <v>1004528</v>
      </c>
    </row>
    <row r="10" spans="1:16" s="125" customFormat="1" ht="13" x14ac:dyDescent="0.3">
      <c r="A10" s="125" t="s">
        <v>1864</v>
      </c>
      <c r="B10" s="564">
        <v>21102.211050000002</v>
      </c>
      <c r="C10" s="572"/>
      <c r="D10" s="322"/>
      <c r="E10" s="322"/>
      <c r="F10" s="322">
        <f>(15150000+3438850)*1.27</f>
        <v>23607839.5</v>
      </c>
      <c r="G10" s="322">
        <f>Összesítés!D8+Összesítés!D9</f>
        <v>9371580</v>
      </c>
      <c r="H10" s="322">
        <f>G10*1.27</f>
        <v>11901906.6</v>
      </c>
      <c r="I10" s="322"/>
      <c r="J10" s="322">
        <f>I10*1.27</f>
        <v>0</v>
      </c>
      <c r="K10" s="322">
        <f>D10+F10-H10-E10</f>
        <v>11705932.9</v>
      </c>
      <c r="L10" s="574"/>
      <c r="M10" s="574"/>
      <c r="N10" s="131">
        <f>K10</f>
        <v>11705932.9</v>
      </c>
      <c r="O10" s="131"/>
      <c r="P10" s="131"/>
    </row>
    <row r="11" spans="1:16" s="125" customFormat="1" ht="13" x14ac:dyDescent="0.3">
      <c r="B11" s="564"/>
      <c r="C11" s="572"/>
      <c r="D11" s="322"/>
      <c r="E11" s="322"/>
      <c r="F11" s="322"/>
      <c r="G11" s="322"/>
      <c r="H11" s="322"/>
      <c r="I11" s="322"/>
      <c r="J11" s="322"/>
      <c r="K11" s="322"/>
      <c r="L11" s="574"/>
      <c r="M11" s="574"/>
      <c r="N11" s="131"/>
      <c r="O11" s="131"/>
    </row>
    <row r="12" spans="1:16" s="125" customFormat="1" ht="13" x14ac:dyDescent="0.3">
      <c r="A12" s="125" t="s">
        <v>1657</v>
      </c>
      <c r="B12" s="564">
        <v>21103</v>
      </c>
      <c r="C12" s="572"/>
      <c r="D12" s="322">
        <f>'Terv_tény intézmény'!M33</f>
        <v>135958027.88338295</v>
      </c>
      <c r="E12" s="322"/>
      <c r="F12" s="322"/>
      <c r="G12" s="322"/>
      <c r="H12" s="322">
        <f>Összesítés!N23</f>
        <v>123015735.31119025</v>
      </c>
      <c r="I12" s="322"/>
      <c r="J12" s="322">
        <f>D12-E12-H12+E12</f>
        <v>12942292.572192699</v>
      </c>
      <c r="K12" s="322">
        <f>J12-E12</f>
        <v>12942292.572192699</v>
      </c>
      <c r="L12" s="574">
        <f>+D12-E12+F12-H12-K12</f>
        <v>0</v>
      </c>
      <c r="M12" s="574"/>
      <c r="N12" s="131"/>
      <c r="O12" s="131">
        <f>K12</f>
        <v>12942292.572192699</v>
      </c>
    </row>
    <row r="13" spans="1:16" x14ac:dyDescent="0.25">
      <c r="B13" s="561"/>
      <c r="C13" s="571"/>
      <c r="D13" s="112"/>
      <c r="E13" s="112"/>
      <c r="F13" s="112"/>
      <c r="G13" s="112"/>
      <c r="H13" s="112"/>
      <c r="I13" s="112"/>
      <c r="J13" s="112"/>
      <c r="K13" s="112"/>
      <c r="L13" s="709"/>
      <c r="M13" s="709"/>
      <c r="N13" s="113"/>
    </row>
    <row r="14" spans="1:16" s="125" customFormat="1" ht="13" x14ac:dyDescent="0.3">
      <c r="A14" s="125" t="s">
        <v>1658</v>
      </c>
      <c r="B14" s="564">
        <v>21106</v>
      </c>
      <c r="C14" s="322">
        <f>-(számlázás!E13+számlázás!F13)</f>
        <v>153133468.82668468</v>
      </c>
      <c r="D14" s="322">
        <f>C14*1.27</f>
        <v>194479505.40988955</v>
      </c>
      <c r="E14" s="322"/>
      <c r="F14" s="322"/>
      <c r="G14" s="322">
        <f>számlázás!D13</f>
        <v>149321802.71937206</v>
      </c>
      <c r="H14" s="322">
        <f>Összesítés!N29*1.27</f>
        <v>189638689.45360252</v>
      </c>
      <c r="I14" s="322">
        <f>+C14-G14</f>
        <v>3811666.1073126197</v>
      </c>
      <c r="J14" s="322">
        <f>I14*1.27</f>
        <v>4840815.9562870273</v>
      </c>
      <c r="K14" s="322">
        <f>J14</f>
        <v>4840815.9562870273</v>
      </c>
      <c r="L14" s="574">
        <v>0</v>
      </c>
      <c r="M14" s="712">
        <f>+L14*1.27</f>
        <v>0</v>
      </c>
      <c r="N14" s="131">
        <f>K14</f>
        <v>4840815.9562870273</v>
      </c>
      <c r="O14" s="717">
        <f>M14-P14</f>
        <v>0</v>
      </c>
      <c r="P14" s="568">
        <f>M14</f>
        <v>0</v>
      </c>
    </row>
    <row r="15" spans="1:16" s="125" customFormat="1" ht="13" x14ac:dyDescent="0.3">
      <c r="A15" s="125" t="s">
        <v>1864</v>
      </c>
      <c r="B15" s="564">
        <v>21106</v>
      </c>
      <c r="C15" s="322"/>
      <c r="D15" s="322"/>
      <c r="E15" s="322"/>
      <c r="F15" s="322">
        <f>-Összesítés!U30*1.27</f>
        <v>2617095.35</v>
      </c>
      <c r="G15" s="322">
        <f>Összesítés!D30</f>
        <v>1446500</v>
      </c>
      <c r="H15" s="322">
        <f>G15*1.27</f>
        <v>1837055</v>
      </c>
      <c r="I15" s="322"/>
      <c r="J15" s="322">
        <f>I15*1.27</f>
        <v>0</v>
      </c>
      <c r="K15" s="322">
        <f>D15+F15-H15-E15</f>
        <v>780040.35000000009</v>
      </c>
      <c r="L15" s="574"/>
      <c r="M15" s="574"/>
      <c r="N15" s="131">
        <f>K15</f>
        <v>780040.35000000009</v>
      </c>
      <c r="O15" s="717"/>
      <c r="P15" s="568"/>
    </row>
    <row r="16" spans="1:16" s="125" customFormat="1" ht="13" x14ac:dyDescent="0.3">
      <c r="A16" s="125" t="s">
        <v>1876</v>
      </c>
      <c r="B16" s="564">
        <v>21106</v>
      </c>
      <c r="C16" s="322"/>
      <c r="D16" s="342">
        <f>-Összesítés!Q31</f>
        <v>1174500</v>
      </c>
      <c r="E16" s="322"/>
      <c r="F16" s="322">
        <f>-Összesítés!U32*1.27</f>
        <v>0</v>
      </c>
      <c r="G16" s="322">
        <f>Összesítés!D31</f>
        <v>757700</v>
      </c>
      <c r="H16" s="322">
        <f>G16</f>
        <v>757700</v>
      </c>
      <c r="I16" s="322"/>
      <c r="J16" s="322">
        <f>I16*1.27</f>
        <v>0</v>
      </c>
      <c r="K16" s="322">
        <f>D16+F16-H16-E16</f>
        <v>416800</v>
      </c>
      <c r="L16" s="574"/>
      <c r="M16" s="574"/>
      <c r="N16" s="131"/>
      <c r="O16" s="131">
        <f>K16</f>
        <v>416800</v>
      </c>
      <c r="P16" s="568"/>
    </row>
    <row r="17" spans="1:16" x14ac:dyDescent="0.25">
      <c r="B17" s="561"/>
      <c r="C17" s="571"/>
      <c r="D17" s="112"/>
      <c r="E17" s="112"/>
      <c r="F17" s="112"/>
      <c r="G17" s="112"/>
      <c r="H17" s="112"/>
      <c r="I17" s="112"/>
      <c r="J17" s="111"/>
      <c r="K17" s="112"/>
      <c r="L17" s="709"/>
      <c r="M17" s="709"/>
      <c r="N17" s="113"/>
    </row>
    <row r="18" spans="1:16" s="125" customFormat="1" ht="13" x14ac:dyDescent="0.3">
      <c r="A18" s="125" t="s">
        <v>1659</v>
      </c>
      <c r="B18" s="564">
        <v>21104</v>
      </c>
      <c r="C18" s="572"/>
      <c r="D18" s="342">
        <f>-Összesítés!T25</f>
        <v>1579171516.8776186</v>
      </c>
      <c r="E18" s="322"/>
      <c r="F18" s="322"/>
      <c r="G18" s="322"/>
      <c r="H18" s="322">
        <f>Összesítés!N25</f>
        <v>1584767036.5142787</v>
      </c>
      <c r="I18" s="322"/>
      <c r="J18" s="322">
        <f>+D18+F18-H18</f>
        <v>-5595519.636660099</v>
      </c>
      <c r="K18" s="322">
        <f>D18+F18-H18</f>
        <v>-5595519.636660099</v>
      </c>
      <c r="L18" s="574"/>
      <c r="M18" s="574">
        <f>L18</f>
        <v>0</v>
      </c>
      <c r="N18" s="131"/>
      <c r="O18" s="131">
        <f>K18+L18</f>
        <v>-5595519.636660099</v>
      </c>
      <c r="P18" s="131"/>
    </row>
    <row r="19" spans="1:16" s="125" customFormat="1" ht="13" x14ac:dyDescent="0.3">
      <c r="A19" s="125" t="s">
        <v>1860</v>
      </c>
      <c r="B19" s="564">
        <v>21104</v>
      </c>
      <c r="C19" s="572"/>
      <c r="D19" s="322"/>
      <c r="E19" s="322"/>
      <c r="F19" s="322">
        <f>-Összesítés!U27</f>
        <v>41017058</v>
      </c>
      <c r="G19" s="322">
        <f>Összesítés!D27</f>
        <v>26760406</v>
      </c>
      <c r="H19" s="322">
        <f>G19</f>
        <v>26760406</v>
      </c>
      <c r="I19" s="322"/>
      <c r="J19" s="322">
        <f>K19</f>
        <v>14256652</v>
      </c>
      <c r="K19" s="322">
        <f>D19+F19-H19-E19</f>
        <v>14256652</v>
      </c>
      <c r="L19" s="574"/>
      <c r="M19" s="574"/>
      <c r="N19" s="131"/>
      <c r="O19" s="131">
        <f>K19</f>
        <v>14256652</v>
      </c>
      <c r="P19" s="131"/>
    </row>
    <row r="20" spans="1:16" ht="13" x14ac:dyDescent="0.3">
      <c r="A20" s="125" t="s">
        <v>1753</v>
      </c>
      <c r="B20" s="564">
        <v>21104</v>
      </c>
      <c r="C20" s="571"/>
      <c r="D20" s="342">
        <f>-Összesítés!Q26</f>
        <v>109200000</v>
      </c>
      <c r="E20" s="112">
        <f>Összesítés!S26</f>
        <v>2500000</v>
      </c>
      <c r="F20" s="322"/>
      <c r="G20" s="322">
        <f>Összesítés!D26</f>
        <v>49191088</v>
      </c>
      <c r="H20" s="322">
        <f>G20</f>
        <v>49191088</v>
      </c>
      <c r="I20" s="112"/>
      <c r="J20" s="322">
        <f>K20</f>
        <v>57508912</v>
      </c>
      <c r="K20" s="322">
        <f>D20+F20-H20-E20</f>
        <v>57508912</v>
      </c>
      <c r="L20" s="709">
        <v>57508912</v>
      </c>
      <c r="M20" s="709">
        <f>L20</f>
        <v>57508912</v>
      </c>
      <c r="N20" s="113"/>
      <c r="O20" s="131">
        <f>K20-M20</f>
        <v>0</v>
      </c>
    </row>
    <row r="21" spans="1:16" s="125" customFormat="1" ht="13" x14ac:dyDescent="0.3">
      <c r="B21" s="564"/>
      <c r="C21" s="572"/>
      <c r="D21" s="322"/>
      <c r="E21" s="322"/>
      <c r="F21" s="322"/>
      <c r="G21" s="322"/>
      <c r="H21" s="322"/>
      <c r="I21" s="322"/>
      <c r="J21" s="568"/>
      <c r="K21" s="322"/>
      <c r="L21" s="574"/>
      <c r="M21" s="574"/>
      <c r="N21" s="131"/>
      <c r="O21" s="131"/>
    </row>
    <row r="22" spans="1:16" s="125" customFormat="1" ht="13" x14ac:dyDescent="0.3">
      <c r="A22" s="125" t="s">
        <v>476</v>
      </c>
      <c r="B22" s="564">
        <v>21101</v>
      </c>
      <c r="C22" s="322">
        <f>-(számlázás!E10+számlázás!F10+számlázás!E11+számlázás!F11)</f>
        <v>655251113.53908277</v>
      </c>
      <c r="D22" s="342">
        <f>C22*1.27</f>
        <v>832168914.19463515</v>
      </c>
      <c r="E22" s="322"/>
      <c r="F22" s="322"/>
      <c r="G22" s="322">
        <f>(számlázás!D10+számlázás!D11)</f>
        <v>601590329.19632578</v>
      </c>
      <c r="H22" s="322">
        <f>G22*1.27</f>
        <v>764019718.07933378</v>
      </c>
      <c r="I22" s="322">
        <f>+C22-G22</f>
        <v>53660784.342756987</v>
      </c>
      <c r="J22" s="322">
        <f>I22*1.27</f>
        <v>68149196.115301371</v>
      </c>
      <c r="K22" s="322">
        <f>J22</f>
        <v>68149196.115301371</v>
      </c>
      <c r="L22" s="574"/>
      <c r="M22" s="712"/>
      <c r="N22" s="131">
        <f>K22</f>
        <v>68149196.115301371</v>
      </c>
      <c r="O22" s="717"/>
      <c r="P22" s="568"/>
    </row>
    <row r="23" spans="1:16" s="125" customFormat="1" ht="13" x14ac:dyDescent="0.3">
      <c r="A23" s="125" t="s">
        <v>1755</v>
      </c>
      <c r="B23" s="564">
        <v>21101</v>
      </c>
      <c r="C23" s="322"/>
      <c r="D23" s="342">
        <v>17000000</v>
      </c>
      <c r="E23" s="322"/>
      <c r="F23" s="322"/>
      <c r="G23" s="322">
        <f>Összesítés!D21</f>
        <v>12032000</v>
      </c>
      <c r="H23" s="322">
        <f>G23</f>
        <v>12032000</v>
      </c>
      <c r="I23" s="322"/>
      <c r="J23" s="322">
        <f>K23</f>
        <v>4968000</v>
      </c>
      <c r="K23" s="322">
        <f>D23+F23-H23-E23</f>
        <v>4968000</v>
      </c>
      <c r="L23" s="709"/>
      <c r="M23" s="709"/>
      <c r="N23" s="113"/>
      <c r="O23" s="131">
        <f>K23</f>
        <v>4968000</v>
      </c>
      <c r="P23" s="568"/>
    </row>
    <row r="24" spans="1:16" s="125" customFormat="1" ht="13" x14ac:dyDescent="0.3">
      <c r="B24" s="564"/>
      <c r="C24" s="572"/>
      <c r="D24" s="322"/>
      <c r="E24" s="322"/>
      <c r="F24" s="322"/>
      <c r="G24" s="322"/>
      <c r="H24" s="322"/>
      <c r="I24" s="322"/>
      <c r="J24" s="322"/>
      <c r="K24" s="322"/>
      <c r="L24" s="574"/>
      <c r="M24" s="574"/>
      <c r="O24" s="131"/>
      <c r="P24" s="131"/>
    </row>
    <row r="25" spans="1:16" s="125" customFormat="1" ht="13" x14ac:dyDescent="0.3">
      <c r="A25" s="125" t="s">
        <v>564</v>
      </c>
      <c r="C25" s="322"/>
      <c r="D25" s="322">
        <f>+D8+D9+D10+D12+D14+D18+D19+D21+D22+D24</f>
        <v>4130962257.9156866</v>
      </c>
      <c r="E25" s="322">
        <f>+E8+E12+E14+E18+E19+E21+E22+E24</f>
        <v>0</v>
      </c>
      <c r="F25" s="322">
        <f>+F8+F9+F10+F12+F14+F18+F19+F21+F22+F24</f>
        <v>64624897.5</v>
      </c>
      <c r="G25" s="322"/>
      <c r="H25" s="322">
        <f>+H8+H12+H14+H18+H19+H21+H22+H24</f>
        <v>3873637078.8486662</v>
      </c>
      <c r="I25" s="562">
        <f>+I8+I12+I14+I18+I19+I21+I22+I24</f>
        <v>192786466.24526584</v>
      </c>
      <c r="J25" s="322">
        <f>+J8+J9+J12+J14+J18+J19+J21+J22+J24-1</f>
        <v>266442236.06702015</v>
      </c>
      <c r="K25" s="322">
        <f>+K8+K9+K12+K14+K18+K19+K21+K22+K24</f>
        <v>270246765.06702018</v>
      </c>
      <c r="L25" s="342">
        <f>SUM(L2:L24)</f>
        <v>60308912</v>
      </c>
      <c r="M25" s="342">
        <f>SUM(M2:M24)</f>
        <v>60308912</v>
      </c>
      <c r="N25" s="719">
        <f>SUM(N2:N24)</f>
        <v>257324785.38148755</v>
      </c>
      <c r="O25" s="719">
        <f t="shared" ref="O25:P25" si="5">SUM(O2:O24)</f>
        <v>27992752.9355326</v>
      </c>
      <c r="P25" s="322">
        <f t="shared" si="5"/>
        <v>0</v>
      </c>
    </row>
    <row r="26" spans="1:16" ht="13" x14ac:dyDescent="0.3">
      <c r="C26" s="113"/>
      <c r="D26" s="113"/>
      <c r="E26" s="113"/>
      <c r="F26" s="113"/>
      <c r="G26" s="113"/>
      <c r="H26" s="113"/>
      <c r="I26" s="573" t="s">
        <v>1661</v>
      </c>
      <c r="J26" s="113"/>
      <c r="K26" s="113"/>
      <c r="L26" s="709"/>
      <c r="M26" s="574">
        <f>+K25+M25</f>
        <v>330555677.06702018</v>
      </c>
      <c r="O26" s="718">
        <f>+N25+O25</f>
        <v>285317538.31702018</v>
      </c>
    </row>
    <row r="27" spans="1:16" ht="13" x14ac:dyDescent="0.3">
      <c r="C27" s="113"/>
      <c r="D27" s="113"/>
      <c r="E27" s="113"/>
      <c r="F27" s="113"/>
      <c r="G27" s="113"/>
      <c r="H27" s="113"/>
      <c r="I27" s="574">
        <f>I25*1.27</f>
        <v>244838812.13148761</v>
      </c>
      <c r="J27" s="113"/>
      <c r="K27" s="113"/>
      <c r="L27" s="709"/>
      <c r="M27" s="709"/>
    </row>
    <row r="29" spans="1:16" x14ac:dyDescent="0.25">
      <c r="H29" s="453" t="s">
        <v>1740</v>
      </c>
      <c r="I29" s="709">
        <f>+I8+K9+K10/1.27+K12+I14+K15/1.27+K18+K19+K20+I22+K23+K24</f>
        <v>290502806.18079841</v>
      </c>
    </row>
  </sheetData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3" sqref="G13"/>
    </sheetView>
  </sheetViews>
  <sheetFormatPr defaultRowHeight="12.5" x14ac:dyDescent="0.25"/>
  <cols>
    <col min="1" max="1" width="33.81640625" customWidth="1"/>
    <col min="2" max="2" width="17.453125" bestFit="1" customWidth="1"/>
    <col min="3" max="5" width="17.81640625" bestFit="1" customWidth="1"/>
    <col min="6" max="8" width="17.453125" bestFit="1" customWidth="1"/>
    <col min="9" max="9" width="18.81640625" bestFit="1" customWidth="1"/>
    <col min="10" max="10" width="18.81640625" customWidth="1"/>
    <col min="11" max="11" width="16.7265625" bestFit="1" customWidth="1"/>
    <col min="12" max="12" width="16.26953125" bestFit="1" customWidth="1"/>
    <col min="13" max="13" width="16.7265625" bestFit="1" customWidth="1"/>
    <col min="14" max="15" width="15.7265625" bestFit="1" customWidth="1"/>
    <col min="16" max="16" width="13.1796875" bestFit="1" customWidth="1"/>
    <col min="17" max="17" width="16.7265625" bestFit="1" customWidth="1"/>
    <col min="23" max="23" width="15.7265625" bestFit="1" customWidth="1"/>
    <col min="25" max="25" width="20.54296875" bestFit="1" customWidth="1"/>
  </cols>
  <sheetData>
    <row r="1" spans="1:11" ht="39" x14ac:dyDescent="0.25">
      <c r="A1" s="106" t="s">
        <v>677</v>
      </c>
      <c r="B1" s="107" t="s">
        <v>975</v>
      </c>
      <c r="C1" s="108" t="s">
        <v>1524</v>
      </c>
      <c r="D1" s="108" t="s">
        <v>1525</v>
      </c>
      <c r="E1" s="108" t="s">
        <v>1808</v>
      </c>
      <c r="F1" s="108" t="s">
        <v>1809</v>
      </c>
      <c r="G1" s="108" t="s">
        <v>1812</v>
      </c>
      <c r="H1" s="108" t="s">
        <v>1813</v>
      </c>
      <c r="I1" s="108" t="s">
        <v>1873</v>
      </c>
      <c r="J1" s="547" t="s">
        <v>1874</v>
      </c>
    </row>
    <row r="2" spans="1:11" ht="28.5" customHeight="1" x14ac:dyDescent="0.25">
      <c r="A2" s="116" t="s">
        <v>688</v>
      </c>
      <c r="B2" s="459">
        <f>Összesítés!F2+Összesítés!I2</f>
        <v>68691782.833879709</v>
      </c>
      <c r="C2" s="111">
        <f t="shared" ref="C2:C7" si="0">D2-B2</f>
        <v>0</v>
      </c>
      <c r="D2" s="459">
        <f>Összesítés!N2</f>
        <v>68691782.833879709</v>
      </c>
      <c r="E2" s="459">
        <f>-'Terv_tény vagyongazd'!H33</f>
        <v>-97028933.420582265</v>
      </c>
      <c r="F2" s="111">
        <v>0</v>
      </c>
      <c r="G2" s="206">
        <f>+E2+B2</f>
        <v>-28337150.586702555</v>
      </c>
      <c r="H2" s="111">
        <f>+F2+C2</f>
        <v>0</v>
      </c>
      <c r="I2" s="206">
        <f>SUM(G2:H2)</f>
        <v>-28337150.586702555</v>
      </c>
      <c r="J2" s="206">
        <f>I2*1.27</f>
        <v>-35988181.245112248</v>
      </c>
      <c r="K2" s="113">
        <f>Összesítés!Z2-számlázás!I2</f>
        <v>0</v>
      </c>
    </row>
    <row r="3" spans="1:11" ht="25.5" customHeight="1" x14ac:dyDescent="0.25">
      <c r="A3" s="116" t="s">
        <v>685</v>
      </c>
      <c r="B3" s="459">
        <f>Összesítés!F3</f>
        <v>1844168.3187550309</v>
      </c>
      <c r="C3" s="111">
        <f t="shared" si="0"/>
        <v>73503609.816957682</v>
      </c>
      <c r="D3" s="459">
        <f>Összesítés!N3</f>
        <v>75347778.135712713</v>
      </c>
      <c r="E3" s="459">
        <f>-'Terv_tény vagyongazd'!J33</f>
        <v>-1333571.4285714286</v>
      </c>
      <c r="F3" s="111">
        <f>-'Terv_tény vagyongazd'!I33</f>
        <v>-95695138.565347761</v>
      </c>
      <c r="G3" s="206">
        <f t="shared" ref="G3:G13" si="1">+E3+B3</f>
        <v>510596.89018360223</v>
      </c>
      <c r="H3" s="111">
        <f t="shared" ref="H3:H13" si="2">+F3+C3</f>
        <v>-22191528.748390079</v>
      </c>
      <c r="I3" s="206">
        <f t="shared" ref="I3:I7" si="3">SUM(G3:H3)</f>
        <v>-21680931.858206477</v>
      </c>
      <c r="J3" s="206">
        <f t="shared" ref="J3:J7" si="4">I3*1.27</f>
        <v>-27534783.459922228</v>
      </c>
      <c r="K3" s="113">
        <f>Összesítés!Z3-számlázás!I3</f>
        <v>0</v>
      </c>
    </row>
    <row r="4" spans="1:11" ht="24" customHeight="1" x14ac:dyDescent="0.25">
      <c r="A4" s="205" t="s">
        <v>686</v>
      </c>
      <c r="B4" s="459">
        <f>Összesítés!F4</f>
        <v>4422522.3547983188</v>
      </c>
      <c r="C4" s="111">
        <f t="shared" si="0"/>
        <v>271696708.28197289</v>
      </c>
      <c r="D4" s="459">
        <f>Összesítés!N4</f>
        <v>276119230.6367712</v>
      </c>
      <c r="E4" s="459">
        <f>-'Terv_tény vagyongazd'!F33</f>
        <v>-5378571.4285714282</v>
      </c>
      <c r="F4" s="111">
        <f>-'Terv_tény vagyongazd'!E33</f>
        <v>-287713202.31538302</v>
      </c>
      <c r="G4" s="206">
        <f t="shared" si="1"/>
        <v>-956049.07377310935</v>
      </c>
      <c r="H4" s="111">
        <f t="shared" si="2"/>
        <v>-16016494.033410132</v>
      </c>
      <c r="I4" s="206">
        <f t="shared" si="3"/>
        <v>-16972543.10718324</v>
      </c>
      <c r="J4" s="206">
        <f t="shared" si="4"/>
        <v>-21555129.746122714</v>
      </c>
      <c r="K4" s="113">
        <f>Összesítés!Z4-számlázás!I4</f>
        <v>0</v>
      </c>
    </row>
    <row r="5" spans="1:11" x14ac:dyDescent="0.25">
      <c r="A5" s="127" t="s">
        <v>578</v>
      </c>
      <c r="B5" s="459">
        <f>Összesítés!F5</f>
        <v>2957551.6999373934</v>
      </c>
      <c r="C5" s="111">
        <f t="shared" si="0"/>
        <v>169436866.21393803</v>
      </c>
      <c r="D5" s="459">
        <f>Összesítés!N5</f>
        <v>172394417.91387543</v>
      </c>
      <c r="E5" s="459">
        <f>-'Terv_tény vagyongazd'!M33</f>
        <v>-3321071.4285714282</v>
      </c>
      <c r="F5" s="111">
        <f>-'Terv_tény vagyongazd'!L33</f>
        <v>-165127595.45874965</v>
      </c>
      <c r="G5" s="206">
        <f t="shared" si="1"/>
        <v>-363519.72863403475</v>
      </c>
      <c r="H5" s="111">
        <f t="shared" si="2"/>
        <v>4309270.7551883757</v>
      </c>
      <c r="I5" s="206">
        <f t="shared" si="3"/>
        <v>3945751.026554341</v>
      </c>
      <c r="J5" s="206">
        <f t="shared" si="4"/>
        <v>5011103.8037240133</v>
      </c>
      <c r="K5" s="113">
        <f>Összesítés!Z5-számlázás!I5</f>
        <v>5.1222741603851318E-9</v>
      </c>
    </row>
    <row r="6" spans="1:11" ht="27" customHeight="1" x14ac:dyDescent="0.25">
      <c r="A6" s="116" t="s">
        <v>554</v>
      </c>
      <c r="B6" s="459">
        <f>Összesítés!F6</f>
        <v>2116686.1360343439</v>
      </c>
      <c r="C6" s="111">
        <f t="shared" si="0"/>
        <v>62742000.85380163</v>
      </c>
      <c r="D6" s="459">
        <f>Összesítés!N6</f>
        <v>64858686.989835978</v>
      </c>
      <c r="E6" s="459">
        <f>-'Terv_tény vagyongazd'!P33</f>
        <v>-1393571.4285714286</v>
      </c>
      <c r="F6" s="111">
        <f>-'Terv_tény vagyongazd'!O33</f>
        <v>-68004698.135345057</v>
      </c>
      <c r="G6" s="206">
        <f t="shared" si="1"/>
        <v>723114.70746291522</v>
      </c>
      <c r="H6" s="111">
        <f t="shared" si="2"/>
        <v>-5262697.2815434262</v>
      </c>
      <c r="I6" s="206">
        <f t="shared" si="3"/>
        <v>-4539582.574080511</v>
      </c>
      <c r="J6" s="206">
        <f t="shared" si="4"/>
        <v>-5765269.8690822488</v>
      </c>
      <c r="K6" s="113">
        <f>Összesítés!Z6-számlázás!I6</f>
        <v>0</v>
      </c>
    </row>
    <row r="7" spans="1:11" x14ac:dyDescent="0.25">
      <c r="A7" s="311" t="s">
        <v>900</v>
      </c>
      <c r="B7" s="459">
        <f>Összesítés!F7</f>
        <v>7054142.3963420084</v>
      </c>
      <c r="C7" s="111">
        <f t="shared" si="0"/>
        <v>268947735.49536341</v>
      </c>
      <c r="D7" s="459">
        <f>Összesítés!N7</f>
        <v>276001877.89170539</v>
      </c>
      <c r="E7" s="459">
        <f>-'Terv_tény vagyongazd'!C33</f>
        <v>-80300.428571428172</v>
      </c>
      <c r="F7" s="111">
        <f>-'Terv_tény vagyongazd'!B33</f>
        <v>-343651136.15871179</v>
      </c>
      <c r="G7" s="206">
        <f t="shared" si="1"/>
        <v>6973841.9677705802</v>
      </c>
      <c r="H7" s="111">
        <f t="shared" si="2"/>
        <v>-74703400.663348377</v>
      </c>
      <c r="I7" s="206">
        <f t="shared" si="3"/>
        <v>-67729558.6955778</v>
      </c>
      <c r="J7" s="206">
        <f t="shared" si="4"/>
        <v>-86016539.543383807</v>
      </c>
      <c r="K7" s="113">
        <f>Összesítés!Z7-számlázás!I7</f>
        <v>0</v>
      </c>
    </row>
    <row r="8" spans="1:11" x14ac:dyDescent="0.25">
      <c r="A8" s="127"/>
      <c r="B8" s="459"/>
      <c r="C8" s="111"/>
      <c r="D8" s="459"/>
      <c r="E8" s="459"/>
      <c r="F8" s="111"/>
      <c r="G8" s="206">
        <f t="shared" si="1"/>
        <v>0</v>
      </c>
      <c r="H8" s="111">
        <f t="shared" si="2"/>
        <v>0</v>
      </c>
      <c r="I8" s="206"/>
      <c r="J8" s="206"/>
    </row>
    <row r="9" spans="1:11" x14ac:dyDescent="0.25">
      <c r="A9" s="311"/>
      <c r="B9" s="459"/>
      <c r="C9" s="111"/>
      <c r="D9" s="459"/>
      <c r="E9" s="459"/>
      <c r="F9" s="111"/>
      <c r="G9" s="206">
        <f t="shared" si="1"/>
        <v>0</v>
      </c>
      <c r="H9" s="111">
        <f t="shared" si="2"/>
        <v>0</v>
      </c>
      <c r="I9" s="206">
        <v>0</v>
      </c>
      <c r="J9" s="206">
        <f t="shared" ref="J9:J13" si="5">I9*1.27</f>
        <v>0</v>
      </c>
    </row>
    <row r="10" spans="1:11" x14ac:dyDescent="0.25">
      <c r="A10" s="294" t="s">
        <v>1526</v>
      </c>
      <c r="B10" s="459">
        <f>Összesítés!F58</f>
        <v>139048772.17000002</v>
      </c>
      <c r="C10" s="111">
        <f>D10-B10</f>
        <v>0</v>
      </c>
      <c r="D10" s="459">
        <f>'Terv_tény parkolás'!H79</f>
        <v>139048772.17000002</v>
      </c>
      <c r="E10" s="459">
        <f>-'Terv_tény parkolás'!H36</f>
        <v>-153941554.9032962</v>
      </c>
      <c r="F10" s="111"/>
      <c r="G10" s="206">
        <f t="shared" si="1"/>
        <v>-14892782.733296186</v>
      </c>
      <c r="H10" s="111">
        <f t="shared" si="2"/>
        <v>0</v>
      </c>
      <c r="I10" s="206">
        <f t="shared" ref="I10:I11" si="6">SUM(G10:H10)</f>
        <v>-14892782.733296186</v>
      </c>
      <c r="J10" s="206">
        <f t="shared" si="5"/>
        <v>-18913834.071286157</v>
      </c>
      <c r="K10" s="113">
        <f>I10+I11-Összesítés!Z20</f>
        <v>0</v>
      </c>
    </row>
    <row r="11" spans="1:11" x14ac:dyDescent="0.25">
      <c r="A11" s="294" t="s">
        <v>1527</v>
      </c>
      <c r="B11" s="459">
        <f>Összesítés!F56</f>
        <v>2233584</v>
      </c>
      <c r="C11" s="111">
        <f>D11-B11</f>
        <v>460307973.02632576</v>
      </c>
      <c r="D11" s="459">
        <f>Összesítés!N20-D10</f>
        <v>462541557.02632576</v>
      </c>
      <c r="E11" s="459"/>
      <c r="F11" s="111">
        <f>Összesítés!R20-E10</f>
        <v>-501309558.63578653</v>
      </c>
      <c r="G11" s="206">
        <f t="shared" si="1"/>
        <v>2233584</v>
      </c>
      <c r="H11" s="111">
        <f t="shared" si="2"/>
        <v>-41001585.609460771</v>
      </c>
      <c r="I11" s="206">
        <f t="shared" si="6"/>
        <v>-38768001.609460771</v>
      </c>
      <c r="J11" s="206">
        <f t="shared" si="5"/>
        <v>-49235362.044015177</v>
      </c>
    </row>
    <row r="12" spans="1:11" x14ac:dyDescent="0.25">
      <c r="A12" s="294"/>
      <c r="B12" s="459"/>
      <c r="C12" s="111"/>
      <c r="D12" s="459"/>
      <c r="E12" s="459"/>
      <c r="F12" s="111"/>
      <c r="G12" s="206">
        <f t="shared" si="1"/>
        <v>0</v>
      </c>
      <c r="H12" s="111">
        <f t="shared" si="2"/>
        <v>0</v>
      </c>
      <c r="I12" s="206"/>
      <c r="J12" s="206"/>
    </row>
    <row r="13" spans="1:11" x14ac:dyDescent="0.25">
      <c r="A13" s="109" t="s">
        <v>683</v>
      </c>
      <c r="B13" s="459">
        <f>Összesítés!F95+Összesítés!I95</f>
        <v>149321802.71937206</v>
      </c>
      <c r="C13" s="111">
        <f>D13-B13</f>
        <v>0</v>
      </c>
      <c r="D13" s="459">
        <f>Összesítés!N29</f>
        <v>149321802.71937206</v>
      </c>
      <c r="E13" s="459">
        <f>-'Terv_tény piac'!B29</f>
        <v>-153133468.82668468</v>
      </c>
      <c r="F13" s="111">
        <v>0</v>
      </c>
      <c r="G13" s="206">
        <f t="shared" si="1"/>
        <v>-3811666.1073126197</v>
      </c>
      <c r="H13" s="111">
        <f t="shared" si="2"/>
        <v>0</v>
      </c>
      <c r="I13" s="206">
        <f>SUM(G13:H13)</f>
        <v>-3811666.1073126197</v>
      </c>
      <c r="J13" s="206">
        <f t="shared" si="5"/>
        <v>-4840815.9562870273</v>
      </c>
      <c r="K13" s="113">
        <f>I13-Összesítés!Z29</f>
        <v>0</v>
      </c>
    </row>
    <row r="14" spans="1:11" x14ac:dyDescent="0.25">
      <c r="A14" s="109"/>
      <c r="B14" s="111"/>
      <c r="C14" s="111"/>
      <c r="D14" s="459"/>
      <c r="E14" s="459"/>
      <c r="F14" s="111"/>
      <c r="G14" s="206"/>
      <c r="H14" s="111"/>
      <c r="I14" s="206"/>
      <c r="J14" s="206"/>
    </row>
    <row r="15" spans="1:11" ht="13" x14ac:dyDescent="0.3">
      <c r="A15" s="122"/>
      <c r="B15" s="322">
        <f>SUM(B2:B14)</f>
        <v>377691012.62911892</v>
      </c>
      <c r="C15" s="322">
        <f t="shared" ref="C15:J15" si="7">SUM(C2:C14)</f>
        <v>1306634893.6883593</v>
      </c>
      <c r="D15" s="322">
        <f t="shared" si="7"/>
        <v>1684325906.3174782</v>
      </c>
      <c r="E15" s="322">
        <f t="shared" si="7"/>
        <v>-415611043.29342031</v>
      </c>
      <c r="F15" s="322">
        <f t="shared" si="7"/>
        <v>-1461501329.2693238</v>
      </c>
      <c r="G15" s="322">
        <f t="shared" si="7"/>
        <v>-37920030.66430141</v>
      </c>
      <c r="H15" s="322">
        <f t="shared" si="7"/>
        <v>-154866435.58096442</v>
      </c>
      <c r="I15" s="322">
        <f t="shared" si="7"/>
        <v>-192786466.24526581</v>
      </c>
      <c r="J15" s="562">
        <f t="shared" si="7"/>
        <v>-244838812.13148761</v>
      </c>
      <c r="K15" s="322"/>
    </row>
    <row r="17" ht="17.25" customHeight="1" x14ac:dyDescent="0.25"/>
  </sheetData>
  <pageMargins left="0.7" right="0.7" top="0.75" bottom="0.75" header="0.3" footer="0.3"/>
  <pageSetup paperSize="8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119"/>
  <sheetViews>
    <sheetView view="pageBreakPreview" zoomScaleNormal="100" zoomScaleSheetLayoutView="100" workbookViewId="0">
      <pane xSplit="5" ySplit="1" topLeftCell="M11" activePane="bottomRight" state="frozen"/>
      <selection pane="topRight" activeCell="F1" sqref="F1"/>
      <selection pane="bottomLeft" activeCell="A2" sqref="A2"/>
      <selection pane="bottomRight" activeCell="N25" sqref="N25:N26"/>
    </sheetView>
  </sheetViews>
  <sheetFormatPr defaultColWidth="8.81640625" defaultRowHeight="12.5" x14ac:dyDescent="0.25"/>
  <cols>
    <col min="1" max="1" width="33.453125" style="116" customWidth="1"/>
    <col min="2" max="2" width="15.7265625" style="116" hidden="1" customWidth="1"/>
    <col min="3" max="3" width="13.26953125" style="116" hidden="1" customWidth="1"/>
    <col min="4" max="4" width="14.81640625" style="117" customWidth="1"/>
    <col min="5" max="5" width="14.81640625" style="117" hidden="1" customWidth="1"/>
    <col min="6" max="6" width="17.81640625" style="117" customWidth="1"/>
    <col min="7" max="7" width="19.26953125" style="117" customWidth="1"/>
    <col min="8" max="8" width="20.1796875" style="111" customWidth="1"/>
    <col min="9" max="11" width="17.54296875" style="111" customWidth="1"/>
    <col min="12" max="12" width="21.453125" style="111" customWidth="1"/>
    <col min="13" max="13" width="20.7265625" style="111" customWidth="1"/>
    <col min="14" max="14" width="18.26953125" customWidth="1"/>
    <col min="15" max="15" width="15.81640625" hidden="1" customWidth="1"/>
    <col min="16" max="16" width="16.26953125" customWidth="1"/>
    <col min="17" max="18" width="18.453125" customWidth="1"/>
    <col min="19" max="19" width="16.26953125" customWidth="1"/>
    <col min="20" max="20" width="20.26953125" style="111" customWidth="1"/>
    <col min="21" max="23" width="17.26953125" style="111" customWidth="1"/>
    <col min="24" max="24" width="21" style="111" customWidth="1"/>
    <col min="25" max="28" width="18.26953125" customWidth="1"/>
    <col min="29" max="29" width="17.54296875" hidden="1" customWidth="1"/>
    <col min="30" max="31" width="16.26953125" hidden="1" customWidth="1"/>
    <col min="32" max="32" width="14.7265625" hidden="1" customWidth="1"/>
    <col min="33" max="34" width="17.54296875" hidden="1" customWidth="1"/>
  </cols>
  <sheetData>
    <row r="1" spans="1:34" s="106" customFormat="1" ht="91.5" customHeight="1" x14ac:dyDescent="0.25">
      <c r="A1" s="106" t="s">
        <v>677</v>
      </c>
      <c r="B1" s="106" t="s">
        <v>678</v>
      </c>
      <c r="C1" s="106" t="s">
        <v>973</v>
      </c>
      <c r="D1" s="665" t="s">
        <v>1865</v>
      </c>
      <c r="E1" s="107" t="s">
        <v>974</v>
      </c>
      <c r="F1" s="107" t="s">
        <v>975</v>
      </c>
      <c r="G1" s="107" t="s">
        <v>976</v>
      </c>
      <c r="H1" s="108" t="s">
        <v>564</v>
      </c>
      <c r="I1" s="108" t="s">
        <v>979</v>
      </c>
      <c r="J1" s="108" t="s">
        <v>978</v>
      </c>
      <c r="K1" s="108" t="s">
        <v>980</v>
      </c>
      <c r="L1" s="108" t="s">
        <v>977</v>
      </c>
      <c r="M1" s="108" t="s">
        <v>679</v>
      </c>
      <c r="N1" s="108" t="s">
        <v>680</v>
      </c>
      <c r="O1" s="108" t="s">
        <v>1480</v>
      </c>
      <c r="P1" s="547" t="s">
        <v>1851</v>
      </c>
      <c r="Q1" s="108" t="s">
        <v>1808</v>
      </c>
      <c r="R1" s="108" t="s">
        <v>1809</v>
      </c>
      <c r="S1" s="509" t="s">
        <v>1810</v>
      </c>
      <c r="T1" s="108" t="s">
        <v>1811</v>
      </c>
      <c r="U1" s="972" t="s">
        <v>1849</v>
      </c>
      <c r="V1" s="108" t="s">
        <v>1812</v>
      </c>
      <c r="W1" s="108" t="s">
        <v>1813</v>
      </c>
      <c r="X1" s="108" t="s">
        <v>1814</v>
      </c>
      <c r="Y1" s="972" t="s">
        <v>1847</v>
      </c>
      <c r="Z1" s="108" t="s">
        <v>1815</v>
      </c>
      <c r="AA1" s="108" t="s">
        <v>1850</v>
      </c>
      <c r="AB1" s="108" t="s">
        <v>1816</v>
      </c>
      <c r="AC1" s="108" t="s">
        <v>1801</v>
      </c>
      <c r="AD1" s="108" t="s">
        <v>1802</v>
      </c>
      <c r="AE1" s="108" t="s">
        <v>1803</v>
      </c>
      <c r="AF1" s="108" t="s">
        <v>1804</v>
      </c>
      <c r="AG1" s="108" t="s">
        <v>1805</v>
      </c>
      <c r="AH1" s="108" t="s">
        <v>1806</v>
      </c>
    </row>
    <row r="2" spans="1:34" x14ac:dyDescent="0.25">
      <c r="A2" s="116" t="s">
        <v>688</v>
      </c>
      <c r="B2" s="118"/>
      <c r="C2" s="110"/>
      <c r="D2" s="110"/>
      <c r="E2" s="110"/>
      <c r="F2" s="111">
        <f t="shared" ref="F2:K6" si="0">F37</f>
        <v>60080791.603542648</v>
      </c>
      <c r="G2" s="111">
        <f t="shared" si="0"/>
        <v>0</v>
      </c>
      <c r="H2" s="111">
        <f t="shared" si="0"/>
        <v>60080791.603542648</v>
      </c>
      <c r="I2" s="111">
        <f t="shared" si="0"/>
        <v>8610991.230337061</v>
      </c>
      <c r="J2" s="111">
        <f t="shared" si="0"/>
        <v>0</v>
      </c>
      <c r="K2" s="111">
        <f t="shared" si="0"/>
        <v>8610991.230337061</v>
      </c>
      <c r="L2" s="111">
        <f>G2+J2</f>
        <v>0</v>
      </c>
      <c r="M2" s="111">
        <f>H2+K2</f>
        <v>68691782.833879709</v>
      </c>
      <c r="N2" s="111">
        <f>N37</f>
        <v>68691782.833879709</v>
      </c>
      <c r="O2" s="111"/>
      <c r="P2" s="111"/>
      <c r="Q2" s="340">
        <f>-'Terv_tény vagyongazd'!H33</f>
        <v>-97028933.420582265</v>
      </c>
      <c r="R2" s="111">
        <f t="shared" ref="R2:R7" si="1">T2-Q2</f>
        <v>0</v>
      </c>
      <c r="S2" s="111"/>
      <c r="T2" s="111">
        <f>-'Terv_tény vagyongazd'!H33+S2</f>
        <v>-97028933.420582265</v>
      </c>
      <c r="V2" s="206">
        <f>$F2+$I2+$Q2</f>
        <v>-28337150.586702555</v>
      </c>
      <c r="W2" s="111">
        <f t="shared" ref="W2:W7" si="2">X2-V2</f>
        <v>0</v>
      </c>
      <c r="X2" s="971">
        <f t="shared" ref="X2:X7" si="3">+N2+T2</f>
        <v>-28337150.586702555</v>
      </c>
      <c r="Y2" s="31"/>
      <c r="Z2" s="113">
        <f t="shared" ref="Z2:Z10" si="4">+X2+Y2</f>
        <v>-28337150.586702555</v>
      </c>
      <c r="AA2" s="113"/>
      <c r="AB2" s="573">
        <f>Z2*1.27</f>
        <v>-35988181.245112248</v>
      </c>
      <c r="AC2" s="459">
        <f t="shared" ref="AC2:AD7" si="5">Q2/2</f>
        <v>-48514466.710291132</v>
      </c>
      <c r="AD2" s="459">
        <f t="shared" si="5"/>
        <v>0</v>
      </c>
      <c r="AE2" s="459">
        <f t="shared" ref="AE2:AE7" si="6">T2/2</f>
        <v>-48514466.710291132</v>
      </c>
      <c r="AF2" s="206">
        <f t="shared" ref="AF2:AF13" si="7">$F2+$I2+$AC2</f>
        <v>20177316.123588577</v>
      </c>
      <c r="AG2" s="111">
        <f t="shared" ref="AG2:AG7" si="8">AH2-AF2</f>
        <v>0</v>
      </c>
      <c r="AH2" s="113">
        <f t="shared" ref="AH2:AH7" si="9">N2+AE2</f>
        <v>20177316.123588577</v>
      </c>
    </row>
    <row r="3" spans="1:34" x14ac:dyDescent="0.25">
      <c r="A3" s="116" t="s">
        <v>685</v>
      </c>
      <c r="B3" s="118"/>
      <c r="C3" s="110"/>
      <c r="D3" s="110"/>
      <c r="E3" s="110"/>
      <c r="F3" s="111">
        <f t="shared" si="0"/>
        <v>1844168.3187550309</v>
      </c>
      <c r="G3" s="111">
        <f t="shared" si="0"/>
        <v>61526503.83294341</v>
      </c>
      <c r="H3" s="111">
        <f t="shared" si="0"/>
        <v>63370672.15169844</v>
      </c>
      <c r="I3" s="111">
        <f t="shared" si="0"/>
        <v>0</v>
      </c>
      <c r="J3" s="111">
        <f t="shared" si="0"/>
        <v>11977105.984014276</v>
      </c>
      <c r="K3" s="111">
        <f t="shared" si="0"/>
        <v>11977105.984014276</v>
      </c>
      <c r="L3" s="111">
        <f t="shared" ref="L3:L12" si="10">G3+J3</f>
        <v>73503609.816957682</v>
      </c>
      <c r="M3" s="111">
        <f t="shared" ref="M3:M12" si="11">H3+K3</f>
        <v>75347778.135712713</v>
      </c>
      <c r="N3" s="111">
        <f>N38</f>
        <v>75347778.135712713</v>
      </c>
      <c r="O3" s="111"/>
      <c r="P3" s="111"/>
      <c r="Q3" s="340">
        <f>-'Terv_tény vagyongazd'!J33</f>
        <v>-1333571.4285714286</v>
      </c>
      <c r="R3" s="111">
        <f t="shared" si="1"/>
        <v>-95695138.565347761</v>
      </c>
      <c r="S3" s="111"/>
      <c r="T3" s="479">
        <f>-'Terv_tény vagyongazd'!K33+S3</f>
        <v>-97028709.993919194</v>
      </c>
      <c r="V3" s="206">
        <f>F3+I3+Q3</f>
        <v>510596.89018360223</v>
      </c>
      <c r="W3" s="111">
        <f t="shared" si="2"/>
        <v>-22191528.748390082</v>
      </c>
      <c r="X3" s="971">
        <f t="shared" si="3"/>
        <v>-21680931.858206481</v>
      </c>
      <c r="Y3" s="31"/>
      <c r="Z3" s="113">
        <f t="shared" si="4"/>
        <v>-21680931.858206481</v>
      </c>
      <c r="AA3" s="113"/>
      <c r="AB3" s="573">
        <f t="shared" ref="AB3:AB7" si="12">Z3*1.27</f>
        <v>-27534783.459922232</v>
      </c>
      <c r="AC3" s="459">
        <f t="shared" si="5"/>
        <v>-666785.71428571432</v>
      </c>
      <c r="AD3" s="459">
        <f t="shared" si="5"/>
        <v>-47847569.28267388</v>
      </c>
      <c r="AE3" s="459">
        <f t="shared" si="6"/>
        <v>-48514354.996959597</v>
      </c>
      <c r="AF3" s="206">
        <f t="shared" si="7"/>
        <v>1177382.6044693165</v>
      </c>
      <c r="AG3" s="111">
        <f t="shared" si="8"/>
        <v>25656040.534283798</v>
      </c>
      <c r="AH3" s="113">
        <f t="shared" si="9"/>
        <v>26833423.138753116</v>
      </c>
    </row>
    <row r="4" spans="1:34" x14ac:dyDescent="0.25">
      <c r="A4" s="205" t="s">
        <v>686</v>
      </c>
      <c r="B4" s="118"/>
      <c r="C4" s="110"/>
      <c r="D4" s="110"/>
      <c r="E4" s="110"/>
      <c r="F4" s="111">
        <f t="shared" si="0"/>
        <v>4422522.3547983188</v>
      </c>
      <c r="G4" s="111">
        <f t="shared" si="0"/>
        <v>226684708.66884738</v>
      </c>
      <c r="H4" s="111">
        <f t="shared" si="0"/>
        <v>231107231.0236457</v>
      </c>
      <c r="I4" s="111">
        <f t="shared" si="0"/>
        <v>0</v>
      </c>
      <c r="J4" s="111">
        <f t="shared" si="0"/>
        <v>45011999.613125533</v>
      </c>
      <c r="K4" s="111">
        <f t="shared" si="0"/>
        <v>45011999.613125533</v>
      </c>
      <c r="L4" s="111">
        <f t="shared" si="10"/>
        <v>271696708.28197289</v>
      </c>
      <c r="M4" s="111">
        <f t="shared" si="11"/>
        <v>276119230.6367712</v>
      </c>
      <c r="N4" s="111">
        <f>N39</f>
        <v>276119230.6367712</v>
      </c>
      <c r="O4" s="111"/>
      <c r="P4" s="111"/>
      <c r="Q4" s="340">
        <f>-'Terv_tény vagyongazd'!F33</f>
        <v>-5378571.4285714282</v>
      </c>
      <c r="R4" s="111">
        <f t="shared" si="1"/>
        <v>-287713202.31538302</v>
      </c>
      <c r="S4" s="111"/>
      <c r="T4" s="459">
        <f>-'Terv_tény vagyongazd'!G33+S4</f>
        <v>-293091773.74395442</v>
      </c>
      <c r="V4" s="206">
        <f>F4+I4+Q4</f>
        <v>-956049.07377310935</v>
      </c>
      <c r="W4" s="111">
        <f t="shared" si="2"/>
        <v>-16016494.03341011</v>
      </c>
      <c r="X4" s="971">
        <f t="shared" si="3"/>
        <v>-16972543.107183218</v>
      </c>
      <c r="Y4" s="31"/>
      <c r="Z4" s="113">
        <f t="shared" si="4"/>
        <v>-16972543.107183218</v>
      </c>
      <c r="AA4" s="113"/>
      <c r="AB4" s="573">
        <f t="shared" si="12"/>
        <v>-21555129.746122688</v>
      </c>
      <c r="AC4" s="459">
        <f t="shared" si="5"/>
        <v>-2689285.7142857141</v>
      </c>
      <c r="AD4" s="459">
        <f t="shared" si="5"/>
        <v>-143856601.15769151</v>
      </c>
      <c r="AE4" s="459">
        <f t="shared" si="6"/>
        <v>-146545886.87197721</v>
      </c>
      <c r="AF4" s="206">
        <f t="shared" si="7"/>
        <v>1733236.6405126047</v>
      </c>
      <c r="AG4" s="111">
        <f t="shared" si="8"/>
        <v>127840107.12428139</v>
      </c>
      <c r="AH4" s="113">
        <f t="shared" si="9"/>
        <v>129573343.76479399</v>
      </c>
    </row>
    <row r="5" spans="1:34" x14ac:dyDescent="0.25">
      <c r="A5" s="205" t="s">
        <v>1597</v>
      </c>
      <c r="B5" s="118"/>
      <c r="C5" s="110"/>
      <c r="D5" s="110"/>
      <c r="E5" s="110"/>
      <c r="F5" s="111">
        <f t="shared" si="0"/>
        <v>2957551.6999373934</v>
      </c>
      <c r="G5" s="111">
        <f t="shared" si="0"/>
        <v>99668266.813593447</v>
      </c>
      <c r="H5" s="111">
        <f t="shared" si="0"/>
        <v>102625818.51353084</v>
      </c>
      <c r="I5" s="111">
        <f t="shared" si="0"/>
        <v>0</v>
      </c>
      <c r="J5" s="111">
        <f t="shared" si="0"/>
        <v>69768599.400344595</v>
      </c>
      <c r="K5" s="111">
        <f t="shared" si="0"/>
        <v>69768599.400344595</v>
      </c>
      <c r="L5" s="111">
        <f t="shared" si="10"/>
        <v>169436866.21393806</v>
      </c>
      <c r="M5" s="111">
        <f t="shared" si="11"/>
        <v>172394417.91387543</v>
      </c>
      <c r="N5" s="111">
        <f>N40</f>
        <v>172394417.91387543</v>
      </c>
      <c r="O5" s="111"/>
      <c r="P5" s="111"/>
      <c r="Q5" s="340">
        <f>-'Terv_tény vagyongazd'!M33</f>
        <v>-3321071.4285714282</v>
      </c>
      <c r="R5" s="111">
        <f t="shared" si="1"/>
        <v>-165127595.45874965</v>
      </c>
      <c r="S5" s="111"/>
      <c r="T5" s="111">
        <f>-'Terv_tény vagyongazd'!N33+S5</f>
        <v>-168448666.88732108</v>
      </c>
      <c r="V5" s="206">
        <f>F5+I5+Q5</f>
        <v>-363519.72863403475</v>
      </c>
      <c r="W5" s="111">
        <f t="shared" si="2"/>
        <v>4309270.7551883813</v>
      </c>
      <c r="X5" s="971">
        <f t="shared" si="3"/>
        <v>3945751.0265543461</v>
      </c>
      <c r="Y5" s="31"/>
      <c r="Z5" s="113">
        <f t="shared" si="4"/>
        <v>3945751.0265543461</v>
      </c>
      <c r="AA5" s="113"/>
      <c r="AB5" s="573">
        <f t="shared" si="12"/>
        <v>5011103.8037240198</v>
      </c>
      <c r="AC5" s="459">
        <f t="shared" si="5"/>
        <v>-1660535.7142857141</v>
      </c>
      <c r="AD5" s="459">
        <f t="shared" si="5"/>
        <v>-82563797.729374826</v>
      </c>
      <c r="AE5" s="459">
        <f t="shared" si="6"/>
        <v>-84224333.443660542</v>
      </c>
      <c r="AF5" s="206">
        <f t="shared" si="7"/>
        <v>1297015.9856516793</v>
      </c>
      <c r="AG5" s="111">
        <f t="shared" si="8"/>
        <v>86873068.484563202</v>
      </c>
      <c r="AH5" s="113">
        <f t="shared" si="9"/>
        <v>88170084.470214888</v>
      </c>
    </row>
    <row r="6" spans="1:34" x14ac:dyDescent="0.25">
      <c r="A6" s="116" t="s">
        <v>554</v>
      </c>
      <c r="B6" s="118"/>
      <c r="C6" s="110">
        <f>C51-C22</f>
        <v>0</v>
      </c>
      <c r="D6" s="110"/>
      <c r="E6" s="110">
        <f>E51-E22</f>
        <v>0</v>
      </c>
      <c r="F6" s="111">
        <f t="shared" si="0"/>
        <v>2116686.1360343439</v>
      </c>
      <c r="G6" s="111">
        <f t="shared" si="0"/>
        <v>50999740.085160181</v>
      </c>
      <c r="H6" s="111">
        <f t="shared" si="0"/>
        <v>53116426.221194528</v>
      </c>
      <c r="I6" s="111">
        <f t="shared" si="0"/>
        <v>0</v>
      </c>
      <c r="J6" s="111">
        <f t="shared" si="0"/>
        <v>11742260.768641451</v>
      </c>
      <c r="K6" s="111">
        <f t="shared" si="0"/>
        <v>11742260.768641451</v>
      </c>
      <c r="L6" s="111">
        <f t="shared" si="10"/>
        <v>62742000.85380163</v>
      </c>
      <c r="M6" s="111">
        <f t="shared" si="11"/>
        <v>64858686.989835978</v>
      </c>
      <c r="N6" s="111">
        <f>N41</f>
        <v>64858686.989835978</v>
      </c>
      <c r="O6" s="111">
        <f>O37</f>
        <v>0</v>
      </c>
      <c r="P6" s="111"/>
      <c r="Q6" s="340">
        <f>-'Terv_tény vagyongazd'!P33</f>
        <v>-1393571.4285714286</v>
      </c>
      <c r="R6" s="111">
        <f t="shared" si="1"/>
        <v>-68004698.135345057</v>
      </c>
      <c r="S6" s="111"/>
      <c r="T6" s="111">
        <f>-'Terv_tény vagyongazd'!Q33+S6</f>
        <v>-69398269.563916489</v>
      </c>
      <c r="V6" s="206">
        <f>F6+I6+Q6</f>
        <v>723114.70746291522</v>
      </c>
      <c r="W6" s="111">
        <f t="shared" si="2"/>
        <v>-5262697.2815434271</v>
      </c>
      <c r="X6" s="971">
        <f t="shared" si="3"/>
        <v>-4539582.5740805119</v>
      </c>
      <c r="Y6" s="31"/>
      <c r="Z6" s="113">
        <f t="shared" si="4"/>
        <v>-4539582.5740805119</v>
      </c>
      <c r="AA6" s="113"/>
      <c r="AB6" s="573">
        <f t="shared" si="12"/>
        <v>-5765269.8690822506</v>
      </c>
      <c r="AC6" s="459">
        <f t="shared" si="5"/>
        <v>-696785.71428571432</v>
      </c>
      <c r="AD6" s="459">
        <f t="shared" si="5"/>
        <v>-34002349.067672528</v>
      </c>
      <c r="AE6" s="459">
        <f t="shared" si="6"/>
        <v>-34699134.781958245</v>
      </c>
      <c r="AF6" s="206">
        <f t="shared" si="7"/>
        <v>1419900.4217486295</v>
      </c>
      <c r="AG6" s="111">
        <f t="shared" si="8"/>
        <v>28739651.786129102</v>
      </c>
      <c r="AH6" s="113">
        <f t="shared" si="9"/>
        <v>30159552.207877733</v>
      </c>
    </row>
    <row r="7" spans="1:34" x14ac:dyDescent="0.25">
      <c r="A7" s="311" t="s">
        <v>900</v>
      </c>
      <c r="B7" s="118"/>
      <c r="C7" s="110">
        <f>C54</f>
        <v>0</v>
      </c>
      <c r="D7" s="110">
        <f>D54</f>
        <v>0</v>
      </c>
      <c r="E7" s="110">
        <f>E54</f>
        <v>0</v>
      </c>
      <c r="F7" s="111">
        <f t="shared" ref="F7:K7" si="13">F45</f>
        <v>7054142.3963420084</v>
      </c>
      <c r="G7" s="111">
        <f t="shared" si="13"/>
        <v>224953398.48218688</v>
      </c>
      <c r="H7" s="111">
        <f t="shared" si="13"/>
        <v>232007540.87852889</v>
      </c>
      <c r="I7" s="111">
        <f t="shared" si="13"/>
        <v>0</v>
      </c>
      <c r="J7" s="111">
        <f t="shared" si="13"/>
        <v>43994337.013176605</v>
      </c>
      <c r="K7" s="111">
        <f t="shared" si="13"/>
        <v>43994337.013176605</v>
      </c>
      <c r="L7" s="111">
        <f t="shared" si="10"/>
        <v>268947735.49536347</v>
      </c>
      <c r="M7" s="111">
        <f t="shared" si="11"/>
        <v>276001877.89170551</v>
      </c>
      <c r="N7" s="111">
        <f>N45</f>
        <v>276001877.89170539</v>
      </c>
      <c r="O7" s="111"/>
      <c r="P7" s="1056">
        <f>P45</f>
        <v>576126.63999999501</v>
      </c>
      <c r="Q7" s="340">
        <f>-'Terv_tény vagyongazd'!C33</f>
        <v>-80300.428571428172</v>
      </c>
      <c r="R7" s="111">
        <f t="shared" si="1"/>
        <v>-343651136.15871179</v>
      </c>
      <c r="S7" s="111"/>
      <c r="T7" s="111">
        <f>-'Terv_tény vagyongazd'!D33+S7</f>
        <v>-343731436.58728319</v>
      </c>
      <c r="V7" s="206">
        <f>F7+I7+Q7</f>
        <v>6973841.9677705802</v>
      </c>
      <c r="W7" s="111">
        <f t="shared" si="2"/>
        <v>-74703400.663348377</v>
      </c>
      <c r="X7" s="971">
        <f t="shared" si="3"/>
        <v>-67729558.6955778</v>
      </c>
      <c r="Y7" s="31"/>
      <c r="Z7" s="113">
        <f t="shared" si="4"/>
        <v>-67729558.6955778</v>
      </c>
      <c r="AA7" s="113"/>
      <c r="AB7" s="573">
        <f t="shared" si="12"/>
        <v>-86016539.543383807</v>
      </c>
      <c r="AC7" s="459">
        <f t="shared" si="5"/>
        <v>-40150.214285714086</v>
      </c>
      <c r="AD7" s="459">
        <f t="shared" si="5"/>
        <v>-171825568.0793559</v>
      </c>
      <c r="AE7" s="459">
        <f t="shared" si="6"/>
        <v>-171865718.2936416</v>
      </c>
      <c r="AF7" s="206">
        <f t="shared" si="7"/>
        <v>7013992.1820562948</v>
      </c>
      <c r="AG7" s="111">
        <f t="shared" si="8"/>
        <v>97122167.416007504</v>
      </c>
      <c r="AH7" s="113">
        <f t="shared" si="9"/>
        <v>104136159.5980638</v>
      </c>
    </row>
    <row r="8" spans="1:34" x14ac:dyDescent="0.25">
      <c r="A8" s="974" t="s">
        <v>1741</v>
      </c>
      <c r="B8" s="117"/>
      <c r="C8" s="110"/>
      <c r="D8" s="110">
        <f>(+'Terv_tény vagyongazd'!T80+'Terv_tény vagyongazd'!T81)/1.27-D9</f>
        <v>6190000</v>
      </c>
      <c r="E8" s="110"/>
      <c r="F8" s="479"/>
      <c r="G8" s="479"/>
      <c r="H8" s="479"/>
      <c r="I8" s="479"/>
      <c r="J8" s="479"/>
      <c r="K8" s="479"/>
      <c r="L8" s="479"/>
      <c r="M8" s="479"/>
      <c r="N8" s="1023">
        <f>D8</f>
        <v>6190000</v>
      </c>
      <c r="O8" s="479"/>
      <c r="P8" s="479"/>
      <c r="Q8" s="714"/>
      <c r="R8" s="479"/>
      <c r="S8" s="479"/>
      <c r="T8" s="479"/>
      <c r="U8" s="1023">
        <f>-15150000</f>
        <v>-15150000</v>
      </c>
      <c r="V8" s="715"/>
      <c r="W8" s="479"/>
      <c r="X8" s="459">
        <f>+N8+T8+U8</f>
        <v>-8960000</v>
      </c>
      <c r="Y8" s="31"/>
      <c r="Z8" s="139">
        <f t="shared" si="4"/>
        <v>-8960000</v>
      </c>
      <c r="AA8" s="113">
        <f>Z8</f>
        <v>-8960000</v>
      </c>
      <c r="AB8" s="573">
        <f>AA8*1.27</f>
        <v>-11379200</v>
      </c>
      <c r="AC8" s="716"/>
      <c r="AD8" s="716"/>
      <c r="AE8" s="716"/>
      <c r="AF8" s="715"/>
      <c r="AG8" s="479"/>
      <c r="AH8" s="113"/>
    </row>
    <row r="9" spans="1:34" x14ac:dyDescent="0.25">
      <c r="A9" s="974" t="s">
        <v>1741</v>
      </c>
      <c r="B9" s="117"/>
      <c r="C9" s="110"/>
      <c r="D9" s="1025">
        <v>3181580</v>
      </c>
      <c r="E9" s="110"/>
      <c r="F9" s="479"/>
      <c r="G9" s="479"/>
      <c r="H9" s="479"/>
      <c r="I9" s="479"/>
      <c r="J9" s="479"/>
      <c r="K9" s="479"/>
      <c r="L9" s="479"/>
      <c r="M9" s="479"/>
      <c r="N9" s="1023">
        <f>D9</f>
        <v>3181580</v>
      </c>
      <c r="O9" s="479"/>
      <c r="P9" s="479"/>
      <c r="Q9" s="714"/>
      <c r="R9" s="479"/>
      <c r="S9" s="479"/>
      <c r="T9" s="479"/>
      <c r="U9" s="1023">
        <f>-3438850</f>
        <v>-3438850</v>
      </c>
      <c r="V9" s="715"/>
      <c r="W9" s="479"/>
      <c r="X9" s="459">
        <f>+N9+T9+U9</f>
        <v>-257270</v>
      </c>
      <c r="Y9" s="31"/>
      <c r="Z9" s="139">
        <f t="shared" si="4"/>
        <v>-257270</v>
      </c>
      <c r="AA9" s="113">
        <f>Z9</f>
        <v>-257270</v>
      </c>
      <c r="AB9" s="573">
        <f>AA9*1.27</f>
        <v>-326732.90000000002</v>
      </c>
      <c r="AC9" s="716"/>
      <c r="AD9" s="716"/>
      <c r="AE9" s="716"/>
      <c r="AF9" s="715"/>
      <c r="AG9" s="479"/>
      <c r="AH9" s="113"/>
    </row>
    <row r="10" spans="1:34" x14ac:dyDescent="0.25">
      <c r="A10" s="205" t="s">
        <v>1730</v>
      </c>
      <c r="B10" s="117"/>
      <c r="C10" s="110"/>
      <c r="D10" s="110">
        <f>D51</f>
        <v>26976126</v>
      </c>
      <c r="E10" s="110"/>
      <c r="F10" s="479"/>
      <c r="G10" s="479"/>
      <c r="H10" s="479"/>
      <c r="I10" s="479"/>
      <c r="J10" s="479"/>
      <c r="K10" s="479"/>
      <c r="L10" s="479"/>
      <c r="M10" s="479"/>
      <c r="N10" s="603">
        <f>D10</f>
        <v>26976126</v>
      </c>
      <c r="O10" s="479"/>
      <c r="P10" s="479"/>
      <c r="Q10" s="479">
        <f>-'Terv_tény vagyongazd'!V40-'Terv_tény vagyongazd'!V21</f>
        <v>-31900000</v>
      </c>
      <c r="R10" s="479"/>
      <c r="S10" s="510">
        <v>1119346</v>
      </c>
      <c r="T10" s="479">
        <f>-'Terv_tény vagyongazd'!V40-'Terv_tény vagyongazd'!V21+S10</f>
        <v>-30780654</v>
      </c>
      <c r="U10" s="479"/>
      <c r="V10" s="206">
        <f>F10+I10+Q10+U10+D10+S10</f>
        <v>-3804528</v>
      </c>
      <c r="W10" s="111">
        <f t="shared" ref="W10" si="14">X10-V10</f>
        <v>0</v>
      </c>
      <c r="X10" s="459">
        <f t="shared" ref="X10" si="15">+N10+T10</f>
        <v>-3804528</v>
      </c>
      <c r="Y10" s="973">
        <v>2800000</v>
      </c>
      <c r="Z10" s="113">
        <f t="shared" si="4"/>
        <v>-1004528</v>
      </c>
      <c r="AA10" s="113"/>
      <c r="AB10" s="573">
        <f>Z10</f>
        <v>-1004528</v>
      </c>
      <c r="AC10" s="716"/>
      <c r="AD10" s="716"/>
      <c r="AE10" s="716"/>
      <c r="AF10" s="715"/>
      <c r="AG10" s="479"/>
      <c r="AH10" s="113"/>
    </row>
    <row r="11" spans="1:34" x14ac:dyDescent="0.25">
      <c r="A11" s="205"/>
      <c r="B11" s="117"/>
      <c r="C11" s="110"/>
      <c r="D11" s="110"/>
      <c r="E11" s="110"/>
      <c r="F11" s="479"/>
      <c r="G11" s="479"/>
      <c r="H11" s="479"/>
      <c r="I11" s="479"/>
      <c r="J11" s="479"/>
      <c r="K11" s="479"/>
      <c r="L11" s="479"/>
      <c r="M11" s="479"/>
      <c r="N11" s="603"/>
      <c r="O11" s="479"/>
      <c r="P11" s="479"/>
      <c r="Q11" s="479"/>
      <c r="R11" s="479"/>
      <c r="S11" s="510"/>
      <c r="T11" s="479"/>
      <c r="U11" s="479"/>
      <c r="V11" s="206"/>
      <c r="X11" s="459"/>
      <c r="Y11" s="973"/>
      <c r="Z11" s="113"/>
      <c r="AA11" s="113"/>
      <c r="AB11" s="573"/>
      <c r="AC11" s="716"/>
      <c r="AD11" s="716"/>
      <c r="AE11" s="716"/>
      <c r="AF11" s="715"/>
      <c r="AG11" s="479"/>
      <c r="AH11" s="113"/>
    </row>
    <row r="12" spans="1:34" x14ac:dyDescent="0.25">
      <c r="A12" s="138" t="s">
        <v>698</v>
      </c>
      <c r="B12" s="118"/>
      <c r="C12" s="110"/>
      <c r="D12" s="110"/>
      <c r="E12" s="110"/>
      <c r="F12" s="111">
        <f>F49</f>
        <v>611384.48305907391</v>
      </c>
      <c r="G12" s="111">
        <f>G49</f>
        <v>0</v>
      </c>
      <c r="H12" s="111">
        <f>H49</f>
        <v>611384.48305907391</v>
      </c>
      <c r="I12" s="111">
        <f>I49</f>
        <v>27711735.413993817</v>
      </c>
      <c r="J12" s="111">
        <f>J49</f>
        <v>0</v>
      </c>
      <c r="K12" s="111">
        <f t="shared" ref="K12:P12" si="16">K49</f>
        <v>27711735.413993817</v>
      </c>
      <c r="L12" s="111">
        <f t="shared" si="10"/>
        <v>0</v>
      </c>
      <c r="M12" s="111">
        <f t="shared" si="11"/>
        <v>28323119.897052892</v>
      </c>
      <c r="N12" s="111">
        <f t="shared" si="16"/>
        <v>0</v>
      </c>
      <c r="O12" s="111"/>
      <c r="P12" s="544">
        <f t="shared" si="16"/>
        <v>-28323119.897052892</v>
      </c>
      <c r="Q12" s="340"/>
      <c r="R12" s="111"/>
      <c r="S12" s="111"/>
      <c r="V12" s="206"/>
      <c r="X12" s="206"/>
      <c r="Y12" s="31"/>
      <c r="Z12" s="113"/>
      <c r="AA12" s="113"/>
      <c r="AB12" s="573"/>
      <c r="AC12" s="459"/>
      <c r="AD12" s="459"/>
      <c r="AE12" s="459"/>
    </row>
    <row r="13" spans="1:34" x14ac:dyDescent="0.25">
      <c r="A13" s="205"/>
      <c r="B13" s="117"/>
      <c r="C13" s="110"/>
      <c r="D13" s="110"/>
      <c r="E13" s="110">
        <f>E56</f>
        <v>0</v>
      </c>
      <c r="F13" s="479">
        <f t="shared" ref="F13:K13" si="17">F48</f>
        <v>0</v>
      </c>
      <c r="G13" s="479">
        <f t="shared" si="17"/>
        <v>0</v>
      </c>
      <c r="H13" s="479">
        <f t="shared" si="17"/>
        <v>0</v>
      </c>
      <c r="I13" s="479">
        <f t="shared" si="17"/>
        <v>0</v>
      </c>
      <c r="J13" s="479">
        <f t="shared" si="17"/>
        <v>0</v>
      </c>
      <c r="K13" s="479">
        <f t="shared" si="17"/>
        <v>0</v>
      </c>
      <c r="L13" s="479">
        <f t="shared" ref="L13" si="18">G13+J13</f>
        <v>0</v>
      </c>
      <c r="M13" s="479">
        <f t="shared" ref="M13" si="19">H13+K13</f>
        <v>0</v>
      </c>
      <c r="N13" s="479">
        <f>D13</f>
        <v>0</v>
      </c>
      <c r="O13" s="479"/>
      <c r="P13" s="479"/>
      <c r="Q13" s="714"/>
      <c r="R13" s="479">
        <f t="shared" ref="R13" si="20">T13-Q13</f>
        <v>0</v>
      </c>
      <c r="S13" s="479"/>
      <c r="T13" s="479"/>
      <c r="U13" s="479">
        <f>-'Terv_tény vagyongazd'!U34*1.27</f>
        <v>0</v>
      </c>
      <c r="V13" s="715">
        <f>F13+I13+Q13+U13+D13</f>
        <v>0</v>
      </c>
      <c r="W13" s="479"/>
      <c r="X13" s="715">
        <f>+N13+T13+U13</f>
        <v>0</v>
      </c>
      <c r="Y13" s="31"/>
      <c r="Z13" s="113">
        <f t="shared" ref="Z13:Z14" si="21">+X13+Y13</f>
        <v>0</v>
      </c>
      <c r="AA13" s="113"/>
      <c r="AB13" s="573">
        <f>Z13</f>
        <v>0</v>
      </c>
      <c r="AC13" s="716"/>
      <c r="AD13" s="716">
        <f t="shared" ref="AD13" si="22">R13/2</f>
        <v>0</v>
      </c>
      <c r="AE13" s="716"/>
      <c r="AF13" s="715">
        <f t="shared" si="7"/>
        <v>0</v>
      </c>
      <c r="AG13" s="479"/>
      <c r="AH13" s="113"/>
    </row>
    <row r="14" spans="1:34" x14ac:dyDescent="0.25">
      <c r="A14" s="205"/>
      <c r="B14" s="117"/>
      <c r="C14" s="110"/>
      <c r="D14" s="110"/>
      <c r="E14" s="110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714"/>
      <c r="R14" s="479"/>
      <c r="S14" s="479"/>
      <c r="T14" s="479"/>
      <c r="U14" s="479"/>
      <c r="V14" s="715"/>
      <c r="W14" s="479"/>
      <c r="X14" s="716">
        <f>+N14+T14+U14</f>
        <v>0</v>
      </c>
      <c r="Y14" s="31"/>
      <c r="Z14" s="113">
        <f t="shared" si="21"/>
        <v>0</v>
      </c>
      <c r="AA14" s="113">
        <f>Z14</f>
        <v>0</v>
      </c>
      <c r="AB14" s="573">
        <f>AA14*1.27</f>
        <v>0</v>
      </c>
      <c r="AC14" s="716"/>
      <c r="AD14" s="716"/>
      <c r="AE14" s="716"/>
      <c r="AF14" s="715"/>
      <c r="AG14" s="479"/>
      <c r="AH14" s="113"/>
    </row>
    <row r="15" spans="1:34" x14ac:dyDescent="0.25">
      <c r="A15" s="205"/>
      <c r="B15" s="117"/>
      <c r="C15" s="110"/>
      <c r="D15" s="110"/>
      <c r="E15" s="110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715"/>
      <c r="W15" s="479"/>
      <c r="X15" s="716"/>
      <c r="Y15" s="31"/>
      <c r="Z15" s="113"/>
      <c r="AA15" s="113"/>
      <c r="AB15" s="573"/>
      <c r="AC15" s="716"/>
      <c r="AD15" s="716"/>
      <c r="AE15" s="716"/>
      <c r="AF15" s="715"/>
      <c r="AG15" s="479"/>
      <c r="AH15" s="113"/>
    </row>
    <row r="16" spans="1:34" x14ac:dyDescent="0.25">
      <c r="A16" s="127" t="s">
        <v>584</v>
      </c>
      <c r="B16" s="118"/>
      <c r="C16" s="110"/>
      <c r="D16" s="110"/>
      <c r="E16" s="110"/>
      <c r="F16" s="111"/>
      <c r="G16" s="111"/>
      <c r="N16" s="111"/>
      <c r="O16" s="111"/>
      <c r="P16" s="544">
        <f>P74</f>
        <v>-6142.769999999844</v>
      </c>
      <c r="Q16" s="340"/>
      <c r="R16" s="111"/>
      <c r="S16" s="111"/>
      <c r="V16" s="206"/>
      <c r="X16" s="459"/>
      <c r="Y16" s="31"/>
      <c r="Z16" s="113"/>
      <c r="AA16" s="113"/>
      <c r="AB16" s="113"/>
      <c r="AC16" s="459"/>
      <c r="AD16" s="459"/>
      <c r="AE16" s="459"/>
    </row>
    <row r="17" spans="1:34" x14ac:dyDescent="0.25">
      <c r="A17" s="127"/>
      <c r="B17" s="118"/>
      <c r="C17" s="110"/>
      <c r="D17" s="110"/>
      <c r="E17" s="110"/>
      <c r="F17" s="111"/>
      <c r="G17" s="111"/>
      <c r="N17" s="111"/>
      <c r="O17" s="111"/>
      <c r="P17" s="111"/>
      <c r="Q17" s="340"/>
      <c r="R17" s="111"/>
      <c r="S17" s="111"/>
      <c r="V17" s="206"/>
      <c r="X17" s="459"/>
      <c r="Y17" s="31"/>
      <c r="Z17" s="113"/>
      <c r="AA17" s="113"/>
      <c r="AB17" s="113"/>
      <c r="AC17" s="459"/>
      <c r="AD17" s="459"/>
      <c r="AE17" s="459"/>
    </row>
    <row r="18" spans="1:34" x14ac:dyDescent="0.25">
      <c r="A18" s="138" t="s">
        <v>663</v>
      </c>
      <c r="B18" s="118"/>
      <c r="C18" s="110"/>
      <c r="D18" s="110"/>
      <c r="E18" s="110"/>
      <c r="F18" s="111">
        <f t="shared" ref="F18:K18" si="23">F73</f>
        <v>0</v>
      </c>
      <c r="G18" s="111">
        <f t="shared" si="23"/>
        <v>84495.439999997616</v>
      </c>
      <c r="H18" s="111">
        <f t="shared" si="23"/>
        <v>84495.439999997616</v>
      </c>
      <c r="I18" s="111">
        <f t="shared" si="23"/>
        <v>0</v>
      </c>
      <c r="J18" s="111">
        <f t="shared" si="23"/>
        <v>0</v>
      </c>
      <c r="K18" s="111">
        <f t="shared" si="23"/>
        <v>0</v>
      </c>
      <c r="L18" s="111">
        <f>G18+J18</f>
        <v>84495.439999997616</v>
      </c>
      <c r="M18" s="111">
        <f>H18+K18</f>
        <v>84495.439999997616</v>
      </c>
      <c r="N18" s="111">
        <f>N73</f>
        <v>0</v>
      </c>
      <c r="O18" s="111"/>
      <c r="P18" s="544">
        <f>P73</f>
        <v>-84495.439999997616</v>
      </c>
      <c r="Q18" s="340"/>
      <c r="R18" s="111"/>
      <c r="S18" s="111"/>
      <c r="V18" s="206"/>
      <c r="X18" s="459"/>
      <c r="Y18" s="31"/>
      <c r="Z18" s="113"/>
      <c r="AA18" s="113"/>
      <c r="AB18" s="113"/>
      <c r="AC18" s="459"/>
      <c r="AD18" s="459"/>
      <c r="AE18" s="459"/>
    </row>
    <row r="19" spans="1:34" x14ac:dyDescent="0.25">
      <c r="A19" s="311"/>
      <c r="B19" s="110"/>
      <c r="C19" s="110"/>
      <c r="D19" s="110"/>
      <c r="E19" s="110"/>
      <c r="F19" s="111"/>
      <c r="G19" s="111"/>
      <c r="I19" s="112"/>
      <c r="J19" s="112"/>
      <c r="K19" s="112"/>
      <c r="N19" s="111"/>
      <c r="O19" s="111"/>
      <c r="P19" s="111"/>
      <c r="Q19" s="340"/>
      <c r="R19" s="111"/>
      <c r="S19" s="111"/>
      <c r="V19" s="206">
        <f>+L19+Q19</f>
        <v>0</v>
      </c>
      <c r="X19" s="459">
        <f>+N19+T19</f>
        <v>0</v>
      </c>
      <c r="Y19" s="31"/>
      <c r="Z19" s="113"/>
      <c r="AA19" s="113"/>
      <c r="AB19" s="113"/>
      <c r="AC19" s="459"/>
      <c r="AD19" s="459"/>
      <c r="AE19" s="459"/>
    </row>
    <row r="20" spans="1:34" x14ac:dyDescent="0.25">
      <c r="A20" s="114" t="s">
        <v>682</v>
      </c>
      <c r="B20" s="115"/>
      <c r="C20" s="115">
        <v>0</v>
      </c>
      <c r="D20" s="115">
        <v>0</v>
      </c>
      <c r="E20" s="115">
        <v>0</v>
      </c>
      <c r="F20" s="111">
        <f t="shared" ref="F20:K20" si="24">F60</f>
        <v>141282356.17000002</v>
      </c>
      <c r="G20" s="111">
        <f t="shared" si="24"/>
        <v>408583476.01000005</v>
      </c>
      <c r="H20" s="111">
        <f t="shared" si="24"/>
        <v>549865832.18000007</v>
      </c>
      <c r="I20" s="111">
        <f t="shared" si="24"/>
        <v>0</v>
      </c>
      <c r="J20" s="111">
        <f t="shared" si="24"/>
        <v>51724497.016325697</v>
      </c>
      <c r="K20" s="111">
        <f t="shared" si="24"/>
        <v>51724497.016325697</v>
      </c>
      <c r="L20" s="111">
        <f>G20+J20</f>
        <v>460307973.02632576</v>
      </c>
      <c r="M20" s="111">
        <f>H20+K20</f>
        <v>601590329.19632578</v>
      </c>
      <c r="N20" s="111">
        <f>N60</f>
        <v>601590329.19632578</v>
      </c>
      <c r="O20" s="111"/>
      <c r="P20" s="111">
        <f t="shared" ref="P20:P33" si="25">N20-M20</f>
        <v>0</v>
      </c>
      <c r="Q20" s="340">
        <v>0</v>
      </c>
      <c r="R20" s="111">
        <f>T20-Q20</f>
        <v>-655251113.53908277</v>
      </c>
      <c r="S20" s="479"/>
      <c r="T20" s="111">
        <f>-'Terv_tény parkolás'!F36+S20</f>
        <v>-655251113.53908277</v>
      </c>
      <c r="V20" s="206">
        <f>F20+I20+Q20</f>
        <v>141282356.17000002</v>
      </c>
      <c r="W20" s="111">
        <f>X20-V20</f>
        <v>-194943140.512757</v>
      </c>
      <c r="X20" s="971">
        <f>+N20+T20</f>
        <v>-53660784.342756987</v>
      </c>
      <c r="Y20" s="31"/>
      <c r="Z20" s="113">
        <f t="shared" ref="Z20:Z30" si="26">+X20+Y20</f>
        <v>-53660784.342756987</v>
      </c>
      <c r="AA20" s="113"/>
      <c r="AB20" s="113">
        <f t="shared" ref="AB20" si="27">Z20*1.27</f>
        <v>-68149196.115301371</v>
      </c>
      <c r="AC20" s="459">
        <f>Q20/2</f>
        <v>0</v>
      </c>
      <c r="AD20" s="459">
        <f>R20/2</f>
        <v>-327625556.76954138</v>
      </c>
      <c r="AE20" s="459">
        <f>T20/2</f>
        <v>-327625556.76954138</v>
      </c>
      <c r="AF20" s="206">
        <f>$F20+$I20+$AC20</f>
        <v>141282356.17000002</v>
      </c>
      <c r="AG20" s="111">
        <f>AH20-AF20</f>
        <v>132682416.25678438</v>
      </c>
      <c r="AH20" s="113">
        <f>N20+AE20</f>
        <v>273964772.4267844</v>
      </c>
    </row>
    <row r="21" spans="1:34" x14ac:dyDescent="0.25">
      <c r="A21" s="1004" t="s">
        <v>1754</v>
      </c>
      <c r="B21" s="115"/>
      <c r="C21" s="115"/>
      <c r="D21" s="115">
        <f>D56</f>
        <v>12032000</v>
      </c>
      <c r="E21" s="115"/>
      <c r="F21" s="111"/>
      <c r="G21" s="111"/>
      <c r="N21" s="1023">
        <f>D21</f>
        <v>12032000</v>
      </c>
      <c r="O21" s="111"/>
      <c r="P21" s="111"/>
      <c r="Q21" s="340"/>
      <c r="R21" s="111">
        <f>T21-Q21</f>
        <v>0</v>
      </c>
      <c r="S21" s="479"/>
      <c r="U21" s="544">
        <f>-'Terv_tény parkolás'!F39</f>
        <v>-17000000</v>
      </c>
      <c r="V21" s="206"/>
      <c r="X21" s="1055">
        <f>+N21+T21+U21</f>
        <v>-4968000</v>
      </c>
      <c r="Y21" s="31"/>
      <c r="Z21" s="139">
        <f>+X21+Y21*1.27</f>
        <v>-4968000</v>
      </c>
      <c r="AA21" s="113"/>
      <c r="AB21" s="113">
        <f>Z21</f>
        <v>-4968000</v>
      </c>
      <c r="AC21" s="459"/>
      <c r="AD21" s="459"/>
      <c r="AE21" s="459"/>
      <c r="AF21" s="206"/>
      <c r="AG21" s="111"/>
      <c r="AH21" s="113"/>
    </row>
    <row r="22" spans="1:34" x14ac:dyDescent="0.25">
      <c r="F22" s="111"/>
      <c r="G22" s="111"/>
      <c r="Q22" s="340"/>
      <c r="R22" s="111"/>
      <c r="S22" s="479"/>
      <c r="X22" s="459"/>
      <c r="AC22" s="459"/>
      <c r="AD22" s="459"/>
      <c r="AE22" s="459"/>
    </row>
    <row r="23" spans="1:34" x14ac:dyDescent="0.25">
      <c r="A23" s="294" t="s">
        <v>1734</v>
      </c>
      <c r="B23" s="115"/>
      <c r="C23" s="115">
        <f>C76</f>
        <v>0</v>
      </c>
      <c r="D23" s="115">
        <f>D76</f>
        <v>0</v>
      </c>
      <c r="E23" s="115">
        <f>E76</f>
        <v>0</v>
      </c>
      <c r="F23" s="111">
        <f t="shared" ref="F23:K23" si="28">F70</f>
        <v>77712080.480000019</v>
      </c>
      <c r="G23" s="111">
        <f t="shared" si="28"/>
        <v>0</v>
      </c>
      <c r="H23" s="111">
        <f t="shared" si="28"/>
        <v>77712080.480000019</v>
      </c>
      <c r="I23" s="111">
        <f t="shared" si="28"/>
        <v>45303654.831190236</v>
      </c>
      <c r="J23" s="111">
        <f t="shared" si="28"/>
        <v>0</v>
      </c>
      <c r="K23" s="111">
        <f t="shared" si="28"/>
        <v>45303654.831190236</v>
      </c>
      <c r="L23" s="111">
        <f>G23+J23</f>
        <v>0</v>
      </c>
      <c r="M23" s="111">
        <f>H23+K23</f>
        <v>123015735.31119025</v>
      </c>
      <c r="N23" s="111">
        <f>N70</f>
        <v>123015735.31119025</v>
      </c>
      <c r="O23" s="111"/>
      <c r="P23" s="111">
        <f t="shared" si="25"/>
        <v>0</v>
      </c>
      <c r="Q23" s="340">
        <f>-'Terv_tény intézmény'!M33</f>
        <v>-135958027.88338295</v>
      </c>
      <c r="R23" s="111"/>
      <c r="S23" s="479"/>
      <c r="T23" s="111">
        <f>-'Terv_tény intézmény'!M33+S23</f>
        <v>-135958027.88338295</v>
      </c>
      <c r="V23" s="206">
        <f>F23+I23+Q23</f>
        <v>-12942292.572192699</v>
      </c>
      <c r="W23" s="111">
        <f>X23-V23</f>
        <v>0</v>
      </c>
      <c r="X23" s="971">
        <f>+N23+T23</f>
        <v>-12942292.572192699</v>
      </c>
      <c r="Y23" s="31">
        <f>O23+U23</f>
        <v>0</v>
      </c>
      <c r="Z23" s="113">
        <f t="shared" si="26"/>
        <v>-12942292.572192699</v>
      </c>
      <c r="AA23" s="113"/>
      <c r="AB23" s="113">
        <f>Z23</f>
        <v>-12942292.572192699</v>
      </c>
      <c r="AC23" s="459">
        <f>Q23/2</f>
        <v>-67979013.941691473</v>
      </c>
      <c r="AD23" s="459">
        <f>R23/2</f>
        <v>0</v>
      </c>
      <c r="AE23" s="459">
        <f>T23/2</f>
        <v>-67979013.941691473</v>
      </c>
      <c r="AF23" s="206">
        <f>$F23+$I23+$AC23</f>
        <v>55036721.369498774</v>
      </c>
      <c r="AG23" s="111">
        <f>AH23-AF23</f>
        <v>0</v>
      </c>
      <c r="AH23" s="113">
        <f>N23+AE23</f>
        <v>55036721.369498774</v>
      </c>
    </row>
    <row r="24" spans="1:34" x14ac:dyDescent="0.25">
      <c r="A24" s="114"/>
      <c r="B24" s="115"/>
      <c r="C24" s="115"/>
      <c r="D24" s="115"/>
      <c r="E24" s="115"/>
      <c r="F24" s="111"/>
      <c r="G24" s="111"/>
      <c r="N24" s="111"/>
      <c r="O24" s="111"/>
      <c r="P24" s="111"/>
      <c r="Q24" s="340"/>
      <c r="R24" s="111"/>
      <c r="S24" s="111"/>
      <c r="V24" s="206"/>
      <c r="X24" s="459"/>
      <c r="Y24" s="31"/>
      <c r="Z24" s="113"/>
      <c r="AA24" s="113"/>
      <c r="AB24" s="113"/>
      <c r="AC24" s="459"/>
      <c r="AD24" s="459"/>
      <c r="AE24" s="459"/>
    </row>
    <row r="25" spans="1:34" x14ac:dyDescent="0.25">
      <c r="A25" s="114" t="s">
        <v>1736</v>
      </c>
      <c r="B25" s="115"/>
      <c r="C25" s="115">
        <f>C92</f>
        <v>0</v>
      </c>
      <c r="D25" s="115"/>
      <c r="E25" s="115">
        <f>E92</f>
        <v>0</v>
      </c>
      <c r="F25" s="111">
        <f t="shared" ref="F25:K25" si="29">F86</f>
        <v>183184285.10058123</v>
      </c>
      <c r="G25" s="111">
        <f t="shared" si="29"/>
        <v>1161206002.6294186</v>
      </c>
      <c r="H25" s="111">
        <f t="shared" si="29"/>
        <v>1344390287.7299998</v>
      </c>
      <c r="I25" s="111">
        <f t="shared" si="29"/>
        <v>53302621.011744283</v>
      </c>
      <c r="J25" s="111">
        <f t="shared" si="29"/>
        <v>187074127.77253449</v>
      </c>
      <c r="K25" s="111">
        <f t="shared" si="29"/>
        <v>240376748.78427878</v>
      </c>
      <c r="L25" s="111">
        <f>G25+J25</f>
        <v>1348280130.4019532</v>
      </c>
      <c r="M25" s="111">
        <f>H25+K25</f>
        <v>1584767036.5142787</v>
      </c>
      <c r="N25" s="111">
        <f>N86</f>
        <v>1584767036.5142787</v>
      </c>
      <c r="O25" s="111">
        <v>0</v>
      </c>
      <c r="P25" s="1056">
        <f>P79+P81</f>
        <v>2992785.0000000023</v>
      </c>
      <c r="Q25" s="340">
        <f>-('Terv_tény településüz'!N32)-Q26-Q27</f>
        <v>-261021727.23608673</v>
      </c>
      <c r="R25" s="111">
        <f>T25-Q25</f>
        <v>-1318149789.6415319</v>
      </c>
      <c r="S25" s="479">
        <v>0</v>
      </c>
      <c r="T25" s="111">
        <f>-('Terv_tény településüz'!O32)-T27-T26+2500000</f>
        <v>-1579171516.8776186</v>
      </c>
      <c r="V25" s="206">
        <f>F25+I25+Q25</f>
        <v>-24534821.123761207</v>
      </c>
      <c r="W25" s="111">
        <f>X25-V25</f>
        <v>30130340.760421306</v>
      </c>
      <c r="X25" s="340">
        <f>+N25+T25</f>
        <v>5595519.636660099</v>
      </c>
      <c r="Y25" s="31"/>
      <c r="Z25" s="709">
        <f t="shared" si="26"/>
        <v>5595519.636660099</v>
      </c>
      <c r="AA25" s="113"/>
      <c r="AB25" s="709">
        <f>X25+Y25</f>
        <v>5595519.636660099</v>
      </c>
      <c r="AC25" s="459">
        <f>Q25/2</f>
        <v>-130510863.61804336</v>
      </c>
      <c r="AD25" s="459">
        <f>R25/2</f>
        <v>-659074894.82076597</v>
      </c>
      <c r="AE25" s="459">
        <f>T25/2</f>
        <v>-789585758.43880928</v>
      </c>
      <c r="AF25" s="206">
        <f>$F25+$I25+$AC25</f>
        <v>105976042.49428216</v>
      </c>
      <c r="AG25" s="111">
        <f>AH25-AF25</f>
        <v>689205235.58118725</v>
      </c>
      <c r="AH25" s="113">
        <f>N25+AE25</f>
        <v>795181278.07546937</v>
      </c>
    </row>
    <row r="26" spans="1:34" x14ac:dyDescent="0.25">
      <c r="A26" s="294" t="s">
        <v>1752</v>
      </c>
      <c r="B26" s="115"/>
      <c r="C26" s="115"/>
      <c r="D26" s="115">
        <f>D92-D27</f>
        <v>49191088</v>
      </c>
      <c r="E26" s="115"/>
      <c r="F26" s="111"/>
      <c r="G26" s="111"/>
      <c r="N26" s="479">
        <f>D26</f>
        <v>49191088</v>
      </c>
      <c r="O26" s="111"/>
      <c r="P26" s="111"/>
      <c r="Q26" s="340">
        <f>-'Terv_tény településüz'!O19</f>
        <v>-109200000</v>
      </c>
      <c r="R26" s="111"/>
      <c r="S26" s="510">
        <v>2500000</v>
      </c>
      <c r="T26" s="111">
        <f>+Q26+R26+S26</f>
        <v>-106700000</v>
      </c>
      <c r="V26" s="206">
        <f>F26+I26+Q26+S26+U26+D26</f>
        <v>-57508912</v>
      </c>
      <c r="X26" s="459">
        <f>+N26+T26+U26</f>
        <v>-57508912</v>
      </c>
      <c r="Y26" s="973">
        <v>57508912</v>
      </c>
      <c r="Z26" s="113">
        <f t="shared" si="26"/>
        <v>0</v>
      </c>
      <c r="AA26" s="113"/>
      <c r="AB26" s="113">
        <f>Z26</f>
        <v>0</v>
      </c>
      <c r="AC26" s="459">
        <f>Q26/2</f>
        <v>-54600000</v>
      </c>
      <c r="AD26" s="459">
        <f>R26/2</f>
        <v>0</v>
      </c>
      <c r="AE26" s="459">
        <f>T26/2</f>
        <v>-53350000</v>
      </c>
      <c r="AF26" s="206">
        <f>$F26+$I26+$AC26</f>
        <v>-54600000</v>
      </c>
      <c r="AG26" s="111">
        <f>AH26-AF26</f>
        <v>50441088</v>
      </c>
      <c r="AH26" s="478">
        <f>N26+AE26</f>
        <v>-4158912</v>
      </c>
    </row>
    <row r="27" spans="1:34" x14ac:dyDescent="0.25">
      <c r="A27" s="1004" t="s">
        <v>1800</v>
      </c>
      <c r="B27" s="1024"/>
      <c r="C27" s="1024"/>
      <c r="D27" s="1024">
        <f>D89</f>
        <v>26760406</v>
      </c>
      <c r="E27" s="115"/>
      <c r="F27" s="111"/>
      <c r="G27" s="111"/>
      <c r="N27" s="603">
        <f>D27</f>
        <v>26760406</v>
      </c>
      <c r="O27" s="111"/>
      <c r="P27" s="111"/>
      <c r="Q27" s="340"/>
      <c r="R27" s="111"/>
      <c r="S27" s="111"/>
      <c r="T27" s="111">
        <f>Q27</f>
        <v>0</v>
      </c>
      <c r="U27" s="1023">
        <f>-('Terv_tény településüz'!O33+'Terv_tény településüz'!O34)</f>
        <v>-41017058</v>
      </c>
      <c r="V27" s="206">
        <f>F27+I27+Q27+U27+D27</f>
        <v>-14256652</v>
      </c>
      <c r="X27" s="459">
        <f>+N27+T27+U27</f>
        <v>-14256652</v>
      </c>
      <c r="Y27" s="31"/>
      <c r="Z27" s="139">
        <f t="shared" ref="Z27" si="30">+X27+Y27</f>
        <v>-14256652</v>
      </c>
      <c r="AA27" s="113"/>
      <c r="AB27" s="113">
        <f>Z27-AA27</f>
        <v>-14256652</v>
      </c>
      <c r="AC27" s="459"/>
      <c r="AD27" s="459"/>
      <c r="AE27" s="459">
        <f>+AC27+AD27</f>
        <v>0</v>
      </c>
      <c r="AF27" s="206">
        <f>$F27+$I27+$AC27+D27</f>
        <v>26760406</v>
      </c>
      <c r="AG27" s="111">
        <f>AH27-AF27</f>
        <v>0</v>
      </c>
      <c r="AH27" s="478">
        <f>N27+AE27</f>
        <v>26760406</v>
      </c>
    </row>
    <row r="28" spans="1:34" x14ac:dyDescent="0.25">
      <c r="A28" s="294"/>
      <c r="B28" s="115"/>
      <c r="C28" s="115"/>
      <c r="D28" s="115"/>
      <c r="E28" s="115"/>
      <c r="F28" s="111"/>
      <c r="G28" s="111"/>
      <c r="N28" s="111"/>
      <c r="O28" s="111"/>
      <c r="P28" s="111"/>
      <c r="Q28" s="340"/>
      <c r="R28" s="111"/>
      <c r="S28" s="111"/>
      <c r="V28" s="206"/>
      <c r="X28" s="459"/>
      <c r="Y28" s="31"/>
      <c r="Z28" s="113"/>
      <c r="AA28" s="113"/>
      <c r="AB28" s="113"/>
      <c r="AC28" s="459"/>
      <c r="AD28" s="459"/>
      <c r="AE28" s="459"/>
    </row>
    <row r="29" spans="1:34" x14ac:dyDescent="0.25">
      <c r="A29" s="109" t="s">
        <v>683</v>
      </c>
      <c r="B29" s="110"/>
      <c r="C29" s="110">
        <f t="shared" ref="C29:K29" si="31">C95</f>
        <v>0</v>
      </c>
      <c r="D29" s="110"/>
      <c r="E29" s="110">
        <f t="shared" si="31"/>
        <v>0</v>
      </c>
      <c r="F29" s="111">
        <f t="shared" si="31"/>
        <v>120701039.90000001</v>
      </c>
      <c r="G29" s="111">
        <f t="shared" si="31"/>
        <v>0</v>
      </c>
      <c r="H29" s="111">
        <f t="shared" si="31"/>
        <v>120701039.90000001</v>
      </c>
      <c r="I29" s="111">
        <f t="shared" si="31"/>
        <v>28620762.819372054</v>
      </c>
      <c r="J29" s="111">
        <f t="shared" si="31"/>
        <v>0</v>
      </c>
      <c r="K29" s="111">
        <f t="shared" si="31"/>
        <v>28620762.819372054</v>
      </c>
      <c r="L29" s="111">
        <f>G29+J29</f>
        <v>0</v>
      </c>
      <c r="M29" s="111">
        <f>H29+K29</f>
        <v>149321802.71937206</v>
      </c>
      <c r="N29" s="111">
        <f>N95</f>
        <v>149321802.71937206</v>
      </c>
      <c r="O29" s="111"/>
      <c r="P29" s="121"/>
      <c r="Q29" s="340">
        <f>-'Terv_tény piac'!C29</f>
        <v>0</v>
      </c>
      <c r="R29" s="111">
        <f>T29-Q29</f>
        <v>-153133468.82668468</v>
      </c>
      <c r="S29" s="111"/>
      <c r="T29" s="111">
        <f>-'Terv_tény piac'!D29</f>
        <v>-153133468.82668468</v>
      </c>
      <c r="U29" s="479"/>
      <c r="V29" s="206">
        <f>F29+I29+Q29</f>
        <v>149321802.71937206</v>
      </c>
      <c r="X29" s="459">
        <f>+N29+T29+U29</f>
        <v>-3811666.1073126197</v>
      </c>
      <c r="Y29" s="31"/>
      <c r="Z29" s="113">
        <f t="shared" si="26"/>
        <v>-3811666.1073126197</v>
      </c>
      <c r="AA29" s="113">
        <f>Y29*1.27</f>
        <v>0</v>
      </c>
      <c r="AB29" s="113">
        <f>Z29*1.27-AA29</f>
        <v>-4840815.9562870273</v>
      </c>
      <c r="AC29" s="459">
        <f>Q29/2</f>
        <v>0</v>
      </c>
      <c r="AD29" s="459">
        <f>R29/2</f>
        <v>-76566734.413342342</v>
      </c>
      <c r="AE29" s="459">
        <f>T29/2</f>
        <v>-76566734.413342342</v>
      </c>
      <c r="AF29" s="206">
        <f>$F29+$I29+$AC29</f>
        <v>149321802.71937206</v>
      </c>
      <c r="AG29" s="111">
        <f>AH29-AF29</f>
        <v>-76566734.413342342</v>
      </c>
      <c r="AH29" s="113">
        <f>N29+AE29</f>
        <v>72755068.306029722</v>
      </c>
    </row>
    <row r="30" spans="1:34" x14ac:dyDescent="0.25">
      <c r="A30" s="1004" t="s">
        <v>1853</v>
      </c>
      <c r="B30" s="110"/>
      <c r="C30" s="110"/>
      <c r="D30" s="110">
        <f>D96</f>
        <v>1446500</v>
      </c>
      <c r="E30" s="110"/>
      <c r="F30" s="111"/>
      <c r="G30" s="111"/>
      <c r="N30" s="1023">
        <f>N96</f>
        <v>1446500</v>
      </c>
      <c r="O30" s="111"/>
      <c r="P30" s="121"/>
      <c r="Q30" s="340"/>
      <c r="R30" s="111"/>
      <c r="S30" s="111"/>
      <c r="U30" s="1023">
        <f>-2060705</f>
        <v>-2060705</v>
      </c>
      <c r="V30" s="206">
        <f>F30+I30+Q30+U30+D30</f>
        <v>-614205</v>
      </c>
      <c r="X30" s="459">
        <f>+N30+T30+U30</f>
        <v>-614205</v>
      </c>
      <c r="Y30" s="31"/>
      <c r="Z30" s="139">
        <f t="shared" si="26"/>
        <v>-614205</v>
      </c>
      <c r="AA30" s="113">
        <f>Z30</f>
        <v>-614205</v>
      </c>
      <c r="AB30" s="573">
        <f>AA30*1.27</f>
        <v>-780040.35</v>
      </c>
      <c r="AC30" s="459"/>
      <c r="AD30" s="459"/>
      <c r="AE30" s="459"/>
      <c r="AF30" s="206"/>
      <c r="AG30" s="111"/>
      <c r="AH30" s="113"/>
    </row>
    <row r="31" spans="1:34" x14ac:dyDescent="0.25">
      <c r="A31" s="294" t="s">
        <v>1877</v>
      </c>
      <c r="B31" s="110"/>
      <c r="C31" s="110"/>
      <c r="D31" s="110">
        <f>D97</f>
        <v>757700</v>
      </c>
      <c r="E31" s="110"/>
      <c r="F31" s="111"/>
      <c r="G31" s="111"/>
      <c r="N31" s="1023">
        <f>N97</f>
        <v>757700</v>
      </c>
      <c r="O31" s="111"/>
      <c r="P31" s="121"/>
      <c r="Q31" s="340">
        <f>-'Terv_tény piac'!B32</f>
        <v>-1174500</v>
      </c>
      <c r="R31" s="111"/>
      <c r="S31" s="111"/>
      <c r="T31" s="111">
        <f>+Q31+R31+S31</f>
        <v>-1174500</v>
      </c>
      <c r="U31" s="479"/>
      <c r="V31" s="206">
        <f>F31+I31+Q31+S31+U31+D31</f>
        <v>-416800</v>
      </c>
      <c r="X31" s="459">
        <f>+N31+T31+U31</f>
        <v>-416800</v>
      </c>
      <c r="Y31" s="31"/>
      <c r="Z31" s="139">
        <f t="shared" ref="Z31" si="32">+X31+Y31</f>
        <v>-416800</v>
      </c>
      <c r="AA31" s="113"/>
      <c r="AB31" s="113">
        <f>Z31-AA31</f>
        <v>-416800</v>
      </c>
      <c r="AC31" s="459"/>
      <c r="AD31" s="459"/>
      <c r="AE31" s="459"/>
      <c r="AF31" s="206"/>
      <c r="AG31" s="111"/>
      <c r="AH31" s="113"/>
    </row>
    <row r="32" spans="1:34" x14ac:dyDescent="0.25">
      <c r="A32" s="109"/>
      <c r="B32" s="110"/>
      <c r="C32" s="110"/>
      <c r="D32" s="110"/>
      <c r="E32" s="110"/>
      <c r="F32" s="111"/>
      <c r="G32" s="111"/>
      <c r="N32" s="111"/>
      <c r="O32" s="111"/>
      <c r="P32" s="121"/>
      <c r="Q32" s="340"/>
      <c r="R32" s="111"/>
      <c r="S32" s="111"/>
      <c r="V32" s="206"/>
      <c r="X32" s="206"/>
      <c r="Y32" s="31"/>
      <c r="Z32" s="113"/>
      <c r="AA32" s="113"/>
      <c r="AB32" s="113"/>
      <c r="AC32" s="459"/>
      <c r="AD32" s="459"/>
      <c r="AE32" s="459"/>
    </row>
    <row r="33" spans="1:34" x14ac:dyDescent="0.25">
      <c r="A33" s="109" t="s">
        <v>684</v>
      </c>
      <c r="B33" s="110"/>
      <c r="C33" s="110"/>
      <c r="D33" s="110"/>
      <c r="E33" s="110"/>
      <c r="F33" s="111">
        <f t="shared" ref="F33:K33" si="33">F99</f>
        <v>236387</v>
      </c>
      <c r="G33" s="111">
        <f t="shared" si="33"/>
        <v>0</v>
      </c>
      <c r="H33" s="111">
        <f t="shared" si="33"/>
        <v>236387</v>
      </c>
      <c r="I33" s="111">
        <f t="shared" si="33"/>
        <v>0</v>
      </c>
      <c r="J33" s="111">
        <f t="shared" si="33"/>
        <v>0</v>
      </c>
      <c r="K33" s="111">
        <f t="shared" si="33"/>
        <v>0</v>
      </c>
      <c r="L33" s="111">
        <f>G33+K33</f>
        <v>0</v>
      </c>
      <c r="M33" s="111">
        <f>SUM(H33:K33)</f>
        <v>236387</v>
      </c>
      <c r="N33" s="111">
        <f>N98</f>
        <v>0</v>
      </c>
      <c r="O33" s="111"/>
      <c r="P33" s="206">
        <f t="shared" si="25"/>
        <v>-236387</v>
      </c>
      <c r="Q33" s="340"/>
      <c r="R33" s="111"/>
      <c r="S33" s="111"/>
      <c r="V33" s="206">
        <f>F33+I33+Q33</f>
        <v>236387</v>
      </c>
      <c r="X33" s="111">
        <f>+N33-O33+T33</f>
        <v>0</v>
      </c>
      <c r="Y33" s="31"/>
      <c r="AC33" s="459"/>
      <c r="AD33" s="459"/>
      <c r="AE33" s="459"/>
    </row>
    <row r="34" spans="1:34" s="125" customFormat="1" ht="13" x14ac:dyDescent="0.3">
      <c r="A34" s="122"/>
      <c r="B34" s="321">
        <f>SUM(B3:B33)</f>
        <v>0</v>
      </c>
      <c r="C34" s="321">
        <f>SUM(C3:C33)</f>
        <v>0</v>
      </c>
      <c r="D34" s="321">
        <f>SUM(D3:D33)</f>
        <v>126535400</v>
      </c>
      <c r="E34" s="321">
        <f>SUM(E3:E33)</f>
        <v>0</v>
      </c>
      <c r="F34" s="322">
        <f t="shared" ref="F34:AH34" si="34">SUM(F2:F33)</f>
        <v>602203395.64305007</v>
      </c>
      <c r="G34" s="322">
        <f t="shared" si="34"/>
        <v>2233706591.9621496</v>
      </c>
      <c r="H34" s="322">
        <f t="shared" si="34"/>
        <v>2835909987.6052003</v>
      </c>
      <c r="I34" s="322">
        <f t="shared" si="34"/>
        <v>163549765.30663747</v>
      </c>
      <c r="J34" s="322">
        <f t="shared" si="34"/>
        <v>421292927.56816268</v>
      </c>
      <c r="K34" s="322">
        <f t="shared" si="34"/>
        <v>584842692.87480009</v>
      </c>
      <c r="L34" s="322">
        <f t="shared" si="34"/>
        <v>2654999519.5303125</v>
      </c>
      <c r="M34" s="322">
        <f t="shared" si="34"/>
        <v>3420752680.48</v>
      </c>
      <c r="N34" s="322">
        <f t="shared" si="34"/>
        <v>3518644078.1429477</v>
      </c>
      <c r="O34" s="322">
        <f t="shared" si="34"/>
        <v>0</v>
      </c>
      <c r="P34" s="322">
        <f t="shared" si="34"/>
        <v>-25081233.467052892</v>
      </c>
      <c r="Q34" s="342">
        <f t="shared" si="34"/>
        <v>-647790274.68290913</v>
      </c>
      <c r="R34" s="322">
        <f t="shared" si="34"/>
        <v>-3086726142.6408362</v>
      </c>
      <c r="S34" s="322">
        <f t="shared" si="34"/>
        <v>3619346</v>
      </c>
      <c r="T34" s="322">
        <f t="shared" si="34"/>
        <v>-3730897071.3237453</v>
      </c>
      <c r="U34" s="1026">
        <f t="shared" si="34"/>
        <v>-78666613</v>
      </c>
      <c r="V34" s="322">
        <f t="shared" si="34"/>
        <v>155313169.36972558</v>
      </c>
      <c r="W34" s="322">
        <f t="shared" si="34"/>
        <v>-278677649.72383928</v>
      </c>
      <c r="X34" s="322">
        <f t="shared" si="34"/>
        <v>-290919606.18079847</v>
      </c>
      <c r="Y34" s="322">
        <f t="shared" si="34"/>
        <v>60308912</v>
      </c>
      <c r="Z34" s="322">
        <f t="shared" si="34"/>
        <v>-230610694.18079844</v>
      </c>
      <c r="AA34" s="322">
        <f t="shared" si="34"/>
        <v>-9831475</v>
      </c>
      <c r="AB34" s="719">
        <f t="shared" si="34"/>
        <v>-285317538.31702024</v>
      </c>
      <c r="AC34" s="322">
        <f t="shared" si="34"/>
        <v>-307357887.34145457</v>
      </c>
      <c r="AD34" s="322">
        <f t="shared" si="34"/>
        <v>-1543363071.3204181</v>
      </c>
      <c r="AE34" s="322">
        <f t="shared" si="34"/>
        <v>-1849470958.6618726</v>
      </c>
      <c r="AF34" s="322">
        <f t="shared" si="34"/>
        <v>456596172.71118009</v>
      </c>
      <c r="AG34" s="322">
        <f t="shared" si="34"/>
        <v>1161993040.7698944</v>
      </c>
      <c r="AH34" s="322">
        <f t="shared" si="34"/>
        <v>1618589213.4810743</v>
      </c>
    </row>
    <row r="35" spans="1:34" x14ac:dyDescent="0.25">
      <c r="C35" s="117"/>
      <c r="I35" s="112"/>
      <c r="J35" s="112"/>
      <c r="K35" s="112"/>
      <c r="L35" s="112"/>
      <c r="N35" s="111"/>
      <c r="O35" s="111"/>
      <c r="P35" s="111"/>
      <c r="Q35" s="111"/>
      <c r="R35" s="111"/>
      <c r="S35" s="111"/>
    </row>
    <row r="36" spans="1:34" x14ac:dyDescent="0.25">
      <c r="C36" s="117"/>
      <c r="I36" s="112"/>
      <c r="J36" s="112"/>
      <c r="K36" s="112"/>
      <c r="L36" s="112"/>
      <c r="N36" s="111"/>
      <c r="O36" s="111"/>
      <c r="P36" s="111"/>
      <c r="Q36" s="111"/>
      <c r="R36" s="111"/>
      <c r="S36" s="111"/>
    </row>
    <row r="37" spans="1:34" x14ac:dyDescent="0.25">
      <c r="A37" s="116" t="s">
        <v>688</v>
      </c>
      <c r="B37" s="118"/>
      <c r="C37" s="117"/>
      <c r="F37" s="442">
        <f>'Terv_tény vagyongazd'!H73</f>
        <v>60080791.603542648</v>
      </c>
      <c r="G37" s="442">
        <f>H37-F37</f>
        <v>0</v>
      </c>
      <c r="H37" s="443">
        <f>'Felosztás eredménykim'!CN285</f>
        <v>60080791.603542648</v>
      </c>
      <c r="I37" s="111">
        <f>'Terv_tény vagyongazd'!H74</f>
        <v>8610991.230337061</v>
      </c>
      <c r="J37" s="111">
        <f>K37-I37</f>
        <v>0</v>
      </c>
      <c r="K37" s="111">
        <f>'Felosztás eredménykim'!CJ286</f>
        <v>8610991.230337061</v>
      </c>
      <c r="M37" s="111">
        <f>H37+K37</f>
        <v>68691782.833879709</v>
      </c>
      <c r="N37" s="111">
        <f>'Terv_tény vagyongazd'!H75</f>
        <v>68691782.833879709</v>
      </c>
    </row>
    <row r="38" spans="1:34" x14ac:dyDescent="0.25">
      <c r="A38" s="116" t="s">
        <v>685</v>
      </c>
      <c r="B38" s="118"/>
      <c r="C38" s="117"/>
      <c r="F38" s="442">
        <f>'Terv_tény vagyongazd'!J75</f>
        <v>1844168.3187550309</v>
      </c>
      <c r="G38" s="442">
        <f>H38-F38</f>
        <v>61526503.83294341</v>
      </c>
      <c r="H38" s="443">
        <f>'Felosztás eredménykim'!CI285</f>
        <v>63370672.15169844</v>
      </c>
      <c r="I38" s="112">
        <f>'Terv_tény vagyongazd'!J74</f>
        <v>0</v>
      </c>
      <c r="J38" s="111">
        <f>K38-I38</f>
        <v>11977105.984014276</v>
      </c>
      <c r="K38" s="112">
        <f>'Felosztás eredménykim'!CC286</f>
        <v>11977105.984014276</v>
      </c>
      <c r="L38" s="112"/>
      <c r="M38" s="111">
        <f>H38+K38</f>
        <v>75347778.135712713</v>
      </c>
      <c r="N38" s="111">
        <f>'Terv_tény vagyongazd'!K75</f>
        <v>75347778.135712713</v>
      </c>
      <c r="O38" s="111"/>
      <c r="P38" s="111"/>
      <c r="Q38" s="111"/>
      <c r="R38" s="111"/>
      <c r="S38" s="111"/>
    </row>
    <row r="39" spans="1:34" x14ac:dyDescent="0.25">
      <c r="A39" s="116" t="s">
        <v>686</v>
      </c>
      <c r="B39" s="118"/>
      <c r="C39" s="117"/>
      <c r="F39" s="442">
        <f>'Terv_tény vagyongazd'!F75</f>
        <v>4422522.3547983188</v>
      </c>
      <c r="G39" s="442">
        <f>H39-F39</f>
        <v>226684708.66884738</v>
      </c>
      <c r="H39" s="443">
        <f>'Felosztás eredménykim'!BE285</f>
        <v>231107231.0236457</v>
      </c>
      <c r="I39" s="111">
        <f>'Terv_tény vagyongazd'!F74</f>
        <v>0</v>
      </c>
      <c r="J39" s="111">
        <f>K39-I39</f>
        <v>45011999.613125533</v>
      </c>
      <c r="K39" s="111">
        <f>'Felosztás eredménykim'!AT286</f>
        <v>45011999.613125533</v>
      </c>
      <c r="M39" s="111">
        <f>H39+K39</f>
        <v>276119230.6367712</v>
      </c>
      <c r="N39" s="111">
        <f>'Terv_tény vagyongazd'!G75</f>
        <v>276119230.6367712</v>
      </c>
    </row>
    <row r="40" spans="1:34" x14ac:dyDescent="0.25">
      <c r="A40" s="205" t="s">
        <v>1597</v>
      </c>
      <c r="B40" s="118"/>
      <c r="C40" s="117"/>
      <c r="F40" s="442">
        <f>'Terv_tény vagyongazd'!M75</f>
        <v>2957551.6999373934</v>
      </c>
      <c r="G40" s="442">
        <f>H40-F40</f>
        <v>99668266.813593447</v>
      </c>
      <c r="H40" s="443">
        <f>'Felosztás eredménykim'!AK285</f>
        <v>102625818.51353084</v>
      </c>
      <c r="I40" s="111">
        <f>'Terv_tény vagyongazd'!M74</f>
        <v>0</v>
      </c>
      <c r="J40" s="111">
        <f>K40-I40</f>
        <v>69768599.400344595</v>
      </c>
      <c r="K40" s="111">
        <f>'Felosztás eredménykim'!AF286</f>
        <v>69768599.400344595</v>
      </c>
      <c r="M40" s="111">
        <f>H40+K40</f>
        <v>172394417.91387543</v>
      </c>
      <c r="N40" s="111">
        <f>'Terv_tény vagyongazd'!N75</f>
        <v>172394417.91387543</v>
      </c>
    </row>
    <row r="41" spans="1:34" x14ac:dyDescent="0.25">
      <c r="A41" s="116" t="s">
        <v>554</v>
      </c>
      <c r="B41" s="118"/>
      <c r="C41" s="117"/>
      <c r="F41" s="442">
        <f>'Terv_tény vagyongazd'!P75</f>
        <v>2116686.1360343439</v>
      </c>
      <c r="G41" s="442">
        <f>H41-F41</f>
        <v>50999740.085160181</v>
      </c>
      <c r="H41" s="443">
        <f>'Felosztás eredménykim'!BL285</f>
        <v>53116426.221194528</v>
      </c>
      <c r="I41" s="112">
        <f>'Terv_tény vagyongazd'!P74</f>
        <v>0</v>
      </c>
      <c r="J41" s="111">
        <f>K41-I41</f>
        <v>11742260.768641451</v>
      </c>
      <c r="K41" s="112">
        <f>'Felosztás eredménykim'!BF286</f>
        <v>11742260.768641451</v>
      </c>
      <c r="L41" s="112"/>
      <c r="M41" s="111">
        <f>H41+K41</f>
        <v>64858686.989835978</v>
      </c>
      <c r="N41" s="111">
        <f>'Terv_tény vagyongazd'!Q75</f>
        <v>64858686.989835978</v>
      </c>
      <c r="O41" s="111"/>
      <c r="P41" s="111"/>
      <c r="Q41" s="111"/>
      <c r="R41" s="111"/>
      <c r="S41" s="111"/>
    </row>
    <row r="42" spans="1:34" x14ac:dyDescent="0.25">
      <c r="A42" s="116" t="s">
        <v>564</v>
      </c>
      <c r="B42" s="118"/>
      <c r="C42" s="117"/>
      <c r="F42" s="443">
        <f t="shared" ref="F42:K42" si="35">SUM(F37:F41)</f>
        <v>71421720.113067731</v>
      </c>
      <c r="G42" s="443">
        <f t="shared" si="35"/>
        <v>438879219.4005444</v>
      </c>
      <c r="H42" s="443">
        <f t="shared" si="35"/>
        <v>510300939.51361215</v>
      </c>
      <c r="I42" s="111">
        <f t="shared" si="35"/>
        <v>8610991.230337061</v>
      </c>
      <c r="J42" s="111">
        <f t="shared" si="35"/>
        <v>138499965.76612586</v>
      </c>
      <c r="K42" s="111">
        <f t="shared" si="35"/>
        <v>147110956.99646291</v>
      </c>
      <c r="M42" s="111">
        <f>SUM(M37:M41)</f>
        <v>657411896.51007509</v>
      </c>
      <c r="N42" s="111">
        <f>SUM(N37:N41)</f>
        <v>657411896.51007509</v>
      </c>
    </row>
    <row r="43" spans="1:34" x14ac:dyDescent="0.25">
      <c r="A43" s="137"/>
      <c r="B43" s="118"/>
      <c r="C43" s="117"/>
    </row>
    <row r="44" spans="1:34" x14ac:dyDescent="0.25">
      <c r="B44" s="118"/>
      <c r="C44" s="117"/>
      <c r="N44" s="113"/>
    </row>
    <row r="45" spans="1:34" x14ac:dyDescent="0.25">
      <c r="A45" s="116" t="s">
        <v>687</v>
      </c>
      <c r="B45" s="118"/>
      <c r="C45" s="117"/>
      <c r="F45" s="117">
        <f>'Terv_tény vagyongazd'!C75</f>
        <v>7054142.3963420084</v>
      </c>
      <c r="G45" s="117">
        <f>H45-F45</f>
        <v>224953398.48218688</v>
      </c>
      <c r="H45" s="111">
        <f>'Felosztás eredménykim'!CB285-'Felosztás eredménykim'!BV364*1000-'Felosztás eredménykim'!CA364*1000</f>
        <v>232007540.87852889</v>
      </c>
      <c r="I45" s="111">
        <f>'Terv_tény vagyongazd'!C74</f>
        <v>0</v>
      </c>
      <c r="J45" s="111">
        <f>K45-I45</f>
        <v>43994337.013176605</v>
      </c>
      <c r="K45" s="111">
        <f>'Felosztás eredménykim'!BM286</f>
        <v>43994337.013176605</v>
      </c>
      <c r="M45" s="111">
        <f>H45+K45</f>
        <v>276001877.89170551</v>
      </c>
      <c r="N45" s="113">
        <f>'Terv_tény vagyongazd'!D75</f>
        <v>276001877.89170539</v>
      </c>
      <c r="P45" s="1056">
        <f>-('Felosztás eredménykim'!BV364+'Felosztás eredménykim'!CA364)*1000</f>
        <v>576126.63999999501</v>
      </c>
    </row>
    <row r="46" spans="1:34" x14ac:dyDescent="0.25">
      <c r="A46" s="974" t="s">
        <v>1741</v>
      </c>
      <c r="B46" s="118"/>
      <c r="C46" s="117"/>
      <c r="G46" s="442">
        <f>H46-F46</f>
        <v>0</v>
      </c>
      <c r="J46" s="111">
        <f>K46-I46</f>
        <v>0</v>
      </c>
      <c r="M46" s="111">
        <f>H46+K46</f>
        <v>0</v>
      </c>
      <c r="N46" s="113"/>
    </row>
    <row r="47" spans="1:34" x14ac:dyDescent="0.25">
      <c r="B47" s="119">
        <f>SUM(B37:B45)</f>
        <v>0</v>
      </c>
      <c r="C47" s="120">
        <f>SUM(C37:C45)</f>
        <v>0</v>
      </c>
      <c r="D47" s="120">
        <f>SUM(D37:D46)</f>
        <v>0</v>
      </c>
      <c r="E47" s="120">
        <f>SUM(E37:E45)</f>
        <v>0</v>
      </c>
      <c r="F47" s="341"/>
      <c r="G47" s="341"/>
      <c r="N47" s="113"/>
      <c r="O47" s="113"/>
      <c r="P47" s="113"/>
      <c r="Q47" s="113"/>
      <c r="R47" s="113"/>
      <c r="S47" s="113"/>
    </row>
    <row r="48" spans="1:34" x14ac:dyDescent="0.25">
      <c r="C48" s="117"/>
      <c r="N48" s="113"/>
    </row>
    <row r="49" spans="1:24" x14ac:dyDescent="0.25">
      <c r="A49" s="138" t="s">
        <v>698</v>
      </c>
      <c r="B49" s="117"/>
      <c r="C49" s="118"/>
      <c r="F49" s="117">
        <f>'Terv_tény vagyongazd'!S73</f>
        <v>611384.48305907391</v>
      </c>
      <c r="G49" s="117">
        <f>H49-F49</f>
        <v>0</v>
      </c>
      <c r="H49" s="111">
        <f>'Felosztás eredménykim'!AS285</f>
        <v>611384.48305907391</v>
      </c>
      <c r="I49" s="111">
        <f>'Terv_tény vagyongazd'!S74</f>
        <v>27711735.413993817</v>
      </c>
      <c r="J49" s="111">
        <f>K49-I49</f>
        <v>0</v>
      </c>
      <c r="K49" s="111">
        <f>'Felosztás eredménykim'!AL286</f>
        <v>27711735.413993817</v>
      </c>
      <c r="M49" s="111">
        <f>H49+K49</f>
        <v>28323119.897052892</v>
      </c>
      <c r="P49" s="139">
        <f>-M49</f>
        <v>-28323119.897052892</v>
      </c>
      <c r="Q49" s="139"/>
      <c r="R49" s="139"/>
      <c r="S49" s="139"/>
    </row>
    <row r="50" spans="1:24" x14ac:dyDescent="0.25">
      <c r="C50" s="117"/>
    </row>
    <row r="51" spans="1:24" x14ac:dyDescent="0.25">
      <c r="A51" s="116" t="s">
        <v>1730</v>
      </c>
      <c r="B51" s="118"/>
      <c r="C51" s="118"/>
      <c r="D51" s="118">
        <f>+'Terv_tény vagyongazd'!B126+'Terv_tény vagyongazd'!B127+'Terv_tény vagyongazd'!B128</f>
        <v>26976126</v>
      </c>
      <c r="E51" s="118"/>
      <c r="N51" s="113"/>
      <c r="O51" s="113"/>
      <c r="P51" s="113"/>
      <c r="Q51" s="113"/>
      <c r="R51" s="113"/>
      <c r="S51" s="113"/>
    </row>
    <row r="52" spans="1:24" x14ac:dyDescent="0.25">
      <c r="C52" s="117"/>
    </row>
    <row r="53" spans="1:24" s="125" customFormat="1" ht="13" x14ac:dyDescent="0.3">
      <c r="A53" s="122" t="s">
        <v>681</v>
      </c>
      <c r="B53" s="123">
        <f>+B47+B49+B51</f>
        <v>0</v>
      </c>
      <c r="C53" s="123">
        <f>+C47+C49+C51</f>
        <v>0</v>
      </c>
      <c r="D53" s="123">
        <f>+D47+D49+D51</f>
        <v>26976126</v>
      </c>
      <c r="E53" s="123">
        <f>+E47+E49+E51</f>
        <v>0</v>
      </c>
      <c r="F53" s="124">
        <f t="shared" ref="F53:N53" si="36">+F42+F45+F49+F51</f>
        <v>79087246.992468819</v>
      </c>
      <c r="G53" s="124">
        <f t="shared" si="36"/>
        <v>663832617.88273132</v>
      </c>
      <c r="H53" s="124">
        <f t="shared" si="36"/>
        <v>742919864.87520015</v>
      </c>
      <c r="I53" s="124">
        <f t="shared" si="36"/>
        <v>36322726.644330874</v>
      </c>
      <c r="J53" s="124">
        <f t="shared" si="36"/>
        <v>182494302.77930248</v>
      </c>
      <c r="K53" s="124">
        <f t="shared" si="36"/>
        <v>218817029.42363331</v>
      </c>
      <c r="L53" s="124">
        <f t="shared" si="36"/>
        <v>0</v>
      </c>
      <c r="M53" s="124">
        <f t="shared" si="36"/>
        <v>961736894.29883349</v>
      </c>
      <c r="N53" s="124">
        <f t="shared" si="36"/>
        <v>933413774.40178049</v>
      </c>
      <c r="O53" s="124"/>
      <c r="P53" s="124"/>
      <c r="Q53" s="124"/>
      <c r="R53" s="124"/>
      <c r="S53" s="124"/>
      <c r="T53" s="124"/>
      <c r="U53" s="124"/>
      <c r="V53" s="124"/>
      <c r="W53" s="124"/>
      <c r="X53" s="124"/>
    </row>
    <row r="54" spans="1:24" x14ac:dyDescent="0.25">
      <c r="C54" s="117"/>
    </row>
    <row r="55" spans="1:24" x14ac:dyDescent="0.25">
      <c r="C55" s="117"/>
    </row>
    <row r="56" spans="1:24" ht="25" x14ac:dyDescent="0.25">
      <c r="A56" s="116" t="s">
        <v>556</v>
      </c>
      <c r="B56" s="117">
        <f>M56+D56</f>
        <v>474573557.02632576</v>
      </c>
      <c r="C56" s="118">
        <f>E56</f>
        <v>0</v>
      </c>
      <c r="D56" s="118">
        <f>'Terv_tény parkolás'!C82</f>
        <v>12032000</v>
      </c>
      <c r="E56" s="118"/>
      <c r="F56" s="117">
        <f>'Terv_tény parkolás'!C77</f>
        <v>2233584</v>
      </c>
      <c r="G56" s="117">
        <f>H56-F56</f>
        <v>408583476.01000005</v>
      </c>
      <c r="H56" s="111">
        <f>'Terv_tény parkolás'!D76</f>
        <v>410817060.01000005</v>
      </c>
      <c r="I56" s="111">
        <f>'Terv_tény parkolás'!C78</f>
        <v>0</v>
      </c>
      <c r="J56" s="111">
        <f>'Terv_tény parkolás'!B78</f>
        <v>51724497.016325697</v>
      </c>
      <c r="K56" s="111">
        <f>'Felosztás eredménykim'!CR286</f>
        <v>51724497.016325697</v>
      </c>
      <c r="M56" s="111">
        <f>H56+K56</f>
        <v>462541557.02632576</v>
      </c>
      <c r="N56" s="113">
        <f>'Terv_tény parkolás'!D79</f>
        <v>462541557.02632576</v>
      </c>
      <c r="O56" s="113"/>
      <c r="P56" s="113"/>
      <c r="Q56" s="113"/>
      <c r="R56" s="113"/>
      <c r="S56" s="113"/>
    </row>
    <row r="57" spans="1:24" x14ac:dyDescent="0.25">
      <c r="C57" s="117"/>
    </row>
    <row r="58" spans="1:24" x14ac:dyDescent="0.25">
      <c r="A58" s="116" t="s">
        <v>689</v>
      </c>
      <c r="B58" s="117"/>
      <c r="C58" s="117"/>
      <c r="F58" s="117">
        <f>'Terv_tény parkolás'!H79</f>
        <v>139048772.17000002</v>
      </c>
      <c r="G58" s="117">
        <f>H58-F58</f>
        <v>0</v>
      </c>
      <c r="H58" s="111">
        <f>'Felosztás eredménykim'!CY281+'Felosztás eredménykim'!CZ281</f>
        <v>139048772.17000002</v>
      </c>
      <c r="M58" s="111">
        <f>H58+K58</f>
        <v>139048772.17000002</v>
      </c>
      <c r="N58" s="111">
        <f>'Terv_tény parkolás'!H79</f>
        <v>139048772.17000002</v>
      </c>
      <c r="P58" s="139"/>
      <c r="Q58" s="139"/>
      <c r="R58" s="139"/>
      <c r="S58" s="139"/>
    </row>
    <row r="59" spans="1:24" x14ac:dyDescent="0.25">
      <c r="C59" s="117"/>
    </row>
    <row r="60" spans="1:24" s="125" customFormat="1" ht="13" x14ac:dyDescent="0.3">
      <c r="A60" s="122" t="s">
        <v>682</v>
      </c>
      <c r="B60" s="126">
        <f t="shared" ref="B60:N60" si="37">SUM(B56:B59)</f>
        <v>474573557.02632576</v>
      </c>
      <c r="C60" s="123">
        <f t="shared" si="37"/>
        <v>0</v>
      </c>
      <c r="D60" s="123">
        <f t="shared" si="37"/>
        <v>12032000</v>
      </c>
      <c r="E60" s="123">
        <f t="shared" si="37"/>
        <v>0</v>
      </c>
      <c r="F60" s="124">
        <f t="shared" si="37"/>
        <v>141282356.17000002</v>
      </c>
      <c r="G60" s="124">
        <f t="shared" si="37"/>
        <v>408583476.01000005</v>
      </c>
      <c r="H60" s="124">
        <f t="shared" si="37"/>
        <v>549865832.18000007</v>
      </c>
      <c r="I60" s="124">
        <f>SUM(I56:I59)</f>
        <v>0</v>
      </c>
      <c r="J60" s="124">
        <f>SUM(J56:J59)</f>
        <v>51724497.016325697</v>
      </c>
      <c r="K60" s="124">
        <f t="shared" si="37"/>
        <v>51724497.016325697</v>
      </c>
      <c r="L60" s="124">
        <f t="shared" si="37"/>
        <v>0</v>
      </c>
      <c r="M60" s="124">
        <f t="shared" si="37"/>
        <v>601590329.19632578</v>
      </c>
      <c r="N60" s="124">
        <f t="shared" si="37"/>
        <v>601590329.19632578</v>
      </c>
      <c r="O60" s="124"/>
      <c r="P60" s="124"/>
      <c r="Q60" s="124"/>
      <c r="R60" s="124"/>
      <c r="S60" s="124"/>
      <c r="T60" s="124"/>
      <c r="U60" s="124"/>
      <c r="V60" s="124"/>
      <c r="W60" s="124"/>
      <c r="X60" s="124"/>
    </row>
    <row r="61" spans="1:24" x14ac:dyDescent="0.25">
      <c r="C61" s="117"/>
    </row>
    <row r="62" spans="1:24" x14ac:dyDescent="0.25">
      <c r="C62" s="117"/>
    </row>
    <row r="63" spans="1:24" x14ac:dyDescent="0.25">
      <c r="A63" s="127" t="s">
        <v>1735</v>
      </c>
      <c r="B63" s="117">
        <f>M63+D63</f>
        <v>123015735.31119025</v>
      </c>
      <c r="C63" s="110"/>
      <c r="D63" s="110"/>
      <c r="E63" s="110"/>
      <c r="F63" s="110">
        <f>('Terv_tény intézmény'!D68)</f>
        <v>77712080.480000019</v>
      </c>
      <c r="G63" s="117">
        <f t="shared" ref="G63:G68" si="38">H63-F63</f>
        <v>0</v>
      </c>
      <c r="H63" s="111">
        <f>'Felosztás eredménykim'!EY285-H65</f>
        <v>77712080.480000019</v>
      </c>
      <c r="I63" s="111">
        <f>'Terv_tény intézmény'!D69</f>
        <v>45303654.831190236</v>
      </c>
      <c r="J63" s="117">
        <f>K63-I63</f>
        <v>0</v>
      </c>
      <c r="K63" s="111">
        <f>'Felosztás eredménykim'!DC286</f>
        <v>45303654.831190236</v>
      </c>
      <c r="M63" s="111">
        <f t="shared" ref="M63:M68" si="39">H63+K63</f>
        <v>123015735.31119025</v>
      </c>
    </row>
    <row r="64" spans="1:24" x14ac:dyDescent="0.25">
      <c r="A64" s="127" t="s">
        <v>690</v>
      </c>
      <c r="B64" s="117">
        <f>M64+D64</f>
        <v>0</v>
      </c>
      <c r="C64" s="110"/>
      <c r="D64" s="110"/>
      <c r="E64" s="110"/>
      <c r="F64" s="110">
        <f>'Terv_tény intézmény'!E70</f>
        <v>0</v>
      </c>
      <c r="G64" s="117">
        <f t="shared" si="38"/>
        <v>0</v>
      </c>
      <c r="H64" s="111">
        <f>'Felosztás eredménykim'!DO281</f>
        <v>0</v>
      </c>
      <c r="M64" s="111">
        <f t="shared" si="39"/>
        <v>0</v>
      </c>
    </row>
    <row r="65" spans="1:24" x14ac:dyDescent="0.25">
      <c r="A65" s="127" t="s">
        <v>691</v>
      </c>
      <c r="B65" s="117">
        <f>M65+D65</f>
        <v>0</v>
      </c>
      <c r="C65" s="110"/>
      <c r="D65" s="110"/>
      <c r="E65" s="110"/>
      <c r="F65" s="110">
        <f>'Terv_tény intézmény'!F70</f>
        <v>0</v>
      </c>
      <c r="G65" s="117">
        <f t="shared" si="38"/>
        <v>0</v>
      </c>
      <c r="H65" s="111">
        <v>0</v>
      </c>
      <c r="M65" s="111">
        <f t="shared" si="39"/>
        <v>0</v>
      </c>
    </row>
    <row r="66" spans="1:24" x14ac:dyDescent="0.25">
      <c r="A66" s="127" t="s">
        <v>565</v>
      </c>
      <c r="B66" s="117">
        <f>M66+D66</f>
        <v>0</v>
      </c>
      <c r="C66" s="110"/>
      <c r="D66" s="110"/>
      <c r="E66" s="110"/>
      <c r="F66" s="110">
        <f>'Terv_tény intézmény'!G70</f>
        <v>0</v>
      </c>
      <c r="G66" s="117">
        <f t="shared" si="38"/>
        <v>0</v>
      </c>
      <c r="H66" s="111">
        <f>'Felosztás eredménykim'!DQ281</f>
        <v>0</v>
      </c>
      <c r="M66" s="111">
        <f t="shared" si="39"/>
        <v>0</v>
      </c>
      <c r="N66" s="113">
        <f>SUM(M63:M66)</f>
        <v>123015735.31119025</v>
      </c>
    </row>
    <row r="67" spans="1:24" x14ac:dyDescent="0.25">
      <c r="A67" s="205" t="s">
        <v>848</v>
      </c>
      <c r="B67" s="117"/>
      <c r="C67" s="110"/>
      <c r="D67" s="110"/>
      <c r="E67" s="110"/>
      <c r="F67" s="110"/>
      <c r="G67" s="117">
        <f t="shared" si="38"/>
        <v>0</v>
      </c>
      <c r="H67" s="111">
        <f>'Felosztás eredménykim'!DS281</f>
        <v>0</v>
      </c>
      <c r="M67" s="111">
        <f t="shared" si="39"/>
        <v>0</v>
      </c>
      <c r="N67" s="113">
        <f>M67</f>
        <v>0</v>
      </c>
    </row>
    <row r="68" spans="1:24" x14ac:dyDescent="0.25">
      <c r="A68" s="205" t="s">
        <v>849</v>
      </c>
      <c r="B68" s="117"/>
      <c r="C68" s="110"/>
      <c r="D68" s="110"/>
      <c r="E68" s="110"/>
      <c r="F68" s="110"/>
      <c r="G68" s="117">
        <f t="shared" si="38"/>
        <v>0</v>
      </c>
      <c r="H68" s="111">
        <f>'Felosztás eredménykim'!DT281</f>
        <v>0</v>
      </c>
      <c r="M68" s="111">
        <f t="shared" si="39"/>
        <v>0</v>
      </c>
      <c r="N68" s="113">
        <f>M68</f>
        <v>0</v>
      </c>
    </row>
    <row r="69" spans="1:24" x14ac:dyDescent="0.25">
      <c r="C69" s="117"/>
    </row>
    <row r="70" spans="1:24" s="125" customFormat="1" ht="13" x14ac:dyDescent="0.3">
      <c r="A70" s="122" t="s">
        <v>1734</v>
      </c>
      <c r="B70" s="123">
        <f t="shared" ref="B70:L70" si="40">SUM(B63:B69)</f>
        <v>123015735.31119025</v>
      </c>
      <c r="C70" s="123">
        <f t="shared" si="40"/>
        <v>0</v>
      </c>
      <c r="D70" s="123">
        <f t="shared" si="40"/>
        <v>0</v>
      </c>
      <c r="E70" s="123">
        <f t="shared" si="40"/>
        <v>0</v>
      </c>
      <c r="F70" s="124">
        <f t="shared" si="40"/>
        <v>77712080.480000019</v>
      </c>
      <c r="G70" s="124">
        <f t="shared" si="40"/>
        <v>0</v>
      </c>
      <c r="H70" s="124">
        <f t="shared" si="40"/>
        <v>77712080.480000019</v>
      </c>
      <c r="I70" s="124">
        <f>SUM(I63:I69)</f>
        <v>45303654.831190236</v>
      </c>
      <c r="J70" s="124">
        <f>SUM(J63:J69)</f>
        <v>0</v>
      </c>
      <c r="K70" s="124">
        <f t="shared" si="40"/>
        <v>45303654.831190236</v>
      </c>
      <c r="L70" s="124">
        <f t="shared" si="40"/>
        <v>0</v>
      </c>
      <c r="M70" s="124">
        <f>H70+K70</f>
        <v>123015735.31119025</v>
      </c>
      <c r="N70" s="131">
        <f>SUM(N66:N68)</f>
        <v>123015735.31119025</v>
      </c>
      <c r="O70" s="131"/>
      <c r="P70" s="131"/>
      <c r="Q70" s="131"/>
      <c r="R70" s="131"/>
      <c r="S70" s="131"/>
      <c r="T70" s="124"/>
      <c r="U70" s="124"/>
      <c r="V70" s="124"/>
      <c r="W70" s="124"/>
      <c r="X70" s="124"/>
    </row>
    <row r="71" spans="1:24" x14ac:dyDescent="0.25">
      <c r="C71" s="117"/>
    </row>
    <row r="72" spans="1:24" x14ac:dyDescent="0.25">
      <c r="C72" s="117"/>
    </row>
    <row r="73" spans="1:24" x14ac:dyDescent="0.25">
      <c r="A73" s="138" t="s">
        <v>663</v>
      </c>
      <c r="B73" s="117"/>
      <c r="C73" s="110"/>
      <c r="D73" s="110"/>
      <c r="E73" s="110"/>
      <c r="F73" s="110">
        <v>0</v>
      </c>
      <c r="G73" s="117">
        <f>H73-F73</f>
        <v>84495.439999997616</v>
      </c>
      <c r="H73" s="111">
        <f>'Felosztás eredménykim'!DL285</f>
        <v>84495.439999997616</v>
      </c>
      <c r="M73" s="111">
        <f>H73+K73</f>
        <v>84495.439999997616</v>
      </c>
      <c r="P73" s="139">
        <f>-M73</f>
        <v>-84495.439999997616</v>
      </c>
      <c r="Q73" s="113"/>
      <c r="R73" s="113"/>
      <c r="S73" s="139"/>
    </row>
    <row r="74" spans="1:24" x14ac:dyDescent="0.25">
      <c r="A74" s="127" t="s">
        <v>584</v>
      </c>
      <c r="B74" s="117"/>
      <c r="C74" s="110"/>
      <c r="D74" s="110"/>
      <c r="E74" s="110"/>
      <c r="F74" s="110">
        <v>0</v>
      </c>
      <c r="G74" s="117">
        <f>H74-F74</f>
        <v>6142.769999999844</v>
      </c>
      <c r="H74" s="111">
        <f>'Felosztás eredménykim'!DM281</f>
        <v>6142.769999999844</v>
      </c>
      <c r="M74" s="111">
        <f>H74+K74</f>
        <v>6142.769999999844</v>
      </c>
      <c r="P74" s="139">
        <f>-M74</f>
        <v>-6142.769999999844</v>
      </c>
      <c r="Q74" s="139"/>
      <c r="R74" s="139"/>
      <c r="S74" s="139"/>
    </row>
    <row r="75" spans="1:24" x14ac:dyDescent="0.25">
      <c r="B75" s="117"/>
      <c r="C75" s="117"/>
    </row>
    <row r="76" spans="1:24" s="125" customFormat="1" ht="13" hidden="1" x14ac:dyDescent="0.3">
      <c r="A76" s="122" t="s">
        <v>1734</v>
      </c>
      <c r="B76" s="123">
        <f>+B70+B73+B75</f>
        <v>123015735.31119025</v>
      </c>
      <c r="C76" s="123">
        <f>+C70+C73+C75</f>
        <v>0</v>
      </c>
      <c r="D76" s="123">
        <f>+D70+D73+D75</f>
        <v>0</v>
      </c>
      <c r="E76" s="123">
        <f>+E70+E73+E75</f>
        <v>0</v>
      </c>
      <c r="F76" s="124">
        <f t="shared" ref="F76:M76" si="41">+F70+F73+F74+F75</f>
        <v>77712080.480000019</v>
      </c>
      <c r="G76" s="124">
        <f t="shared" si="41"/>
        <v>90638.20999999746</v>
      </c>
      <c r="H76" s="124">
        <f t="shared" si="41"/>
        <v>77802718.690000013</v>
      </c>
      <c r="I76" s="124">
        <f t="shared" si="41"/>
        <v>45303654.831190236</v>
      </c>
      <c r="J76" s="124">
        <f t="shared" si="41"/>
        <v>0</v>
      </c>
      <c r="K76" s="124">
        <f t="shared" si="41"/>
        <v>45303654.831190236</v>
      </c>
      <c r="L76" s="124">
        <f t="shared" si="41"/>
        <v>0</v>
      </c>
      <c r="M76" s="124">
        <f t="shared" si="41"/>
        <v>123106373.52119024</v>
      </c>
      <c r="N76" s="124">
        <f>+N66+N67+N68</f>
        <v>123015735.31119025</v>
      </c>
      <c r="O76" s="124"/>
      <c r="P76" s="124"/>
      <c r="Q76" s="124"/>
      <c r="R76" s="124"/>
      <c r="S76" s="124"/>
      <c r="T76" s="124"/>
      <c r="U76" s="124"/>
      <c r="V76" s="124"/>
      <c r="W76" s="124"/>
      <c r="X76" s="124"/>
    </row>
    <row r="77" spans="1:24" x14ac:dyDescent="0.25">
      <c r="C77" s="117"/>
    </row>
    <row r="78" spans="1:24" x14ac:dyDescent="0.25">
      <c r="C78" s="117"/>
    </row>
    <row r="79" spans="1:24" ht="25" x14ac:dyDescent="0.25">
      <c r="A79" s="116" t="s">
        <v>692</v>
      </c>
      <c r="B79" s="118">
        <f t="shared" ref="B79:B84" si="42">M79+D79</f>
        <v>543766191.20879948</v>
      </c>
      <c r="C79" s="117">
        <f t="shared" ref="C79:C84" si="43">E79</f>
        <v>0</v>
      </c>
      <c r="D79" s="117">
        <f>14990001+11722100</f>
        <v>26712101</v>
      </c>
      <c r="F79" s="117">
        <f>'Terv_tény településüz'!C74-D79</f>
        <v>1634030.4834276475</v>
      </c>
      <c r="G79" s="117">
        <f>H79-F79</f>
        <v>498747201.96814376</v>
      </c>
      <c r="H79" s="111">
        <f>'Felosztás eredménykim'!GF285-'Felosztás eredménykim'!GD364*1000-'Felosztás eredménykim'!GE364*1000</f>
        <v>500381232.4515714</v>
      </c>
      <c r="I79" s="111">
        <f>'Terv_tény településüz'!C75</f>
        <v>0</v>
      </c>
      <c r="J79" s="111">
        <f>'Terv_tény településüz'!B75</f>
        <v>16672857.757228058</v>
      </c>
      <c r="K79" s="111">
        <f>'Felosztás eredménykim'!GB286</f>
        <v>16672857.757228058</v>
      </c>
      <c r="M79" s="111">
        <f t="shared" ref="M79:M84" si="44">H79+K79</f>
        <v>517054090.20879948</v>
      </c>
      <c r="P79" s="1056">
        <f>-('Felosztás eredménykim'!GD364+'Felosztás eredménykim'!GE364)*1000</f>
        <v>1235868.0000000009</v>
      </c>
    </row>
    <row r="80" spans="1:24" x14ac:dyDescent="0.25">
      <c r="A80" s="127" t="s">
        <v>693</v>
      </c>
      <c r="B80" s="118">
        <f t="shared" si="42"/>
        <v>0</v>
      </c>
      <c r="C80" s="117">
        <f t="shared" si="43"/>
        <v>0</v>
      </c>
      <c r="D80" s="110"/>
      <c r="E80" s="110"/>
      <c r="F80" s="110"/>
      <c r="G80" s="117">
        <f>H80-F80</f>
        <v>0</v>
      </c>
      <c r="H80" s="111">
        <f>'Felosztás eredménykim'!GR285</f>
        <v>0</v>
      </c>
      <c r="J80" s="111">
        <f>'Terv_tény településüz'!E75</f>
        <v>0</v>
      </c>
      <c r="K80" s="111">
        <f>'Felosztás eredménykim'!GG286</f>
        <v>0</v>
      </c>
      <c r="M80" s="111">
        <f t="shared" si="44"/>
        <v>0</v>
      </c>
    </row>
    <row r="81" spans="1:24" x14ac:dyDescent="0.25">
      <c r="A81" s="116" t="s">
        <v>694</v>
      </c>
      <c r="B81" s="118">
        <f t="shared" si="42"/>
        <v>251528572.98622453</v>
      </c>
      <c r="C81" s="117">
        <f t="shared" si="43"/>
        <v>0</v>
      </c>
      <c r="D81" s="117">
        <v>0</v>
      </c>
      <c r="F81" s="117">
        <f>'Terv_tény településüz'!G74-D81</f>
        <v>3548670.9805982215</v>
      </c>
      <c r="G81" s="117">
        <f>H81-F81</f>
        <v>202663929.63982695</v>
      </c>
      <c r="H81" s="111">
        <f>'Felosztás eredménykim'!FS285-'Felosztás eredménykim'!FP364*1000-'Felosztás eredménykim'!FR364*1000</f>
        <v>206212600.62042516</v>
      </c>
      <c r="I81" s="111">
        <f>'Terv_tény településüz'!G75</f>
        <v>0</v>
      </c>
      <c r="J81" s="111">
        <f>'Terv_tény településüz'!F75</f>
        <v>45315972.365799367</v>
      </c>
      <c r="K81" s="111">
        <f>'Felosztás eredménykim'!FN286</f>
        <v>45315972.365799367</v>
      </c>
      <c r="M81" s="111">
        <f t="shared" si="44"/>
        <v>251528572.98622453</v>
      </c>
      <c r="P81" s="1056">
        <f>-('Felosztás eredménykim'!FP364+'Felosztás eredménykim'!FR364)*1000</f>
        <v>1756917.0000000014</v>
      </c>
    </row>
    <row r="82" spans="1:24" x14ac:dyDescent="0.25">
      <c r="A82" s="116" t="s">
        <v>695</v>
      </c>
      <c r="B82" s="118">
        <f t="shared" si="42"/>
        <v>618700842.08566797</v>
      </c>
      <c r="C82" s="117">
        <f t="shared" si="43"/>
        <v>0</v>
      </c>
      <c r="D82" s="117">
        <f>8576772+3552985+10349230</f>
        <v>22478987</v>
      </c>
      <c r="F82" s="117">
        <f>'Terv_tény településüz'!J74-D82</f>
        <v>11341686.414713018</v>
      </c>
      <c r="G82" s="117">
        <f>H82-F82</f>
        <v>459794871.02144784</v>
      </c>
      <c r="H82" s="111">
        <f>'Felosztás eredménykim'!GA285</f>
        <v>471136557.43616086</v>
      </c>
      <c r="I82" s="111">
        <f>'Terv_tény településüz'!J75</f>
        <v>0</v>
      </c>
      <c r="J82" s="111">
        <f>'Terv_tény településüz'!I75</f>
        <v>125085297.64950708</v>
      </c>
      <c r="K82" s="111">
        <f>'Felosztás eredménykim'!FT286</f>
        <v>125085297.64950708</v>
      </c>
      <c r="M82" s="111">
        <f>H82+K82</f>
        <v>596221855.08566797</v>
      </c>
    </row>
    <row r="83" spans="1:24" x14ac:dyDescent="0.25">
      <c r="A83" s="116" t="s">
        <v>541</v>
      </c>
      <c r="B83" s="118">
        <f t="shared" si="42"/>
        <v>219962518.23358664</v>
      </c>
      <c r="C83" s="117">
        <f t="shared" si="43"/>
        <v>0</v>
      </c>
      <c r="F83" s="117">
        <f>'Terv_tény településüz'!L74</f>
        <v>166659897.22184235</v>
      </c>
      <c r="G83" s="117">
        <f>H83-F83</f>
        <v>0</v>
      </c>
      <c r="H83" s="111">
        <f>'Felosztás eredménykim'!FM285</f>
        <v>166659897.22184235</v>
      </c>
      <c r="I83" s="111">
        <f>'Terv_tény településüz'!L75</f>
        <v>53302621.011744283</v>
      </c>
      <c r="K83" s="111">
        <f>'Felosztás eredménykim'!FI286</f>
        <v>53302621.011744283</v>
      </c>
      <c r="M83" s="111">
        <f t="shared" si="44"/>
        <v>219962518.23358664</v>
      </c>
    </row>
    <row r="84" spans="1:24" x14ac:dyDescent="0.25">
      <c r="A84" s="116" t="s">
        <v>645</v>
      </c>
      <c r="B84" s="117">
        <f t="shared" si="42"/>
        <v>0</v>
      </c>
      <c r="C84" s="117">
        <f t="shared" si="43"/>
        <v>0</v>
      </c>
      <c r="M84" s="111">
        <f t="shared" si="44"/>
        <v>0</v>
      </c>
    </row>
    <row r="85" spans="1:24" x14ac:dyDescent="0.25">
      <c r="C85" s="117"/>
    </row>
    <row r="86" spans="1:24" x14ac:dyDescent="0.25">
      <c r="A86" s="127" t="s">
        <v>1736</v>
      </c>
      <c r="B86" s="117">
        <f>M86+D86</f>
        <v>1633958124.5142787</v>
      </c>
      <c r="C86" s="119">
        <f t="shared" ref="C86:M86" si="45">SUM(C79:C85)</f>
        <v>0</v>
      </c>
      <c r="D86" s="119">
        <f t="shared" si="45"/>
        <v>49191088</v>
      </c>
      <c r="E86" s="119">
        <f t="shared" si="45"/>
        <v>0</v>
      </c>
      <c r="F86" s="111">
        <f t="shared" si="45"/>
        <v>183184285.10058123</v>
      </c>
      <c r="G86" s="111">
        <f t="shared" si="45"/>
        <v>1161206002.6294186</v>
      </c>
      <c r="H86" s="111">
        <f t="shared" si="45"/>
        <v>1344390287.7299998</v>
      </c>
      <c r="I86" s="111">
        <f t="shared" si="45"/>
        <v>53302621.011744283</v>
      </c>
      <c r="J86" s="111">
        <f t="shared" si="45"/>
        <v>187074127.77253449</v>
      </c>
      <c r="K86" s="111">
        <f t="shared" si="45"/>
        <v>240376748.78427878</v>
      </c>
      <c r="L86" s="111">
        <f t="shared" si="45"/>
        <v>0</v>
      </c>
      <c r="M86" s="111">
        <f t="shared" si="45"/>
        <v>1584767036.5142787</v>
      </c>
      <c r="N86" s="121">
        <f>M86</f>
        <v>1584767036.5142787</v>
      </c>
      <c r="O86" s="121"/>
      <c r="P86" s="111"/>
      <c r="Q86" s="111"/>
      <c r="R86" s="111"/>
      <c r="S86" s="111"/>
    </row>
    <row r="87" spans="1:24" x14ac:dyDescent="0.25">
      <c r="C87" s="117"/>
    </row>
    <row r="88" spans="1:24" ht="25" x14ac:dyDescent="0.25">
      <c r="A88" s="205" t="s">
        <v>1598</v>
      </c>
      <c r="B88" s="117">
        <f>M88+D88</f>
        <v>0</v>
      </c>
      <c r="C88" s="117"/>
      <c r="G88" s="117">
        <f>H88-F88</f>
        <v>0</v>
      </c>
      <c r="H88" s="111">
        <f>-'Felosztás eredménykim'!FH281</f>
        <v>0</v>
      </c>
      <c r="M88" s="111">
        <f>H88+K88</f>
        <v>0</v>
      </c>
      <c r="N88" s="113">
        <f>M88</f>
        <v>0</v>
      </c>
      <c r="O88" s="113"/>
      <c r="P88" s="113"/>
      <c r="Q88" s="113"/>
      <c r="R88" s="113"/>
      <c r="S88" s="113"/>
      <c r="T88" s="121"/>
      <c r="U88" s="121"/>
      <c r="V88" s="121"/>
      <c r="W88" s="121"/>
    </row>
    <row r="89" spans="1:24" x14ac:dyDescent="0.25">
      <c r="A89" s="1004" t="s">
        <v>1800</v>
      </c>
      <c r="B89" s="118"/>
      <c r="C89" s="118"/>
      <c r="D89" s="118">
        <f>19000000-19000000+17322375+9438031</f>
        <v>26760406</v>
      </c>
      <c r="N89" s="113"/>
      <c r="O89" s="113"/>
      <c r="P89" s="113"/>
      <c r="Q89" s="113"/>
      <c r="R89" s="113"/>
      <c r="S89" s="113"/>
      <c r="T89" s="121"/>
      <c r="U89" s="121"/>
      <c r="V89" s="121"/>
      <c r="W89" s="121"/>
    </row>
    <row r="90" spans="1:24" x14ac:dyDescent="0.25">
      <c r="A90" s="116" t="s">
        <v>1737</v>
      </c>
      <c r="B90" s="117"/>
      <c r="C90" s="117"/>
      <c r="M90" s="111">
        <f>H90+K90</f>
        <v>0</v>
      </c>
      <c r="P90" s="113">
        <f>-M90</f>
        <v>0</v>
      </c>
      <c r="Q90" s="113"/>
      <c r="R90" s="113"/>
      <c r="S90" s="113"/>
    </row>
    <row r="91" spans="1:24" x14ac:dyDescent="0.25">
      <c r="A91" s="116" t="s">
        <v>1738</v>
      </c>
      <c r="B91" s="117">
        <f>M91+D91</f>
        <v>0</v>
      </c>
      <c r="C91" s="117"/>
    </row>
    <row r="92" spans="1:24" s="125" customFormat="1" ht="13" x14ac:dyDescent="0.3">
      <c r="A92" s="122" t="s">
        <v>1739</v>
      </c>
      <c r="B92" s="126">
        <f t="shared" ref="B92:N92" si="46">SUM(B86:B91)</f>
        <v>1633958124.5142787</v>
      </c>
      <c r="C92" s="123">
        <f t="shared" si="46"/>
        <v>0</v>
      </c>
      <c r="D92" s="126">
        <f>SUM(D79:D91)-D86</f>
        <v>75951494</v>
      </c>
      <c r="E92" s="123">
        <f t="shared" si="46"/>
        <v>0</v>
      </c>
      <c r="F92" s="124">
        <f t="shared" si="46"/>
        <v>183184285.10058123</v>
      </c>
      <c r="G92" s="124">
        <f t="shared" si="46"/>
        <v>1161206002.6294186</v>
      </c>
      <c r="H92" s="124">
        <f t="shared" si="46"/>
        <v>1344390287.7299998</v>
      </c>
      <c r="I92" s="124">
        <f>SUM(I86:I91)</f>
        <v>53302621.011744283</v>
      </c>
      <c r="J92" s="124">
        <f t="shared" si="46"/>
        <v>187074127.77253449</v>
      </c>
      <c r="K92" s="124">
        <f t="shared" si="46"/>
        <v>240376748.78427878</v>
      </c>
      <c r="L92" s="124">
        <f t="shared" si="46"/>
        <v>0</v>
      </c>
      <c r="M92" s="124">
        <f t="shared" si="46"/>
        <v>1584767036.5142787</v>
      </c>
      <c r="N92" s="124">
        <f t="shared" si="46"/>
        <v>1584767036.5142787</v>
      </c>
      <c r="O92" s="124"/>
      <c r="P92" s="124"/>
      <c r="Q92" s="124"/>
      <c r="R92" s="124"/>
      <c r="S92" s="124"/>
      <c r="T92" s="124"/>
      <c r="U92" s="124"/>
      <c r="V92" s="124"/>
      <c r="W92" s="124"/>
      <c r="X92" s="124"/>
    </row>
    <row r="93" spans="1:24" x14ac:dyDescent="0.25">
      <c r="C93" s="117"/>
    </row>
    <row r="94" spans="1:24" x14ac:dyDescent="0.25">
      <c r="C94" s="117"/>
    </row>
    <row r="95" spans="1:24" s="125" customFormat="1" ht="13" x14ac:dyDescent="0.3">
      <c r="A95" s="122" t="s">
        <v>696</v>
      </c>
      <c r="B95" s="128">
        <f>M95+D95</f>
        <v>149321802.71937206</v>
      </c>
      <c r="C95" s="129">
        <v>0</v>
      </c>
      <c r="D95" s="129"/>
      <c r="E95" s="130"/>
      <c r="F95" s="130">
        <f>'Terv_tény piac'!E27</f>
        <v>120701039.90000001</v>
      </c>
      <c r="G95" s="130">
        <f>H95-F95</f>
        <v>0</v>
      </c>
      <c r="H95" s="124">
        <f>'Felosztás eredménykim'!HB285+122321209+13189784+15257310-H96</f>
        <v>120701039.90000001</v>
      </c>
      <c r="I95" s="124">
        <f>'Terv_tény piac'!E28</f>
        <v>28620762.819372054</v>
      </c>
      <c r="J95" s="130">
        <f>K95-I95</f>
        <v>0</v>
      </c>
      <c r="K95" s="124">
        <f>'Felosztás eredménykim'!GW286</f>
        <v>28620762.819372054</v>
      </c>
      <c r="L95" s="124"/>
      <c r="M95" s="124">
        <f>H95+K95</f>
        <v>149321802.71937206</v>
      </c>
      <c r="N95" s="131">
        <f>M95</f>
        <v>149321802.71937206</v>
      </c>
      <c r="O95" s="131"/>
      <c r="P95" s="131"/>
      <c r="Q95" s="131"/>
      <c r="R95" s="131"/>
      <c r="S95" s="131"/>
      <c r="T95" s="124"/>
      <c r="U95" s="124"/>
      <c r="V95" s="124"/>
      <c r="W95" s="124"/>
      <c r="X95" s="124"/>
    </row>
    <row r="96" spans="1:24" s="125" customFormat="1" ht="13" x14ac:dyDescent="0.3">
      <c r="A96" s="122"/>
      <c r="B96" s="128"/>
      <c r="C96" s="129"/>
      <c r="D96" s="129">
        <v>1446500</v>
      </c>
      <c r="E96" s="130"/>
      <c r="F96" s="129"/>
      <c r="G96" s="129"/>
      <c r="H96" s="124">
        <v>1446500</v>
      </c>
      <c r="I96" s="124"/>
      <c r="J96" s="124"/>
      <c r="K96" s="124"/>
      <c r="L96" s="124"/>
      <c r="M96" s="124">
        <f>H96+K96</f>
        <v>1446500</v>
      </c>
      <c r="N96" s="131">
        <f>M96</f>
        <v>1446500</v>
      </c>
      <c r="O96" s="131"/>
      <c r="P96" s="131"/>
      <c r="Q96" s="131"/>
      <c r="R96" s="131"/>
      <c r="S96" s="131"/>
      <c r="T96" s="124"/>
      <c r="U96" s="124"/>
      <c r="V96" s="124"/>
      <c r="W96" s="124"/>
      <c r="X96" s="124"/>
    </row>
    <row r="97" spans="1:24" s="125" customFormat="1" ht="13" x14ac:dyDescent="0.3">
      <c r="A97" s="122"/>
      <c r="B97" s="128"/>
      <c r="C97" s="129"/>
      <c r="D97" s="129">
        <v>757700</v>
      </c>
      <c r="E97" s="130"/>
      <c r="F97" s="129"/>
      <c r="G97" s="129"/>
      <c r="H97" s="124">
        <v>757700</v>
      </c>
      <c r="I97" s="124"/>
      <c r="J97" s="124"/>
      <c r="K97" s="124"/>
      <c r="L97" s="124"/>
      <c r="M97" s="124">
        <f>H97+K97</f>
        <v>757700</v>
      </c>
      <c r="N97" s="131">
        <f>M97</f>
        <v>757700</v>
      </c>
      <c r="O97" s="131"/>
      <c r="P97" s="131"/>
      <c r="Q97" s="131"/>
      <c r="R97" s="131"/>
      <c r="S97" s="131"/>
      <c r="T97" s="124"/>
      <c r="U97" s="124"/>
      <c r="V97" s="124"/>
      <c r="W97" s="124"/>
      <c r="X97" s="124"/>
    </row>
    <row r="98" spans="1:24" s="125" customFormat="1" ht="13" x14ac:dyDescent="0.3">
      <c r="A98" s="122"/>
      <c r="B98" s="122"/>
      <c r="C98" s="129"/>
      <c r="D98" s="129"/>
      <c r="E98" s="129"/>
      <c r="F98" s="129"/>
      <c r="G98" s="129"/>
      <c r="H98" s="124"/>
      <c r="I98" s="124"/>
      <c r="J98" s="124"/>
      <c r="K98" s="124"/>
      <c r="L98" s="124"/>
      <c r="M98" s="124"/>
      <c r="N98" s="131"/>
      <c r="O98" s="131"/>
      <c r="P98" s="131"/>
      <c r="Q98" s="131"/>
      <c r="R98" s="131"/>
      <c r="S98" s="131"/>
      <c r="T98" s="124"/>
      <c r="U98" s="124"/>
      <c r="V98" s="124"/>
      <c r="W98" s="124"/>
      <c r="X98" s="124"/>
    </row>
    <row r="99" spans="1:24" s="125" customFormat="1" ht="13" x14ac:dyDescent="0.3">
      <c r="A99" s="132" t="s">
        <v>684</v>
      </c>
      <c r="B99" s="132"/>
      <c r="C99" s="129"/>
      <c r="D99" s="129"/>
      <c r="E99" s="129"/>
      <c r="F99" s="129">
        <f>H99</f>
        <v>236387</v>
      </c>
      <c r="G99" s="129"/>
      <c r="H99" s="124">
        <f>-'Felosztás eredménykim'!W281</f>
        <v>236387</v>
      </c>
      <c r="I99" s="124"/>
      <c r="J99" s="124"/>
      <c r="K99" s="124"/>
      <c r="L99" s="124"/>
      <c r="M99" s="124">
        <f>H99+K99</f>
        <v>236387</v>
      </c>
      <c r="N99" s="131">
        <f>M99</f>
        <v>236387</v>
      </c>
      <c r="O99" s="131"/>
      <c r="P99" s="139">
        <f>-M99</f>
        <v>-236387</v>
      </c>
      <c r="Q99" s="139"/>
      <c r="R99" s="139"/>
      <c r="S99" s="139"/>
      <c r="T99" s="124"/>
      <c r="U99" s="124"/>
      <c r="V99" s="124"/>
      <c r="W99" s="124"/>
      <c r="X99" s="124"/>
    </row>
    <row r="100" spans="1:24" x14ac:dyDescent="0.25">
      <c r="C100" s="117"/>
    </row>
    <row r="101" spans="1:24" x14ac:dyDescent="0.25">
      <c r="B101" s="31">
        <f t="shared" ref="B101:H101" si="47">B53+B60+B76+B92+B95+B99</f>
        <v>2380869219.571167</v>
      </c>
      <c r="C101" s="31">
        <f t="shared" si="47"/>
        <v>0</v>
      </c>
      <c r="D101" s="31">
        <f t="shared" si="47"/>
        <v>114959620</v>
      </c>
      <c r="E101" s="31">
        <f t="shared" si="47"/>
        <v>0</v>
      </c>
      <c r="F101" s="113">
        <f t="shared" si="47"/>
        <v>602203395.64305007</v>
      </c>
      <c r="G101" s="113">
        <f t="shared" si="47"/>
        <v>2233712734.7321501</v>
      </c>
      <c r="H101" s="113">
        <f t="shared" si="47"/>
        <v>2835916130.3751998</v>
      </c>
      <c r="I101" s="113">
        <f>I53+I60+I76+I92+I95</f>
        <v>163549765.30663747</v>
      </c>
      <c r="J101" s="113">
        <f>J53+J60+J76+J92+J95</f>
        <v>421292927.56816268</v>
      </c>
      <c r="K101" s="113">
        <f>K53+K60+K76+K92+K95</f>
        <v>584842692.87480009</v>
      </c>
      <c r="L101" s="113">
        <f>L53+L60+L76+L92+L95+L99</f>
        <v>0</v>
      </c>
      <c r="M101" s="113">
        <f>M53+M60+M76+M92+M95+M99</f>
        <v>3420758823.2500005</v>
      </c>
      <c r="N101" s="113">
        <f>N53+N60+N76+N92+N95</f>
        <v>3392108678.1429477</v>
      </c>
      <c r="O101" s="113"/>
      <c r="P101" s="113"/>
      <c r="Q101" s="113"/>
      <c r="R101" s="113"/>
      <c r="S101" s="113"/>
    </row>
    <row r="102" spans="1:24" x14ac:dyDescent="0.25">
      <c r="C102" s="117"/>
    </row>
    <row r="103" spans="1:24" x14ac:dyDescent="0.25">
      <c r="B103" s="119">
        <f t="shared" ref="B103:N103" si="48">B34-B101</f>
        <v>-2380869219.571167</v>
      </c>
      <c r="C103" s="119">
        <f t="shared" si="48"/>
        <v>0</v>
      </c>
      <c r="D103" s="119">
        <f t="shared" si="48"/>
        <v>11575780</v>
      </c>
      <c r="E103" s="119">
        <f t="shared" si="48"/>
        <v>0</v>
      </c>
      <c r="F103" s="111">
        <f t="shared" si="48"/>
        <v>0</v>
      </c>
      <c r="G103" s="111">
        <f t="shared" si="48"/>
        <v>-6142.7700004577637</v>
      </c>
      <c r="H103" s="111">
        <f t="shared" si="48"/>
        <v>-6142.7699995040894</v>
      </c>
      <c r="I103" s="111">
        <f>I34-I101</f>
        <v>0</v>
      </c>
      <c r="J103" s="111">
        <f t="shared" si="48"/>
        <v>0</v>
      </c>
      <c r="K103" s="111">
        <f t="shared" si="48"/>
        <v>0</v>
      </c>
      <c r="M103" s="111">
        <f t="shared" si="48"/>
        <v>-6142.7700004577637</v>
      </c>
      <c r="N103" s="111">
        <f t="shared" si="48"/>
        <v>126535400</v>
      </c>
      <c r="O103" s="111"/>
      <c r="P103" s="111"/>
      <c r="Q103" s="111"/>
      <c r="R103" s="111"/>
      <c r="S103" s="111"/>
    </row>
    <row r="104" spans="1:24" x14ac:dyDescent="0.25">
      <c r="C104" s="117"/>
    </row>
    <row r="105" spans="1:24" ht="13" x14ac:dyDescent="0.3">
      <c r="A105" s="546" t="s">
        <v>699</v>
      </c>
      <c r="B105" s="127"/>
      <c r="C105" s="110"/>
      <c r="D105" s="110">
        <f>D107-D101</f>
        <v>-114959620</v>
      </c>
      <c r="E105" s="110"/>
      <c r="F105" s="110"/>
      <c r="G105" s="110"/>
      <c r="M105" s="121">
        <f>M49+M73+M74+M90+M99</f>
        <v>28650145.107052889</v>
      </c>
      <c r="P105" s="545">
        <f>P45+P49+P58+P73+P74+P79+P81+P88+P90+P99</f>
        <v>-25081233.467052896</v>
      </c>
      <c r="Q105" s="121"/>
      <c r="R105" s="121"/>
      <c r="S105" s="121"/>
      <c r="T105" s="111">
        <f>-'Felosztás eredménykim'!HD281</f>
        <v>-25081231.610001002</v>
      </c>
    </row>
    <row r="106" spans="1:24" ht="13" x14ac:dyDescent="0.3">
      <c r="A106" s="122" t="s">
        <v>697</v>
      </c>
      <c r="B106" s="129">
        <f>B107-B101</f>
        <v>-2380869219.571167</v>
      </c>
      <c r="C106" s="129">
        <f>C107-C101</f>
        <v>0</v>
      </c>
    </row>
    <row r="107" spans="1:24" x14ac:dyDescent="0.25">
      <c r="A107" s="137"/>
      <c r="B107" s="133"/>
      <c r="C107" s="117"/>
    </row>
    <row r="108" spans="1:24" x14ac:dyDescent="0.25">
      <c r="A108" s="137"/>
    </row>
    <row r="109" spans="1:24" x14ac:dyDescent="0.25">
      <c r="B109" s="134"/>
    </row>
    <row r="110" spans="1:24" x14ac:dyDescent="0.25">
      <c r="B110" s="134"/>
    </row>
    <row r="111" spans="1:24" x14ac:dyDescent="0.25">
      <c r="A111" s="135"/>
      <c r="B111" s="134"/>
    </row>
    <row r="112" spans="1:24" x14ac:dyDescent="0.25">
      <c r="A112" s="109"/>
      <c r="B112" s="134"/>
    </row>
    <row r="113" spans="1:3" ht="13" x14ac:dyDescent="0.3">
      <c r="A113" s="122"/>
      <c r="B113" s="136"/>
    </row>
    <row r="115" spans="1:3" x14ac:dyDescent="0.25">
      <c r="A115" s="127"/>
      <c r="C115" s="134"/>
    </row>
    <row r="116" spans="1:3" x14ac:dyDescent="0.25">
      <c r="A116" s="127"/>
      <c r="C116" s="134"/>
    </row>
    <row r="117" spans="1:3" x14ac:dyDescent="0.25">
      <c r="A117" s="127"/>
      <c r="C117" s="134"/>
    </row>
    <row r="118" spans="1:3" x14ac:dyDescent="0.25">
      <c r="A118" s="127"/>
      <c r="C118" s="134"/>
    </row>
    <row r="119" spans="1:3" ht="13" x14ac:dyDescent="0.3">
      <c r="A119" s="122"/>
      <c r="C119" s="136"/>
    </row>
  </sheetData>
  <pageMargins left="0.70866141732283472" right="0.70866141732283472" top="0.19685039370078741" bottom="0" header="0" footer="0"/>
  <pageSetup paperSize="8" scale="43" orientation="landscape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X136"/>
  <sheetViews>
    <sheetView view="pageBreakPreview" zoomScale="60" zoomScaleNormal="100" workbookViewId="0">
      <pane xSplit="1" ySplit="6" topLeftCell="B65" activePane="bottomRight" state="frozen"/>
      <selection pane="topRight" activeCell="B1" sqref="B1"/>
      <selection pane="bottomLeft" activeCell="A7" sqref="A7"/>
      <selection pane="bottomRight" activeCell="L68" sqref="L68"/>
    </sheetView>
  </sheetViews>
  <sheetFormatPr defaultColWidth="8.81640625" defaultRowHeight="11.5" x14ac:dyDescent="0.25"/>
  <cols>
    <col min="1" max="1" width="32.1796875" style="157" customWidth="1"/>
    <col min="2" max="2" width="18.1796875" style="157" customWidth="1"/>
    <col min="3" max="3" width="15.81640625" style="157" customWidth="1"/>
    <col min="4" max="4" width="14.54296875" style="157" customWidth="1"/>
    <col min="5" max="5" width="20.81640625" style="157" customWidth="1"/>
    <col min="6" max="6" width="12.54296875" style="157" customWidth="1"/>
    <col min="7" max="7" width="12" style="157" bestFit="1" customWidth="1"/>
    <col min="8" max="8" width="11.81640625" style="157" customWidth="1"/>
    <col min="9" max="9" width="12" style="157" bestFit="1" customWidth="1"/>
    <col min="10" max="10" width="11.7265625" style="157" bestFit="1" customWidth="1"/>
    <col min="11" max="11" width="12" style="157" bestFit="1" customWidth="1"/>
    <col min="12" max="14" width="12" style="157" customWidth="1"/>
    <col min="15" max="17" width="11.7265625" style="157" bestFit="1" customWidth="1"/>
    <col min="18" max="18" width="11.7265625" style="157" customWidth="1"/>
    <col min="19" max="19" width="12" style="157" bestFit="1" customWidth="1"/>
    <col min="20" max="20" width="13.26953125" style="157" customWidth="1"/>
    <col min="21" max="21" width="11.7265625" style="157" bestFit="1" customWidth="1"/>
    <col min="22" max="22" width="13.81640625" style="157" customWidth="1"/>
    <col min="23" max="23" width="13.1796875" style="157" hidden="1" customWidth="1"/>
    <col min="24" max="24" width="10.453125" style="157" hidden="1" customWidth="1"/>
    <col min="25" max="16384" width="8.81640625" style="157"/>
  </cols>
  <sheetData>
    <row r="2" spans="1:22" x14ac:dyDescent="0.25">
      <c r="A2" s="157" t="s">
        <v>700</v>
      </c>
    </row>
    <row r="3" spans="1:22" ht="42.75" customHeight="1" thickBot="1" x14ac:dyDescent="0.3">
      <c r="A3" s="312" t="s">
        <v>1780</v>
      </c>
      <c r="E3" s="157" t="s">
        <v>1706</v>
      </c>
    </row>
    <row r="4" spans="1:22" s="600" customFormat="1" ht="16" thickTop="1" thickBot="1" x14ac:dyDescent="0.3">
      <c r="A4" s="599"/>
      <c r="B4" s="1126"/>
      <c r="C4" s="1127"/>
      <c r="D4" s="1127"/>
      <c r="E4" s="1128" t="s">
        <v>1703</v>
      </c>
      <c r="F4" s="1118"/>
      <c r="G4" s="1118"/>
      <c r="H4" s="1129" t="s">
        <v>1704</v>
      </c>
      <c r="I4" s="1130"/>
      <c r="J4" s="1130"/>
      <c r="K4" s="1131"/>
      <c r="L4" s="975"/>
      <c r="M4" s="975"/>
      <c r="N4" s="976"/>
      <c r="O4" s="1117" t="s">
        <v>1705</v>
      </c>
      <c r="P4" s="1118"/>
      <c r="Q4" s="1118"/>
      <c r="R4" s="1051" t="s">
        <v>1782</v>
      </c>
      <c r="S4" s="1007" t="s">
        <v>1782</v>
      </c>
      <c r="T4" s="977"/>
      <c r="U4" s="977"/>
      <c r="V4" s="978"/>
    </row>
    <row r="5" spans="1:22" s="525" customFormat="1" ht="15.5" thickTop="1" x14ac:dyDescent="0.3">
      <c r="A5" s="523" t="s">
        <v>702</v>
      </c>
      <c r="B5" s="1132" t="s">
        <v>1596</v>
      </c>
      <c r="C5" s="1133"/>
      <c r="D5" s="1134"/>
      <c r="E5" s="1123" t="s">
        <v>592</v>
      </c>
      <c r="F5" s="1124"/>
      <c r="G5" s="1125"/>
      <c r="H5" s="524" t="s">
        <v>901</v>
      </c>
      <c r="I5" s="1135" t="s">
        <v>594</v>
      </c>
      <c r="J5" s="1136"/>
      <c r="K5" s="1137"/>
      <c r="L5" s="1120" t="s">
        <v>1214</v>
      </c>
      <c r="M5" s="1121"/>
      <c r="N5" s="1122"/>
      <c r="O5" s="1114" t="s">
        <v>554</v>
      </c>
      <c r="P5" s="1115"/>
      <c r="Q5" s="1116"/>
      <c r="R5" s="1052" t="s">
        <v>1844</v>
      </c>
      <c r="S5" s="1008" t="s">
        <v>595</v>
      </c>
      <c r="T5" s="1119" t="s">
        <v>1852</v>
      </c>
      <c r="U5" s="1119"/>
      <c r="V5" s="1119"/>
    </row>
    <row r="6" spans="1:22" s="525" customFormat="1" ht="15.5" thickBot="1" x14ac:dyDescent="0.3">
      <c r="A6" s="523"/>
      <c r="B6" s="526" t="s">
        <v>575</v>
      </c>
      <c r="C6" s="527" t="s">
        <v>555</v>
      </c>
      <c r="D6" s="528" t="s">
        <v>564</v>
      </c>
      <c r="E6" s="532" t="s">
        <v>575</v>
      </c>
      <c r="F6" s="533" t="s">
        <v>555</v>
      </c>
      <c r="G6" s="534" t="s">
        <v>564</v>
      </c>
      <c r="H6" s="535" t="s">
        <v>555</v>
      </c>
      <c r="I6" s="536" t="s">
        <v>575</v>
      </c>
      <c r="J6" s="537" t="s">
        <v>555</v>
      </c>
      <c r="K6" s="538" t="s">
        <v>564</v>
      </c>
      <c r="L6" s="529" t="s">
        <v>575</v>
      </c>
      <c r="M6" s="530" t="s">
        <v>555</v>
      </c>
      <c r="N6" s="531" t="s">
        <v>564</v>
      </c>
      <c r="O6" s="539" t="s">
        <v>575</v>
      </c>
      <c r="P6" s="540" t="s">
        <v>555</v>
      </c>
      <c r="Q6" s="541" t="s">
        <v>564</v>
      </c>
      <c r="R6" s="1053"/>
      <c r="S6" s="1009" t="s">
        <v>597</v>
      </c>
      <c r="T6" s="542" t="s">
        <v>575</v>
      </c>
      <c r="U6" s="542" t="s">
        <v>555</v>
      </c>
      <c r="V6" s="542" t="s">
        <v>564</v>
      </c>
    </row>
    <row r="7" spans="1:22" ht="20.149999999999999" customHeight="1" thickTop="1" x14ac:dyDescent="0.25">
      <c r="A7" s="407" t="s">
        <v>709</v>
      </c>
      <c r="B7" s="1000"/>
      <c r="C7" s="520"/>
      <c r="D7" s="520"/>
      <c r="E7" s="314"/>
      <c r="F7" s="313"/>
      <c r="G7" s="315"/>
      <c r="H7" s="435"/>
      <c r="I7" s="314"/>
      <c r="J7" s="313"/>
      <c r="K7" s="315"/>
      <c r="L7" s="314"/>
      <c r="M7" s="313"/>
      <c r="N7" s="315"/>
      <c r="O7" s="314"/>
      <c r="P7" s="313"/>
      <c r="Q7" s="315"/>
      <c r="R7" s="1035"/>
      <c r="S7" s="435"/>
      <c r="T7" s="435"/>
      <c r="U7" s="435"/>
      <c r="V7" s="435"/>
    </row>
    <row r="8" spans="1:22" ht="20.149999999999999" customHeight="1" x14ac:dyDescent="0.25">
      <c r="A8" s="407"/>
      <c r="B8" s="1001"/>
      <c r="C8" s="520"/>
      <c r="D8" s="520"/>
      <c r="E8" s="314"/>
      <c r="F8" s="313"/>
      <c r="G8" s="315"/>
      <c r="H8" s="435"/>
      <c r="I8" s="314"/>
      <c r="J8" s="313"/>
      <c r="K8" s="315"/>
      <c r="L8" s="314"/>
      <c r="M8" s="313"/>
      <c r="N8" s="315"/>
      <c r="O8" s="314"/>
      <c r="P8" s="313"/>
      <c r="Q8" s="315"/>
      <c r="R8" s="1035"/>
      <c r="S8" s="435"/>
      <c r="T8" s="435"/>
      <c r="U8" s="435"/>
      <c r="V8" s="435"/>
    </row>
    <row r="9" spans="1:22" ht="20.149999999999999" customHeight="1" x14ac:dyDescent="0.25">
      <c r="A9" s="407" t="s">
        <v>805</v>
      </c>
      <c r="B9" s="1001"/>
      <c r="C9" s="520"/>
      <c r="D9" s="520"/>
      <c r="E9" s="433"/>
      <c r="F9" s="317"/>
      <c r="G9" s="358"/>
      <c r="H9" s="436"/>
      <c r="I9" s="433"/>
      <c r="J9" s="317"/>
      <c r="K9" s="358"/>
      <c r="L9" s="433"/>
      <c r="M9" s="317"/>
      <c r="N9" s="358"/>
      <c r="O9" s="433"/>
      <c r="P9" s="317"/>
      <c r="Q9" s="358"/>
      <c r="R9" s="1036"/>
      <c r="S9" s="436"/>
      <c r="T9" s="436"/>
      <c r="U9" s="436"/>
      <c r="V9" s="436"/>
    </row>
    <row r="10" spans="1:22" ht="20.149999999999999" customHeight="1" x14ac:dyDescent="0.25">
      <c r="A10" s="408" t="s">
        <v>834</v>
      </c>
      <c r="B10" s="815">
        <f t="shared" ref="B10:D10" si="0">B11+B12+B13</f>
        <v>208475339.27771431</v>
      </c>
      <c r="C10" s="844">
        <f t="shared" si="0"/>
        <v>4943871.4285714282</v>
      </c>
      <c r="D10" s="844">
        <f t="shared" si="0"/>
        <v>213419210.70628572</v>
      </c>
      <c r="E10" s="882">
        <f t="shared" ref="E10:G10" si="1">E11+E12+E13</f>
        <v>159395982.71771431</v>
      </c>
      <c r="F10" s="883">
        <f t="shared" si="1"/>
        <v>5378571.4285714282</v>
      </c>
      <c r="G10" s="844">
        <f t="shared" si="1"/>
        <v>164774554.14628571</v>
      </c>
      <c r="H10" s="815">
        <f>H11+H12+H13</f>
        <v>37695117.986285716</v>
      </c>
      <c r="I10" s="882">
        <f t="shared" ref="I10:S10" si="2">I11+I12+I13</f>
        <v>50849378.557714283</v>
      </c>
      <c r="J10" s="883">
        <f t="shared" si="2"/>
        <v>1733571.4285714286</v>
      </c>
      <c r="K10" s="844">
        <f t="shared" si="2"/>
        <v>52582949.986285709</v>
      </c>
      <c r="L10" s="882">
        <f>L11+L12+L13</f>
        <v>87036778.557714283</v>
      </c>
      <c r="M10" s="883">
        <f>M11+M12+M13</f>
        <v>3321071.4285714282</v>
      </c>
      <c r="N10" s="844">
        <f>N11+N12+N13</f>
        <v>90357849.986285716</v>
      </c>
      <c r="O10" s="882">
        <f t="shared" si="2"/>
        <v>45042974.557714283</v>
      </c>
      <c r="P10" s="883">
        <f t="shared" si="2"/>
        <v>1393571.4285714286</v>
      </c>
      <c r="Q10" s="844">
        <f t="shared" si="2"/>
        <v>46436545.986285716</v>
      </c>
      <c r="R10" s="815">
        <f t="shared" si="2"/>
        <v>0</v>
      </c>
      <c r="S10" s="815">
        <f t="shared" si="2"/>
        <v>89045120.706285715</v>
      </c>
      <c r="T10" s="815">
        <f>T11+T12+T13</f>
        <v>550800453.66857147</v>
      </c>
      <c r="U10" s="815">
        <f>U11+U12+U13</f>
        <v>54465775.129142851</v>
      </c>
      <c r="V10" s="815">
        <f>V11+V12+V13</f>
        <v>605266228.79771423</v>
      </c>
    </row>
    <row r="11" spans="1:22" ht="20.149999999999999" customHeight="1" x14ac:dyDescent="0.25">
      <c r="A11" s="409" t="s">
        <v>807</v>
      </c>
      <c r="B11" s="884">
        <v>134856990.2857143</v>
      </c>
      <c r="C11" s="885">
        <v>3862369.1428571427</v>
      </c>
      <c r="D11" s="818">
        <f t="shared" ref="D11:D17" si="3">SUM(B11:C11)</f>
        <v>138719359.42857143</v>
      </c>
      <c r="E11" s="884">
        <v>140560998.2857143</v>
      </c>
      <c r="F11" s="885">
        <v>4202013.1428571427</v>
      </c>
      <c r="G11" s="886">
        <f>SUM(E11:F11)</f>
        <v>144763011.42857143</v>
      </c>
      <c r="H11" s="819">
        <v>32649484.428571425</v>
      </c>
      <c r="I11" s="884">
        <v>44496062.285714284</v>
      </c>
      <c r="J11" s="885">
        <v>1354353.142857143</v>
      </c>
      <c r="K11" s="886">
        <f>SUM(I11:J11)</f>
        <v>45850415.428571425</v>
      </c>
      <c r="L11" s="884">
        <v>75096062.285714284</v>
      </c>
      <c r="M11" s="885">
        <v>2592753.8746579089</v>
      </c>
      <c r="N11" s="886">
        <f>SUM(L11:M11)</f>
        <v>77688816.160372198</v>
      </c>
      <c r="O11" s="884">
        <v>36316462.285714284</v>
      </c>
      <c r="P11" s="885">
        <v>1088728.142857143</v>
      </c>
      <c r="Q11" s="886">
        <f>SUM(O11:P11)</f>
        <v>37405190.428571425</v>
      </c>
      <c r="R11" s="1037"/>
      <c r="S11" s="887">
        <v>78056142.428571433</v>
      </c>
      <c r="T11" s="822">
        <f>B11+L11+E11+I11+O11</f>
        <v>431326575.42857146</v>
      </c>
      <c r="U11" s="822">
        <f>C11+M11+F11+H11+J11+P11</f>
        <v>45749701.874657899</v>
      </c>
      <c r="V11" s="822">
        <f t="shared" ref="V11:V17" si="4">SUM(T11:U11)</f>
        <v>477076277.30322933</v>
      </c>
    </row>
    <row r="12" spans="1:22" ht="20.149999999999999" customHeight="1" x14ac:dyDescent="0.25">
      <c r="A12" s="409" t="s">
        <v>835</v>
      </c>
      <c r="B12" s="884">
        <v>50601838.857142858</v>
      </c>
      <c r="C12" s="885">
        <v>0</v>
      </c>
      <c r="D12" s="818">
        <f t="shared" si="3"/>
        <v>50601838.857142858</v>
      </c>
      <c r="E12" s="884">
        <v>601838.85714285716</v>
      </c>
      <c r="F12" s="885">
        <v>0</v>
      </c>
      <c r="G12" s="886">
        <f>SUM(E12:F12)</f>
        <v>601838.85714285716</v>
      </c>
      <c r="H12" s="819">
        <v>601838.85714285716</v>
      </c>
      <c r="I12" s="884">
        <v>601838.85714285716</v>
      </c>
      <c r="J12" s="885">
        <v>0</v>
      </c>
      <c r="K12" s="886">
        <f>SUM(I12:J12)</f>
        <v>601838.85714285716</v>
      </c>
      <c r="L12" s="884">
        <v>601838.85714285716</v>
      </c>
      <c r="M12" s="885">
        <v>0</v>
      </c>
      <c r="N12" s="886">
        <f>SUM(L12:M12)</f>
        <v>601838.85714285716</v>
      </c>
      <c r="O12" s="884">
        <v>3701838.8571428573</v>
      </c>
      <c r="P12" s="885">
        <v>0</v>
      </c>
      <c r="Q12" s="886">
        <f>SUM(O12:P12)</f>
        <v>3701838.8571428573</v>
      </c>
      <c r="R12" s="1037"/>
      <c r="S12" s="887">
        <v>601838.85714285716</v>
      </c>
      <c r="T12" s="822">
        <f>B12+L12+E12+I12+O12</f>
        <v>56109194.285714291</v>
      </c>
      <c r="U12" s="822">
        <f>C12+M12+F12+H12+J12+P12</f>
        <v>601838.85714285716</v>
      </c>
      <c r="V12" s="822">
        <f t="shared" si="4"/>
        <v>56711033.142857149</v>
      </c>
    </row>
    <row r="13" spans="1:22" ht="20.149999999999999" customHeight="1" x14ac:dyDescent="0.25">
      <c r="A13" s="410" t="s">
        <v>810</v>
      </c>
      <c r="B13" s="884">
        <v>23016510.13485714</v>
      </c>
      <c r="C13" s="885">
        <v>1081502.2857142857</v>
      </c>
      <c r="D13" s="818">
        <f t="shared" si="3"/>
        <v>24098012.420571428</v>
      </c>
      <c r="E13" s="884">
        <v>18233145.574857142</v>
      </c>
      <c r="F13" s="885">
        <v>1176558.2857142857</v>
      </c>
      <c r="G13" s="886">
        <f>SUM(E13:F13)</f>
        <v>19409703.860571429</v>
      </c>
      <c r="H13" s="819">
        <v>4443794.700571429</v>
      </c>
      <c r="I13" s="884">
        <v>5751477.4148571426</v>
      </c>
      <c r="J13" s="885">
        <v>379218.28571428574</v>
      </c>
      <c r="K13" s="886">
        <f>SUM(I13:J13)</f>
        <v>6130695.7005714281</v>
      </c>
      <c r="L13" s="884">
        <v>11338877.414857144</v>
      </c>
      <c r="M13" s="885">
        <v>728317.55391351937</v>
      </c>
      <c r="N13" s="886">
        <f>SUM(L13:M13)</f>
        <v>12067194.968770662</v>
      </c>
      <c r="O13" s="884">
        <v>5024673.4148571435</v>
      </c>
      <c r="P13" s="885">
        <v>304843.28571428574</v>
      </c>
      <c r="Q13" s="886">
        <f>SUM(O13:P13)</f>
        <v>5329516.700571429</v>
      </c>
      <c r="R13" s="1037"/>
      <c r="S13" s="887">
        <v>10387139.420571428</v>
      </c>
      <c r="T13" s="822">
        <f>B13+L13+E13+I13+O13</f>
        <v>63364683.954285711</v>
      </c>
      <c r="U13" s="822">
        <f>C13+M13+F13+H13+J13+P13</f>
        <v>8114234.3973420905</v>
      </c>
      <c r="V13" s="822">
        <f t="shared" si="4"/>
        <v>71478918.351627797</v>
      </c>
    </row>
    <row r="14" spans="1:22" ht="20.149999999999999" customHeight="1" x14ac:dyDescent="0.25">
      <c r="A14" s="408" t="s">
        <v>811</v>
      </c>
      <c r="B14" s="882">
        <f>SUM(B15:B18)</f>
        <v>99026489.714285716</v>
      </c>
      <c r="C14" s="882">
        <f t="shared" ref="C14:D14" si="5">SUM(C15:C18)</f>
        <v>0</v>
      </c>
      <c r="D14" s="882">
        <f t="shared" si="5"/>
        <v>99026489.714285716</v>
      </c>
      <c r="E14" s="882">
        <f>SUM(E15:E18)</f>
        <v>97652981.714285716</v>
      </c>
      <c r="F14" s="882">
        <f t="shared" ref="F14:G14" si="6">SUM(F15:F18)</f>
        <v>0</v>
      </c>
      <c r="G14" s="882">
        <f t="shared" si="6"/>
        <v>97652981.714285716</v>
      </c>
      <c r="H14" s="815">
        <f>SUM(H15:H18)</f>
        <v>52557981.714285716</v>
      </c>
      <c r="I14" s="882">
        <f>SUM(I15:I18)</f>
        <v>35277981.714285716</v>
      </c>
      <c r="J14" s="883">
        <f>SUM(J15:J18)</f>
        <v>0</v>
      </c>
      <c r="K14" s="883">
        <f t="shared" ref="K14:S14" si="7">SUM(K15:K18)</f>
        <v>35277981.714285716</v>
      </c>
      <c r="L14" s="882">
        <f>SUM(L15:L18)</f>
        <v>11576091.714285713</v>
      </c>
      <c r="M14" s="882">
        <f t="shared" ref="M14:N14" si="8">SUM(M15:M18)</f>
        <v>0</v>
      </c>
      <c r="N14" s="882">
        <f t="shared" si="8"/>
        <v>11576091.714285713</v>
      </c>
      <c r="O14" s="883">
        <f t="shared" si="7"/>
        <v>13562903.714285715</v>
      </c>
      <c r="P14" s="883">
        <f t="shared" si="7"/>
        <v>0</v>
      </c>
      <c r="Q14" s="883">
        <f t="shared" si="7"/>
        <v>13562903.714285715</v>
      </c>
      <c r="R14" s="883">
        <f t="shared" si="7"/>
        <v>0</v>
      </c>
      <c r="S14" s="883">
        <f t="shared" si="7"/>
        <v>13837981.714285713</v>
      </c>
      <c r="T14" s="815">
        <f>T18+T16+T17+T15</f>
        <v>257096448.5714286</v>
      </c>
      <c r="U14" s="815">
        <f>M14+F14+H14+J14+P14</f>
        <v>52557981.714285716</v>
      </c>
      <c r="V14" s="815">
        <f t="shared" si="4"/>
        <v>309654430.28571433</v>
      </c>
    </row>
    <row r="15" spans="1:22" ht="20.149999999999999" customHeight="1" x14ac:dyDescent="0.25">
      <c r="A15" s="411" t="s">
        <v>1699</v>
      </c>
      <c r="B15" s="884">
        <v>2998571.4285714286</v>
      </c>
      <c r="C15" s="888"/>
      <c r="D15" s="818">
        <f>SUM(B15:C15)</f>
        <v>2998571.4285714286</v>
      </c>
      <c r="E15" s="889">
        <v>2058571.4285714286</v>
      </c>
      <c r="F15" s="888"/>
      <c r="G15" s="886">
        <f>SUM(E15:F15)</f>
        <v>2058571.4285714286</v>
      </c>
      <c r="H15" s="819">
        <v>808571.42857142864</v>
      </c>
      <c r="I15" s="889">
        <v>808571.42857142864</v>
      </c>
      <c r="J15" s="888">
        <v>0</v>
      </c>
      <c r="K15" s="886">
        <f>SUM(I15:J15)</f>
        <v>808571.42857142864</v>
      </c>
      <c r="L15" s="889">
        <v>2208571.4285714286</v>
      </c>
      <c r="M15" s="888">
        <v>0</v>
      </c>
      <c r="N15" s="886">
        <f>SUM(L15:M15)</f>
        <v>2208571.4285714286</v>
      </c>
      <c r="O15" s="889">
        <v>773571.42857142864</v>
      </c>
      <c r="P15" s="888">
        <v>0</v>
      </c>
      <c r="Q15" s="886">
        <f>SUM(O15:P15)</f>
        <v>773571.42857142864</v>
      </c>
      <c r="R15" s="1037"/>
      <c r="S15" s="887">
        <v>2038571.4285714286</v>
      </c>
      <c r="T15" s="822">
        <f>B15+L15+E15+I15+O15</f>
        <v>8847857.1428571437</v>
      </c>
      <c r="U15" s="822">
        <f>C15+M15+F15+H15+J15+P15</f>
        <v>808571.42857142864</v>
      </c>
      <c r="V15" s="822">
        <f>SUM(T15:U15)</f>
        <v>9656428.5714285728</v>
      </c>
    </row>
    <row r="16" spans="1:22" ht="20.149999999999999" customHeight="1" x14ac:dyDescent="0.25">
      <c r="A16" s="409" t="s">
        <v>836</v>
      </c>
      <c r="B16" s="884">
        <v>1748053.1428571427</v>
      </c>
      <c r="C16" s="885"/>
      <c r="D16" s="818">
        <f t="shared" si="3"/>
        <v>1748053.1428571427</v>
      </c>
      <c r="E16" s="884">
        <v>9171053.1428571437</v>
      </c>
      <c r="F16" s="885">
        <v>0</v>
      </c>
      <c r="G16" s="886">
        <f>SUM(E16:F16)</f>
        <v>9171053.1428571437</v>
      </c>
      <c r="H16" s="819">
        <v>4381053.1428571427</v>
      </c>
      <c r="I16" s="884">
        <v>4561053.1428571427</v>
      </c>
      <c r="J16" s="885">
        <v>0</v>
      </c>
      <c r="K16" s="886">
        <f>SUM(I16:J16)</f>
        <v>4561053.1428571427</v>
      </c>
      <c r="L16" s="884">
        <v>3714163.1428571427</v>
      </c>
      <c r="M16" s="885">
        <v>0</v>
      </c>
      <c r="N16" s="886">
        <f>SUM(L16:M16)</f>
        <v>3714163.1428571427</v>
      </c>
      <c r="O16" s="884">
        <v>2900975.1428571427</v>
      </c>
      <c r="P16" s="885">
        <v>0</v>
      </c>
      <c r="Q16" s="886">
        <f>SUM(O16:P16)</f>
        <v>2900975.1428571427</v>
      </c>
      <c r="R16" s="1037"/>
      <c r="S16" s="887">
        <v>2266053.1428571427</v>
      </c>
      <c r="T16" s="822">
        <f>B16+L16+E16+I16+O16</f>
        <v>22095297.714285713</v>
      </c>
      <c r="U16" s="822">
        <f>C16+M16+F16+H16+J16+P16</f>
        <v>4381053.1428571427</v>
      </c>
      <c r="V16" s="822">
        <f t="shared" si="4"/>
        <v>26476350.857142854</v>
      </c>
    </row>
    <row r="17" spans="1:22" ht="20.149999999999999" customHeight="1" x14ac:dyDescent="0.25">
      <c r="A17" s="409" t="s">
        <v>813</v>
      </c>
      <c r="B17" s="884">
        <v>87047865.142857149</v>
      </c>
      <c r="C17" s="885"/>
      <c r="D17" s="818">
        <f t="shared" si="3"/>
        <v>87047865.142857149</v>
      </c>
      <c r="E17" s="890">
        <v>84491357.142857149</v>
      </c>
      <c r="F17" s="885">
        <v>0</v>
      </c>
      <c r="G17" s="886">
        <f>SUM(E17:F17)</f>
        <v>84491357.142857149</v>
      </c>
      <c r="H17" s="819">
        <v>45886357.142857142</v>
      </c>
      <c r="I17" s="884">
        <v>28176357.142857142</v>
      </c>
      <c r="J17" s="885">
        <v>0</v>
      </c>
      <c r="K17" s="886">
        <f>SUM(I17:J17)</f>
        <v>28176357.142857142</v>
      </c>
      <c r="L17" s="884">
        <v>4351357.1428571427</v>
      </c>
      <c r="M17" s="885">
        <v>0</v>
      </c>
      <c r="N17" s="886">
        <f>SUM(L17:M17)</f>
        <v>4351357.1428571427</v>
      </c>
      <c r="O17" s="884">
        <v>8406357.1428571437</v>
      </c>
      <c r="P17" s="885">
        <v>0</v>
      </c>
      <c r="Q17" s="886">
        <f>SUM(O17:P17)</f>
        <v>8406357.1428571437</v>
      </c>
      <c r="R17" s="1037"/>
      <c r="S17" s="887">
        <v>7921357.1428571427</v>
      </c>
      <c r="T17" s="822">
        <f>B17+L17+E17+I17+O17</f>
        <v>212473293.71428573</v>
      </c>
      <c r="U17" s="822">
        <f>C17+M17+F17+H17+J17+P17</f>
        <v>45886357.142857142</v>
      </c>
      <c r="V17" s="822">
        <f t="shared" si="4"/>
        <v>258359650.85714287</v>
      </c>
    </row>
    <row r="18" spans="1:22" ht="20.149999999999999" customHeight="1" thickBot="1" x14ac:dyDescent="0.3">
      <c r="A18" s="409" t="s">
        <v>840</v>
      </c>
      <c r="B18" s="884">
        <v>7232000</v>
      </c>
      <c r="C18" s="885"/>
      <c r="D18" s="818">
        <f>SUM(B18:C18)</f>
        <v>7232000</v>
      </c>
      <c r="E18" s="884">
        <v>1932000</v>
      </c>
      <c r="F18" s="885">
        <v>0</v>
      </c>
      <c r="G18" s="886">
        <f>SUM(E18:F18)</f>
        <v>1932000</v>
      </c>
      <c r="H18" s="819">
        <v>1482000</v>
      </c>
      <c r="I18" s="884">
        <v>1732000</v>
      </c>
      <c r="J18" s="885">
        <v>0</v>
      </c>
      <c r="K18" s="886">
        <f>SUM(I18:J18)</f>
        <v>1732000</v>
      </c>
      <c r="L18" s="884">
        <v>1302000</v>
      </c>
      <c r="M18" s="885">
        <v>0</v>
      </c>
      <c r="N18" s="886">
        <f>SUM(L18:M18)</f>
        <v>1302000</v>
      </c>
      <c r="O18" s="884">
        <v>1482000</v>
      </c>
      <c r="P18" s="885">
        <v>0</v>
      </c>
      <c r="Q18" s="886">
        <f>SUM(O18:P18)</f>
        <v>1482000</v>
      </c>
      <c r="R18" s="1037"/>
      <c r="S18" s="887">
        <v>1612000</v>
      </c>
      <c r="T18" s="822">
        <f>B18+L18+E18+I18+O18</f>
        <v>13680000</v>
      </c>
      <c r="U18" s="822">
        <f>C18+M18+F18+H18+J18+P18</f>
        <v>1482000</v>
      </c>
      <c r="V18" s="822">
        <f>SUM(T18:U18)</f>
        <v>15162000</v>
      </c>
    </row>
    <row r="19" spans="1:22" ht="20.149999999999999" customHeight="1" thickBot="1" x14ac:dyDescent="0.3">
      <c r="A19" s="412" t="s">
        <v>815</v>
      </c>
      <c r="B19" s="810">
        <f t="shared" ref="B19:V19" si="9">B10+B14</f>
        <v>307501828.99200004</v>
      </c>
      <c r="C19" s="811">
        <f t="shared" si="9"/>
        <v>4943871.4285714282</v>
      </c>
      <c r="D19" s="812">
        <f t="shared" si="9"/>
        <v>312445700.42057145</v>
      </c>
      <c r="E19" s="882">
        <f t="shared" si="9"/>
        <v>257048964.43200004</v>
      </c>
      <c r="F19" s="883">
        <f t="shared" si="9"/>
        <v>5378571.4285714282</v>
      </c>
      <c r="G19" s="844">
        <f t="shared" si="9"/>
        <v>262427535.86057144</v>
      </c>
      <c r="H19" s="815">
        <f t="shared" si="9"/>
        <v>90253099.700571433</v>
      </c>
      <c r="I19" s="882">
        <f t="shared" si="9"/>
        <v>86127360.272</v>
      </c>
      <c r="J19" s="883">
        <f t="shared" si="9"/>
        <v>1733571.4285714286</v>
      </c>
      <c r="K19" s="844">
        <f t="shared" si="9"/>
        <v>87860931.700571418</v>
      </c>
      <c r="L19" s="882">
        <f t="shared" si="9"/>
        <v>98612870.272</v>
      </c>
      <c r="M19" s="883">
        <f t="shared" si="9"/>
        <v>3321071.4285714282</v>
      </c>
      <c r="N19" s="844">
        <f t="shared" si="9"/>
        <v>101933941.70057143</v>
      </c>
      <c r="O19" s="882">
        <f t="shared" si="9"/>
        <v>58605878.272</v>
      </c>
      <c r="P19" s="883">
        <f t="shared" si="9"/>
        <v>1393571.4285714286</v>
      </c>
      <c r="Q19" s="844">
        <f t="shared" si="9"/>
        <v>59999449.700571433</v>
      </c>
      <c r="R19" s="815">
        <f t="shared" si="9"/>
        <v>0</v>
      </c>
      <c r="S19" s="815">
        <f t="shared" si="9"/>
        <v>102883102.42057143</v>
      </c>
      <c r="T19" s="815">
        <f t="shared" si="9"/>
        <v>807896902.24000001</v>
      </c>
      <c r="U19" s="815">
        <f t="shared" si="9"/>
        <v>107023756.84342857</v>
      </c>
      <c r="V19" s="815">
        <f t="shared" si="9"/>
        <v>914920659.08342862</v>
      </c>
    </row>
    <row r="20" spans="1:22" ht="20.149999999999999" customHeight="1" x14ac:dyDescent="0.25">
      <c r="A20" s="413" t="s">
        <v>816</v>
      </c>
      <c r="B20" s="891"/>
      <c r="C20" s="187"/>
      <c r="D20" s="818">
        <f t="shared" ref="D20:D33" si="10">SUM(B20:C20)</f>
        <v>0</v>
      </c>
      <c r="E20" s="891"/>
      <c r="F20" s="187"/>
      <c r="G20" s="892">
        <v>0</v>
      </c>
      <c r="H20" s="819"/>
      <c r="I20" s="891"/>
      <c r="J20" s="187"/>
      <c r="K20" s="892">
        <v>0</v>
      </c>
      <c r="L20" s="891"/>
      <c r="M20" s="187"/>
      <c r="N20" s="892">
        <v>0</v>
      </c>
      <c r="O20" s="891"/>
      <c r="P20" s="187"/>
      <c r="Q20" s="886">
        <f>SUM(O20:P20)</f>
        <v>0</v>
      </c>
      <c r="R20" s="1037"/>
      <c r="S20" s="887"/>
      <c r="T20" s="822">
        <f t="shared" ref="T20:U23" si="11">B20+L20+E20+I20+O20</f>
        <v>0</v>
      </c>
      <c r="U20" s="822">
        <f t="shared" si="11"/>
        <v>0</v>
      </c>
      <c r="V20" s="822">
        <f t="shared" ref="V20:V33" si="12">SUM(T20:U20)</f>
        <v>0</v>
      </c>
    </row>
    <row r="21" spans="1:22" ht="20.149999999999999" customHeight="1" x14ac:dyDescent="0.25">
      <c r="A21" s="409" t="s">
        <v>817</v>
      </c>
      <c r="B21" s="884"/>
      <c r="C21" s="885"/>
      <c r="D21" s="818">
        <f t="shared" si="10"/>
        <v>0</v>
      </c>
      <c r="E21" s="884"/>
      <c r="F21" s="885"/>
      <c r="G21" s="886">
        <v>0</v>
      </c>
      <c r="H21" s="819"/>
      <c r="I21" s="884"/>
      <c r="J21" s="885"/>
      <c r="K21" s="886">
        <v>0</v>
      </c>
      <c r="L21" s="884"/>
      <c r="M21" s="885"/>
      <c r="N21" s="886">
        <v>0</v>
      </c>
      <c r="O21" s="884"/>
      <c r="P21" s="885"/>
      <c r="Q21" s="886">
        <f>SUM(O21:P21)</f>
        <v>0</v>
      </c>
      <c r="R21" s="1037"/>
      <c r="S21" s="887"/>
      <c r="T21" s="822">
        <f t="shared" si="11"/>
        <v>0</v>
      </c>
      <c r="U21" s="822">
        <f t="shared" si="11"/>
        <v>0</v>
      </c>
      <c r="V21" s="822">
        <f t="shared" si="12"/>
        <v>0</v>
      </c>
    </row>
    <row r="22" spans="1:22" ht="20.149999999999999" customHeight="1" thickBot="1" x14ac:dyDescent="0.3">
      <c r="A22" s="411" t="s">
        <v>818</v>
      </c>
      <c r="B22" s="889"/>
      <c r="C22" s="888"/>
      <c r="D22" s="818">
        <f t="shared" si="10"/>
        <v>0</v>
      </c>
      <c r="E22" s="889"/>
      <c r="F22" s="888"/>
      <c r="G22" s="893">
        <v>0</v>
      </c>
      <c r="H22" s="819"/>
      <c r="I22" s="889"/>
      <c r="J22" s="888"/>
      <c r="K22" s="893">
        <v>0</v>
      </c>
      <c r="L22" s="889"/>
      <c r="M22" s="888"/>
      <c r="N22" s="893">
        <v>0</v>
      </c>
      <c r="O22" s="889"/>
      <c r="P22" s="888"/>
      <c r="Q22" s="886">
        <f>SUM(O22:P22)</f>
        <v>0</v>
      </c>
      <c r="R22" s="1037"/>
      <c r="S22" s="887"/>
      <c r="T22" s="822">
        <f t="shared" si="11"/>
        <v>0</v>
      </c>
      <c r="U22" s="822">
        <f t="shared" si="11"/>
        <v>0</v>
      </c>
      <c r="V22" s="822">
        <f t="shared" si="12"/>
        <v>0</v>
      </c>
    </row>
    <row r="23" spans="1:22" ht="20.149999999999999" customHeight="1" thickBot="1" x14ac:dyDescent="0.3">
      <c r="A23" s="414" t="s">
        <v>819</v>
      </c>
      <c r="B23" s="894">
        <f>SUM(B21:B22)</f>
        <v>0</v>
      </c>
      <c r="C23" s="895">
        <f>SUM(C21:C22)</f>
        <v>0</v>
      </c>
      <c r="D23" s="896">
        <f t="shared" si="10"/>
        <v>0</v>
      </c>
      <c r="E23" s="826">
        <f t="shared" ref="E23:G23" si="13">SUM(E21:E22)</f>
        <v>0</v>
      </c>
      <c r="F23" s="827">
        <f t="shared" si="13"/>
        <v>0</v>
      </c>
      <c r="G23" s="828">
        <f t="shared" si="13"/>
        <v>0</v>
      </c>
      <c r="H23" s="813">
        <f>SUM(H21:H22)</f>
        <v>0</v>
      </c>
      <c r="I23" s="826">
        <f t="shared" ref="I23:S23" si="14">SUM(I21:I22)</f>
        <v>0</v>
      </c>
      <c r="J23" s="827">
        <f t="shared" si="14"/>
        <v>0</v>
      </c>
      <c r="K23" s="828">
        <f t="shared" si="14"/>
        <v>0</v>
      </c>
      <c r="L23" s="826">
        <f>SUM(L21:L22)</f>
        <v>0</v>
      </c>
      <c r="M23" s="827">
        <f>SUM(M21:M22)</f>
        <v>0</v>
      </c>
      <c r="N23" s="828">
        <f>SUM(N21:N22)</f>
        <v>0</v>
      </c>
      <c r="O23" s="826">
        <f t="shared" si="14"/>
        <v>0</v>
      </c>
      <c r="P23" s="827">
        <f t="shared" si="14"/>
        <v>0</v>
      </c>
      <c r="Q23" s="828">
        <f t="shared" si="14"/>
        <v>0</v>
      </c>
      <c r="R23" s="1038"/>
      <c r="S23" s="813">
        <f t="shared" si="14"/>
        <v>0</v>
      </c>
      <c r="T23" s="822">
        <f t="shared" si="11"/>
        <v>0</v>
      </c>
      <c r="U23" s="822">
        <f t="shared" si="11"/>
        <v>0</v>
      </c>
      <c r="V23" s="837">
        <f t="shared" si="12"/>
        <v>0</v>
      </c>
    </row>
    <row r="24" spans="1:22" ht="20.149999999999999" customHeight="1" thickBot="1" x14ac:dyDescent="0.3">
      <c r="A24" s="414" t="s">
        <v>820</v>
      </c>
      <c r="B24" s="894">
        <f>B23+B19</f>
        <v>307501828.99200004</v>
      </c>
      <c r="C24" s="895">
        <f>C23+C19</f>
        <v>4943871.4285714282</v>
      </c>
      <c r="D24" s="896">
        <f t="shared" si="10"/>
        <v>312445700.42057145</v>
      </c>
      <c r="E24" s="810">
        <f t="shared" ref="E24:G24" si="15">E23+E19</f>
        <v>257048964.43200004</v>
      </c>
      <c r="F24" s="811">
        <f t="shared" si="15"/>
        <v>5378571.4285714282</v>
      </c>
      <c r="G24" s="812">
        <f t="shared" si="15"/>
        <v>262427535.86057144</v>
      </c>
      <c r="H24" s="814">
        <f>H23+H19</f>
        <v>90253099.700571433</v>
      </c>
      <c r="I24" s="810">
        <f t="shared" ref="I24:S24" si="16">I23+I19</f>
        <v>86127360.272</v>
      </c>
      <c r="J24" s="811">
        <f t="shared" si="16"/>
        <v>1733571.4285714286</v>
      </c>
      <c r="K24" s="812">
        <f t="shared" si="16"/>
        <v>87860931.700571418</v>
      </c>
      <c r="L24" s="810">
        <f>L23+L19</f>
        <v>98612870.272</v>
      </c>
      <c r="M24" s="811">
        <f>M23+M19</f>
        <v>3321071.4285714282</v>
      </c>
      <c r="N24" s="812">
        <f>N23+N19</f>
        <v>101933941.70057143</v>
      </c>
      <c r="O24" s="810">
        <f t="shared" si="16"/>
        <v>58605878.272</v>
      </c>
      <c r="P24" s="811">
        <f t="shared" si="16"/>
        <v>1393571.4285714286</v>
      </c>
      <c r="Q24" s="812">
        <f t="shared" si="16"/>
        <v>59999449.700571433</v>
      </c>
      <c r="R24" s="814">
        <f t="shared" si="16"/>
        <v>0</v>
      </c>
      <c r="S24" s="814">
        <f t="shared" si="16"/>
        <v>102883102.42057143</v>
      </c>
      <c r="T24" s="814">
        <f>T23+T19</f>
        <v>807896902.24000001</v>
      </c>
      <c r="U24" s="814">
        <f>U19+U23</f>
        <v>107023756.84342857</v>
      </c>
      <c r="V24" s="814">
        <f t="shared" si="12"/>
        <v>914920659.08342862</v>
      </c>
    </row>
    <row r="25" spans="1:22" ht="20.149999999999999" customHeight="1" x14ac:dyDescent="0.25">
      <c r="A25" s="415" t="s">
        <v>821</v>
      </c>
      <c r="B25" s="891"/>
      <c r="C25" s="187"/>
      <c r="D25" s="818">
        <f t="shared" si="10"/>
        <v>0</v>
      </c>
      <c r="E25" s="891"/>
      <c r="F25" s="187"/>
      <c r="G25" s="892">
        <v>0</v>
      </c>
      <c r="H25" s="819"/>
      <c r="I25" s="891"/>
      <c r="J25" s="187"/>
      <c r="K25" s="892">
        <v>0</v>
      </c>
      <c r="L25" s="891"/>
      <c r="M25" s="187"/>
      <c r="N25" s="892">
        <v>0</v>
      </c>
      <c r="O25" s="891"/>
      <c r="P25" s="187"/>
      <c r="Q25" s="886">
        <f>SUM(O25:P25)</f>
        <v>0</v>
      </c>
      <c r="R25" s="1039"/>
      <c r="S25" s="897"/>
      <c r="T25" s="822">
        <f>B25+L25+E25+I25+O25</f>
        <v>0</v>
      </c>
      <c r="U25" s="822">
        <f>M25+F25+H25+J25+P25</f>
        <v>0</v>
      </c>
      <c r="V25" s="865">
        <f t="shared" si="12"/>
        <v>0</v>
      </c>
    </row>
    <row r="26" spans="1:22" ht="20.149999999999999" customHeight="1" x14ac:dyDescent="0.25">
      <c r="A26" s="407" t="s">
        <v>822</v>
      </c>
      <c r="B26" s="884"/>
      <c r="C26" s="885"/>
      <c r="D26" s="818">
        <f t="shared" si="10"/>
        <v>0</v>
      </c>
      <c r="E26" s="884"/>
      <c r="F26" s="885"/>
      <c r="G26" s="886">
        <v>0</v>
      </c>
      <c r="H26" s="819"/>
      <c r="I26" s="884"/>
      <c r="J26" s="885"/>
      <c r="K26" s="886">
        <v>0</v>
      </c>
      <c r="L26" s="884"/>
      <c r="M26" s="885"/>
      <c r="N26" s="886">
        <v>0</v>
      </c>
      <c r="O26" s="884"/>
      <c r="P26" s="885"/>
      <c r="Q26" s="886">
        <f>SUM(O26:P26)</f>
        <v>0</v>
      </c>
      <c r="R26" s="1037"/>
      <c r="S26" s="887"/>
      <c r="T26" s="822">
        <f>B26+L26+E26+I26+O26</f>
        <v>0</v>
      </c>
      <c r="U26" s="822">
        <f>M26+F26+H26+J26+P26</f>
        <v>0</v>
      </c>
      <c r="V26" s="822">
        <f t="shared" si="12"/>
        <v>0</v>
      </c>
    </row>
    <row r="27" spans="1:22" ht="20.149999999999999" customHeight="1" x14ac:dyDescent="0.25">
      <c r="A27" s="419" t="s">
        <v>839</v>
      </c>
      <c r="B27" s="884"/>
      <c r="C27" s="885">
        <v>4863571.4000000004</v>
      </c>
      <c r="D27" s="818">
        <f t="shared" si="10"/>
        <v>4863571.4000000004</v>
      </c>
      <c r="E27" s="884">
        <v>9100000</v>
      </c>
      <c r="F27" s="885">
        <v>0</v>
      </c>
      <c r="G27" s="886">
        <f>SUM(E27:F27)</f>
        <v>9100000</v>
      </c>
      <c r="H27" s="819">
        <v>1900000</v>
      </c>
      <c r="I27" s="884">
        <v>2000000</v>
      </c>
      <c r="J27" s="885">
        <v>400000</v>
      </c>
      <c r="K27" s="886">
        <f>SUM(I27:J27)</f>
        <v>2400000</v>
      </c>
      <c r="L27" s="884">
        <v>0</v>
      </c>
      <c r="M27" s="885">
        <v>0</v>
      </c>
      <c r="N27" s="886">
        <f>SUM(L27:M27)</f>
        <v>0</v>
      </c>
      <c r="O27" s="884">
        <v>0</v>
      </c>
      <c r="P27" s="885">
        <v>0</v>
      </c>
      <c r="Q27" s="886">
        <f>SUM(O27:P27)</f>
        <v>0</v>
      </c>
      <c r="R27" s="1037"/>
      <c r="S27" s="887">
        <v>99850000</v>
      </c>
      <c r="T27" s="822">
        <f>B27+L27+E27+I27+O27</f>
        <v>11100000</v>
      </c>
      <c r="U27" s="822">
        <f>M27+F27+H27+J27+P27+C27</f>
        <v>7163571.4000000004</v>
      </c>
      <c r="V27" s="822">
        <f t="shared" si="12"/>
        <v>18263571.399999999</v>
      </c>
    </row>
    <row r="28" spans="1:22" ht="20.149999999999999" customHeight="1" thickBot="1" x14ac:dyDescent="0.3">
      <c r="A28" s="430" t="s">
        <v>824</v>
      </c>
      <c r="B28" s="898">
        <f>SUM(B27)</f>
        <v>0</v>
      </c>
      <c r="C28" s="899">
        <f>SUM(C27)</f>
        <v>4863571.4000000004</v>
      </c>
      <c r="D28" s="854">
        <f t="shared" si="10"/>
        <v>4863571.4000000004</v>
      </c>
      <c r="E28" s="898">
        <f t="shared" ref="E28:G28" si="17">SUM(E27)</f>
        <v>9100000</v>
      </c>
      <c r="F28" s="899">
        <f t="shared" si="17"/>
        <v>0</v>
      </c>
      <c r="G28" s="854">
        <f t="shared" si="17"/>
        <v>9100000</v>
      </c>
      <c r="H28" s="837">
        <f>SUM(H27)</f>
        <v>1900000</v>
      </c>
      <c r="I28" s="898">
        <f t="shared" ref="I28:S28" si="18">SUM(I27)</f>
        <v>2000000</v>
      </c>
      <c r="J28" s="899">
        <f t="shared" si="18"/>
        <v>400000</v>
      </c>
      <c r="K28" s="854">
        <f t="shared" si="18"/>
        <v>2400000</v>
      </c>
      <c r="L28" s="898">
        <f>SUM(L27)</f>
        <v>0</v>
      </c>
      <c r="M28" s="899">
        <f>SUM(M27)</f>
        <v>0</v>
      </c>
      <c r="N28" s="854">
        <f>SUM(N27)</f>
        <v>0</v>
      </c>
      <c r="O28" s="898">
        <f t="shared" si="18"/>
        <v>0</v>
      </c>
      <c r="P28" s="899">
        <f t="shared" si="18"/>
        <v>0</v>
      </c>
      <c r="Q28" s="886">
        <f>SUM(O28:P28)</f>
        <v>0</v>
      </c>
      <c r="R28" s="822">
        <f t="shared" ref="R28" si="19">SUM(R27)</f>
        <v>0</v>
      </c>
      <c r="S28" s="822">
        <f t="shared" si="18"/>
        <v>99850000</v>
      </c>
      <c r="T28" s="822">
        <f>B28+L28+E28+I28+O28</f>
        <v>11100000</v>
      </c>
      <c r="U28" s="822">
        <f>M28+F28+H28+J28+P28+C28</f>
        <v>7163571.4000000004</v>
      </c>
      <c r="V28" s="822">
        <f t="shared" si="12"/>
        <v>18263571.399999999</v>
      </c>
    </row>
    <row r="29" spans="1:22" ht="20.149999999999999" customHeight="1" thickBot="1" x14ac:dyDescent="0.3">
      <c r="A29" s="414" t="s">
        <v>828</v>
      </c>
      <c r="B29" s="894">
        <f>B28</f>
        <v>0</v>
      </c>
      <c r="C29" s="895">
        <f>C28</f>
        <v>4863571.4000000004</v>
      </c>
      <c r="D29" s="896">
        <f t="shared" si="10"/>
        <v>4863571.4000000004</v>
      </c>
      <c r="E29" s="900">
        <f t="shared" ref="E29:G29" si="20">E28</f>
        <v>9100000</v>
      </c>
      <c r="F29" s="901">
        <f t="shared" si="20"/>
        <v>0</v>
      </c>
      <c r="G29" s="902">
        <f t="shared" si="20"/>
        <v>9100000</v>
      </c>
      <c r="H29" s="829">
        <f>H28</f>
        <v>1900000</v>
      </c>
      <c r="I29" s="900">
        <f t="shared" ref="I29:S29" si="21">I28</f>
        <v>2000000</v>
      </c>
      <c r="J29" s="901">
        <f t="shared" si="21"/>
        <v>400000</v>
      </c>
      <c r="K29" s="902">
        <f t="shared" si="21"/>
        <v>2400000</v>
      </c>
      <c r="L29" s="900">
        <f>L28</f>
        <v>0</v>
      </c>
      <c r="M29" s="901">
        <f>M28</f>
        <v>0</v>
      </c>
      <c r="N29" s="902">
        <f>N28</f>
        <v>0</v>
      </c>
      <c r="O29" s="900">
        <f t="shared" si="21"/>
        <v>0</v>
      </c>
      <c r="P29" s="901">
        <f t="shared" si="21"/>
        <v>0</v>
      </c>
      <c r="Q29" s="902">
        <f t="shared" si="21"/>
        <v>0</v>
      </c>
      <c r="R29" s="825">
        <f t="shared" ref="R29" si="22">R28</f>
        <v>0</v>
      </c>
      <c r="S29" s="825">
        <f t="shared" si="21"/>
        <v>99850000</v>
      </c>
      <c r="T29" s="822">
        <f>B29+L29+E29+I29+O29</f>
        <v>11100000</v>
      </c>
      <c r="U29" s="822">
        <f>M29+F29+H29+J29+P29+C29</f>
        <v>7163571.4000000004</v>
      </c>
      <c r="V29" s="822">
        <f t="shared" si="12"/>
        <v>18263571.399999999</v>
      </c>
    </row>
    <row r="30" spans="1:22" s="316" customFormat="1" ht="20.149999999999999" customHeight="1" thickBot="1" x14ac:dyDescent="0.3">
      <c r="A30" s="414" t="s">
        <v>703</v>
      </c>
      <c r="B30" s="810">
        <f>B24-B29</f>
        <v>307501828.99200004</v>
      </c>
      <c r="C30" s="811">
        <f>C24-C29</f>
        <v>80300.0285714278</v>
      </c>
      <c r="D30" s="812">
        <f t="shared" si="10"/>
        <v>307582129.02057147</v>
      </c>
      <c r="E30" s="903">
        <f t="shared" ref="E30:G30" si="23">E24-E29</f>
        <v>247948964.43200004</v>
      </c>
      <c r="F30" s="904">
        <f t="shared" si="23"/>
        <v>5378571.4285714282</v>
      </c>
      <c r="G30" s="905">
        <f t="shared" si="23"/>
        <v>253327535.86057144</v>
      </c>
      <c r="H30" s="830">
        <f>H24-H29</f>
        <v>88353099.700571433</v>
      </c>
      <c r="I30" s="903">
        <f t="shared" ref="I30:S30" si="24">I24-I29</f>
        <v>84127360.272</v>
      </c>
      <c r="J30" s="904">
        <f t="shared" si="24"/>
        <v>1333571.4285714286</v>
      </c>
      <c r="K30" s="905">
        <f t="shared" si="24"/>
        <v>85460931.700571418</v>
      </c>
      <c r="L30" s="903">
        <f>L24-L29</f>
        <v>98612870.272</v>
      </c>
      <c r="M30" s="904">
        <f>M24-M29</f>
        <v>3321071.4285714282</v>
      </c>
      <c r="N30" s="905">
        <f>N24-N29</f>
        <v>101933941.70057143</v>
      </c>
      <c r="O30" s="903">
        <f t="shared" si="24"/>
        <v>58605878.272</v>
      </c>
      <c r="P30" s="904">
        <f t="shared" si="24"/>
        <v>1393571.4285714286</v>
      </c>
      <c r="Q30" s="905">
        <f t="shared" si="24"/>
        <v>59999449.700571433</v>
      </c>
      <c r="R30" s="815">
        <f t="shared" ref="R30" si="25">R24-R29</f>
        <v>0</v>
      </c>
      <c r="S30" s="813">
        <f t="shared" si="24"/>
        <v>3033102.4205714315</v>
      </c>
      <c r="T30" s="813">
        <f>T24-T29</f>
        <v>796796902.24000001</v>
      </c>
      <c r="U30" s="813">
        <f>U24-U29</f>
        <v>99860185.443428561</v>
      </c>
      <c r="V30" s="813">
        <f t="shared" si="12"/>
        <v>896657087.68342853</v>
      </c>
    </row>
    <row r="31" spans="1:22" ht="20.149999999999999" customHeight="1" thickBot="1" x14ac:dyDescent="0.3">
      <c r="A31" s="414" t="s">
        <v>703</v>
      </c>
      <c r="B31" s="906">
        <v>307501828.99200004</v>
      </c>
      <c r="C31" s="184">
        <v>80300.428571428172</v>
      </c>
      <c r="D31" s="854">
        <f t="shared" si="10"/>
        <v>307582129.42057145</v>
      </c>
      <c r="E31" s="906">
        <v>247948964.43200004</v>
      </c>
      <c r="F31" s="184">
        <v>5378571.4285714282</v>
      </c>
      <c r="G31" s="837">
        <f t="shared" ref="G31:G33" si="26">SUM(E31:F31)</f>
        <v>253327535.86057147</v>
      </c>
      <c r="H31" s="835">
        <v>88353099.700571433</v>
      </c>
      <c r="I31" s="906">
        <v>84127360.272</v>
      </c>
      <c r="J31" s="184">
        <v>1333571.4285714286</v>
      </c>
      <c r="K31" s="837">
        <f t="shared" ref="K31:K33" si="27">SUM(I31:J31)</f>
        <v>85460931.700571433</v>
      </c>
      <c r="L31" s="906">
        <v>98612870.272</v>
      </c>
      <c r="M31" s="184">
        <v>3321071.4285714282</v>
      </c>
      <c r="N31" s="837">
        <f t="shared" ref="N31:N33" si="28">SUM(L31:M31)</f>
        <v>101933941.70057143</v>
      </c>
      <c r="O31" s="906">
        <v>58605878.272</v>
      </c>
      <c r="P31" s="184">
        <v>1393571.4285714286</v>
      </c>
      <c r="Q31" s="837">
        <f t="shared" ref="Q31:Q33" si="29">SUM(O31:P31)</f>
        <v>59999449.700571425</v>
      </c>
      <c r="R31" s="822"/>
      <c r="S31" s="907">
        <v>3033102.4205714315</v>
      </c>
      <c r="T31" s="822">
        <f>B31+L31+E31+I31+O31</f>
        <v>796796902.24000001</v>
      </c>
      <c r="U31" s="822">
        <f>C31+M31+F31+H31+J31+P31</f>
        <v>99860185.843428582</v>
      </c>
      <c r="V31" s="837">
        <f t="shared" si="12"/>
        <v>896657088.08342862</v>
      </c>
    </row>
    <row r="32" spans="1:22" ht="20.149999999999999" customHeight="1" thickBot="1" x14ac:dyDescent="0.3">
      <c r="A32" s="417" t="s">
        <v>704</v>
      </c>
      <c r="B32" s="908">
        <v>36149307.166711777</v>
      </c>
      <c r="C32" s="185"/>
      <c r="D32" s="854">
        <f t="shared" si="10"/>
        <v>36149307.166711777</v>
      </c>
      <c r="E32" s="908">
        <v>39764237.883382954</v>
      </c>
      <c r="F32" s="185"/>
      <c r="G32" s="837">
        <f t="shared" si="26"/>
        <v>39764237.883382954</v>
      </c>
      <c r="H32" s="874">
        <v>8675833.7200108264</v>
      </c>
      <c r="I32" s="908">
        <v>11567778.293347768</v>
      </c>
      <c r="J32" s="185"/>
      <c r="K32" s="837">
        <f t="shared" si="27"/>
        <v>11567778.293347768</v>
      </c>
      <c r="L32" s="908">
        <v>66514725.186749667</v>
      </c>
      <c r="M32" s="185"/>
      <c r="N32" s="837">
        <f t="shared" si="28"/>
        <v>66514725.186749667</v>
      </c>
      <c r="O32" s="908">
        <v>9398819.8633450624</v>
      </c>
      <c r="P32" s="185"/>
      <c r="Q32" s="837">
        <f t="shared" si="29"/>
        <v>9398819.8633450624</v>
      </c>
      <c r="R32" s="822"/>
      <c r="S32" s="907">
        <v>22412570.443361301</v>
      </c>
      <c r="T32" s="822">
        <f>B32+L32+E32+I32+O32</f>
        <v>163394868.39353722</v>
      </c>
      <c r="U32" s="822">
        <f>C32+M32+F32+H32+J32+P32</f>
        <v>8675833.7200108264</v>
      </c>
      <c r="V32" s="837">
        <f t="shared" si="12"/>
        <v>172070702.11354804</v>
      </c>
    </row>
    <row r="33" spans="1:24" s="316" customFormat="1" ht="20.149999999999999" customHeight="1" thickBot="1" x14ac:dyDescent="0.3">
      <c r="A33" s="431" t="s">
        <v>705</v>
      </c>
      <c r="B33" s="831">
        <v>343651136.15871179</v>
      </c>
      <c r="C33" s="832">
        <v>80300.428571428172</v>
      </c>
      <c r="D33" s="812">
        <f t="shared" si="10"/>
        <v>343731436.58728319</v>
      </c>
      <c r="E33" s="831">
        <v>287713202.31538302</v>
      </c>
      <c r="F33" s="832">
        <v>5378571.4285714282</v>
      </c>
      <c r="G33" s="813">
        <f t="shared" si="26"/>
        <v>293091773.74395442</v>
      </c>
      <c r="H33" s="836">
        <v>97028933.420582265</v>
      </c>
      <c r="I33" s="831">
        <v>95695138.565347761</v>
      </c>
      <c r="J33" s="832">
        <v>1333571.4285714286</v>
      </c>
      <c r="K33" s="813">
        <f t="shared" si="27"/>
        <v>97028709.993919194</v>
      </c>
      <c r="L33" s="831">
        <v>165127595.45874965</v>
      </c>
      <c r="M33" s="832">
        <v>3321071.4285714282</v>
      </c>
      <c r="N33" s="813">
        <f t="shared" si="28"/>
        <v>168448666.88732108</v>
      </c>
      <c r="O33" s="831">
        <v>68004698.135345057</v>
      </c>
      <c r="P33" s="832">
        <v>1393571.4285714286</v>
      </c>
      <c r="Q33" s="813">
        <f t="shared" si="29"/>
        <v>69398269.563916489</v>
      </c>
      <c r="R33" s="830"/>
      <c r="S33" s="909">
        <v>25445672.863932732</v>
      </c>
      <c r="T33" s="815">
        <f>B33+L33+E33+I33+O33</f>
        <v>960191770.63353729</v>
      </c>
      <c r="U33" s="815">
        <f>C33+M33+F33+H33+J33+P33</f>
        <v>108536019.56343941</v>
      </c>
      <c r="V33" s="813">
        <f t="shared" si="12"/>
        <v>1068727790.1969767</v>
      </c>
    </row>
    <row r="34" spans="1:24" ht="20.149999999999999" hidden="1" customHeight="1" thickBot="1" x14ac:dyDescent="0.4">
      <c r="A34" s="624"/>
      <c r="B34" s="611"/>
      <c r="C34" s="612"/>
      <c r="D34" s="613"/>
      <c r="E34" s="614"/>
      <c r="F34" s="612"/>
      <c r="G34" s="613"/>
      <c r="H34" s="615"/>
      <c r="I34" s="611"/>
      <c r="J34" s="612"/>
      <c r="K34" s="613"/>
      <c r="L34" s="611"/>
      <c r="M34" s="612"/>
      <c r="N34" s="613"/>
      <c r="O34" s="611"/>
      <c r="P34" s="612"/>
      <c r="Q34" s="613"/>
      <c r="R34" s="1040"/>
      <c r="S34" s="615"/>
      <c r="T34" s="626"/>
      <c r="U34" s="626">
        <v>0</v>
      </c>
      <c r="V34" s="626">
        <v>0</v>
      </c>
    </row>
    <row r="35" spans="1:24" ht="20.149999999999999" customHeight="1" thickBot="1" x14ac:dyDescent="0.3">
      <c r="A35" s="625" t="s">
        <v>1710</v>
      </c>
      <c r="B35" s="1006">
        <f>+B30+B32+B34</f>
        <v>343651136.15871179</v>
      </c>
      <c r="C35" s="1006">
        <f t="shared" ref="C35:S35" si="30">+C30+C32+C34</f>
        <v>80300.0285714278</v>
      </c>
      <c r="D35" s="1006">
        <f t="shared" si="30"/>
        <v>343731436.18728328</v>
      </c>
      <c r="E35" s="1006">
        <f t="shared" si="30"/>
        <v>287713202.31538302</v>
      </c>
      <c r="F35" s="1006">
        <f t="shared" si="30"/>
        <v>5378571.4285714282</v>
      </c>
      <c r="G35" s="1006">
        <f t="shared" si="30"/>
        <v>293091773.74395442</v>
      </c>
      <c r="H35" s="1006">
        <f t="shared" si="30"/>
        <v>97028933.420582265</v>
      </c>
      <c r="I35" s="1006">
        <f t="shared" si="30"/>
        <v>95695138.565347761</v>
      </c>
      <c r="J35" s="1006">
        <f t="shared" si="30"/>
        <v>1333571.4285714286</v>
      </c>
      <c r="K35" s="1006">
        <f t="shared" si="30"/>
        <v>97028709.993919194</v>
      </c>
      <c r="L35" s="1006">
        <f t="shared" si="30"/>
        <v>165127595.45874965</v>
      </c>
      <c r="M35" s="1006">
        <f t="shared" si="30"/>
        <v>3321071.4285714282</v>
      </c>
      <c r="N35" s="1006">
        <f t="shared" si="30"/>
        <v>168448666.88732111</v>
      </c>
      <c r="O35" s="1006">
        <f t="shared" si="30"/>
        <v>68004698.135345057</v>
      </c>
      <c r="P35" s="1006">
        <f t="shared" si="30"/>
        <v>1393571.4285714286</v>
      </c>
      <c r="Q35" s="1006">
        <f t="shared" si="30"/>
        <v>69398269.563916489</v>
      </c>
      <c r="R35" s="1006">
        <f t="shared" si="30"/>
        <v>0</v>
      </c>
      <c r="S35" s="1006">
        <f t="shared" si="30"/>
        <v>25445672.863932732</v>
      </c>
      <c r="T35" s="627">
        <f>T33+T34</f>
        <v>960191770.63353729</v>
      </c>
      <c r="U35" s="627">
        <f>U33+U34</f>
        <v>108536019.56343941</v>
      </c>
      <c r="V35" s="627">
        <f>SUM(T35:U35)</f>
        <v>1068727790.1969767</v>
      </c>
    </row>
    <row r="36" spans="1:24" ht="20.149999999999999" customHeight="1" thickBot="1" x14ac:dyDescent="0.3">
      <c r="A36" s="432" t="s">
        <v>706</v>
      </c>
      <c r="B36" s="630">
        <f>B35*1.27</f>
        <v>436436942.92156398</v>
      </c>
      <c r="C36" s="630">
        <f t="shared" ref="C36:D36" si="31">C35*1.27</f>
        <v>101981.0362857133</v>
      </c>
      <c r="D36" s="630">
        <f t="shared" si="31"/>
        <v>436538923.95784974</v>
      </c>
      <c r="E36" s="630">
        <f t="shared" ref="E36" si="32">E35*1.27</f>
        <v>365395766.94053644</v>
      </c>
      <c r="F36" s="630">
        <f t="shared" ref="F36" si="33">F35*1.27</f>
        <v>6830785.7142857136</v>
      </c>
      <c r="G36" s="630">
        <f t="shared" ref="G36" si="34">G35*1.27</f>
        <v>372226552.65482211</v>
      </c>
      <c r="H36" s="630">
        <f t="shared" ref="H36" si="35">H35*1.27</f>
        <v>123226745.44413948</v>
      </c>
      <c r="I36" s="630">
        <f t="shared" ref="I36" si="36">I35*1.27</f>
        <v>121532825.97799166</v>
      </c>
      <c r="J36" s="630">
        <f t="shared" ref="J36" si="37">J35*1.27</f>
        <v>1693635.7142857143</v>
      </c>
      <c r="K36" s="630">
        <f t="shared" ref="K36" si="38">K35*1.27</f>
        <v>123226461.69227737</v>
      </c>
      <c r="L36" s="630">
        <f t="shared" ref="L36" si="39">L35*1.27</f>
        <v>209712046.23261207</v>
      </c>
      <c r="M36" s="630">
        <f t="shared" ref="M36" si="40">M35*1.27</f>
        <v>4217760.7142857136</v>
      </c>
      <c r="N36" s="630">
        <f t="shared" ref="N36" si="41">N35*1.27</f>
        <v>213929806.9468978</v>
      </c>
      <c r="O36" s="630">
        <f t="shared" ref="O36" si="42">O35*1.27</f>
        <v>86365966.631888226</v>
      </c>
      <c r="P36" s="630">
        <f t="shared" ref="P36" si="43">P35*1.27</f>
        <v>1769835.7142857143</v>
      </c>
      <c r="Q36" s="630">
        <f t="shared" ref="Q36:S36" si="44">Q35*1.27</f>
        <v>88135802.346173942</v>
      </c>
      <c r="R36" s="630">
        <f t="shared" si="44"/>
        <v>0</v>
      </c>
      <c r="S36" s="630">
        <f t="shared" si="44"/>
        <v>32316004.537194572</v>
      </c>
      <c r="T36" s="632">
        <f>B36+L36+E36+I36+O36</f>
        <v>1219443548.7045922</v>
      </c>
      <c r="U36" s="628">
        <f>(U35*1.27)-1</f>
        <v>137840743.84556806</v>
      </c>
      <c r="V36" s="629">
        <f t="shared" ref="V36" si="45">SUM(T36:U36)</f>
        <v>1357284292.5501604</v>
      </c>
      <c r="W36" s="157">
        <v>1389184294</v>
      </c>
      <c r="X36" s="338">
        <f>+V36-W36</f>
        <v>-31900001.449839592</v>
      </c>
    </row>
    <row r="37" spans="1:24" ht="33.75" customHeight="1" thickBot="1" x14ac:dyDescent="0.4">
      <c r="A37" s="1088" t="s">
        <v>1866</v>
      </c>
      <c r="B37" s="611"/>
      <c r="C37" s="612"/>
      <c r="D37" s="613"/>
      <c r="E37" s="614"/>
      <c r="F37" s="612"/>
      <c r="G37" s="613"/>
      <c r="H37" s="615"/>
      <c r="I37" s="611"/>
      <c r="J37" s="612"/>
      <c r="K37" s="613"/>
      <c r="L37" s="611"/>
      <c r="M37" s="612"/>
      <c r="N37" s="613"/>
      <c r="O37" s="611"/>
      <c r="P37" s="612"/>
      <c r="Q37" s="613"/>
      <c r="R37" s="1040"/>
      <c r="S37" s="615"/>
      <c r="T37" s="626"/>
      <c r="U37" s="626">
        <f>U34*0.27</f>
        <v>0</v>
      </c>
      <c r="V37" s="983">
        <f t="shared" ref="V37" si="46">SUM(T37:U37)</f>
        <v>0</v>
      </c>
    </row>
    <row r="38" spans="1:24" ht="33.75" customHeight="1" thickTop="1" thickBot="1" x14ac:dyDescent="0.4">
      <c r="A38" s="624" t="s">
        <v>1747</v>
      </c>
      <c r="B38" s="611"/>
      <c r="C38" s="612"/>
      <c r="D38" s="613"/>
      <c r="E38" s="614"/>
      <c r="F38" s="612"/>
      <c r="G38" s="613"/>
      <c r="H38" s="615"/>
      <c r="I38" s="611"/>
      <c r="J38" s="612"/>
      <c r="K38" s="613"/>
      <c r="L38" s="611"/>
      <c r="M38" s="612"/>
      <c r="N38" s="613"/>
      <c r="O38" s="611"/>
      <c r="P38" s="612"/>
      <c r="Q38" s="613"/>
      <c r="R38" s="1040"/>
      <c r="S38" s="615"/>
      <c r="T38" s="839">
        <f>(14900000+250000)*1.27</f>
        <v>19240500</v>
      </c>
      <c r="U38" s="626"/>
      <c r="V38" s="984">
        <f t="shared" ref="V38:V39" si="47">SUM(T38:U38)</f>
        <v>19240500</v>
      </c>
    </row>
    <row r="39" spans="1:24" ht="33.75" customHeight="1" thickTop="1" thickBot="1" x14ac:dyDescent="0.4">
      <c r="A39" s="624" t="s">
        <v>1748</v>
      </c>
      <c r="B39" s="611"/>
      <c r="C39" s="612"/>
      <c r="D39" s="613"/>
      <c r="E39" s="614"/>
      <c r="F39" s="612"/>
      <c r="G39" s="613"/>
      <c r="H39" s="615"/>
      <c r="I39" s="611"/>
      <c r="J39" s="612"/>
      <c r="K39" s="613"/>
      <c r="L39" s="611"/>
      <c r="M39" s="612"/>
      <c r="N39" s="613"/>
      <c r="O39" s="611"/>
      <c r="P39" s="612"/>
      <c r="Q39" s="613"/>
      <c r="R39" s="1040"/>
      <c r="S39" s="615"/>
      <c r="T39" s="839">
        <f>(1350000+279760+909090+900000)*1.27</f>
        <v>4367339.5</v>
      </c>
      <c r="U39" s="626"/>
      <c r="V39" s="985">
        <f t="shared" si="47"/>
        <v>4367339.5</v>
      </c>
    </row>
    <row r="40" spans="1:24" ht="23.5" thickBot="1" x14ac:dyDescent="0.3">
      <c r="A40" s="809" t="s">
        <v>1868</v>
      </c>
      <c r="B40" s="680">
        <f>B118+B119+B120</f>
        <v>31900000</v>
      </c>
      <c r="C40" s="681"/>
      <c r="D40" s="682"/>
      <c r="E40" s="680"/>
      <c r="F40" s="681"/>
      <c r="G40" s="683"/>
      <c r="H40" s="684"/>
      <c r="I40" s="680"/>
      <c r="J40" s="681"/>
      <c r="K40" s="682"/>
      <c r="L40" s="680"/>
      <c r="M40" s="681"/>
      <c r="N40" s="682"/>
      <c r="O40" s="680"/>
      <c r="P40" s="681"/>
      <c r="Q40" s="682"/>
      <c r="R40" s="1041"/>
      <c r="S40" s="986"/>
      <c r="T40" s="632">
        <f>B40+L40+E40+I40+O40</f>
        <v>31900000</v>
      </c>
      <c r="U40" s="685">
        <v>0</v>
      </c>
      <c r="V40" s="876">
        <f t="shared" ref="V40:V41" si="48">SUM(T40:U40)</f>
        <v>31900000</v>
      </c>
    </row>
    <row r="41" spans="1:24" ht="23.5" thickBot="1" x14ac:dyDescent="0.3">
      <c r="A41" s="809" t="s">
        <v>1869</v>
      </c>
      <c r="B41" s="680">
        <v>-1119346</v>
      </c>
      <c r="C41" s="681"/>
      <c r="D41" s="682"/>
      <c r="E41" s="680"/>
      <c r="F41" s="681"/>
      <c r="G41" s="683"/>
      <c r="H41" s="684"/>
      <c r="I41" s="680"/>
      <c r="J41" s="681"/>
      <c r="K41" s="682"/>
      <c r="L41" s="680"/>
      <c r="M41" s="681"/>
      <c r="N41" s="682"/>
      <c r="O41" s="680"/>
      <c r="P41" s="681"/>
      <c r="Q41" s="682"/>
      <c r="R41" s="1041"/>
      <c r="S41" s="986"/>
      <c r="T41" s="632">
        <f>B41+L41+E41+I41+O41</f>
        <v>-1119346</v>
      </c>
      <c r="U41" s="685">
        <v>0</v>
      </c>
      <c r="V41" s="876">
        <f t="shared" si="48"/>
        <v>-1119346</v>
      </c>
    </row>
    <row r="42" spans="1:24" ht="23.5" thickBot="1" x14ac:dyDescent="0.3">
      <c r="A42" s="809" t="s">
        <v>1867</v>
      </c>
      <c r="B42" s="680"/>
      <c r="C42" s="681"/>
      <c r="D42" s="682"/>
      <c r="E42" s="680"/>
      <c r="F42" s="681"/>
      <c r="G42" s="683"/>
      <c r="H42" s="684"/>
      <c r="I42" s="680"/>
      <c r="J42" s="681"/>
      <c r="K42" s="682"/>
      <c r="L42" s="680"/>
      <c r="M42" s="681"/>
      <c r="N42" s="682"/>
      <c r="O42" s="680"/>
      <c r="P42" s="681"/>
      <c r="Q42" s="682"/>
      <c r="R42" s="1041"/>
      <c r="S42" s="986"/>
      <c r="T42" s="632">
        <f>B42+L42+E42+I42+O42</f>
        <v>0</v>
      </c>
      <c r="U42" s="685">
        <v>0</v>
      </c>
      <c r="V42" s="876">
        <f t="shared" ref="V42" si="49">SUM(T42:U42)</f>
        <v>0</v>
      </c>
    </row>
    <row r="43" spans="1:24" ht="20.149999999999999" customHeight="1" thickBot="1" x14ac:dyDescent="0.3">
      <c r="A43" s="1060" t="s">
        <v>1731</v>
      </c>
      <c r="B43" s="632">
        <f t="shared" ref="B43:V43" si="50">SUM(B36:B42)</f>
        <v>467217596.92156398</v>
      </c>
      <c r="C43" s="632">
        <f t="shared" si="50"/>
        <v>101981.0362857133</v>
      </c>
      <c r="D43" s="632">
        <f t="shared" si="50"/>
        <v>436538923.95784974</v>
      </c>
      <c r="E43" s="632">
        <f t="shared" si="50"/>
        <v>365395766.94053644</v>
      </c>
      <c r="F43" s="632">
        <f t="shared" si="50"/>
        <v>6830785.7142857136</v>
      </c>
      <c r="G43" s="632">
        <f t="shared" si="50"/>
        <v>372226552.65482211</v>
      </c>
      <c r="H43" s="632">
        <f t="shared" si="50"/>
        <v>123226745.44413948</v>
      </c>
      <c r="I43" s="632">
        <f t="shared" si="50"/>
        <v>121532825.97799166</v>
      </c>
      <c r="J43" s="632">
        <f t="shared" si="50"/>
        <v>1693635.7142857143</v>
      </c>
      <c r="K43" s="632">
        <f t="shared" si="50"/>
        <v>123226461.69227737</v>
      </c>
      <c r="L43" s="632">
        <f t="shared" si="50"/>
        <v>209712046.23261207</v>
      </c>
      <c r="M43" s="632">
        <f t="shared" si="50"/>
        <v>4217760.7142857136</v>
      </c>
      <c r="N43" s="632">
        <f t="shared" si="50"/>
        <v>213929806.9468978</v>
      </c>
      <c r="O43" s="632">
        <f t="shared" si="50"/>
        <v>86365966.631888226</v>
      </c>
      <c r="P43" s="632">
        <f t="shared" si="50"/>
        <v>1769835.7142857143</v>
      </c>
      <c r="Q43" s="632">
        <f t="shared" si="50"/>
        <v>88135802.346173942</v>
      </c>
      <c r="R43" s="632">
        <f t="shared" si="50"/>
        <v>0</v>
      </c>
      <c r="S43" s="632">
        <f t="shared" si="50"/>
        <v>32316004.537194572</v>
      </c>
      <c r="T43" s="632">
        <f t="shared" si="50"/>
        <v>1273832042.2045922</v>
      </c>
      <c r="U43" s="632">
        <f t="shared" si="50"/>
        <v>137840743.84556806</v>
      </c>
      <c r="V43" s="632">
        <f t="shared" si="50"/>
        <v>1411672786.0501604</v>
      </c>
    </row>
    <row r="44" spans="1:24" ht="20.149999999999999" customHeight="1" thickBot="1" x14ac:dyDescent="0.3">
      <c r="A44" s="1061" t="s">
        <v>1781</v>
      </c>
      <c r="B44" s="426">
        <v>32</v>
      </c>
      <c r="C44" s="427"/>
      <c r="D44" s="428">
        <v>32</v>
      </c>
      <c r="E44" s="434">
        <v>27.5</v>
      </c>
      <c r="F44" s="429"/>
      <c r="G44" s="458">
        <v>27.5</v>
      </c>
      <c r="H44" s="457">
        <v>6</v>
      </c>
      <c r="I44" s="434">
        <v>8</v>
      </c>
      <c r="J44" s="429"/>
      <c r="K44" s="458">
        <v>8</v>
      </c>
      <c r="L44" s="434">
        <v>46</v>
      </c>
      <c r="M44" s="429"/>
      <c r="N44" s="458">
        <v>46</v>
      </c>
      <c r="O44" s="434">
        <v>6.5</v>
      </c>
      <c r="P44" s="429"/>
      <c r="Q44" s="458">
        <v>6.5</v>
      </c>
      <c r="R44" s="1042"/>
      <c r="S44" s="457">
        <v>15.5</v>
      </c>
      <c r="T44" s="987">
        <f>B44+L44+E44+I44+O44</f>
        <v>120</v>
      </c>
      <c r="U44" s="987">
        <f>C44+M44+F44+H44+J44+P44</f>
        <v>6</v>
      </c>
      <c r="V44" s="444">
        <f>SUM(T44:U44)</f>
        <v>126</v>
      </c>
    </row>
    <row r="45" spans="1:24" ht="12" thickBot="1" x14ac:dyDescent="0.3"/>
    <row r="46" spans="1:24" ht="24.75" customHeight="1" thickBot="1" x14ac:dyDescent="0.3">
      <c r="A46" s="312" t="s">
        <v>700</v>
      </c>
      <c r="B46" s="1092" t="s">
        <v>1807</v>
      </c>
      <c r="C46" s="1093"/>
      <c r="D46" s="1093"/>
      <c r="E46" s="1093"/>
      <c r="F46" s="1093"/>
      <c r="G46" s="1093"/>
      <c r="H46" s="1093"/>
      <c r="I46" s="1093"/>
      <c r="J46" s="1093"/>
      <c r="K46" s="1093"/>
      <c r="L46" s="1093"/>
      <c r="M46" s="1093"/>
      <c r="N46" s="1093"/>
      <c r="O46" s="1093"/>
      <c r="P46" s="1093"/>
      <c r="Q46" s="1093"/>
      <c r="R46" s="1093"/>
      <c r="S46" s="1093"/>
      <c r="T46" s="1093"/>
      <c r="U46" s="1094"/>
      <c r="V46" s="312" t="s">
        <v>1751</v>
      </c>
    </row>
    <row r="47" spans="1:24" s="320" customFormat="1" ht="17.5" customHeight="1" thickTop="1" thickBot="1" x14ac:dyDescent="0.35">
      <c r="A47" s="438" t="s">
        <v>702</v>
      </c>
      <c r="B47" s="1103" t="s">
        <v>1596</v>
      </c>
      <c r="C47" s="1104"/>
      <c r="D47" s="1105"/>
      <c r="E47" s="1106" t="s">
        <v>592</v>
      </c>
      <c r="F47" s="1107"/>
      <c r="G47" s="1108"/>
      <c r="H47" s="610" t="s">
        <v>901</v>
      </c>
      <c r="I47" s="1106" t="s">
        <v>594</v>
      </c>
      <c r="J47" s="1107"/>
      <c r="K47" s="1108"/>
      <c r="L47" s="1111" t="s">
        <v>1214</v>
      </c>
      <c r="M47" s="1112"/>
      <c r="N47" s="1113"/>
      <c r="O47" s="1106" t="s">
        <v>554</v>
      </c>
      <c r="P47" s="1107"/>
      <c r="Q47" s="1108"/>
      <c r="R47" s="1033" t="s">
        <v>1782</v>
      </c>
      <c r="S47" s="610" t="s">
        <v>595</v>
      </c>
      <c r="T47" s="1109" t="str">
        <f>T5</f>
        <v>mindösszesen közös képviselet és inhouse nélkül</v>
      </c>
      <c r="U47" s="1109"/>
      <c r="V47" s="1110"/>
    </row>
    <row r="48" spans="1:24" ht="23.5" thickTop="1" x14ac:dyDescent="0.3">
      <c r="A48" s="406"/>
      <c r="B48" s="522" t="s">
        <v>575</v>
      </c>
      <c r="C48" s="313" t="s">
        <v>555</v>
      </c>
      <c r="D48" s="315" t="s">
        <v>564</v>
      </c>
      <c r="E48" s="314" t="s">
        <v>575</v>
      </c>
      <c r="F48" s="313" t="s">
        <v>555</v>
      </c>
      <c r="G48" s="315" t="s">
        <v>564</v>
      </c>
      <c r="H48" s="441" t="s">
        <v>555</v>
      </c>
      <c r="I48" s="314" t="s">
        <v>575</v>
      </c>
      <c r="J48" s="313" t="s">
        <v>555</v>
      </c>
      <c r="K48" s="315" t="s">
        <v>564</v>
      </c>
      <c r="L48" s="314" t="s">
        <v>575</v>
      </c>
      <c r="M48" s="313" t="s">
        <v>555</v>
      </c>
      <c r="N48" s="315" t="s">
        <v>564</v>
      </c>
      <c r="O48" s="314" t="s">
        <v>575</v>
      </c>
      <c r="P48" s="313" t="s">
        <v>555</v>
      </c>
      <c r="Q48" s="315" t="s">
        <v>564</v>
      </c>
      <c r="R48" s="1050" t="s">
        <v>1844</v>
      </c>
      <c r="S48" s="435" t="s">
        <v>597</v>
      </c>
      <c r="T48" s="435" t="s">
        <v>575</v>
      </c>
      <c r="U48" s="435" t="s">
        <v>555</v>
      </c>
      <c r="V48" s="435" t="s">
        <v>564</v>
      </c>
    </row>
    <row r="49" spans="1:23" ht="20.149999999999999" customHeight="1" x14ac:dyDescent="0.25">
      <c r="A49" s="407" t="s">
        <v>709</v>
      </c>
      <c r="B49" s="522"/>
      <c r="C49" s="317"/>
      <c r="D49" s="358"/>
      <c r="E49" s="433"/>
      <c r="F49" s="317"/>
      <c r="G49" s="358"/>
      <c r="H49" s="436"/>
      <c r="I49" s="433"/>
      <c r="J49" s="317"/>
      <c r="K49" s="358"/>
      <c r="L49" s="433"/>
      <c r="M49" s="317"/>
      <c r="N49" s="358"/>
      <c r="O49" s="433"/>
      <c r="P49" s="317"/>
      <c r="Q49" s="358"/>
      <c r="R49" s="1036"/>
      <c r="S49" s="436"/>
      <c r="T49" s="436"/>
      <c r="U49" s="436"/>
      <c r="V49" s="436"/>
    </row>
    <row r="50" spans="1:23" ht="20.149999999999999" customHeight="1" x14ac:dyDescent="0.25">
      <c r="A50" s="407"/>
      <c r="B50" s="522"/>
      <c r="C50" s="317"/>
      <c r="D50" s="358"/>
      <c r="E50" s="433"/>
      <c r="F50" s="317"/>
      <c r="G50" s="358"/>
      <c r="H50" s="436"/>
      <c r="I50" s="433"/>
      <c r="J50" s="317"/>
      <c r="K50" s="358"/>
      <c r="L50" s="433"/>
      <c r="M50" s="317"/>
      <c r="N50" s="358"/>
      <c r="O50" s="433"/>
      <c r="P50" s="317"/>
      <c r="Q50" s="358"/>
      <c r="R50" s="1036"/>
      <c r="S50" s="436"/>
      <c r="T50" s="436"/>
      <c r="U50" s="436"/>
      <c r="V50" s="436"/>
    </row>
    <row r="51" spans="1:23" ht="20.149999999999999" customHeight="1" x14ac:dyDescent="0.25">
      <c r="A51" s="407" t="s">
        <v>805</v>
      </c>
      <c r="B51" s="522"/>
      <c r="C51" s="317"/>
      <c r="D51" s="358"/>
      <c r="E51" s="433"/>
      <c r="F51" s="317"/>
      <c r="G51" s="358"/>
      <c r="H51" s="436"/>
      <c r="I51" s="433"/>
      <c r="J51" s="317"/>
      <c r="K51" s="358"/>
      <c r="L51" s="433"/>
      <c r="M51" s="317"/>
      <c r="N51" s="358"/>
      <c r="O51" s="433"/>
      <c r="P51" s="317"/>
      <c r="Q51" s="358"/>
      <c r="R51" s="1036"/>
      <c r="S51" s="436"/>
      <c r="T51" s="436"/>
      <c r="U51" s="436"/>
      <c r="V51" s="436"/>
    </row>
    <row r="52" spans="1:23" ht="20.149999999999999" customHeight="1" x14ac:dyDescent="0.25">
      <c r="A52" s="408" t="s">
        <v>834</v>
      </c>
      <c r="B52" s="815">
        <f t="shared" ref="B52:D52" si="51">B53+B54+B55</f>
        <v>171223876.24190402</v>
      </c>
      <c r="C52" s="844">
        <f t="shared" si="51"/>
        <v>7054142.3963420084</v>
      </c>
      <c r="D52" s="844">
        <f t="shared" si="51"/>
        <v>178278018.63824603</v>
      </c>
      <c r="E52" s="815">
        <f t="shared" ref="E52:S52" si="52">E53+E54+E55</f>
        <v>153128123.02369291</v>
      </c>
      <c r="F52" s="844">
        <f t="shared" si="52"/>
        <v>4422522.3547983188</v>
      </c>
      <c r="G52" s="844">
        <f t="shared" si="52"/>
        <v>157550645.37849122</v>
      </c>
      <c r="H52" s="815">
        <f>H53+H54+H55</f>
        <v>34404198.377067015</v>
      </c>
      <c r="I52" s="815">
        <f t="shared" si="52"/>
        <v>40174352.63128455</v>
      </c>
      <c r="J52" s="844">
        <f t="shared" si="52"/>
        <v>1844168.3187550309</v>
      </c>
      <c r="K52" s="844">
        <f>K53+K54+K55</f>
        <v>42018520.95003958</v>
      </c>
      <c r="L52" s="815">
        <f>L53+L54+L55</f>
        <v>89582883.406759024</v>
      </c>
      <c r="M52" s="844">
        <f>M53+M54+M55</f>
        <v>2957551.6999373934</v>
      </c>
      <c r="N52" s="844">
        <f>N53+N54+N55</f>
        <v>92540435.106696427</v>
      </c>
      <c r="O52" s="815">
        <f t="shared" si="52"/>
        <v>43697631.981102496</v>
      </c>
      <c r="P52" s="844">
        <f t="shared" si="52"/>
        <v>2116686.1360343439</v>
      </c>
      <c r="Q52" s="844">
        <f>Q53+Q54+Q55</f>
        <v>45814318.117136836</v>
      </c>
      <c r="R52" s="815">
        <f t="shared" si="52"/>
        <v>0</v>
      </c>
      <c r="S52" s="815">
        <f t="shared" si="52"/>
        <v>91806087.184222937</v>
      </c>
      <c r="T52" s="815">
        <f>T53+T54+T55</f>
        <v>497806867.28474301</v>
      </c>
      <c r="U52" s="815">
        <f>U53+U54+U55</f>
        <v>52799269.282934114</v>
      </c>
      <c r="V52" s="815">
        <f>V53+V54+V55</f>
        <v>550606136.56767714</v>
      </c>
      <c r="W52" s="601">
        <f>+D52+G52+H52+K52+N52+Q52-V52</f>
        <v>0</v>
      </c>
    </row>
    <row r="53" spans="1:23" ht="20.149999999999999" customHeight="1" x14ac:dyDescent="0.25">
      <c r="A53" s="409" t="s">
        <v>807</v>
      </c>
      <c r="B53" s="845">
        <f>'Felosztás eredménykim'!CB325*1000+'Felosztás eredménykim'!CB326*1000</f>
        <v>143155200.37480804</v>
      </c>
      <c r="C53" s="846">
        <f>'Felosztás eredménykim'!CB354*1000</f>
        <v>6509380.1993560502</v>
      </c>
      <c r="D53" s="818">
        <f t="shared" ref="D53:D55" si="53">SUM(B53:C53)</f>
        <v>149664580.57416409</v>
      </c>
      <c r="E53" s="847">
        <f>'Felosztás eredménykim'!BE325*1000+'Felosztás eredménykim'!BE326*1000</f>
        <v>136889774.79312319</v>
      </c>
      <c r="F53" s="846">
        <f>'Felosztás eredménykim'!BE354*1000</f>
        <v>3903337.6541454252</v>
      </c>
      <c r="G53" s="818">
        <f>SUM(E53:F53)</f>
        <v>140793112.44726861</v>
      </c>
      <c r="H53" s="848">
        <f>('Felosztás eredménykim'!CN325+'Felosztás eredménykim'!CN326+'Felosztás eredménykim'!CN354)*1000</f>
        <v>30016861.385876607</v>
      </c>
      <c r="I53" s="849">
        <f>('Felosztás eredménykim'!CI325+'Felosztás eredménykim'!CI326)*1000</f>
        <v>35676173.507324256</v>
      </c>
      <c r="J53" s="850">
        <f>'Felosztás eredménykim'!CI354*1000</f>
        <v>1680535.3140595653</v>
      </c>
      <c r="K53" s="818">
        <f t="shared" ref="K53:K59" si="54">SUM(I53:J53)</f>
        <v>37356708.821383819</v>
      </c>
      <c r="L53" s="847">
        <f>('Felosztás eredménykim'!AK325+'Felosztás eredménykim'!AK326)*1000</f>
        <v>81731397.949375957</v>
      </c>
      <c r="M53" s="846">
        <f>'Felosztás eredménykim'!AK354*1000</f>
        <v>2596960.3139254088</v>
      </c>
      <c r="N53" s="818">
        <f t="shared" ref="N53:N64" si="55">SUM(L53:M53)</f>
        <v>84328358.263301373</v>
      </c>
      <c r="O53" s="849">
        <f>('Felosztás eredménykim'!BL325+'Felosztás eredménykim'!BL326)*1000</f>
        <v>35571520.094866917</v>
      </c>
      <c r="P53" s="850">
        <f>'Felosztás eredménykim'!BL354*1000</f>
        <v>1987354.1706466326</v>
      </c>
      <c r="Q53" s="818">
        <f t="shared" ref="Q53:Q59" si="56">SUM(O53:P53)</f>
        <v>37558874.265513547</v>
      </c>
      <c r="R53" s="1043"/>
      <c r="S53" s="851">
        <f>('Felosztás eredménykim'!AS325+'Felosztás eredménykim'!AS326+'Felosztás eredménykim'!AS354)*1000</f>
        <v>81649800.494391978</v>
      </c>
      <c r="T53" s="822">
        <f>B53+L53+E53+I53+O53</f>
        <v>433024066.7194984</v>
      </c>
      <c r="U53" s="822">
        <f>C53+M53+F53+H53+J53+P53</f>
        <v>46694429.038009688</v>
      </c>
      <c r="V53" s="822">
        <f t="shared" ref="V53:V59" si="57">SUM(T53:U53)</f>
        <v>479718495.7575081</v>
      </c>
    </row>
    <row r="54" spans="1:23" ht="20.149999999999999" customHeight="1" x14ac:dyDescent="0.25">
      <c r="A54" s="409" t="s">
        <v>835</v>
      </c>
      <c r="B54" s="845">
        <f>+'Felosztás eredménykim'!CB327*1000</f>
        <v>11492710.437349074</v>
      </c>
      <c r="C54" s="846"/>
      <c r="D54" s="818">
        <f t="shared" si="53"/>
        <v>11492710.437349074</v>
      </c>
      <c r="E54" s="847">
        <f>'Felosztás eredménykim'!BE327*1000</f>
        <v>48814.059565334042</v>
      </c>
      <c r="F54" s="846">
        <f>'Felosztás eredménykim'!BE355*1000</f>
        <v>0</v>
      </c>
      <c r="G54" s="818">
        <f>SUM(E54:F54)</f>
        <v>48814.059565334042</v>
      </c>
      <c r="H54" s="819">
        <f>'Felosztás eredménykim'!CN327*1000</f>
        <v>437909.34182988998</v>
      </c>
      <c r="I54" s="849">
        <f>'Felosztás eredménykim'!CI327*1000</f>
        <v>12988.784545210623</v>
      </c>
      <c r="J54" s="824"/>
      <c r="K54" s="818">
        <f t="shared" si="54"/>
        <v>12988.784545210623</v>
      </c>
      <c r="L54" s="847">
        <f>'Felosztás eredménykim'!AK327*1000</f>
        <v>75661.792326267765</v>
      </c>
      <c r="M54" s="846"/>
      <c r="N54" s="818">
        <f t="shared" si="55"/>
        <v>75661.792326267765</v>
      </c>
      <c r="O54" s="849">
        <f>'Felosztás eredménykim'!BL327*1000</f>
        <v>3252734.1024953043</v>
      </c>
      <c r="P54" s="850">
        <f>'Felosztás eredménykim'!BL355*1000</f>
        <v>0</v>
      </c>
      <c r="Q54" s="818">
        <f t="shared" si="56"/>
        <v>3252734.1024953043</v>
      </c>
      <c r="R54" s="1043"/>
      <c r="S54" s="851">
        <f>'Felosztás eredménykim'!AS327*1000</f>
        <v>30052.481888918697</v>
      </c>
      <c r="T54" s="822">
        <f>B54+L54+E54+I54+O54</f>
        <v>14882909.176281191</v>
      </c>
      <c r="U54" s="822">
        <f>C54+M54+F54+H54+J54+P54</f>
        <v>437909.34182988998</v>
      </c>
      <c r="V54" s="822">
        <f t="shared" si="57"/>
        <v>15320818.518111082</v>
      </c>
    </row>
    <row r="55" spans="1:23" ht="20.149999999999999" customHeight="1" thickBot="1" x14ac:dyDescent="0.3">
      <c r="A55" s="410" t="s">
        <v>810</v>
      </c>
      <c r="B55" s="852">
        <f>+'Felosztás eredménykim'!CB328*1000</f>
        <v>16575965.429746892</v>
      </c>
      <c r="C55" s="853">
        <f>'Felosztás eredménykim'!CB356*1000</f>
        <v>544762.19698595838</v>
      </c>
      <c r="D55" s="854">
        <f t="shared" si="53"/>
        <v>17120727.626732852</v>
      </c>
      <c r="E55" s="855">
        <f>'Felosztás eredménykim'!BE328*1000</f>
        <v>16189534.171004383</v>
      </c>
      <c r="F55" s="853">
        <f>'Felosztás eredménykim'!BE356*1000</f>
        <v>519184.70065289328</v>
      </c>
      <c r="G55" s="854">
        <f>SUM(E55:F55)</f>
        <v>16708718.871657277</v>
      </c>
      <c r="H55" s="819">
        <f>('Felosztás eredménykim'!CN328+'Felosztás eredménykim'!CN356)*1000</f>
        <v>3949427.6493605226</v>
      </c>
      <c r="I55" s="856">
        <f>'Felosztás eredménykim'!CI328*1000</f>
        <v>4485190.339415079</v>
      </c>
      <c r="J55" s="857">
        <f>'Felosztás eredménykim'!CI356*1000</f>
        <v>163633.00469546553</v>
      </c>
      <c r="K55" s="854">
        <f t="shared" si="54"/>
        <v>4648823.3441105448</v>
      </c>
      <c r="L55" s="855">
        <f>'Felosztás eredménykim'!AK328*1000</f>
        <v>7775823.665056793</v>
      </c>
      <c r="M55" s="853">
        <f>'Felosztás eredménykim'!AK356*1000</f>
        <v>360591.38601198461</v>
      </c>
      <c r="N55" s="854">
        <f t="shared" si="55"/>
        <v>8136415.0510687772</v>
      </c>
      <c r="O55" s="856">
        <f>'Felosztás eredménykim'!BL328*1000</f>
        <v>4873377.7837402737</v>
      </c>
      <c r="P55" s="857">
        <f>'Felosztás eredménykim'!BL356*1000</f>
        <v>129331.9653877113</v>
      </c>
      <c r="Q55" s="854">
        <f t="shared" si="56"/>
        <v>5002709.749127985</v>
      </c>
      <c r="R55" s="1044"/>
      <c r="S55" s="819">
        <f>('Felosztás eredménykim'!AS328+'Felosztás eredménykim'!AS356)*1000</f>
        <v>10126234.207942046</v>
      </c>
      <c r="T55" s="837">
        <f>B55+L55+E55+I55+O55</f>
        <v>49899891.388963424</v>
      </c>
      <c r="U55" s="837">
        <f>C55+M55+F55+H55+J55+P55</f>
        <v>5666930.9030945357</v>
      </c>
      <c r="V55" s="837">
        <f t="shared" si="57"/>
        <v>55566822.292057961</v>
      </c>
    </row>
    <row r="56" spans="1:23" ht="20.149999999999999" customHeight="1" thickBot="1" x14ac:dyDescent="0.3">
      <c r="A56" s="408" t="s">
        <v>811</v>
      </c>
      <c r="B56" s="814">
        <f>SUM(B57:B60)</f>
        <v>62047319.144480996</v>
      </c>
      <c r="C56" s="814">
        <f>SUM(C57:C60)</f>
        <v>0</v>
      </c>
      <c r="D56" s="814">
        <f t="shared" ref="D56:S56" si="58">SUM(D57:D60)</f>
        <v>62047319.144480996</v>
      </c>
      <c r="E56" s="814">
        <f t="shared" si="58"/>
        <v>73564727.8193786</v>
      </c>
      <c r="F56" s="814">
        <f t="shared" si="58"/>
        <v>0</v>
      </c>
      <c r="G56" s="814">
        <f t="shared" si="58"/>
        <v>73564727.8193786</v>
      </c>
      <c r="H56" s="814">
        <f t="shared" si="58"/>
        <v>26716507.772848945</v>
      </c>
      <c r="I56" s="814">
        <f t="shared" si="58"/>
        <v>22557155.038887173</v>
      </c>
      <c r="J56" s="814">
        <f t="shared" si="58"/>
        <v>0</v>
      </c>
      <c r="K56" s="814">
        <f t="shared" si="58"/>
        <v>22557155.038887173</v>
      </c>
      <c r="L56" s="814">
        <f>SUM(L57:L60)</f>
        <v>10088361.276881825</v>
      </c>
      <c r="M56" s="814">
        <f>SUM(M57:M60)</f>
        <v>0</v>
      </c>
      <c r="N56" s="814">
        <f>SUM(N57:N60)</f>
        <v>10088361.276881825</v>
      </c>
      <c r="O56" s="814">
        <f t="shared" si="58"/>
        <v>7392314.7582031135</v>
      </c>
      <c r="P56" s="814">
        <f t="shared" si="58"/>
        <v>0</v>
      </c>
      <c r="Q56" s="814">
        <f t="shared" si="58"/>
        <v>7392314.7582031135</v>
      </c>
      <c r="R56" s="814">
        <f t="shared" si="58"/>
        <v>0</v>
      </c>
      <c r="S56" s="814">
        <f t="shared" si="58"/>
        <v>11029933.882619347</v>
      </c>
      <c r="T56" s="814">
        <f>T60+T58+T59+T57</f>
        <v>175649878.03783169</v>
      </c>
      <c r="U56" s="814">
        <f>M56+F56+H56+J56+P56</f>
        <v>26716507.772848945</v>
      </c>
      <c r="V56" s="814">
        <f t="shared" si="57"/>
        <v>202366385.81068063</v>
      </c>
      <c r="W56" s="601">
        <f>+D56+G56+H56+K56+N56+Q56-V56</f>
        <v>0</v>
      </c>
    </row>
    <row r="57" spans="1:23" ht="20.149999999999999" customHeight="1" thickBot="1" x14ac:dyDescent="0.3">
      <c r="A57" s="411" t="s">
        <v>838</v>
      </c>
      <c r="B57" s="858">
        <f>+'Felosztás eredménykim'!CB334*1000</f>
        <v>2232009.4615410068</v>
      </c>
      <c r="C57" s="859"/>
      <c r="D57" s="860">
        <f>SUM(B57:C57)</f>
        <v>2232009.4615410068</v>
      </c>
      <c r="E57" s="861">
        <f>'Felosztás eredménykim'!BE334*1000</f>
        <v>2069984.7607047672</v>
      </c>
      <c r="F57" s="859"/>
      <c r="G57" s="860">
        <f>SUM(E57:F57)</f>
        <v>2069984.7607047672</v>
      </c>
      <c r="H57" s="862">
        <f>'Felosztás eredménykim'!CN334*1000</f>
        <v>336023.30830873805</v>
      </c>
      <c r="I57" s="863">
        <f>'Felosztás eredménykim'!CI334*1000</f>
        <v>355079.59246579022</v>
      </c>
      <c r="J57" s="859"/>
      <c r="K57" s="860">
        <f>SUM(I57:J57)</f>
        <v>355079.59246579022</v>
      </c>
      <c r="L57" s="861">
        <f>'Felosztás eredménykim'!AK334*1000</f>
        <v>2753977.1070923889</v>
      </c>
      <c r="M57" s="859"/>
      <c r="N57" s="860">
        <f>SUM(L57:M57)</f>
        <v>2753977.1070923889</v>
      </c>
      <c r="O57" s="863">
        <f>'Felosztás eredménykim'!BL334*1000</f>
        <v>567469.87496646098</v>
      </c>
      <c r="P57" s="859"/>
      <c r="Q57" s="860">
        <f>SUM(O57:P57)</f>
        <v>567469.87496646098</v>
      </c>
      <c r="R57" s="1045"/>
      <c r="S57" s="864">
        <f>'Felosztás eredménykim'!AS334*1000</f>
        <v>1428381.6649208479</v>
      </c>
      <c r="T57" s="865">
        <f>B57+L57+E57+I57+O57</f>
        <v>7978520.7967704143</v>
      </c>
      <c r="U57" s="865">
        <f>C57+M57+F57+H57+J57+P57</f>
        <v>336023.30830873805</v>
      </c>
      <c r="V57" s="865">
        <f>SUM(T57:U57)</f>
        <v>8314544.1050791526</v>
      </c>
    </row>
    <row r="58" spans="1:23" ht="20.149999999999999" customHeight="1" x14ac:dyDescent="0.25">
      <c r="A58" s="409" t="s">
        <v>836</v>
      </c>
      <c r="B58" s="845">
        <f>+'Felosztás eredménykim'!CB331*1000</f>
        <v>1516078.8480412485</v>
      </c>
      <c r="C58" s="824"/>
      <c r="D58" s="818">
        <f t="shared" ref="D58:D59" si="59">SUM(B58:C58)</f>
        <v>1516078.8480412485</v>
      </c>
      <c r="E58" s="847">
        <f>'Felosztás eredménykim'!BE331*1000</f>
        <v>2588191.6559094624</v>
      </c>
      <c r="F58" s="824"/>
      <c r="G58" s="818">
        <f t="shared" ref="G58:G59" si="60">SUM(E58:F58)</f>
        <v>2588191.6559094624</v>
      </c>
      <c r="H58" s="819">
        <f>'Felosztás eredménykim'!CN331*1000</f>
        <v>793107.21866181016</v>
      </c>
      <c r="I58" s="849">
        <f>'Felosztás eredménykim'!CI331*1000</f>
        <v>1312346.6279105179</v>
      </c>
      <c r="J58" s="824"/>
      <c r="K58" s="818">
        <f t="shared" si="54"/>
        <v>1312346.6279105179</v>
      </c>
      <c r="L58" s="847">
        <f>'Felosztás eredménykim'!AK331*1000</f>
        <v>1178647.8399246668</v>
      </c>
      <c r="M58" s="824"/>
      <c r="N58" s="818">
        <f t="shared" si="55"/>
        <v>1178647.8399246668</v>
      </c>
      <c r="O58" s="849">
        <f>'Felosztás eredménykim'!BL331*1000</f>
        <v>890336.93340246845</v>
      </c>
      <c r="P58" s="824"/>
      <c r="Q58" s="818">
        <f t="shared" si="56"/>
        <v>890336.93340246845</v>
      </c>
      <c r="R58" s="1043"/>
      <c r="S58" s="851">
        <f>'Felosztás eredménykim'!AS331*1000</f>
        <v>1935667.3662498256</v>
      </c>
      <c r="T58" s="822">
        <f>B58+L58+E58+I58+O58</f>
        <v>7485601.9051883649</v>
      </c>
      <c r="U58" s="822">
        <f>C58+M58+F58+H58+J58+P58</f>
        <v>793107.21866181016</v>
      </c>
      <c r="V58" s="822">
        <f t="shared" si="57"/>
        <v>8278709.1238501752</v>
      </c>
    </row>
    <row r="59" spans="1:23" ht="20.149999999999999" customHeight="1" x14ac:dyDescent="0.25">
      <c r="A59" s="409" t="s">
        <v>837</v>
      </c>
      <c r="B59" s="845">
        <f>+'Felosztás eredménykim'!CB332*1000+'Felosztás eredménykim'!CB333*1000</f>
        <v>55793486.642305948</v>
      </c>
      <c r="C59" s="824"/>
      <c r="D59" s="818">
        <f t="shared" si="59"/>
        <v>55793486.642305948</v>
      </c>
      <c r="E59" s="847">
        <f>('Felosztás eredménykim'!BE332+'Felosztás eredménykim'!BE333)*1000</f>
        <v>67473251.083830461</v>
      </c>
      <c r="F59" s="824"/>
      <c r="G59" s="818">
        <f t="shared" si="60"/>
        <v>67473251.083830461</v>
      </c>
      <c r="H59" s="819">
        <f>('Felosztás eredménykim'!CN332+'Felosztás eredménykim'!CN333)*1000</f>
        <v>25374350.315299738</v>
      </c>
      <c r="I59" s="849">
        <f>('Felosztás eredménykim'!CI332+'Felosztás eredménykim'!CI333)*1000</f>
        <v>20546667.342342366</v>
      </c>
      <c r="J59" s="824"/>
      <c r="K59" s="818">
        <f t="shared" si="54"/>
        <v>20546667.342342366</v>
      </c>
      <c r="L59" s="847">
        <f>('Felosztás eredménykim'!AK332+'Felosztás eredménykim'!AK333)*1000</f>
        <v>5514459.8355172165</v>
      </c>
      <c r="M59" s="824"/>
      <c r="N59" s="818">
        <f t="shared" si="55"/>
        <v>5514459.8355172165</v>
      </c>
      <c r="O59" s="849">
        <f>('Felosztás eredménykim'!BL332+'Felosztás eredménykim'!BL333)*1000</f>
        <v>5830133.953590556</v>
      </c>
      <c r="P59" s="824"/>
      <c r="Q59" s="818">
        <f t="shared" si="56"/>
        <v>5830133.953590556</v>
      </c>
      <c r="R59" s="1043">
        <f>('Felosztás eredménykim'!BV332+'Felosztás eredménykim'!CA332)*1000</f>
        <v>0</v>
      </c>
      <c r="S59" s="851">
        <f>('Felosztás eredménykim'!AS332+'Felosztás eredménykim'!AS333)*1000</f>
        <v>7024366.220313712</v>
      </c>
      <c r="T59" s="822">
        <f>B59+L59+E59+I59+O59</f>
        <v>155157998.85758653</v>
      </c>
      <c r="U59" s="822">
        <f>C59+M59+F59+H59+J59+P59</f>
        <v>25374350.315299738</v>
      </c>
      <c r="V59" s="822">
        <f t="shared" si="57"/>
        <v>180532349.17288628</v>
      </c>
    </row>
    <row r="60" spans="1:23" ht="20.149999999999999" customHeight="1" thickBot="1" x14ac:dyDescent="0.3">
      <c r="A60" s="409" t="s">
        <v>840</v>
      </c>
      <c r="B60" s="847">
        <f>+'Felosztás eredménykim'!CB330*1000</f>
        <v>2505744.1925927899</v>
      </c>
      <c r="C60" s="824"/>
      <c r="D60" s="818">
        <f>SUM(B60:C60)</f>
        <v>2505744.1925927899</v>
      </c>
      <c r="E60" s="847">
        <f>'Felosztás eredménykim'!BE330*1000</f>
        <v>1433300.3189339056</v>
      </c>
      <c r="F60" s="824"/>
      <c r="G60" s="818">
        <f>SUM(E60:F60)</f>
        <v>1433300.3189339056</v>
      </c>
      <c r="H60" s="819">
        <f>'Felosztás eredménykim'!CN330*1000</f>
        <v>213026.93057866028</v>
      </c>
      <c r="I60" s="849">
        <f>'Felosztás eredménykim'!CI330*1000</f>
        <v>343061.4761685002</v>
      </c>
      <c r="J60" s="824"/>
      <c r="K60" s="818">
        <f>SUM(I60:J60)</f>
        <v>343061.4761685002</v>
      </c>
      <c r="L60" s="847">
        <f>'Felosztás eredménykim'!AK330*1000</f>
        <v>641276.49434755382</v>
      </c>
      <c r="M60" s="824"/>
      <c r="N60" s="818">
        <f>SUM(L60:M60)</f>
        <v>641276.49434755382</v>
      </c>
      <c r="O60" s="849">
        <f>'Felosztás eredménykim'!BL330*1000</f>
        <v>104373.99624362754</v>
      </c>
      <c r="P60" s="824"/>
      <c r="Q60" s="818">
        <f>SUM(O60:P60)</f>
        <v>104373.99624362754</v>
      </c>
      <c r="R60" s="1043"/>
      <c r="S60" s="851">
        <f>'Felosztás eredménykim'!AS330*1000</f>
        <v>641518.63113496103</v>
      </c>
      <c r="T60" s="837">
        <f>B60+L60+E60+I60+O60</f>
        <v>5027756.4782863772</v>
      </c>
      <c r="U60" s="837">
        <f>C60+M60+F60+H60+J60+P60</f>
        <v>213026.93057866028</v>
      </c>
      <c r="V60" s="837">
        <f>SUM(T60:U60)</f>
        <v>5240783.4088650374</v>
      </c>
    </row>
    <row r="61" spans="1:23" s="316" customFormat="1" ht="20.149999999999999" customHeight="1" thickBot="1" x14ac:dyDescent="0.3">
      <c r="A61" s="412" t="s">
        <v>815</v>
      </c>
      <c r="B61" s="810">
        <f t="shared" ref="B61:V61" si="61">B52+B56</f>
        <v>233271195.38638502</v>
      </c>
      <c r="C61" s="811">
        <f t="shared" si="61"/>
        <v>7054142.3963420084</v>
      </c>
      <c r="D61" s="812">
        <f t="shared" si="61"/>
        <v>240325337.78272703</v>
      </c>
      <c r="E61" s="810">
        <f t="shared" si="61"/>
        <v>226692850.84307152</v>
      </c>
      <c r="F61" s="811">
        <f t="shared" si="61"/>
        <v>4422522.3547983188</v>
      </c>
      <c r="G61" s="812">
        <f t="shared" si="61"/>
        <v>231115373.19786984</v>
      </c>
      <c r="H61" s="814">
        <f t="shared" si="61"/>
        <v>61120706.149915963</v>
      </c>
      <c r="I61" s="810">
        <f t="shared" si="61"/>
        <v>62731507.670171723</v>
      </c>
      <c r="J61" s="811">
        <f t="shared" si="61"/>
        <v>1844168.3187550309</v>
      </c>
      <c r="K61" s="812">
        <f t="shared" si="61"/>
        <v>64575675.988926753</v>
      </c>
      <c r="L61" s="810">
        <f t="shared" si="61"/>
        <v>99671244.683640853</v>
      </c>
      <c r="M61" s="811">
        <f t="shared" si="61"/>
        <v>2957551.6999373934</v>
      </c>
      <c r="N61" s="812">
        <f t="shared" si="61"/>
        <v>102628796.38357826</v>
      </c>
      <c r="O61" s="810">
        <f t="shared" si="61"/>
        <v>51089946.739305608</v>
      </c>
      <c r="P61" s="811">
        <f t="shared" si="61"/>
        <v>2116686.1360343439</v>
      </c>
      <c r="Q61" s="812">
        <f t="shared" si="61"/>
        <v>53206632.875339948</v>
      </c>
      <c r="R61" s="814">
        <f t="shared" si="61"/>
        <v>0</v>
      </c>
      <c r="S61" s="814">
        <f t="shared" si="61"/>
        <v>102836021.06684229</v>
      </c>
      <c r="T61" s="814">
        <f t="shared" si="61"/>
        <v>673456745.32257473</v>
      </c>
      <c r="U61" s="814">
        <f t="shared" si="61"/>
        <v>79515777.055783063</v>
      </c>
      <c r="V61" s="814">
        <f t="shared" si="61"/>
        <v>752972522.37835777</v>
      </c>
      <c r="W61" s="601">
        <f>+D61+G61+H61+K61+N61+Q61-V61</f>
        <v>0</v>
      </c>
    </row>
    <row r="62" spans="1:23" ht="20.149999999999999" customHeight="1" x14ac:dyDescent="0.25">
      <c r="A62" s="413" t="s">
        <v>816</v>
      </c>
      <c r="B62" s="816"/>
      <c r="C62" s="817"/>
      <c r="D62" s="818">
        <f t="shared" ref="D62:D64" si="62">SUM(B62:C62)</f>
        <v>0</v>
      </c>
      <c r="E62" s="866"/>
      <c r="F62" s="817"/>
      <c r="G62" s="818">
        <f t="shared" ref="G62:G72" si="63">SUM(E62:F62)</f>
        <v>0</v>
      </c>
      <c r="H62" s="862"/>
      <c r="I62" s="816"/>
      <c r="J62" s="817"/>
      <c r="K62" s="818">
        <f t="shared" ref="K62:K72" si="64">SUM(I62:J62)</f>
        <v>0</v>
      </c>
      <c r="L62" s="820"/>
      <c r="M62" s="817"/>
      <c r="N62" s="818">
        <f t="shared" si="55"/>
        <v>0</v>
      </c>
      <c r="O62" s="816"/>
      <c r="P62" s="817"/>
      <c r="Q62" s="818">
        <f t="shared" ref="Q62:Q72" si="65">SUM(O62:P62)</f>
        <v>0</v>
      </c>
      <c r="R62" s="1045"/>
      <c r="S62" s="821"/>
      <c r="T62" s="865">
        <f>B62+L62+E62+I62+O62</f>
        <v>0</v>
      </c>
      <c r="U62" s="865">
        <f>C62+M62+F62+H62+J62+P62</f>
        <v>0</v>
      </c>
      <c r="V62" s="865">
        <f t="shared" ref="V62:V78" si="66">SUM(T62:U62)</f>
        <v>0</v>
      </c>
    </row>
    <row r="63" spans="1:23" ht="20.149999999999999" customHeight="1" x14ac:dyDescent="0.25">
      <c r="A63" s="409" t="s">
        <v>817</v>
      </c>
      <c r="B63" s="845"/>
      <c r="C63" s="824"/>
      <c r="D63" s="818">
        <f t="shared" si="62"/>
        <v>0</v>
      </c>
      <c r="E63" s="847">
        <f>'Felosztás eredménykim'!BE337*1000</f>
        <v>0</v>
      </c>
      <c r="F63" s="824"/>
      <c r="G63" s="818">
        <f t="shared" si="63"/>
        <v>0</v>
      </c>
      <c r="H63" s="819">
        <f>'Felosztás eredménykim'!CN337*1000</f>
        <v>0</v>
      </c>
      <c r="I63" s="849">
        <f>'Felosztás eredménykim'!CI337*1000</f>
        <v>0</v>
      </c>
      <c r="J63" s="824"/>
      <c r="K63" s="818">
        <f t="shared" si="64"/>
        <v>0</v>
      </c>
      <c r="L63" s="849">
        <f>'Felosztás eredménykim'!AK337*1000</f>
        <v>0</v>
      </c>
      <c r="M63" s="824"/>
      <c r="N63" s="818">
        <f t="shared" si="55"/>
        <v>0</v>
      </c>
      <c r="O63" s="849">
        <f>'Felosztás eredménykim'!BL337*1000</f>
        <v>0</v>
      </c>
      <c r="P63" s="824"/>
      <c r="Q63" s="818">
        <f t="shared" si="65"/>
        <v>0</v>
      </c>
      <c r="R63" s="1043"/>
      <c r="S63" s="851">
        <f>'Felosztás eredménykim'!AS337*1000</f>
        <v>0</v>
      </c>
      <c r="T63" s="822">
        <f>B63+L63+E63+I63+O63</f>
        <v>0</v>
      </c>
      <c r="U63" s="822">
        <f>C63+M63+F63+H63+J63+P63</f>
        <v>0</v>
      </c>
      <c r="V63" s="1057">
        <f t="shared" si="66"/>
        <v>0</v>
      </c>
    </row>
    <row r="64" spans="1:23" ht="20.149999999999999" customHeight="1" thickBot="1" x14ac:dyDescent="0.3">
      <c r="A64" s="411" t="s">
        <v>818</v>
      </c>
      <c r="B64" s="867"/>
      <c r="C64" s="868"/>
      <c r="D64" s="818">
        <f t="shared" si="62"/>
        <v>0</v>
      </c>
      <c r="E64" s="869"/>
      <c r="F64" s="868"/>
      <c r="G64" s="818">
        <f t="shared" si="63"/>
        <v>0</v>
      </c>
      <c r="H64" s="819"/>
      <c r="I64" s="867"/>
      <c r="J64" s="868"/>
      <c r="K64" s="818">
        <f t="shared" si="64"/>
        <v>0</v>
      </c>
      <c r="L64" s="820"/>
      <c r="M64" s="868"/>
      <c r="N64" s="818">
        <f t="shared" si="55"/>
        <v>0</v>
      </c>
      <c r="O64" s="867"/>
      <c r="P64" s="868"/>
      <c r="Q64" s="818">
        <f t="shared" si="65"/>
        <v>0</v>
      </c>
      <c r="R64" s="1044"/>
      <c r="S64" s="829"/>
      <c r="T64" s="822">
        <f>B64+L64+E64+I64+O64</f>
        <v>0</v>
      </c>
      <c r="U64" s="822">
        <f>C64+M64+F64+H64+J64+P64</f>
        <v>0</v>
      </c>
      <c r="V64" s="822">
        <f t="shared" si="66"/>
        <v>0</v>
      </c>
    </row>
    <row r="65" spans="1:24" s="316" customFormat="1" ht="20.149999999999999" customHeight="1" thickBot="1" x14ac:dyDescent="0.3">
      <c r="A65" s="414" t="s">
        <v>819</v>
      </c>
      <c r="B65" s="810">
        <f>SUM(B63:B64)</f>
        <v>0</v>
      </c>
      <c r="C65" s="811">
        <f t="shared" ref="C65:D65" si="67">SUM(C63:C64)</f>
        <v>0</v>
      </c>
      <c r="D65" s="812">
        <f t="shared" si="67"/>
        <v>0</v>
      </c>
      <c r="E65" s="810">
        <f t="shared" ref="E65:S65" si="68">SUM(E63:E64)</f>
        <v>0</v>
      </c>
      <c r="F65" s="811">
        <f t="shared" si="68"/>
        <v>0</v>
      </c>
      <c r="G65" s="812">
        <f t="shared" si="63"/>
        <v>0</v>
      </c>
      <c r="H65" s="813">
        <f>SUM(H63:H64)</f>
        <v>0</v>
      </c>
      <c r="I65" s="810">
        <f t="shared" si="68"/>
        <v>0</v>
      </c>
      <c r="J65" s="811">
        <f t="shared" si="68"/>
        <v>0</v>
      </c>
      <c r="K65" s="812">
        <f t="shared" si="64"/>
        <v>0</v>
      </c>
      <c r="L65" s="810">
        <f>SUM(L63:L64)</f>
        <v>0</v>
      </c>
      <c r="M65" s="811">
        <f>SUM(M63:M64)</f>
        <v>0</v>
      </c>
      <c r="N65" s="812">
        <f>SUM(N63:N64)</f>
        <v>0</v>
      </c>
      <c r="O65" s="810">
        <f t="shared" si="68"/>
        <v>0</v>
      </c>
      <c r="P65" s="811">
        <f t="shared" si="68"/>
        <v>0</v>
      </c>
      <c r="Q65" s="812">
        <f t="shared" si="65"/>
        <v>0</v>
      </c>
      <c r="R65" s="814">
        <f t="shared" ref="R65" si="69">SUM(R63:R64)</f>
        <v>0</v>
      </c>
      <c r="S65" s="814">
        <f t="shared" si="68"/>
        <v>0</v>
      </c>
      <c r="T65" s="822">
        <f>B65+L65+E65+I65+O65</f>
        <v>0</v>
      </c>
      <c r="U65" s="822">
        <f>C65+M65+F65+H65+J65+P65</f>
        <v>0</v>
      </c>
      <c r="V65" s="837">
        <f t="shared" si="66"/>
        <v>0</v>
      </c>
    </row>
    <row r="66" spans="1:24" s="316" customFormat="1" ht="20.149999999999999" customHeight="1" thickBot="1" x14ac:dyDescent="0.3">
      <c r="A66" s="414" t="s">
        <v>820</v>
      </c>
      <c r="B66" s="810">
        <f>B65+B61</f>
        <v>233271195.38638502</v>
      </c>
      <c r="C66" s="811">
        <f t="shared" ref="C66:D66" si="70">C65+C61</f>
        <v>7054142.3963420084</v>
      </c>
      <c r="D66" s="812">
        <f t="shared" si="70"/>
        <v>240325337.78272703</v>
      </c>
      <c r="E66" s="810">
        <f t="shared" ref="E66:S66" si="71">E65+E61</f>
        <v>226692850.84307152</v>
      </c>
      <c r="F66" s="811">
        <f t="shared" si="71"/>
        <v>4422522.3547983188</v>
      </c>
      <c r="G66" s="812">
        <f t="shared" si="63"/>
        <v>231115373.19786984</v>
      </c>
      <c r="H66" s="814">
        <f>H65+H61</f>
        <v>61120706.149915963</v>
      </c>
      <c r="I66" s="810">
        <f t="shared" si="71"/>
        <v>62731507.670171723</v>
      </c>
      <c r="J66" s="811">
        <f t="shared" si="71"/>
        <v>1844168.3187550309</v>
      </c>
      <c r="K66" s="812">
        <f t="shared" si="64"/>
        <v>64575675.988926753</v>
      </c>
      <c r="L66" s="810">
        <f>L65+L61</f>
        <v>99671244.683640853</v>
      </c>
      <c r="M66" s="811">
        <f>M65+M61</f>
        <v>2957551.6999373934</v>
      </c>
      <c r="N66" s="812">
        <f>N65+N61</f>
        <v>102628796.38357826</v>
      </c>
      <c r="O66" s="810">
        <f t="shared" si="71"/>
        <v>51089946.739305608</v>
      </c>
      <c r="P66" s="811">
        <f t="shared" si="71"/>
        <v>2116686.1360343439</v>
      </c>
      <c r="Q66" s="812">
        <f t="shared" si="65"/>
        <v>53206632.875339955</v>
      </c>
      <c r="R66" s="814">
        <f t="shared" ref="R66" si="72">R65+R61</f>
        <v>0</v>
      </c>
      <c r="S66" s="814">
        <f t="shared" si="71"/>
        <v>102836021.06684229</v>
      </c>
      <c r="T66" s="814">
        <f>T65+T61</f>
        <v>673456745.32257473</v>
      </c>
      <c r="U66" s="814">
        <f>U61+U65</f>
        <v>79515777.055783063</v>
      </c>
      <c r="V66" s="814">
        <f t="shared" si="66"/>
        <v>752972522.37835777</v>
      </c>
      <c r="W66" s="601">
        <f>+D66+G66+H66+K66+N66+Q66-V66</f>
        <v>0</v>
      </c>
    </row>
    <row r="67" spans="1:24" ht="20.149999999999999" customHeight="1" x14ac:dyDescent="0.25">
      <c r="A67" s="415" t="s">
        <v>821</v>
      </c>
      <c r="B67" s="816"/>
      <c r="C67" s="817"/>
      <c r="D67" s="818">
        <f>SUM(B67:C67)</f>
        <v>0</v>
      </c>
      <c r="E67" s="816"/>
      <c r="F67" s="817"/>
      <c r="G67" s="818">
        <f t="shared" si="63"/>
        <v>0</v>
      </c>
      <c r="H67" s="819"/>
      <c r="I67" s="816"/>
      <c r="J67" s="817"/>
      <c r="K67" s="818">
        <f t="shared" si="64"/>
        <v>0</v>
      </c>
      <c r="L67" s="820"/>
      <c r="M67" s="817"/>
      <c r="N67" s="818">
        <f>SUM(L67:M67)</f>
        <v>0</v>
      </c>
      <c r="O67" s="816"/>
      <c r="P67" s="817"/>
      <c r="Q67" s="818">
        <f t="shared" si="65"/>
        <v>0</v>
      </c>
      <c r="R67" s="1045"/>
      <c r="S67" s="821"/>
      <c r="T67" s="822">
        <f>B67+L67+E67+I67+O67</f>
        <v>0</v>
      </c>
      <c r="U67" s="822">
        <f>M67+F67+H67+J67+P67</f>
        <v>0</v>
      </c>
      <c r="V67" s="865">
        <f t="shared" si="66"/>
        <v>0</v>
      </c>
    </row>
    <row r="68" spans="1:24" ht="20.149999999999999" customHeight="1" x14ac:dyDescent="0.25">
      <c r="A68" s="407" t="s">
        <v>822</v>
      </c>
      <c r="B68" s="823"/>
      <c r="C68" s="824"/>
      <c r="D68" s="818">
        <f t="shared" ref="D68:D69" si="73">SUM(B68:C68)</f>
        <v>0</v>
      </c>
      <c r="E68" s="823"/>
      <c r="F68" s="824"/>
      <c r="G68" s="818">
        <f t="shared" si="63"/>
        <v>0</v>
      </c>
      <c r="H68" s="819"/>
      <c r="I68" s="823"/>
      <c r="J68" s="824"/>
      <c r="K68" s="818">
        <f t="shared" si="64"/>
        <v>0</v>
      </c>
      <c r="L68" s="823"/>
      <c r="M68" s="824"/>
      <c r="N68" s="818">
        <f>SUM(L68:M68)</f>
        <v>0</v>
      </c>
      <c r="O68" s="823"/>
      <c r="P68" s="824"/>
      <c r="Q68" s="818">
        <f t="shared" si="65"/>
        <v>0</v>
      </c>
      <c r="R68" s="1043"/>
      <c r="S68" s="825"/>
      <c r="T68" s="822">
        <f>B68+L68+E68+I68+O68</f>
        <v>0</v>
      </c>
      <c r="U68" s="822">
        <f>M68+F68+H68+J68+P68</f>
        <v>0</v>
      </c>
      <c r="V68" s="822">
        <f t="shared" si="66"/>
        <v>0</v>
      </c>
    </row>
    <row r="69" spans="1:24" ht="20.149999999999999" customHeight="1" x14ac:dyDescent="0.25">
      <c r="A69" s="419" t="s">
        <v>839</v>
      </c>
      <c r="B69" s="845">
        <f>-'Felosztás eredménykim'!CB344*1000+'Felosztás eredménykim'!CB347*1000</f>
        <v>8317796.9041981902</v>
      </c>
      <c r="C69" s="824"/>
      <c r="D69" s="818">
        <f t="shared" si="73"/>
        <v>8317796.9041981902</v>
      </c>
      <c r="E69" s="847">
        <f>-'Felosztás eredménykim'!BE344*1000</f>
        <v>8142.1742241302281</v>
      </c>
      <c r="F69" s="824"/>
      <c r="G69" s="818">
        <f t="shared" si="63"/>
        <v>8142.1742241302281</v>
      </c>
      <c r="H69" s="819">
        <f>-'Felosztás eredménykim'!CN344*1000</f>
        <v>1039914.5463733119</v>
      </c>
      <c r="I69" s="849">
        <f>-'Felosztás eredménykim'!CI344*1000-'Felosztás eredménykim'!CI347*1000</f>
        <v>1205003.837228334</v>
      </c>
      <c r="J69" s="824"/>
      <c r="K69" s="818">
        <f t="shared" si="64"/>
        <v>1205003.837228334</v>
      </c>
      <c r="L69" s="849">
        <f>-'Felosztás eredménykim'!AK344*1000</f>
        <v>2977.8700474018424</v>
      </c>
      <c r="M69" s="824"/>
      <c r="N69" s="818">
        <f>SUM(L69:M69)</f>
        <v>2977.8700474018424</v>
      </c>
      <c r="O69" s="849">
        <f>-'Felosztás eredménykim'!BL344*1000</f>
        <v>90206.654145425273</v>
      </c>
      <c r="P69" s="824"/>
      <c r="Q69" s="818">
        <f t="shared" si="65"/>
        <v>90206.654145425273</v>
      </c>
      <c r="R69" s="1043">
        <f>-('Felosztás eredménykim'!BV344+'Felosztás eredménykim'!CA344)*1000</f>
        <v>576126.63999999501</v>
      </c>
      <c r="S69" s="851">
        <f>-'Felosztás eredménykim'!AS344*1000</f>
        <v>102224636.58378321</v>
      </c>
      <c r="T69" s="822">
        <f>B69+L69+E69+I69+O69</f>
        <v>9624127.4398434814</v>
      </c>
      <c r="U69" s="822">
        <f>M69+F69+H69+J69+P69</f>
        <v>1039914.5463733119</v>
      </c>
      <c r="V69" s="822">
        <f t="shared" si="66"/>
        <v>10664041.986216793</v>
      </c>
    </row>
    <row r="70" spans="1:24" s="316" customFormat="1" ht="20.149999999999999" customHeight="1" thickBot="1" x14ac:dyDescent="0.3">
      <c r="A70" s="430" t="s">
        <v>824</v>
      </c>
      <c r="B70" s="826">
        <f>SUM(B69)</f>
        <v>8317796.9041981902</v>
      </c>
      <c r="C70" s="827">
        <f t="shared" ref="C70:D70" si="74">SUM(C69)</f>
        <v>0</v>
      </c>
      <c r="D70" s="828">
        <f t="shared" si="74"/>
        <v>8317796.9041981902</v>
      </c>
      <c r="E70" s="826">
        <f t="shared" ref="E70:S70" si="75">SUM(E69)</f>
        <v>8142.1742241302281</v>
      </c>
      <c r="F70" s="827">
        <f t="shared" si="75"/>
        <v>0</v>
      </c>
      <c r="G70" s="828">
        <f t="shared" si="63"/>
        <v>8142.1742241302281</v>
      </c>
      <c r="H70" s="813">
        <f>SUM(H69)</f>
        <v>1039914.5463733119</v>
      </c>
      <c r="I70" s="826">
        <f t="shared" si="75"/>
        <v>1205003.837228334</v>
      </c>
      <c r="J70" s="827">
        <f t="shared" si="75"/>
        <v>0</v>
      </c>
      <c r="K70" s="828">
        <f t="shared" si="64"/>
        <v>1205003.837228334</v>
      </c>
      <c r="L70" s="826">
        <f>SUM(L69)</f>
        <v>2977.8700474018424</v>
      </c>
      <c r="M70" s="827">
        <f>SUM(M69)</f>
        <v>0</v>
      </c>
      <c r="N70" s="828">
        <f>SUM(N69)</f>
        <v>2977.8700474018424</v>
      </c>
      <c r="O70" s="826">
        <f t="shared" si="75"/>
        <v>90206.654145425273</v>
      </c>
      <c r="P70" s="827">
        <f t="shared" si="75"/>
        <v>0</v>
      </c>
      <c r="Q70" s="828">
        <f t="shared" si="65"/>
        <v>90206.654145425273</v>
      </c>
      <c r="R70" s="813">
        <f t="shared" ref="R70" si="76">SUM(R69)</f>
        <v>576126.63999999501</v>
      </c>
      <c r="S70" s="813">
        <f t="shared" si="75"/>
        <v>102224636.58378321</v>
      </c>
      <c r="T70" s="815">
        <f>B70+L70+E70+I70+O70</f>
        <v>9624127.4398434814</v>
      </c>
      <c r="U70" s="815">
        <f>M70+F70+H70+J70+P70</f>
        <v>1039914.5463733119</v>
      </c>
      <c r="V70" s="815">
        <f t="shared" si="66"/>
        <v>10664041.986216793</v>
      </c>
    </row>
    <row r="71" spans="1:24" s="316" customFormat="1" ht="20.149999999999999" customHeight="1" thickBot="1" x14ac:dyDescent="0.3">
      <c r="A71" s="414" t="s">
        <v>828</v>
      </c>
      <c r="B71" s="810">
        <f>B70</f>
        <v>8317796.9041981902</v>
      </c>
      <c r="C71" s="811">
        <f t="shared" ref="C71:D71" si="77">C70</f>
        <v>0</v>
      </c>
      <c r="D71" s="812">
        <f t="shared" si="77"/>
        <v>8317796.9041981902</v>
      </c>
      <c r="E71" s="810">
        <f t="shared" ref="E71:S71" si="78">E70</f>
        <v>8142.1742241302281</v>
      </c>
      <c r="F71" s="811">
        <f t="shared" si="78"/>
        <v>0</v>
      </c>
      <c r="G71" s="812">
        <f t="shared" si="63"/>
        <v>8142.1742241302281</v>
      </c>
      <c r="H71" s="829">
        <f>H70</f>
        <v>1039914.5463733119</v>
      </c>
      <c r="I71" s="810">
        <f t="shared" si="78"/>
        <v>1205003.837228334</v>
      </c>
      <c r="J71" s="811">
        <f t="shared" si="78"/>
        <v>0</v>
      </c>
      <c r="K71" s="812">
        <f t="shared" si="64"/>
        <v>1205003.837228334</v>
      </c>
      <c r="L71" s="810">
        <f>L70</f>
        <v>2977.8700474018424</v>
      </c>
      <c r="M71" s="811">
        <f>M70</f>
        <v>0</v>
      </c>
      <c r="N71" s="812">
        <f>N70</f>
        <v>2977.8700474018424</v>
      </c>
      <c r="O71" s="810">
        <f t="shared" si="78"/>
        <v>90206.654145425273</v>
      </c>
      <c r="P71" s="811">
        <f t="shared" si="78"/>
        <v>0</v>
      </c>
      <c r="Q71" s="812">
        <f t="shared" si="65"/>
        <v>90206.654145425273</v>
      </c>
      <c r="R71" s="814">
        <f t="shared" ref="R71" si="79">R70</f>
        <v>576126.63999999501</v>
      </c>
      <c r="S71" s="814">
        <f t="shared" si="78"/>
        <v>102224636.58378321</v>
      </c>
      <c r="T71" s="815">
        <f>B71+L71+E71+I71+O71</f>
        <v>9624127.4398434814</v>
      </c>
      <c r="U71" s="815">
        <f>M71+F71+H71+J71+P71</f>
        <v>1039914.5463733119</v>
      </c>
      <c r="V71" s="815">
        <f t="shared" si="66"/>
        <v>10664041.986216793</v>
      </c>
    </row>
    <row r="72" spans="1:24" s="316" customFormat="1" ht="20.149999999999999" customHeight="1" thickBot="1" x14ac:dyDescent="0.3">
      <c r="A72" s="414" t="s">
        <v>703</v>
      </c>
      <c r="B72" s="810">
        <f>B66-B71-B63</f>
        <v>224953398.48218682</v>
      </c>
      <c r="C72" s="811">
        <f t="shared" ref="C72" si="80">C66-C71</f>
        <v>7054142.3963420084</v>
      </c>
      <c r="D72" s="812">
        <f>D66-D71-D63</f>
        <v>232007540.87852883</v>
      </c>
      <c r="E72" s="810">
        <f t="shared" ref="E72:S72" si="81">E66-E71</f>
        <v>226684708.66884738</v>
      </c>
      <c r="F72" s="811">
        <f t="shared" si="81"/>
        <v>4422522.3547983188</v>
      </c>
      <c r="G72" s="812">
        <f t="shared" si="63"/>
        <v>231107231.0236457</v>
      </c>
      <c r="H72" s="830">
        <f>H66-H71</f>
        <v>60080791.603542648</v>
      </c>
      <c r="I72" s="810">
        <f t="shared" si="81"/>
        <v>61526503.832943387</v>
      </c>
      <c r="J72" s="811">
        <f t="shared" si="81"/>
        <v>1844168.3187550309</v>
      </c>
      <c r="K72" s="812">
        <f t="shared" si="64"/>
        <v>63370672.151698418</v>
      </c>
      <c r="L72" s="810">
        <f>L66-L71</f>
        <v>99668266.813593447</v>
      </c>
      <c r="M72" s="811">
        <f>M66-M71</f>
        <v>2957551.6999373934</v>
      </c>
      <c r="N72" s="812">
        <f>N66-N71</f>
        <v>102625818.51353085</v>
      </c>
      <c r="O72" s="810">
        <f t="shared" si="81"/>
        <v>50999740.085160181</v>
      </c>
      <c r="P72" s="811">
        <f t="shared" si="81"/>
        <v>2116686.1360343439</v>
      </c>
      <c r="Q72" s="812">
        <f t="shared" si="65"/>
        <v>53116426.221194528</v>
      </c>
      <c r="R72" s="814">
        <f t="shared" ref="R72" si="82">R66-R71</f>
        <v>-576126.63999999501</v>
      </c>
      <c r="S72" s="814">
        <f t="shared" si="81"/>
        <v>611384.48305907845</v>
      </c>
      <c r="T72" s="813">
        <f>T66-T71</f>
        <v>663832617.8827312</v>
      </c>
      <c r="U72" s="813">
        <f>U66-U71</f>
        <v>78475862.509409755</v>
      </c>
      <c r="V72" s="1059">
        <f t="shared" si="66"/>
        <v>742308480.39214098</v>
      </c>
      <c r="W72" s="601">
        <f>+D72+G72+H72+K72+N72+Q72-V72</f>
        <v>0</v>
      </c>
    </row>
    <row r="73" spans="1:24" s="316" customFormat="1" ht="20.149999999999999" customHeight="1" thickBot="1" x14ac:dyDescent="0.3">
      <c r="A73" s="414" t="s">
        <v>703</v>
      </c>
      <c r="B73" s="870">
        <f>D73-C73</f>
        <v>224953398.48218679</v>
      </c>
      <c r="C73" s="186">
        <f>C72</f>
        <v>7054142.3963420084</v>
      </c>
      <c r="D73" s="871">
        <f>'Felosztás eredménykim'!CB364*1000</f>
        <v>232007540.8785288</v>
      </c>
      <c r="E73" s="870">
        <f>G73-F73</f>
        <v>226684708.66884738</v>
      </c>
      <c r="F73" s="186">
        <f>('Felosztás eredménykim'!BE105+'Felosztás eredménykim'!BE106+'Felosztás eredménykim'!BE110+'Felosztás eredménykim'!BE113+'Felosztás eredménykim'!BE114+'Felosztás eredménykim'!BE119+'Felosztás eredménykim'!BE121+'Felosztás eredménykim'!BE122+'Felosztás eredménykim'!BE124+'Felosztás eredménykim'!BE125+'Felosztás eredménykim'!BE128+'Felosztás eredménykim'!BE135+'Felosztás eredménykim'!BE136)</f>
        <v>4422522.3547983188</v>
      </c>
      <c r="G73" s="871">
        <f>Összesítés!H39</f>
        <v>231107231.0236457</v>
      </c>
      <c r="H73" s="836">
        <f>'Felosztás eredménykim'!CN285</f>
        <v>60080791.603542648</v>
      </c>
      <c r="I73" s="870">
        <f>K73-J73</f>
        <v>61526503.83294341</v>
      </c>
      <c r="J73" s="186">
        <f>('Felosztás eredménykim'!CI105+'Felosztás eredménykim'!CI106+'Felosztás eredménykim'!CI110+'Felosztás eredménykim'!CI113+'Felosztás eredménykim'!CI114+'Felosztás eredménykim'!CI119+'Felosztás eredménykim'!CI121+'Felosztás eredménykim'!CI122+'Felosztás eredménykim'!CI124+'Felosztás eredménykim'!CI125+'Felosztás eredménykim'!CI128+'Felosztás eredménykim'!CI135+'Felosztás eredménykim'!CI136)</f>
        <v>1844168.3187550309</v>
      </c>
      <c r="K73" s="871">
        <f>Összesítés!H38</f>
        <v>63370672.15169844</v>
      </c>
      <c r="L73" s="870">
        <f>N73-M73</f>
        <v>99668266.813593447</v>
      </c>
      <c r="M73" s="186">
        <f>(+'Felosztás eredménykim'!AK105+'Felosztás eredménykim'!AK106+'Felosztás eredménykim'!AK110+'Felosztás eredménykim'!AK113+'Felosztás eredménykim'!AK114+'Felosztás eredménykim'!AK119+'Felosztás eredménykim'!AK121+'Felosztás eredménykim'!AK122+'Felosztás eredménykim'!AK124+'Felosztás eredménykim'!AK125+'Felosztás eredménykim'!AK128+'Felosztás eredménykim'!AK135+'Felosztás eredménykim'!AK136)</f>
        <v>2957551.6999373934</v>
      </c>
      <c r="N73" s="871">
        <f>Összesítés!H40</f>
        <v>102625818.51353084</v>
      </c>
      <c r="O73" s="870">
        <f>Q73-P73</f>
        <v>50999740.085160181</v>
      </c>
      <c r="P73" s="186">
        <f>('Felosztás eredménykim'!BL105+'Felosztás eredménykim'!BL106+'Felosztás eredménykim'!BL110+'Felosztás eredménykim'!BL113+'Felosztás eredménykim'!BL114+'Felosztás eredménykim'!BL119+'Felosztás eredménykim'!BL121+'Felosztás eredménykim'!BL122+'Felosztás eredménykim'!BL124+'Felosztás eredménykim'!BL125+'Felosztás eredménykim'!BL128+'Felosztás eredménykim'!BL135+'Felosztás eredménykim'!BL136)</f>
        <v>2116686.1360343439</v>
      </c>
      <c r="Q73" s="871">
        <f>Összesítés!H41</f>
        <v>53116426.221194528</v>
      </c>
      <c r="R73" s="1046">
        <f>-Összesítés!P7</f>
        <v>-576126.63999999501</v>
      </c>
      <c r="S73" s="836">
        <f>Összesítés!H49</f>
        <v>611384.48305907391</v>
      </c>
      <c r="T73" s="815">
        <f>B73+L73+E73+I73+O73</f>
        <v>663832617.8827312</v>
      </c>
      <c r="U73" s="815">
        <f>C73+M73+F73+H73+J73+P73</f>
        <v>78475862.509409741</v>
      </c>
      <c r="V73" s="1059">
        <f t="shared" si="66"/>
        <v>742308480.39214098</v>
      </c>
      <c r="W73" s="601">
        <f t="shared" ref="W73:W75" si="83">+D73+G73+H73+K73+N73+Q73-V73</f>
        <v>0</v>
      </c>
      <c r="X73" s="1058">
        <f>+V72-V73</f>
        <v>0</v>
      </c>
    </row>
    <row r="74" spans="1:24" s="316" customFormat="1" ht="20.149999999999999" customHeight="1" thickBot="1" x14ac:dyDescent="0.3">
      <c r="A74" s="417" t="s">
        <v>704</v>
      </c>
      <c r="B74" s="870">
        <f>D74-C74</f>
        <v>43994337.013176605</v>
      </c>
      <c r="C74" s="872"/>
      <c r="D74" s="873">
        <f>'Felosztás eredménykim'!CB351*1000</f>
        <v>43994337.013176605</v>
      </c>
      <c r="E74" s="870">
        <f>G74-F74</f>
        <v>45011999.613125533</v>
      </c>
      <c r="F74" s="872"/>
      <c r="G74" s="873">
        <f>Összesítés!K39</f>
        <v>45011999.613125533</v>
      </c>
      <c r="H74" s="836">
        <f>Összesítés!K37</f>
        <v>8610991.230337061</v>
      </c>
      <c r="I74" s="870">
        <f>K74-J74</f>
        <v>11977105.984014276</v>
      </c>
      <c r="J74" s="872"/>
      <c r="K74" s="873">
        <f>Összesítés!K38</f>
        <v>11977105.984014276</v>
      </c>
      <c r="L74" s="870">
        <f>N74-M74</f>
        <v>69768599.400344595</v>
      </c>
      <c r="M74" s="872"/>
      <c r="N74" s="873">
        <f>Összesítés!K40</f>
        <v>69768599.400344595</v>
      </c>
      <c r="O74" s="870">
        <f>Q74-P74</f>
        <v>11742260.768641451</v>
      </c>
      <c r="P74" s="872"/>
      <c r="Q74" s="873">
        <f>Összesítés!K41</f>
        <v>11742260.768641451</v>
      </c>
      <c r="R74" s="1047"/>
      <c r="S74" s="874">
        <f>Összesítés!K49</f>
        <v>27711735.413993817</v>
      </c>
      <c r="T74" s="815">
        <f>B74+L74+E74+I74+O74</f>
        <v>182494302.77930245</v>
      </c>
      <c r="U74" s="815">
        <f>C74+M74+F74+H74+J74+P74</f>
        <v>8610991.230337061</v>
      </c>
      <c r="V74" s="813">
        <f t="shared" si="66"/>
        <v>191105294.0096395</v>
      </c>
      <c r="W74" s="601">
        <f t="shared" si="83"/>
        <v>0</v>
      </c>
    </row>
    <row r="75" spans="1:24" s="316" customFormat="1" ht="20.149999999999999" customHeight="1" thickBot="1" x14ac:dyDescent="0.3">
      <c r="A75" s="431" t="s">
        <v>705</v>
      </c>
      <c r="B75" s="831">
        <f t="shared" ref="B75:D75" si="84">SUM(B73:B74)</f>
        <v>268947735.49536341</v>
      </c>
      <c r="C75" s="832">
        <f t="shared" si="84"/>
        <v>7054142.3963420084</v>
      </c>
      <c r="D75" s="833">
        <f t="shared" si="84"/>
        <v>276001877.89170539</v>
      </c>
      <c r="E75" s="831">
        <f t="shared" ref="E75:S75" si="85">SUM(E73:E74)</f>
        <v>271696708.28197289</v>
      </c>
      <c r="F75" s="832">
        <f t="shared" si="85"/>
        <v>4422522.3547983188</v>
      </c>
      <c r="G75" s="833">
        <f t="shared" si="85"/>
        <v>276119230.6367712</v>
      </c>
      <c r="H75" s="834">
        <f t="shared" si="85"/>
        <v>68691782.833879709</v>
      </c>
      <c r="I75" s="831">
        <f t="shared" si="85"/>
        <v>73503609.816957682</v>
      </c>
      <c r="J75" s="832">
        <f t="shared" si="85"/>
        <v>1844168.3187550309</v>
      </c>
      <c r="K75" s="833">
        <f t="shared" si="85"/>
        <v>75347778.135712713</v>
      </c>
      <c r="L75" s="831">
        <f>SUM(L73:L74)</f>
        <v>169436866.21393806</v>
      </c>
      <c r="M75" s="832">
        <f>SUM(M73:M74)</f>
        <v>2957551.6999373934</v>
      </c>
      <c r="N75" s="833">
        <f>SUM(N73:N74)</f>
        <v>172394417.91387543</v>
      </c>
      <c r="O75" s="831">
        <f t="shared" si="85"/>
        <v>62742000.85380163</v>
      </c>
      <c r="P75" s="832">
        <f t="shared" si="85"/>
        <v>2116686.1360343439</v>
      </c>
      <c r="Q75" s="833">
        <f t="shared" si="85"/>
        <v>64858686.989835978</v>
      </c>
      <c r="R75" s="1054">
        <f t="shared" si="85"/>
        <v>-576126.63999999501</v>
      </c>
      <c r="S75" s="875">
        <f t="shared" si="85"/>
        <v>28323119.897052892</v>
      </c>
      <c r="T75" s="815">
        <f>B75+L75+E75+I75+O75</f>
        <v>846326920.66203368</v>
      </c>
      <c r="U75" s="815">
        <f>C75+M75+F75+H75+J75+P75</f>
        <v>87086853.739746794</v>
      </c>
      <c r="V75" s="876">
        <f t="shared" si="66"/>
        <v>933413774.40178049</v>
      </c>
      <c r="W75" s="601">
        <f t="shared" si="83"/>
        <v>0</v>
      </c>
    </row>
    <row r="76" spans="1:24" s="316" customFormat="1" ht="26.25" hidden="1" customHeight="1" thickBot="1" x14ac:dyDescent="0.4">
      <c r="A76" s="999"/>
      <c r="B76" s="611"/>
      <c r="C76" s="612"/>
      <c r="D76" s="613"/>
      <c r="E76" s="614"/>
      <c r="F76" s="612"/>
      <c r="G76" s="613"/>
      <c r="H76" s="615"/>
      <c r="I76" s="611"/>
      <c r="J76" s="612"/>
      <c r="K76" s="613"/>
      <c r="L76" s="611"/>
      <c r="M76" s="612"/>
      <c r="N76" s="613"/>
      <c r="O76" s="611"/>
      <c r="P76" s="612"/>
      <c r="Q76" s="613"/>
      <c r="R76" s="1040"/>
      <c r="S76" s="615"/>
      <c r="T76" s="626"/>
      <c r="U76" s="626">
        <v>0</v>
      </c>
      <c r="V76" s="877">
        <f t="shared" ref="V76:V77" si="86">SUM(T76:U76)</f>
        <v>0</v>
      </c>
      <c r="W76" s="601"/>
    </row>
    <row r="77" spans="1:24" s="316" customFormat="1" ht="20.149999999999999" customHeight="1" thickBot="1" x14ac:dyDescent="0.4">
      <c r="A77" s="625" t="s">
        <v>1710</v>
      </c>
      <c r="B77" s="616"/>
      <c r="C77" s="617"/>
      <c r="D77" s="618"/>
      <c r="E77" s="619"/>
      <c r="F77" s="620"/>
      <c r="G77" s="621"/>
      <c r="H77" s="622"/>
      <c r="I77" s="623"/>
      <c r="J77" s="620"/>
      <c r="K77" s="621"/>
      <c r="L77" s="623"/>
      <c r="M77" s="620"/>
      <c r="N77" s="621"/>
      <c r="O77" s="623"/>
      <c r="P77" s="620"/>
      <c r="Q77" s="621"/>
      <c r="R77" s="1048"/>
      <c r="S77" s="622"/>
      <c r="T77" s="627">
        <f>T75+T76</f>
        <v>846326920.66203368</v>
      </c>
      <c r="U77" s="627">
        <f>U75+U76</f>
        <v>87086853.739746794</v>
      </c>
      <c r="V77" s="877">
        <f t="shared" si="86"/>
        <v>933413774.40178049</v>
      </c>
      <c r="W77" s="601"/>
    </row>
    <row r="78" spans="1:24" s="316" customFormat="1" ht="20.149999999999999" customHeight="1" thickBot="1" x14ac:dyDescent="0.3">
      <c r="A78" s="430" t="s">
        <v>706</v>
      </c>
      <c r="B78" s="878">
        <f>B75*1.27</f>
        <v>341563624.07911152</v>
      </c>
      <c r="C78" s="879">
        <f>C75*1.27</f>
        <v>8958760.84335435</v>
      </c>
      <c r="D78" s="880">
        <f>SUM(B78:C78)</f>
        <v>350522384.92246586</v>
      </c>
      <c r="E78" s="878">
        <f>E75*1.27</f>
        <v>345054819.51810557</v>
      </c>
      <c r="F78" s="879">
        <f>F75*1.27</f>
        <v>5616603.390593865</v>
      </c>
      <c r="G78" s="880">
        <f>SUM(E78:F78)</f>
        <v>350671422.90869945</v>
      </c>
      <c r="H78" s="881">
        <f>H75*1.27</f>
        <v>87238564.199027225</v>
      </c>
      <c r="I78" s="878">
        <f>I75*1.27</f>
        <v>93349584.467536256</v>
      </c>
      <c r="J78" s="879">
        <f>J75*1.27</f>
        <v>2342093.7648188891</v>
      </c>
      <c r="K78" s="880">
        <f>SUM(I78:J78)</f>
        <v>95691678.232355148</v>
      </c>
      <c r="L78" s="878">
        <f>L75*1.27</f>
        <v>215184820.09170133</v>
      </c>
      <c r="M78" s="879">
        <f>M75*1.27</f>
        <v>3756090.6589204897</v>
      </c>
      <c r="N78" s="880">
        <f>SUM(L78:M78)</f>
        <v>218940910.75062183</v>
      </c>
      <c r="O78" s="878">
        <f>O75*1.27</f>
        <v>79682341.08432807</v>
      </c>
      <c r="P78" s="879">
        <f>P75*1.27</f>
        <v>2688191.3927636165</v>
      </c>
      <c r="Q78" s="880">
        <f>SUM(O78:P78)</f>
        <v>82370532.477091685</v>
      </c>
      <c r="R78" s="881">
        <f>R75*1.27</f>
        <v>-731680.83279999369</v>
      </c>
      <c r="S78" s="881">
        <f>S75*1.27</f>
        <v>35970362.269257173</v>
      </c>
      <c r="T78" s="813">
        <f>B78+L78+E78+I78+O78</f>
        <v>1074835189.2407827</v>
      </c>
      <c r="U78" s="813">
        <f>U77*1.27</f>
        <v>110600304.24947843</v>
      </c>
      <c r="V78" s="813">
        <f t="shared" si="66"/>
        <v>1185435493.4902611</v>
      </c>
    </row>
    <row r="79" spans="1:24" ht="33.75" customHeight="1" thickBot="1" x14ac:dyDescent="0.4">
      <c r="A79" s="1086" t="s">
        <v>1866</v>
      </c>
      <c r="B79" s="838"/>
      <c r="C79" s="838"/>
      <c r="D79" s="838"/>
      <c r="E79" s="838"/>
      <c r="F79" s="838"/>
      <c r="G79" s="838"/>
      <c r="H79" s="838"/>
      <c r="I79" s="838"/>
      <c r="J79" s="838"/>
      <c r="K79" s="838"/>
      <c r="L79" s="838"/>
      <c r="M79" s="838"/>
      <c r="N79" s="838"/>
      <c r="O79" s="838"/>
      <c r="P79" s="838"/>
      <c r="Q79" s="838"/>
      <c r="R79" s="838"/>
      <c r="S79" s="838"/>
      <c r="T79" s="839"/>
      <c r="U79" s="839"/>
      <c r="V79" s="839">
        <f t="shared" ref="V79:V81" si="87">SUM(T79:U79)</f>
        <v>0</v>
      </c>
    </row>
    <row r="80" spans="1:24" ht="33.75" customHeight="1" thickBot="1" x14ac:dyDescent="0.4">
      <c r="A80" s="1087" t="s">
        <v>1747</v>
      </c>
      <c r="B80" s="838"/>
      <c r="C80" s="838"/>
      <c r="D80" s="838"/>
      <c r="E80" s="838"/>
      <c r="F80" s="838"/>
      <c r="G80" s="838"/>
      <c r="H80" s="838"/>
      <c r="I80" s="838"/>
      <c r="J80" s="838"/>
      <c r="K80" s="838"/>
      <c r="L80" s="838"/>
      <c r="M80" s="838"/>
      <c r="N80" s="838"/>
      <c r="O80" s="838"/>
      <c r="P80" s="838"/>
      <c r="Q80" s="838"/>
      <c r="R80" s="838"/>
      <c r="S80" s="838"/>
      <c r="T80" s="839">
        <f>(5940000+250000)*1.27</f>
        <v>7861300</v>
      </c>
      <c r="U80" s="839"/>
      <c r="V80" s="839">
        <f t="shared" si="87"/>
        <v>7861300</v>
      </c>
    </row>
    <row r="81" spans="1:23" ht="33.75" customHeight="1" thickBot="1" x14ac:dyDescent="0.4">
      <c r="A81" s="1087" t="s">
        <v>1748</v>
      </c>
      <c r="B81" s="838"/>
      <c r="C81" s="838"/>
      <c r="D81" s="838"/>
      <c r="E81" s="838"/>
      <c r="F81" s="838"/>
      <c r="G81" s="838"/>
      <c r="H81" s="838"/>
      <c r="I81" s="838"/>
      <c r="J81" s="838"/>
      <c r="K81" s="838"/>
      <c r="L81" s="838"/>
      <c r="M81" s="838"/>
      <c r="N81" s="838"/>
      <c r="O81" s="838"/>
      <c r="P81" s="838"/>
      <c r="Q81" s="838"/>
      <c r="R81" s="838"/>
      <c r="S81" s="838"/>
      <c r="T81" s="839">
        <f>(1350000+279760+873600+678220)*1.27</f>
        <v>4040606.6</v>
      </c>
      <c r="U81" s="839"/>
      <c r="V81" s="839">
        <f t="shared" si="87"/>
        <v>4040606.6</v>
      </c>
    </row>
    <row r="82" spans="1:23" s="316" customFormat="1" ht="20.149999999999999" customHeight="1" thickBot="1" x14ac:dyDescent="0.3">
      <c r="A82" s="809" t="str">
        <f>A40</f>
        <v>2022.évi felhalmozási célú pénzeszköz átadás</v>
      </c>
      <c r="B82" s="631">
        <f>B126+B127+B128</f>
        <v>26976126</v>
      </c>
      <c r="C82" s="631"/>
      <c r="D82" s="631"/>
      <c r="E82" s="631"/>
      <c r="F82" s="631"/>
      <c r="G82" s="631"/>
      <c r="H82" s="631"/>
      <c r="I82" s="631"/>
      <c r="J82" s="631"/>
      <c r="K82" s="631"/>
      <c r="L82" s="631"/>
      <c r="M82" s="631"/>
      <c r="N82" s="631"/>
      <c r="O82" s="631"/>
      <c r="P82" s="631"/>
      <c r="Q82" s="631"/>
      <c r="R82" s="631"/>
      <c r="S82" s="631"/>
      <c r="T82" s="876">
        <f>B82+L82+E82+I82+O82</f>
        <v>26976126</v>
      </c>
      <c r="U82" s="843">
        <v>0</v>
      </c>
      <c r="V82" s="876">
        <f t="shared" ref="V82" si="88">SUM(T82:U82)</f>
        <v>26976126</v>
      </c>
    </row>
    <row r="83" spans="1:23" s="316" customFormat="1" ht="27" customHeight="1" thickBot="1" x14ac:dyDescent="0.3">
      <c r="A83" s="809" t="str">
        <f t="shared" ref="A83:A84" si="89">A41</f>
        <v>Át nem utalt 2022.évi felhalmozási célú pénzeszköz átadás</v>
      </c>
      <c r="B83" s="631"/>
      <c r="C83" s="631"/>
      <c r="D83" s="631"/>
      <c r="E83" s="631"/>
      <c r="F83" s="631"/>
      <c r="G83" s="631"/>
      <c r="H83" s="631"/>
      <c r="I83" s="631"/>
      <c r="J83" s="631"/>
      <c r="K83" s="631"/>
      <c r="L83" s="631"/>
      <c r="M83" s="631"/>
      <c r="N83" s="631"/>
      <c r="O83" s="631"/>
      <c r="P83" s="631"/>
      <c r="Q83" s="631"/>
      <c r="R83" s="631"/>
      <c r="S83" s="631"/>
      <c r="T83" s="876">
        <f>B83+L83+E83+I83+O83</f>
        <v>0</v>
      </c>
      <c r="U83" s="843">
        <v>0</v>
      </c>
      <c r="V83" s="876">
        <f t="shared" ref="V83:V84" si="90">SUM(T83:U83)</f>
        <v>0</v>
      </c>
    </row>
    <row r="84" spans="1:23" s="316" customFormat="1" ht="27" customHeight="1" thickBot="1" x14ac:dyDescent="0.3">
      <c r="A84" s="809" t="str">
        <f t="shared" si="89"/>
        <v>2022.évi pénzmaradvány felhalmozási célú pénzeszköz átadás</v>
      </c>
      <c r="B84" s="631">
        <v>2800000</v>
      </c>
      <c r="C84" s="631"/>
      <c r="D84" s="631"/>
      <c r="E84" s="631"/>
      <c r="F84" s="631"/>
      <c r="G84" s="631"/>
      <c r="H84" s="631"/>
      <c r="I84" s="631"/>
      <c r="J84" s="631"/>
      <c r="K84" s="631"/>
      <c r="L84" s="631"/>
      <c r="M84" s="631"/>
      <c r="N84" s="631"/>
      <c r="O84" s="631"/>
      <c r="P84" s="631"/>
      <c r="Q84" s="631"/>
      <c r="R84" s="631"/>
      <c r="S84" s="631"/>
      <c r="T84" s="876">
        <f>B84+L84+E84+I84+O84</f>
        <v>2800000</v>
      </c>
      <c r="U84" s="843">
        <v>0</v>
      </c>
      <c r="V84" s="876">
        <f t="shared" si="90"/>
        <v>2800000</v>
      </c>
    </row>
    <row r="85" spans="1:23" s="316" customFormat="1" ht="20.149999999999999" customHeight="1" thickBot="1" x14ac:dyDescent="0.3">
      <c r="A85" s="809" t="s">
        <v>1731</v>
      </c>
      <c r="B85" s="631">
        <f>SUM(B78:B84)</f>
        <v>371339750.07911152</v>
      </c>
      <c r="C85" s="631">
        <f t="shared" ref="C85:V85" si="91">SUM(C78:C84)</f>
        <v>8958760.84335435</v>
      </c>
      <c r="D85" s="631">
        <f t="shared" si="91"/>
        <v>350522384.92246586</v>
      </c>
      <c r="E85" s="631">
        <f t="shared" si="91"/>
        <v>345054819.51810557</v>
      </c>
      <c r="F85" s="631">
        <f t="shared" si="91"/>
        <v>5616603.390593865</v>
      </c>
      <c r="G85" s="631">
        <f t="shared" si="91"/>
        <v>350671422.90869945</v>
      </c>
      <c r="H85" s="631">
        <f t="shared" si="91"/>
        <v>87238564.199027225</v>
      </c>
      <c r="I85" s="631">
        <f t="shared" si="91"/>
        <v>93349584.467536256</v>
      </c>
      <c r="J85" s="631">
        <f t="shared" si="91"/>
        <v>2342093.7648188891</v>
      </c>
      <c r="K85" s="631">
        <f t="shared" si="91"/>
        <v>95691678.232355148</v>
      </c>
      <c r="L85" s="631">
        <f t="shared" si="91"/>
        <v>215184820.09170133</v>
      </c>
      <c r="M85" s="631">
        <f t="shared" si="91"/>
        <v>3756090.6589204897</v>
      </c>
      <c r="N85" s="631">
        <f t="shared" si="91"/>
        <v>218940910.75062183</v>
      </c>
      <c r="O85" s="631">
        <f t="shared" si="91"/>
        <v>79682341.08432807</v>
      </c>
      <c r="P85" s="631">
        <f t="shared" si="91"/>
        <v>2688191.3927636165</v>
      </c>
      <c r="Q85" s="631">
        <f t="shared" si="91"/>
        <v>82370532.477091685</v>
      </c>
      <c r="R85" s="631">
        <f t="shared" si="91"/>
        <v>-731680.83279999369</v>
      </c>
      <c r="S85" s="631">
        <f t="shared" si="91"/>
        <v>35970362.269257173</v>
      </c>
      <c r="T85" s="631">
        <f t="shared" si="91"/>
        <v>1116513221.8407826</v>
      </c>
      <c r="U85" s="631">
        <f t="shared" si="91"/>
        <v>110600304.24947843</v>
      </c>
      <c r="V85" s="631">
        <f t="shared" si="91"/>
        <v>1227113526.090261</v>
      </c>
    </row>
    <row r="86" spans="1:23" s="316" customFormat="1" ht="20.149999999999999" customHeight="1" thickBot="1" x14ac:dyDescent="0.3">
      <c r="A86" s="840" t="s">
        <v>1848</v>
      </c>
      <c r="B86" s="841">
        <f>'Felosztás eredménykim'!BN290+'Felosztás eredménykim'!BN291</f>
        <v>23.364643591807532</v>
      </c>
      <c r="C86" s="437"/>
      <c r="D86" s="437">
        <f>SUM(B86:C86)</f>
        <v>23.364643591807532</v>
      </c>
      <c r="E86" s="437">
        <f>'Felosztás eredménykim'!AU290+'Felosztás eredménykim'!AU291</f>
        <v>23.905106877739023</v>
      </c>
      <c r="F86" s="437"/>
      <c r="G86" s="437">
        <f>SUM(E86:F86)</f>
        <v>23.905106877739023</v>
      </c>
      <c r="H86" s="437">
        <f>'Felosztás eredménykim'!CK290+'Felosztás eredménykim'!CK291</f>
        <v>4.57315088095877</v>
      </c>
      <c r="I86" s="437">
        <f>'Felosztás eredménykim'!CD290+'Felosztás eredménykim'!CD291</f>
        <v>6.3608371344244699</v>
      </c>
      <c r="J86" s="437"/>
      <c r="K86" s="437">
        <f>SUM(I86:J86)</f>
        <v>6.3608371344244699</v>
      </c>
      <c r="L86" s="437">
        <f>'Felosztás eredménykim'!AG290+'Felosztás eredménykim'!AG291</f>
        <v>37.052915660495479</v>
      </c>
      <c r="M86" s="437"/>
      <c r="N86" s="437">
        <f>SUM(L86:M86)</f>
        <v>37.052915660495479</v>
      </c>
      <c r="O86" s="437">
        <f>'Felosztás eredménykim'!BG290+'Felosztás eredménykim'!BG291</f>
        <v>6.2361148376710487</v>
      </c>
      <c r="P86" s="437"/>
      <c r="Q86" s="437">
        <f>SUM(O86:P86)</f>
        <v>6.2361148376710487</v>
      </c>
      <c r="R86" s="437"/>
      <c r="S86" s="437">
        <f>'Felosztás eredménykim'!AM290+'Felosztás eredménykim'!AM291</f>
        <v>14.717231016903677</v>
      </c>
      <c r="T86" s="842">
        <f>B86+L86+E86+I86+O86</f>
        <v>96.919618102137548</v>
      </c>
      <c r="U86" s="842">
        <f>C86+M86+F86+H86+J86+P86</f>
        <v>4.57315088095877</v>
      </c>
      <c r="V86" s="842">
        <f>SUM(T86:U86)</f>
        <v>101.49276898309631</v>
      </c>
      <c r="W86" s="543">
        <f>+V86+S86</f>
        <v>116.21</v>
      </c>
    </row>
    <row r="87" spans="1:23" ht="20.149999999999999" hidden="1" customHeight="1" thickBot="1" x14ac:dyDescent="0.3">
      <c r="A87" s="312" t="s">
        <v>700</v>
      </c>
      <c r="B87" s="1092" t="s">
        <v>1817</v>
      </c>
      <c r="C87" s="1093"/>
      <c r="D87" s="1093"/>
      <c r="E87" s="1093"/>
      <c r="F87" s="1093"/>
      <c r="G87" s="1093"/>
      <c r="H87" s="1093"/>
      <c r="I87" s="1093"/>
      <c r="J87" s="1093"/>
      <c r="K87" s="1093"/>
      <c r="L87" s="1093"/>
      <c r="M87" s="1093"/>
      <c r="N87" s="1093"/>
      <c r="O87" s="1093"/>
      <c r="P87" s="1093"/>
      <c r="Q87" s="1093"/>
      <c r="R87" s="1093"/>
      <c r="S87" s="1093"/>
      <c r="T87" s="1093"/>
      <c r="U87" s="1094"/>
      <c r="V87" s="312" t="s">
        <v>701</v>
      </c>
    </row>
    <row r="88" spans="1:23" ht="20.149999999999999" hidden="1" customHeight="1" thickBot="1" x14ac:dyDescent="0.35">
      <c r="A88" s="406" t="s">
        <v>702</v>
      </c>
      <c r="B88" s="1095" t="s">
        <v>1596</v>
      </c>
      <c r="C88" s="1096"/>
      <c r="D88" s="1097"/>
      <c r="E88" s="1098" t="s">
        <v>592</v>
      </c>
      <c r="F88" s="1099"/>
      <c r="G88" s="1100"/>
      <c r="H88" s="609" t="s">
        <v>901</v>
      </c>
      <c r="I88" s="1098" t="s">
        <v>594</v>
      </c>
      <c r="J88" s="1099"/>
      <c r="K88" s="1100"/>
      <c r="L88" s="1098" t="s">
        <v>591</v>
      </c>
      <c r="M88" s="1099"/>
      <c r="N88" s="1100"/>
      <c r="O88" s="1098" t="s">
        <v>554</v>
      </c>
      <c r="P88" s="1099"/>
      <c r="Q88" s="1100"/>
      <c r="R88" s="1034"/>
      <c r="S88" s="609" t="s">
        <v>595</v>
      </c>
      <c r="T88" s="1101" t="s">
        <v>596</v>
      </c>
      <c r="U88" s="1101"/>
      <c r="V88" s="1102"/>
    </row>
    <row r="89" spans="1:23" ht="20.149999999999999" hidden="1" customHeight="1" x14ac:dyDescent="0.25">
      <c r="A89" s="406"/>
      <c r="B89" s="519" t="s">
        <v>575</v>
      </c>
      <c r="C89" s="519" t="s">
        <v>555</v>
      </c>
      <c r="D89" s="519" t="s">
        <v>564</v>
      </c>
      <c r="E89" s="314" t="s">
        <v>575</v>
      </c>
      <c r="F89" s="313" t="s">
        <v>555</v>
      </c>
      <c r="G89" s="315" t="s">
        <v>564</v>
      </c>
      <c r="H89" s="435" t="s">
        <v>555</v>
      </c>
      <c r="I89" s="314" t="s">
        <v>575</v>
      </c>
      <c r="J89" s="313" t="s">
        <v>555</v>
      </c>
      <c r="K89" s="315" t="s">
        <v>564</v>
      </c>
      <c r="L89" s="314" t="s">
        <v>575</v>
      </c>
      <c r="M89" s="313" t="s">
        <v>555</v>
      </c>
      <c r="N89" s="315" t="s">
        <v>564</v>
      </c>
      <c r="O89" s="314" t="s">
        <v>575</v>
      </c>
      <c r="P89" s="313" t="s">
        <v>555</v>
      </c>
      <c r="Q89" s="315" t="s">
        <v>564</v>
      </c>
      <c r="R89" s="1035"/>
      <c r="S89" s="435" t="s">
        <v>597</v>
      </c>
      <c r="T89" s="435" t="s">
        <v>575</v>
      </c>
      <c r="U89" s="435" t="s">
        <v>555</v>
      </c>
      <c r="V89" s="435" t="s">
        <v>564</v>
      </c>
    </row>
    <row r="90" spans="1:23" ht="20.149999999999999" hidden="1" customHeight="1" thickBot="1" x14ac:dyDescent="0.3">
      <c r="A90" s="407" t="s">
        <v>805</v>
      </c>
      <c r="B90" s="521"/>
      <c r="C90" s="521"/>
      <c r="D90" s="521"/>
      <c r="E90" s="445"/>
      <c r="F90" s="446"/>
      <c r="G90" s="447"/>
      <c r="H90" s="448"/>
      <c r="I90" s="445"/>
      <c r="J90" s="446"/>
      <c r="K90" s="447"/>
      <c r="L90" s="445"/>
      <c r="M90" s="446"/>
      <c r="N90" s="447"/>
      <c r="O90" s="445"/>
      <c r="P90" s="446"/>
      <c r="Q90" s="447"/>
      <c r="R90" s="1049"/>
      <c r="S90" s="448"/>
      <c r="T90" s="448"/>
      <c r="U90" s="448"/>
      <c r="V90" s="448"/>
    </row>
    <row r="91" spans="1:23" ht="20.149999999999999" hidden="1" customHeight="1" thickBot="1" x14ac:dyDescent="0.3">
      <c r="A91" s="408" t="s">
        <v>834</v>
      </c>
      <c r="B91" s="449">
        <f t="shared" ref="B91:Q91" si="92">B10/2-B52</f>
        <v>-66986206.603046864</v>
      </c>
      <c r="C91" s="449">
        <f t="shared" si="92"/>
        <v>-4582206.6820562948</v>
      </c>
      <c r="D91" s="449">
        <f t="shared" si="92"/>
        <v>-71568413.285103172</v>
      </c>
      <c r="E91" s="449">
        <f t="shared" si="92"/>
        <v>-73430131.664835751</v>
      </c>
      <c r="F91" s="449">
        <f t="shared" si="92"/>
        <v>-1733236.6405126047</v>
      </c>
      <c r="G91" s="449">
        <f t="shared" si="92"/>
        <v>-75163368.305348366</v>
      </c>
      <c r="H91" s="449">
        <f t="shared" si="92"/>
        <v>-15556639.383924156</v>
      </c>
      <c r="I91" s="449">
        <f t="shared" si="92"/>
        <v>-14749663.352427408</v>
      </c>
      <c r="J91" s="449">
        <f t="shared" si="92"/>
        <v>-977382.60446931655</v>
      </c>
      <c r="K91" s="449">
        <f t="shared" si="92"/>
        <v>-15727045.956896726</v>
      </c>
      <c r="L91" s="449">
        <f t="shared" si="92"/>
        <v>-46064494.127901882</v>
      </c>
      <c r="M91" s="449">
        <f t="shared" si="92"/>
        <v>-1297015.9856516793</v>
      </c>
      <c r="N91" s="449">
        <f t="shared" si="92"/>
        <v>-47361510.113553569</v>
      </c>
      <c r="O91" s="449">
        <f t="shared" si="92"/>
        <v>-21176144.702245355</v>
      </c>
      <c r="P91" s="449">
        <f t="shared" si="92"/>
        <v>-1419900.4217486295</v>
      </c>
      <c r="Q91" s="449">
        <f t="shared" si="92"/>
        <v>-22596045.123993978</v>
      </c>
      <c r="R91" s="449"/>
      <c r="S91" s="449">
        <f t="shared" ref="S91:V113" si="93">S10/2-S52</f>
        <v>-47283526.831080079</v>
      </c>
      <c r="T91" s="449">
        <f t="shared" si="93"/>
        <v>-222406640.45045727</v>
      </c>
      <c r="U91" s="449">
        <f t="shared" si="93"/>
        <v>-25566381.718362689</v>
      </c>
      <c r="V91" s="449">
        <f t="shared" si="93"/>
        <v>-247973022.16882002</v>
      </c>
      <c r="W91" s="460" t="e">
        <f>+V50-#REF!</f>
        <v>#REF!</v>
      </c>
    </row>
    <row r="92" spans="1:23" ht="20.149999999999999" hidden="1" customHeight="1" thickBot="1" x14ac:dyDescent="0.3">
      <c r="A92" s="409" t="s">
        <v>807</v>
      </c>
      <c r="B92" s="449">
        <f t="shared" ref="B92:Q92" si="94">B11/2-B53</f>
        <v>-75726705.231950894</v>
      </c>
      <c r="C92" s="449">
        <f t="shared" si="94"/>
        <v>-4578195.6279274784</v>
      </c>
      <c r="D92" s="449">
        <f t="shared" si="94"/>
        <v>-80304900.859878376</v>
      </c>
      <c r="E92" s="449">
        <f t="shared" si="94"/>
        <v>-66609275.650266036</v>
      </c>
      <c r="F92" s="449">
        <f t="shared" si="94"/>
        <v>-1802331.0827168538</v>
      </c>
      <c r="G92" s="449">
        <f t="shared" si="94"/>
        <v>-68411606.732982889</v>
      </c>
      <c r="H92" s="449">
        <f t="shared" si="94"/>
        <v>-13692119.171590894</v>
      </c>
      <c r="I92" s="449">
        <f t="shared" si="94"/>
        <v>-13428142.364467114</v>
      </c>
      <c r="J92" s="449">
        <f t="shared" si="94"/>
        <v>-1003358.7426309938</v>
      </c>
      <c r="K92" s="449">
        <f t="shared" si="94"/>
        <v>-14431501.107098106</v>
      </c>
      <c r="L92" s="449">
        <f t="shared" si="94"/>
        <v>-44183366.806518815</v>
      </c>
      <c r="M92" s="449">
        <f t="shared" si="94"/>
        <v>-1300583.3765964543</v>
      </c>
      <c r="N92" s="449">
        <f t="shared" si="94"/>
        <v>-45483950.183115274</v>
      </c>
      <c r="O92" s="449">
        <f t="shared" si="94"/>
        <v>-17413288.952009775</v>
      </c>
      <c r="P92" s="449">
        <f t="shared" si="94"/>
        <v>-1442990.0992180612</v>
      </c>
      <c r="Q92" s="449">
        <f t="shared" si="94"/>
        <v>-18856279.051227834</v>
      </c>
      <c r="R92" s="449"/>
      <c r="S92" s="449">
        <f t="shared" si="93"/>
        <v>-42621729.280106261</v>
      </c>
      <c r="T92" s="449">
        <f t="shared" si="93"/>
        <v>-217360779.00521266</v>
      </c>
      <c r="U92" s="449">
        <f t="shared" si="93"/>
        <v>-23819578.100680739</v>
      </c>
      <c r="V92" s="449">
        <f t="shared" si="93"/>
        <v>-241180357.10589343</v>
      </c>
    </row>
    <row r="93" spans="1:23" ht="20.149999999999999" hidden="1" customHeight="1" thickBot="1" x14ac:dyDescent="0.3">
      <c r="A93" s="409" t="s">
        <v>835</v>
      </c>
      <c r="B93" s="449">
        <f t="shared" ref="B93:Q93" si="95">B12/2-B54</f>
        <v>13808208.991222356</v>
      </c>
      <c r="C93" s="449">
        <f t="shared" si="95"/>
        <v>0</v>
      </c>
      <c r="D93" s="449">
        <f t="shared" si="95"/>
        <v>13808208.991222356</v>
      </c>
      <c r="E93" s="449">
        <f t="shared" si="95"/>
        <v>252105.36900609452</v>
      </c>
      <c r="F93" s="449">
        <f t="shared" si="95"/>
        <v>0</v>
      </c>
      <c r="G93" s="449">
        <f t="shared" si="95"/>
        <v>252105.36900609452</v>
      </c>
      <c r="H93" s="449">
        <f t="shared" si="95"/>
        <v>-136989.9132584614</v>
      </c>
      <c r="I93" s="449">
        <f t="shared" si="95"/>
        <v>287930.64402621798</v>
      </c>
      <c r="J93" s="449">
        <f t="shared" si="95"/>
        <v>0</v>
      </c>
      <c r="K93" s="449">
        <f t="shared" si="95"/>
        <v>287930.64402621798</v>
      </c>
      <c r="L93" s="449">
        <f t="shared" si="95"/>
        <v>225257.63624516083</v>
      </c>
      <c r="M93" s="449">
        <f t="shared" si="95"/>
        <v>0</v>
      </c>
      <c r="N93" s="449">
        <f t="shared" si="95"/>
        <v>225257.63624516083</v>
      </c>
      <c r="O93" s="449">
        <f t="shared" si="95"/>
        <v>-1401814.6739238757</v>
      </c>
      <c r="P93" s="449">
        <f t="shared" si="95"/>
        <v>0</v>
      </c>
      <c r="Q93" s="449">
        <f t="shared" si="95"/>
        <v>-1401814.6739238757</v>
      </c>
      <c r="R93" s="449"/>
      <c r="S93" s="449">
        <f t="shared" si="93"/>
        <v>270866.94668250991</v>
      </c>
      <c r="T93" s="449">
        <f t="shared" si="93"/>
        <v>13171687.966575954</v>
      </c>
      <c r="U93" s="449">
        <f t="shared" si="93"/>
        <v>-136989.9132584614</v>
      </c>
      <c r="V93" s="449">
        <f t="shared" si="93"/>
        <v>13034698.053317493</v>
      </c>
    </row>
    <row r="94" spans="1:23" ht="20.149999999999999" hidden="1" customHeight="1" thickBot="1" x14ac:dyDescent="0.3">
      <c r="A94" s="410" t="s">
        <v>810</v>
      </c>
      <c r="B94" s="449">
        <f t="shared" ref="B94:Q94" si="96">B13/2-B55</f>
        <v>-5067710.3623183221</v>
      </c>
      <c r="C94" s="449">
        <f t="shared" si="96"/>
        <v>-4011.0541288155364</v>
      </c>
      <c r="D94" s="449">
        <f t="shared" si="96"/>
        <v>-5071721.4164471384</v>
      </c>
      <c r="E94" s="449">
        <f t="shared" si="96"/>
        <v>-7072961.383575812</v>
      </c>
      <c r="F94" s="449">
        <f t="shared" si="96"/>
        <v>69094.442204249557</v>
      </c>
      <c r="G94" s="449">
        <f t="shared" si="96"/>
        <v>-7003866.941371562</v>
      </c>
      <c r="H94" s="449">
        <f t="shared" si="96"/>
        <v>-1727530.2990748081</v>
      </c>
      <c r="I94" s="449">
        <f t="shared" si="96"/>
        <v>-1609451.6319865077</v>
      </c>
      <c r="J94" s="449">
        <f t="shared" si="96"/>
        <v>25976.138161677343</v>
      </c>
      <c r="K94" s="449">
        <f t="shared" si="96"/>
        <v>-1583475.4938248307</v>
      </c>
      <c r="L94" s="449">
        <f t="shared" si="96"/>
        <v>-2106384.9576282213</v>
      </c>
      <c r="M94" s="449">
        <f t="shared" si="96"/>
        <v>3567.3909447750775</v>
      </c>
      <c r="N94" s="449">
        <f t="shared" si="96"/>
        <v>-2102817.5666834461</v>
      </c>
      <c r="O94" s="449">
        <f t="shared" si="96"/>
        <v>-2361041.0763117019</v>
      </c>
      <c r="P94" s="449">
        <f t="shared" si="96"/>
        <v>23089.677469431568</v>
      </c>
      <c r="Q94" s="449">
        <f t="shared" si="96"/>
        <v>-2337951.3988422705</v>
      </c>
      <c r="R94" s="449"/>
      <c r="S94" s="449">
        <f t="shared" si="93"/>
        <v>-4932664.4976563323</v>
      </c>
      <c r="T94" s="449">
        <f t="shared" si="93"/>
        <v>-18217549.411820568</v>
      </c>
      <c r="U94" s="449">
        <f t="shared" si="93"/>
        <v>-1609813.7044234904</v>
      </c>
      <c r="V94" s="449">
        <f t="shared" si="93"/>
        <v>-19827363.116244063</v>
      </c>
    </row>
    <row r="95" spans="1:23" ht="20.149999999999999" hidden="1" customHeight="1" thickBot="1" x14ac:dyDescent="0.3">
      <c r="A95" s="408" t="s">
        <v>811</v>
      </c>
      <c r="B95" s="449">
        <f t="shared" ref="B95:Q95" si="97">B14/2-B56</f>
        <v>-12534074.287338138</v>
      </c>
      <c r="C95" s="449">
        <f t="shared" si="97"/>
        <v>0</v>
      </c>
      <c r="D95" s="449">
        <f t="shared" si="97"/>
        <v>-12534074.287338138</v>
      </c>
      <c r="E95" s="449">
        <f t="shared" si="97"/>
        <v>-24738236.962235741</v>
      </c>
      <c r="F95" s="449">
        <f t="shared" si="97"/>
        <v>0</v>
      </c>
      <c r="G95" s="449">
        <f t="shared" si="97"/>
        <v>-24738236.962235741</v>
      </c>
      <c r="H95" s="449">
        <f t="shared" si="97"/>
        <v>-437516.9157060869</v>
      </c>
      <c r="I95" s="449">
        <f t="shared" si="97"/>
        <v>-4918164.1817443147</v>
      </c>
      <c r="J95" s="449">
        <f t="shared" si="97"/>
        <v>0</v>
      </c>
      <c r="K95" s="449">
        <f t="shared" si="97"/>
        <v>-4918164.1817443147</v>
      </c>
      <c r="L95" s="449">
        <f t="shared" si="97"/>
        <v>-4300315.4197389688</v>
      </c>
      <c r="M95" s="449">
        <f t="shared" si="97"/>
        <v>0</v>
      </c>
      <c r="N95" s="449">
        <f t="shared" si="97"/>
        <v>-4300315.4197389688</v>
      </c>
      <c r="O95" s="449">
        <f t="shared" si="97"/>
        <v>-610862.90106025618</v>
      </c>
      <c r="P95" s="449">
        <f t="shared" si="97"/>
        <v>0</v>
      </c>
      <c r="Q95" s="449">
        <f t="shared" si="97"/>
        <v>-610862.90106025618</v>
      </c>
      <c r="R95" s="449"/>
      <c r="S95" s="449">
        <f t="shared" si="93"/>
        <v>-4110943.0254764911</v>
      </c>
      <c r="T95" s="449">
        <f t="shared" si="93"/>
        <v>-47101653.752117395</v>
      </c>
      <c r="U95" s="449">
        <f t="shared" si="93"/>
        <v>-437516.9157060869</v>
      </c>
      <c r="V95" s="449">
        <f t="shared" si="93"/>
        <v>-47539170.667823464</v>
      </c>
      <c r="W95" s="338">
        <f>SUM(V96:V99)</f>
        <v>-47539170.667823501</v>
      </c>
    </row>
    <row r="96" spans="1:23" ht="20.149999999999999" hidden="1" customHeight="1" thickBot="1" x14ac:dyDescent="0.3">
      <c r="A96" s="411" t="s">
        <v>838</v>
      </c>
      <c r="B96" s="449">
        <f t="shared" ref="B96:Q96" si="98">B15/2-B57</f>
        <v>-732723.74725529249</v>
      </c>
      <c r="C96" s="449">
        <f t="shared" si="98"/>
        <v>0</v>
      </c>
      <c r="D96" s="449">
        <f t="shared" si="98"/>
        <v>-732723.74725529249</v>
      </c>
      <c r="E96" s="449">
        <f t="shared" si="98"/>
        <v>-1040699.0464190529</v>
      </c>
      <c r="F96" s="449">
        <f t="shared" si="98"/>
        <v>0</v>
      </c>
      <c r="G96" s="449">
        <f t="shared" si="98"/>
        <v>-1040699.0464190529</v>
      </c>
      <c r="H96" s="449">
        <f t="shared" si="98"/>
        <v>68262.405976976268</v>
      </c>
      <c r="I96" s="449">
        <f t="shared" si="98"/>
        <v>49206.121819924098</v>
      </c>
      <c r="J96" s="449">
        <f t="shared" si="98"/>
        <v>0</v>
      </c>
      <c r="K96" s="449">
        <f t="shared" si="98"/>
        <v>49206.121819924098</v>
      </c>
      <c r="L96" s="449">
        <f t="shared" si="98"/>
        <v>-1649691.3928066746</v>
      </c>
      <c r="M96" s="449">
        <f t="shared" si="98"/>
        <v>0</v>
      </c>
      <c r="N96" s="449">
        <f t="shared" si="98"/>
        <v>-1649691.3928066746</v>
      </c>
      <c r="O96" s="449">
        <f t="shared" si="98"/>
        <v>-180684.16068074666</v>
      </c>
      <c r="P96" s="449">
        <f t="shared" si="98"/>
        <v>0</v>
      </c>
      <c r="Q96" s="449">
        <f t="shared" si="98"/>
        <v>-180684.16068074666</v>
      </c>
      <c r="R96" s="449"/>
      <c r="S96" s="449">
        <f t="shared" si="93"/>
        <v>-409095.95063513354</v>
      </c>
      <c r="T96" s="449">
        <f t="shared" si="93"/>
        <v>-3554592.2253418425</v>
      </c>
      <c r="U96" s="449">
        <f t="shared" si="93"/>
        <v>68262.405976976268</v>
      </c>
      <c r="V96" s="449">
        <f t="shared" si="93"/>
        <v>-3486329.8193648662</v>
      </c>
    </row>
    <row r="97" spans="1:23" ht="20.149999999999999" hidden="1" customHeight="1" thickBot="1" x14ac:dyDescent="0.3">
      <c r="A97" s="409" t="s">
        <v>836</v>
      </c>
      <c r="B97" s="449">
        <f t="shared" ref="B97:Q97" si="99">B16/2-B58</f>
        <v>-642052.27661267715</v>
      </c>
      <c r="C97" s="449">
        <f t="shared" si="99"/>
        <v>0</v>
      </c>
      <c r="D97" s="449">
        <f t="shared" si="99"/>
        <v>-642052.27661267715</v>
      </c>
      <c r="E97" s="449">
        <f t="shared" si="99"/>
        <v>1997334.9155191095</v>
      </c>
      <c r="F97" s="449">
        <f t="shared" si="99"/>
        <v>0</v>
      </c>
      <c r="G97" s="449">
        <f t="shared" si="99"/>
        <v>1997334.9155191095</v>
      </c>
      <c r="H97" s="449">
        <f t="shared" si="99"/>
        <v>1397419.3527667611</v>
      </c>
      <c r="I97" s="449">
        <f t="shared" si="99"/>
        <v>968179.94351805351</v>
      </c>
      <c r="J97" s="449">
        <f t="shared" si="99"/>
        <v>0</v>
      </c>
      <c r="K97" s="449">
        <f t="shared" si="99"/>
        <v>968179.94351805351</v>
      </c>
      <c r="L97" s="449">
        <f t="shared" si="99"/>
        <v>678433.73150390456</v>
      </c>
      <c r="M97" s="449">
        <f t="shared" si="99"/>
        <v>0</v>
      </c>
      <c r="N97" s="449">
        <f t="shared" si="99"/>
        <v>678433.73150390456</v>
      </c>
      <c r="O97" s="449">
        <f t="shared" si="99"/>
        <v>560150.63802610291</v>
      </c>
      <c r="P97" s="449">
        <f t="shared" si="99"/>
        <v>0</v>
      </c>
      <c r="Q97" s="449">
        <f t="shared" si="99"/>
        <v>560150.63802610291</v>
      </c>
      <c r="R97" s="449"/>
      <c r="S97" s="449">
        <f t="shared" si="93"/>
        <v>-802640.79482125421</v>
      </c>
      <c r="T97" s="449">
        <f t="shared" si="93"/>
        <v>3562046.9519544914</v>
      </c>
      <c r="U97" s="449">
        <f t="shared" si="93"/>
        <v>1397419.3527667611</v>
      </c>
      <c r="V97" s="449">
        <f t="shared" si="93"/>
        <v>4959466.3047212521</v>
      </c>
    </row>
    <row r="98" spans="1:23" ht="20.149999999999999" hidden="1" customHeight="1" thickBot="1" x14ac:dyDescent="0.3">
      <c r="A98" s="409" t="s">
        <v>837</v>
      </c>
      <c r="B98" s="449">
        <f t="shared" ref="B98:Q98" si="100">B17/2-B59</f>
        <v>-12269554.070877373</v>
      </c>
      <c r="C98" s="449">
        <f t="shared" si="100"/>
        <v>0</v>
      </c>
      <c r="D98" s="449">
        <f t="shared" si="100"/>
        <v>-12269554.070877373</v>
      </c>
      <c r="E98" s="449">
        <f t="shared" si="100"/>
        <v>-25227572.512401886</v>
      </c>
      <c r="F98" s="449">
        <f t="shared" si="100"/>
        <v>0</v>
      </c>
      <c r="G98" s="449">
        <f t="shared" si="100"/>
        <v>-25227572.512401886</v>
      </c>
      <c r="H98" s="449">
        <f t="shared" si="100"/>
        <v>-2431171.7438711673</v>
      </c>
      <c r="I98" s="449">
        <f t="shared" si="100"/>
        <v>-6458488.7709137946</v>
      </c>
      <c r="J98" s="449">
        <f t="shared" si="100"/>
        <v>0</v>
      </c>
      <c r="K98" s="449">
        <f t="shared" si="100"/>
        <v>-6458488.7709137946</v>
      </c>
      <c r="L98" s="449">
        <f t="shared" si="100"/>
        <v>-3338781.2640886451</v>
      </c>
      <c r="M98" s="449">
        <f t="shared" si="100"/>
        <v>0</v>
      </c>
      <c r="N98" s="449">
        <f t="shared" si="100"/>
        <v>-3338781.2640886451</v>
      </c>
      <c r="O98" s="449">
        <f t="shared" si="100"/>
        <v>-1626955.3821619842</v>
      </c>
      <c r="P98" s="449">
        <f t="shared" si="100"/>
        <v>0</v>
      </c>
      <c r="Q98" s="449">
        <f t="shared" si="100"/>
        <v>-1626955.3821619842</v>
      </c>
      <c r="R98" s="449"/>
      <c r="S98" s="449">
        <f t="shared" si="93"/>
        <v>-3063687.6488851407</v>
      </c>
      <c r="T98" s="449">
        <f t="shared" si="93"/>
        <v>-48921352.000443667</v>
      </c>
      <c r="U98" s="449">
        <f t="shared" si="93"/>
        <v>-2431171.7438711673</v>
      </c>
      <c r="V98" s="449">
        <f t="shared" si="93"/>
        <v>-51352523.744314849</v>
      </c>
    </row>
    <row r="99" spans="1:23" ht="20.149999999999999" hidden="1" customHeight="1" thickBot="1" x14ac:dyDescent="0.3">
      <c r="A99" s="409" t="s">
        <v>840</v>
      </c>
      <c r="B99" s="449">
        <f t="shared" ref="B99:Q99" si="101">B18/2-B60</f>
        <v>1110255.8074072101</v>
      </c>
      <c r="C99" s="449">
        <f t="shared" si="101"/>
        <v>0</v>
      </c>
      <c r="D99" s="449">
        <f t="shared" si="101"/>
        <v>1110255.8074072101</v>
      </c>
      <c r="E99" s="449">
        <f t="shared" si="101"/>
        <v>-467300.31893390557</v>
      </c>
      <c r="F99" s="449">
        <f t="shared" si="101"/>
        <v>0</v>
      </c>
      <c r="G99" s="449">
        <f t="shared" si="101"/>
        <v>-467300.31893390557</v>
      </c>
      <c r="H99" s="449">
        <f t="shared" si="101"/>
        <v>527973.06942133978</v>
      </c>
      <c r="I99" s="449">
        <f t="shared" si="101"/>
        <v>522938.5238314998</v>
      </c>
      <c r="J99" s="449">
        <f t="shared" si="101"/>
        <v>0</v>
      </c>
      <c r="K99" s="449">
        <f t="shared" si="101"/>
        <v>522938.5238314998</v>
      </c>
      <c r="L99" s="449">
        <f t="shared" si="101"/>
        <v>9723.5056524461834</v>
      </c>
      <c r="M99" s="449">
        <f t="shared" si="101"/>
        <v>0</v>
      </c>
      <c r="N99" s="449">
        <f t="shared" si="101"/>
        <v>9723.5056524461834</v>
      </c>
      <c r="O99" s="449">
        <f t="shared" si="101"/>
        <v>636626.00375637249</v>
      </c>
      <c r="P99" s="449">
        <f t="shared" si="101"/>
        <v>0</v>
      </c>
      <c r="Q99" s="449">
        <f t="shared" si="101"/>
        <v>636626.00375637249</v>
      </c>
      <c r="R99" s="449"/>
      <c r="S99" s="449">
        <f t="shared" si="93"/>
        <v>164481.36886503897</v>
      </c>
      <c r="T99" s="449">
        <f t="shared" si="93"/>
        <v>1812243.5217136228</v>
      </c>
      <c r="U99" s="449">
        <f t="shared" si="93"/>
        <v>527973.06942133978</v>
      </c>
      <c r="V99" s="449">
        <f t="shared" si="93"/>
        <v>2340216.5911349626</v>
      </c>
    </row>
    <row r="100" spans="1:23" ht="20.149999999999999" hidden="1" customHeight="1" thickBot="1" x14ac:dyDescent="0.3">
      <c r="A100" s="412" t="s">
        <v>815</v>
      </c>
      <c r="B100" s="449">
        <f t="shared" ref="B100:Q100" si="102">B19/2-B61</f>
        <v>-79520280.890385002</v>
      </c>
      <c r="C100" s="449">
        <f t="shared" si="102"/>
        <v>-4582206.6820562948</v>
      </c>
      <c r="D100" s="449">
        <f t="shared" si="102"/>
        <v>-84102487.57244131</v>
      </c>
      <c r="E100" s="449">
        <f t="shared" si="102"/>
        <v>-98168368.6270715</v>
      </c>
      <c r="F100" s="449">
        <f t="shared" si="102"/>
        <v>-1733236.6405126047</v>
      </c>
      <c r="G100" s="449">
        <f t="shared" si="102"/>
        <v>-99901605.267584115</v>
      </c>
      <c r="H100" s="449">
        <f t="shared" si="102"/>
        <v>-15994156.299630247</v>
      </c>
      <c r="I100" s="449">
        <f t="shared" si="102"/>
        <v>-19667827.534171723</v>
      </c>
      <c r="J100" s="449">
        <f t="shared" si="102"/>
        <v>-977382.60446931655</v>
      </c>
      <c r="K100" s="449">
        <f t="shared" si="102"/>
        <v>-20645210.138641044</v>
      </c>
      <c r="L100" s="449">
        <f t="shared" si="102"/>
        <v>-50364809.547640853</v>
      </c>
      <c r="M100" s="449">
        <f t="shared" si="102"/>
        <v>-1297015.9856516793</v>
      </c>
      <c r="N100" s="449">
        <f t="shared" si="102"/>
        <v>-51661825.533292539</v>
      </c>
      <c r="O100" s="449">
        <f t="shared" si="102"/>
        <v>-21787007.603305608</v>
      </c>
      <c r="P100" s="449">
        <f t="shared" si="102"/>
        <v>-1419900.4217486295</v>
      </c>
      <c r="Q100" s="449">
        <f t="shared" si="102"/>
        <v>-23206908.025054231</v>
      </c>
      <c r="R100" s="449"/>
      <c r="S100" s="449">
        <f t="shared" si="93"/>
        <v>-51394469.856556572</v>
      </c>
      <c r="T100" s="449">
        <f t="shared" si="93"/>
        <v>-269508294.20257473</v>
      </c>
      <c r="U100" s="449">
        <f t="shared" si="93"/>
        <v>-26003898.63406878</v>
      </c>
      <c r="V100" s="449">
        <f t="shared" si="93"/>
        <v>-295512192.83664346</v>
      </c>
      <c r="W100" s="338" t="e">
        <f>+W91+W95</f>
        <v>#REF!</v>
      </c>
    </row>
    <row r="101" spans="1:23" ht="20.149999999999999" hidden="1" customHeight="1" thickBot="1" x14ac:dyDescent="0.3">
      <c r="A101" s="413" t="s">
        <v>816</v>
      </c>
      <c r="B101" s="449">
        <f t="shared" ref="B101:Q101" si="103">B20/2-B62</f>
        <v>0</v>
      </c>
      <c r="C101" s="449">
        <f t="shared" si="103"/>
        <v>0</v>
      </c>
      <c r="D101" s="449">
        <f t="shared" si="103"/>
        <v>0</v>
      </c>
      <c r="E101" s="449">
        <f t="shared" si="103"/>
        <v>0</v>
      </c>
      <c r="F101" s="449">
        <f t="shared" si="103"/>
        <v>0</v>
      </c>
      <c r="G101" s="449">
        <f t="shared" si="103"/>
        <v>0</v>
      </c>
      <c r="H101" s="449">
        <f t="shared" si="103"/>
        <v>0</v>
      </c>
      <c r="I101" s="449">
        <f t="shared" si="103"/>
        <v>0</v>
      </c>
      <c r="J101" s="449">
        <f t="shared" si="103"/>
        <v>0</v>
      </c>
      <c r="K101" s="449">
        <f t="shared" si="103"/>
        <v>0</v>
      </c>
      <c r="L101" s="449">
        <f t="shared" si="103"/>
        <v>0</v>
      </c>
      <c r="M101" s="449">
        <f t="shared" si="103"/>
        <v>0</v>
      </c>
      <c r="N101" s="449">
        <f t="shared" si="103"/>
        <v>0</v>
      </c>
      <c r="O101" s="449">
        <f t="shared" si="103"/>
        <v>0</v>
      </c>
      <c r="P101" s="449">
        <f t="shared" si="103"/>
        <v>0</v>
      </c>
      <c r="Q101" s="449">
        <f t="shared" si="103"/>
        <v>0</v>
      </c>
      <c r="R101" s="449"/>
      <c r="S101" s="449">
        <f t="shared" si="93"/>
        <v>0</v>
      </c>
      <c r="T101" s="449">
        <f t="shared" si="93"/>
        <v>0</v>
      </c>
      <c r="U101" s="449">
        <f t="shared" si="93"/>
        <v>0</v>
      </c>
      <c r="V101" s="449">
        <f t="shared" si="93"/>
        <v>0</v>
      </c>
    </row>
    <row r="102" spans="1:23" ht="20.149999999999999" hidden="1" customHeight="1" thickBot="1" x14ac:dyDescent="0.3">
      <c r="A102" s="409" t="s">
        <v>817</v>
      </c>
      <c r="B102" s="449">
        <f t="shared" ref="B102:Q102" si="104">B21/2-B63</f>
        <v>0</v>
      </c>
      <c r="C102" s="449">
        <f t="shared" si="104"/>
        <v>0</v>
      </c>
      <c r="D102" s="449">
        <f t="shared" si="104"/>
        <v>0</v>
      </c>
      <c r="E102" s="449">
        <f t="shared" si="104"/>
        <v>0</v>
      </c>
      <c r="F102" s="449">
        <f t="shared" si="104"/>
        <v>0</v>
      </c>
      <c r="G102" s="449">
        <f t="shared" si="104"/>
        <v>0</v>
      </c>
      <c r="H102" s="449">
        <f t="shared" si="104"/>
        <v>0</v>
      </c>
      <c r="I102" s="449">
        <f t="shared" si="104"/>
        <v>0</v>
      </c>
      <c r="J102" s="449">
        <f t="shared" si="104"/>
        <v>0</v>
      </c>
      <c r="K102" s="449">
        <f t="shared" si="104"/>
        <v>0</v>
      </c>
      <c r="L102" s="449">
        <f t="shared" si="104"/>
        <v>0</v>
      </c>
      <c r="M102" s="449">
        <f t="shared" si="104"/>
        <v>0</v>
      </c>
      <c r="N102" s="449">
        <f t="shared" si="104"/>
        <v>0</v>
      </c>
      <c r="O102" s="449">
        <f t="shared" si="104"/>
        <v>0</v>
      </c>
      <c r="P102" s="449">
        <f t="shared" si="104"/>
        <v>0</v>
      </c>
      <c r="Q102" s="449">
        <f t="shared" si="104"/>
        <v>0</v>
      </c>
      <c r="R102" s="449"/>
      <c r="S102" s="449">
        <f t="shared" si="93"/>
        <v>0</v>
      </c>
      <c r="T102" s="449">
        <f t="shared" si="93"/>
        <v>0</v>
      </c>
      <c r="U102" s="449">
        <f t="shared" si="93"/>
        <v>0</v>
      </c>
      <c r="V102" s="449">
        <f t="shared" si="93"/>
        <v>0</v>
      </c>
    </row>
    <row r="103" spans="1:23" ht="20.149999999999999" hidden="1" customHeight="1" thickBot="1" x14ac:dyDescent="0.3">
      <c r="A103" s="411" t="s">
        <v>818</v>
      </c>
      <c r="B103" s="449">
        <f t="shared" ref="B103:Q103" si="105">B22/2-B64</f>
        <v>0</v>
      </c>
      <c r="C103" s="449">
        <f t="shared" si="105"/>
        <v>0</v>
      </c>
      <c r="D103" s="449">
        <f t="shared" si="105"/>
        <v>0</v>
      </c>
      <c r="E103" s="449">
        <f t="shared" si="105"/>
        <v>0</v>
      </c>
      <c r="F103" s="449">
        <f t="shared" si="105"/>
        <v>0</v>
      </c>
      <c r="G103" s="449">
        <f t="shared" si="105"/>
        <v>0</v>
      </c>
      <c r="H103" s="449">
        <f t="shared" si="105"/>
        <v>0</v>
      </c>
      <c r="I103" s="449">
        <f t="shared" si="105"/>
        <v>0</v>
      </c>
      <c r="J103" s="449">
        <f t="shared" si="105"/>
        <v>0</v>
      </c>
      <c r="K103" s="449">
        <f t="shared" si="105"/>
        <v>0</v>
      </c>
      <c r="L103" s="449">
        <f t="shared" si="105"/>
        <v>0</v>
      </c>
      <c r="M103" s="449">
        <f t="shared" si="105"/>
        <v>0</v>
      </c>
      <c r="N103" s="449">
        <f t="shared" si="105"/>
        <v>0</v>
      </c>
      <c r="O103" s="449">
        <f t="shared" si="105"/>
        <v>0</v>
      </c>
      <c r="P103" s="449">
        <f t="shared" si="105"/>
        <v>0</v>
      </c>
      <c r="Q103" s="449">
        <f t="shared" si="105"/>
        <v>0</v>
      </c>
      <c r="R103" s="449"/>
      <c r="S103" s="449">
        <f t="shared" si="93"/>
        <v>0</v>
      </c>
      <c r="T103" s="449">
        <f t="shared" si="93"/>
        <v>0</v>
      </c>
      <c r="U103" s="449">
        <f t="shared" si="93"/>
        <v>0</v>
      </c>
      <c r="V103" s="449">
        <f t="shared" si="93"/>
        <v>0</v>
      </c>
    </row>
    <row r="104" spans="1:23" s="316" customFormat="1" ht="20.149999999999999" hidden="1" customHeight="1" thickBot="1" x14ac:dyDescent="0.3">
      <c r="A104" s="414" t="s">
        <v>819</v>
      </c>
      <c r="B104" s="449">
        <f t="shared" ref="B104:Q104" si="106">B23/2-B65</f>
        <v>0</v>
      </c>
      <c r="C104" s="449">
        <f t="shared" si="106"/>
        <v>0</v>
      </c>
      <c r="D104" s="449">
        <f t="shared" si="106"/>
        <v>0</v>
      </c>
      <c r="E104" s="449">
        <f t="shared" si="106"/>
        <v>0</v>
      </c>
      <c r="F104" s="449">
        <f t="shared" si="106"/>
        <v>0</v>
      </c>
      <c r="G104" s="449">
        <f t="shared" si="106"/>
        <v>0</v>
      </c>
      <c r="H104" s="449">
        <f t="shared" si="106"/>
        <v>0</v>
      </c>
      <c r="I104" s="449">
        <f t="shared" si="106"/>
        <v>0</v>
      </c>
      <c r="J104" s="449">
        <f t="shared" si="106"/>
        <v>0</v>
      </c>
      <c r="K104" s="449">
        <f t="shared" si="106"/>
        <v>0</v>
      </c>
      <c r="L104" s="449">
        <f t="shared" si="106"/>
        <v>0</v>
      </c>
      <c r="M104" s="449">
        <f t="shared" si="106"/>
        <v>0</v>
      </c>
      <c r="N104" s="449">
        <f t="shared" si="106"/>
        <v>0</v>
      </c>
      <c r="O104" s="449">
        <f t="shared" si="106"/>
        <v>0</v>
      </c>
      <c r="P104" s="449">
        <f t="shared" si="106"/>
        <v>0</v>
      </c>
      <c r="Q104" s="449">
        <f t="shared" si="106"/>
        <v>0</v>
      </c>
      <c r="R104" s="449"/>
      <c r="S104" s="449">
        <f t="shared" si="93"/>
        <v>0</v>
      </c>
      <c r="T104" s="449">
        <f t="shared" si="93"/>
        <v>0</v>
      </c>
      <c r="U104" s="449">
        <f t="shared" si="93"/>
        <v>0</v>
      </c>
      <c r="V104" s="449">
        <f t="shared" si="93"/>
        <v>0</v>
      </c>
    </row>
    <row r="105" spans="1:23" s="316" customFormat="1" ht="20.149999999999999" hidden="1" customHeight="1" thickBot="1" x14ac:dyDescent="0.3">
      <c r="A105" s="414" t="s">
        <v>820</v>
      </c>
      <c r="B105" s="449">
        <f t="shared" ref="B105:Q105" si="107">B24/2-B66</f>
        <v>-79520280.890385002</v>
      </c>
      <c r="C105" s="449">
        <f t="shared" si="107"/>
        <v>-4582206.6820562948</v>
      </c>
      <c r="D105" s="449">
        <f t="shared" si="107"/>
        <v>-84102487.57244131</v>
      </c>
      <c r="E105" s="449">
        <f t="shared" si="107"/>
        <v>-98168368.6270715</v>
      </c>
      <c r="F105" s="449">
        <f t="shared" si="107"/>
        <v>-1733236.6405126047</v>
      </c>
      <c r="G105" s="449">
        <f t="shared" si="107"/>
        <v>-99901605.267584115</v>
      </c>
      <c r="H105" s="449">
        <f t="shared" si="107"/>
        <v>-15994156.299630247</v>
      </c>
      <c r="I105" s="449">
        <f t="shared" si="107"/>
        <v>-19667827.534171723</v>
      </c>
      <c r="J105" s="449">
        <f t="shared" si="107"/>
        <v>-977382.60446931655</v>
      </c>
      <c r="K105" s="449">
        <f t="shared" si="107"/>
        <v>-20645210.138641044</v>
      </c>
      <c r="L105" s="449">
        <f t="shared" si="107"/>
        <v>-50364809.547640853</v>
      </c>
      <c r="M105" s="449">
        <f t="shared" si="107"/>
        <v>-1297015.9856516793</v>
      </c>
      <c r="N105" s="449">
        <f t="shared" si="107"/>
        <v>-51661825.533292539</v>
      </c>
      <c r="O105" s="449">
        <f t="shared" si="107"/>
        <v>-21787007.603305608</v>
      </c>
      <c r="P105" s="449">
        <f t="shared" si="107"/>
        <v>-1419900.4217486295</v>
      </c>
      <c r="Q105" s="449">
        <f t="shared" si="107"/>
        <v>-23206908.025054239</v>
      </c>
      <c r="R105" s="449"/>
      <c r="S105" s="449">
        <f t="shared" si="93"/>
        <v>-51394469.856556572</v>
      </c>
      <c r="T105" s="449">
        <f t="shared" si="93"/>
        <v>-269508294.20257473</v>
      </c>
      <c r="U105" s="449">
        <f t="shared" si="93"/>
        <v>-26003898.63406878</v>
      </c>
      <c r="V105" s="449">
        <f t="shared" si="93"/>
        <v>-295512192.83664346</v>
      </c>
    </row>
    <row r="106" spans="1:23" ht="20.149999999999999" hidden="1" customHeight="1" thickBot="1" x14ac:dyDescent="0.3">
      <c r="A106" s="415" t="s">
        <v>821</v>
      </c>
      <c r="B106" s="449">
        <f t="shared" ref="B106:Q106" si="108">B25/2-B67</f>
        <v>0</v>
      </c>
      <c r="C106" s="449">
        <f t="shared" si="108"/>
        <v>0</v>
      </c>
      <c r="D106" s="449">
        <f t="shared" si="108"/>
        <v>0</v>
      </c>
      <c r="E106" s="449">
        <f t="shared" si="108"/>
        <v>0</v>
      </c>
      <c r="F106" s="449">
        <f t="shared" si="108"/>
        <v>0</v>
      </c>
      <c r="G106" s="449">
        <f t="shared" si="108"/>
        <v>0</v>
      </c>
      <c r="H106" s="449">
        <f t="shared" si="108"/>
        <v>0</v>
      </c>
      <c r="I106" s="449">
        <f t="shared" si="108"/>
        <v>0</v>
      </c>
      <c r="J106" s="449">
        <f t="shared" si="108"/>
        <v>0</v>
      </c>
      <c r="K106" s="449">
        <f t="shared" si="108"/>
        <v>0</v>
      </c>
      <c r="L106" s="449">
        <f t="shared" si="108"/>
        <v>0</v>
      </c>
      <c r="M106" s="449">
        <f t="shared" si="108"/>
        <v>0</v>
      </c>
      <c r="N106" s="449">
        <f t="shared" si="108"/>
        <v>0</v>
      </c>
      <c r="O106" s="449">
        <f t="shared" si="108"/>
        <v>0</v>
      </c>
      <c r="P106" s="449">
        <f t="shared" si="108"/>
        <v>0</v>
      </c>
      <c r="Q106" s="449">
        <f t="shared" si="108"/>
        <v>0</v>
      </c>
      <c r="R106" s="449"/>
      <c r="S106" s="449">
        <f t="shared" si="93"/>
        <v>0</v>
      </c>
      <c r="T106" s="449">
        <f t="shared" si="93"/>
        <v>0</v>
      </c>
      <c r="U106" s="449">
        <f t="shared" si="93"/>
        <v>0</v>
      </c>
      <c r="V106" s="449">
        <f t="shared" si="93"/>
        <v>0</v>
      </c>
    </row>
    <row r="107" spans="1:23" ht="20.149999999999999" hidden="1" customHeight="1" thickBot="1" x14ac:dyDescent="0.3">
      <c r="A107" s="407" t="s">
        <v>822</v>
      </c>
      <c r="B107" s="449">
        <f t="shared" ref="B107:Q107" si="109">B26/2-B68</f>
        <v>0</v>
      </c>
      <c r="C107" s="449">
        <f t="shared" si="109"/>
        <v>0</v>
      </c>
      <c r="D107" s="449">
        <f t="shared" si="109"/>
        <v>0</v>
      </c>
      <c r="E107" s="449">
        <f t="shared" si="109"/>
        <v>0</v>
      </c>
      <c r="F107" s="449">
        <f t="shared" si="109"/>
        <v>0</v>
      </c>
      <c r="G107" s="449">
        <f t="shared" si="109"/>
        <v>0</v>
      </c>
      <c r="H107" s="449">
        <f t="shared" si="109"/>
        <v>0</v>
      </c>
      <c r="I107" s="449">
        <f t="shared" si="109"/>
        <v>0</v>
      </c>
      <c r="J107" s="449">
        <f t="shared" si="109"/>
        <v>0</v>
      </c>
      <c r="K107" s="449">
        <f t="shared" si="109"/>
        <v>0</v>
      </c>
      <c r="L107" s="449">
        <f t="shared" si="109"/>
        <v>0</v>
      </c>
      <c r="M107" s="449">
        <f t="shared" si="109"/>
        <v>0</v>
      </c>
      <c r="N107" s="449">
        <f t="shared" si="109"/>
        <v>0</v>
      </c>
      <c r="O107" s="449">
        <f t="shared" si="109"/>
        <v>0</v>
      </c>
      <c r="P107" s="449">
        <f t="shared" si="109"/>
        <v>0</v>
      </c>
      <c r="Q107" s="449">
        <f t="shared" si="109"/>
        <v>0</v>
      </c>
      <c r="R107" s="449"/>
      <c r="S107" s="449">
        <f t="shared" si="93"/>
        <v>0</v>
      </c>
      <c r="T107" s="449">
        <f t="shared" si="93"/>
        <v>0</v>
      </c>
      <c r="U107" s="449">
        <f t="shared" si="93"/>
        <v>0</v>
      </c>
      <c r="V107" s="449">
        <f t="shared" si="93"/>
        <v>0</v>
      </c>
    </row>
    <row r="108" spans="1:23" ht="20.149999999999999" hidden="1" customHeight="1" thickBot="1" x14ac:dyDescent="0.3">
      <c r="A108" s="419" t="s">
        <v>839</v>
      </c>
      <c r="B108" s="449">
        <f t="shared" ref="B108:Q108" si="110">B27/2-B69</f>
        <v>-8317796.9041981902</v>
      </c>
      <c r="C108" s="449">
        <f t="shared" si="110"/>
        <v>2431785.7000000002</v>
      </c>
      <c r="D108" s="449">
        <f t="shared" si="110"/>
        <v>-5886011.20419819</v>
      </c>
      <c r="E108" s="449">
        <f t="shared" si="110"/>
        <v>4541857.8257758701</v>
      </c>
      <c r="F108" s="449">
        <f t="shared" si="110"/>
        <v>0</v>
      </c>
      <c r="G108" s="449">
        <f t="shared" si="110"/>
        <v>4541857.8257758701</v>
      </c>
      <c r="H108" s="449">
        <f t="shared" si="110"/>
        <v>-89914.546373311896</v>
      </c>
      <c r="I108" s="449">
        <f t="shared" si="110"/>
        <v>-205003.83722833404</v>
      </c>
      <c r="J108" s="449">
        <f t="shared" si="110"/>
        <v>200000</v>
      </c>
      <c r="K108" s="449">
        <f t="shared" si="110"/>
        <v>-5003.8372283340432</v>
      </c>
      <c r="L108" s="449">
        <f t="shared" si="110"/>
        <v>-2977.8700474018424</v>
      </c>
      <c r="M108" s="449">
        <f t="shared" si="110"/>
        <v>0</v>
      </c>
      <c r="N108" s="449">
        <f t="shared" si="110"/>
        <v>-2977.8700474018424</v>
      </c>
      <c r="O108" s="449">
        <f t="shared" si="110"/>
        <v>-90206.654145425273</v>
      </c>
      <c r="P108" s="449">
        <f t="shared" si="110"/>
        <v>0</v>
      </c>
      <c r="Q108" s="449">
        <f t="shared" si="110"/>
        <v>-90206.654145425273</v>
      </c>
      <c r="R108" s="449"/>
      <c r="S108" s="449">
        <f t="shared" si="93"/>
        <v>-52299636.583783209</v>
      </c>
      <c r="T108" s="449">
        <f t="shared" si="93"/>
        <v>-4074127.4398434814</v>
      </c>
      <c r="U108" s="449">
        <f t="shared" si="93"/>
        <v>2541871.1536266883</v>
      </c>
      <c r="V108" s="449">
        <f t="shared" si="93"/>
        <v>-1532256.2862167936</v>
      </c>
    </row>
    <row r="109" spans="1:23" s="316" customFormat="1" ht="20.149999999999999" hidden="1" customHeight="1" thickBot="1" x14ac:dyDescent="0.3">
      <c r="A109" s="430" t="s">
        <v>824</v>
      </c>
      <c r="B109" s="449">
        <f t="shared" ref="B109:Q109" si="111">B28/2-B70</f>
        <v>-8317796.9041981902</v>
      </c>
      <c r="C109" s="449">
        <f t="shared" si="111"/>
        <v>2431785.7000000002</v>
      </c>
      <c r="D109" s="449">
        <f t="shared" si="111"/>
        <v>-5886011.20419819</v>
      </c>
      <c r="E109" s="449">
        <f t="shared" si="111"/>
        <v>4541857.8257758701</v>
      </c>
      <c r="F109" s="449">
        <f t="shared" si="111"/>
        <v>0</v>
      </c>
      <c r="G109" s="449">
        <f t="shared" si="111"/>
        <v>4541857.8257758701</v>
      </c>
      <c r="H109" s="449">
        <f t="shared" si="111"/>
        <v>-89914.546373311896</v>
      </c>
      <c r="I109" s="449">
        <f t="shared" si="111"/>
        <v>-205003.83722833404</v>
      </c>
      <c r="J109" s="449">
        <f t="shared" si="111"/>
        <v>200000</v>
      </c>
      <c r="K109" s="449">
        <f t="shared" si="111"/>
        <v>-5003.8372283340432</v>
      </c>
      <c r="L109" s="449">
        <f t="shared" si="111"/>
        <v>-2977.8700474018424</v>
      </c>
      <c r="M109" s="449">
        <f t="shared" si="111"/>
        <v>0</v>
      </c>
      <c r="N109" s="449">
        <f t="shared" si="111"/>
        <v>-2977.8700474018424</v>
      </c>
      <c r="O109" s="449">
        <f t="shared" si="111"/>
        <v>-90206.654145425273</v>
      </c>
      <c r="P109" s="449">
        <f t="shared" si="111"/>
        <v>0</v>
      </c>
      <c r="Q109" s="449">
        <f t="shared" si="111"/>
        <v>-90206.654145425273</v>
      </c>
      <c r="R109" s="449"/>
      <c r="S109" s="449">
        <f t="shared" si="93"/>
        <v>-52299636.583783209</v>
      </c>
      <c r="T109" s="449">
        <f t="shared" si="93"/>
        <v>-4074127.4398434814</v>
      </c>
      <c r="U109" s="449">
        <f t="shared" si="93"/>
        <v>2541871.1536266883</v>
      </c>
      <c r="V109" s="449">
        <f t="shared" si="93"/>
        <v>-1532256.2862167936</v>
      </c>
    </row>
    <row r="110" spans="1:23" s="316" customFormat="1" ht="20.149999999999999" hidden="1" customHeight="1" thickBot="1" x14ac:dyDescent="0.3">
      <c r="A110" s="414" t="s">
        <v>828</v>
      </c>
      <c r="B110" s="449">
        <f t="shared" ref="B110:Q110" si="112">B29/2-B71</f>
        <v>-8317796.9041981902</v>
      </c>
      <c r="C110" s="449">
        <f t="shared" si="112"/>
        <v>2431785.7000000002</v>
      </c>
      <c r="D110" s="449">
        <f t="shared" si="112"/>
        <v>-5886011.20419819</v>
      </c>
      <c r="E110" s="449">
        <f t="shared" si="112"/>
        <v>4541857.8257758701</v>
      </c>
      <c r="F110" s="449">
        <f t="shared" si="112"/>
        <v>0</v>
      </c>
      <c r="G110" s="449">
        <f t="shared" si="112"/>
        <v>4541857.8257758701</v>
      </c>
      <c r="H110" s="449">
        <f t="shared" si="112"/>
        <v>-89914.546373311896</v>
      </c>
      <c r="I110" s="449">
        <f t="shared" si="112"/>
        <v>-205003.83722833404</v>
      </c>
      <c r="J110" s="449">
        <f t="shared" si="112"/>
        <v>200000</v>
      </c>
      <c r="K110" s="449">
        <f t="shared" si="112"/>
        <v>-5003.8372283340432</v>
      </c>
      <c r="L110" s="449">
        <f t="shared" si="112"/>
        <v>-2977.8700474018424</v>
      </c>
      <c r="M110" s="449">
        <f t="shared" si="112"/>
        <v>0</v>
      </c>
      <c r="N110" s="449">
        <f t="shared" si="112"/>
        <v>-2977.8700474018424</v>
      </c>
      <c r="O110" s="449">
        <f t="shared" si="112"/>
        <v>-90206.654145425273</v>
      </c>
      <c r="P110" s="449">
        <f t="shared" si="112"/>
        <v>0</v>
      </c>
      <c r="Q110" s="449">
        <f t="shared" si="112"/>
        <v>-90206.654145425273</v>
      </c>
      <c r="R110" s="449"/>
      <c r="S110" s="449">
        <f t="shared" si="93"/>
        <v>-52299636.583783209</v>
      </c>
      <c r="T110" s="449">
        <f t="shared" si="93"/>
        <v>-4074127.4398434814</v>
      </c>
      <c r="U110" s="449">
        <f t="shared" si="93"/>
        <v>2541871.1536266883</v>
      </c>
      <c r="V110" s="449">
        <f t="shared" si="93"/>
        <v>-1532256.2862167936</v>
      </c>
    </row>
    <row r="111" spans="1:23" s="316" customFormat="1" ht="20.149999999999999" hidden="1" customHeight="1" thickBot="1" x14ac:dyDescent="0.3">
      <c r="A111" s="414" t="s">
        <v>703</v>
      </c>
      <c r="B111" s="449">
        <f t="shared" ref="B111:Q111" si="113">B30/2-B72</f>
        <v>-71202483.986186802</v>
      </c>
      <c r="C111" s="449">
        <f t="shared" si="113"/>
        <v>-7013992.382056294</v>
      </c>
      <c r="D111" s="449">
        <f t="shared" si="113"/>
        <v>-78216476.368243098</v>
      </c>
      <c r="E111" s="449">
        <f t="shared" si="113"/>
        <v>-102710226.45284736</v>
      </c>
      <c r="F111" s="449">
        <f t="shared" si="113"/>
        <v>-1733236.6405126047</v>
      </c>
      <c r="G111" s="449">
        <f t="shared" si="113"/>
        <v>-104443463.09335998</v>
      </c>
      <c r="H111" s="449">
        <f t="shared" si="113"/>
        <v>-15904241.753256932</v>
      </c>
      <c r="I111" s="449">
        <f t="shared" si="113"/>
        <v>-19462823.696943387</v>
      </c>
      <c r="J111" s="449">
        <f t="shared" si="113"/>
        <v>-1177382.6044693165</v>
      </c>
      <c r="K111" s="449">
        <f t="shared" si="113"/>
        <v>-20640206.301412709</v>
      </c>
      <c r="L111" s="449">
        <f t="shared" si="113"/>
        <v>-50361831.677593447</v>
      </c>
      <c r="M111" s="449">
        <f t="shared" si="113"/>
        <v>-1297015.9856516793</v>
      </c>
      <c r="N111" s="449">
        <f t="shared" si="113"/>
        <v>-51658847.663245134</v>
      </c>
      <c r="O111" s="449">
        <f t="shared" si="113"/>
        <v>-21696800.949160181</v>
      </c>
      <c r="P111" s="449">
        <f t="shared" si="113"/>
        <v>-1419900.4217486295</v>
      </c>
      <c r="Q111" s="449">
        <f t="shared" si="113"/>
        <v>-23116701.370908812</v>
      </c>
      <c r="R111" s="449"/>
      <c r="S111" s="449">
        <f t="shared" si="93"/>
        <v>905166.7272266373</v>
      </c>
      <c r="T111" s="449">
        <f t="shared" si="93"/>
        <v>-265434166.76273119</v>
      </c>
      <c r="U111" s="449">
        <f t="shared" si="93"/>
        <v>-28545769.787695475</v>
      </c>
      <c r="V111" s="449">
        <f t="shared" si="93"/>
        <v>-293979936.55042672</v>
      </c>
    </row>
    <row r="112" spans="1:23" s="316" customFormat="1" ht="20.149999999999999" hidden="1" customHeight="1" thickBot="1" x14ac:dyDescent="0.3">
      <c r="A112" s="414" t="s">
        <v>703</v>
      </c>
      <c r="B112" s="449">
        <f t="shared" ref="B112:Q112" si="114">B31/2-B73</f>
        <v>-71202483.986186773</v>
      </c>
      <c r="C112" s="449">
        <f t="shared" si="114"/>
        <v>-7013992.1820562948</v>
      </c>
      <c r="D112" s="449">
        <f t="shared" si="114"/>
        <v>-78216476.16824308</v>
      </c>
      <c r="E112" s="449">
        <f t="shared" si="114"/>
        <v>-102710226.45284736</v>
      </c>
      <c r="F112" s="449">
        <f t="shared" si="114"/>
        <v>-1733236.6405126047</v>
      </c>
      <c r="G112" s="449">
        <f t="shared" si="114"/>
        <v>-104443463.09335996</v>
      </c>
      <c r="H112" s="449">
        <f t="shared" si="114"/>
        <v>-15904241.753256932</v>
      </c>
      <c r="I112" s="449">
        <f t="shared" si="114"/>
        <v>-19462823.69694341</v>
      </c>
      <c r="J112" s="449">
        <f t="shared" si="114"/>
        <v>-1177382.6044693165</v>
      </c>
      <c r="K112" s="449">
        <f t="shared" si="114"/>
        <v>-20640206.301412724</v>
      </c>
      <c r="L112" s="449">
        <f t="shared" si="114"/>
        <v>-50361831.677593447</v>
      </c>
      <c r="M112" s="449">
        <f t="shared" si="114"/>
        <v>-1297015.9856516793</v>
      </c>
      <c r="N112" s="449">
        <f t="shared" si="114"/>
        <v>-51658847.663245119</v>
      </c>
      <c r="O112" s="449">
        <f t="shared" si="114"/>
        <v>-21696800.949160181</v>
      </c>
      <c r="P112" s="449">
        <f t="shared" si="114"/>
        <v>-1419900.4217486295</v>
      </c>
      <c r="Q112" s="449">
        <f t="shared" si="114"/>
        <v>-23116701.370908815</v>
      </c>
      <c r="R112" s="449"/>
      <c r="S112" s="449">
        <f t="shared" si="93"/>
        <v>905166.72722664184</v>
      </c>
      <c r="T112" s="449">
        <f t="shared" si="93"/>
        <v>-265434166.76273119</v>
      </c>
      <c r="U112" s="449">
        <f t="shared" si="93"/>
        <v>-28545769.58769545</v>
      </c>
      <c r="V112" s="449">
        <f t="shared" si="93"/>
        <v>-293979936.35042667</v>
      </c>
    </row>
    <row r="113" spans="1:23" ht="20.149999999999999" hidden="1" customHeight="1" thickBot="1" x14ac:dyDescent="0.3">
      <c r="A113" s="417" t="s">
        <v>704</v>
      </c>
      <c r="B113" s="449">
        <f t="shared" ref="B113:Q113" si="115">B32/2-B74</f>
        <v>-25919683.429820716</v>
      </c>
      <c r="C113" s="449">
        <f t="shared" si="115"/>
        <v>0</v>
      </c>
      <c r="D113" s="449">
        <f t="shared" si="115"/>
        <v>-25919683.429820716</v>
      </c>
      <c r="E113" s="449">
        <f t="shared" si="115"/>
        <v>-25129880.671434056</v>
      </c>
      <c r="F113" s="449">
        <f t="shared" si="115"/>
        <v>0</v>
      </c>
      <c r="G113" s="449">
        <f t="shared" si="115"/>
        <v>-25129880.671434056</v>
      </c>
      <c r="H113" s="449">
        <f t="shared" si="115"/>
        <v>-4273074.3703316478</v>
      </c>
      <c r="I113" s="449">
        <f t="shared" si="115"/>
        <v>-6193216.8373403922</v>
      </c>
      <c r="J113" s="449">
        <f t="shared" si="115"/>
        <v>0</v>
      </c>
      <c r="K113" s="449">
        <f t="shared" si="115"/>
        <v>-6193216.8373403922</v>
      </c>
      <c r="L113" s="449">
        <f t="shared" si="115"/>
        <v>-36511236.806969762</v>
      </c>
      <c r="M113" s="449">
        <f t="shared" si="115"/>
        <v>0</v>
      </c>
      <c r="N113" s="449">
        <f t="shared" si="115"/>
        <v>-36511236.806969762</v>
      </c>
      <c r="O113" s="449">
        <f t="shared" si="115"/>
        <v>-7042850.8369689202</v>
      </c>
      <c r="P113" s="449">
        <f t="shared" si="115"/>
        <v>0</v>
      </c>
      <c r="Q113" s="449">
        <f t="shared" si="115"/>
        <v>-7042850.8369689202</v>
      </c>
      <c r="R113" s="449"/>
      <c r="S113" s="449">
        <f t="shared" si="93"/>
        <v>-16505450.192313166</v>
      </c>
      <c r="T113" s="449">
        <f t="shared" si="93"/>
        <v>-100796868.58253384</v>
      </c>
      <c r="U113" s="449">
        <f t="shared" si="93"/>
        <v>-4273074.3703316478</v>
      </c>
      <c r="V113" s="449">
        <f t="shared" si="93"/>
        <v>-105069942.95286548</v>
      </c>
    </row>
    <row r="114" spans="1:23" s="316" customFormat="1" ht="20.149999999999999" hidden="1" customHeight="1" x14ac:dyDescent="0.25">
      <c r="A114" s="431" t="s">
        <v>705</v>
      </c>
      <c r="B114" s="439">
        <f t="shared" ref="B114" si="116">SUM(B112:B113)</f>
        <v>-97122167.416007489</v>
      </c>
      <c r="C114" s="439">
        <f t="shared" ref="C114:S114" si="117">SUM(C112:C113)</f>
        <v>-7013992.1820562948</v>
      </c>
      <c r="D114" s="439">
        <f t="shared" si="117"/>
        <v>-104136159.5980638</v>
      </c>
      <c r="E114" s="439">
        <f t="shared" si="117"/>
        <v>-127840107.12428142</v>
      </c>
      <c r="F114" s="439">
        <f t="shared" si="117"/>
        <v>-1733236.6405126047</v>
      </c>
      <c r="G114" s="439">
        <f t="shared" si="117"/>
        <v>-129573343.76479402</v>
      </c>
      <c r="H114" s="439">
        <f t="shared" si="117"/>
        <v>-20177316.123588581</v>
      </c>
      <c r="I114" s="439">
        <f t="shared" si="117"/>
        <v>-25656040.534283802</v>
      </c>
      <c r="J114" s="439">
        <f t="shared" si="117"/>
        <v>-1177382.6044693165</v>
      </c>
      <c r="K114" s="439">
        <f t="shared" si="117"/>
        <v>-26833423.138753116</v>
      </c>
      <c r="L114" s="439">
        <f t="shared" si="117"/>
        <v>-86873068.484563202</v>
      </c>
      <c r="M114" s="439">
        <f t="shared" si="117"/>
        <v>-1297015.9856516793</v>
      </c>
      <c r="N114" s="439">
        <f t="shared" si="117"/>
        <v>-88170084.470214874</v>
      </c>
      <c r="O114" s="439">
        <f t="shared" si="117"/>
        <v>-28739651.786129102</v>
      </c>
      <c r="P114" s="439">
        <f t="shared" si="117"/>
        <v>-1419900.4217486295</v>
      </c>
      <c r="Q114" s="439">
        <f t="shared" si="117"/>
        <v>-30159552.207877737</v>
      </c>
      <c r="R114" s="439"/>
      <c r="S114" s="439">
        <f t="shared" si="117"/>
        <v>-15600283.465086525</v>
      </c>
      <c r="T114" s="439">
        <f t="shared" ref="T114:V114" si="118">SUM(T112:T113)</f>
        <v>-366231035.34526503</v>
      </c>
      <c r="U114" s="439">
        <f t="shared" si="118"/>
        <v>-32818843.958027098</v>
      </c>
      <c r="V114" s="607">
        <f t="shared" si="118"/>
        <v>-399049879.30329216</v>
      </c>
      <c r="W114" s="316">
        <f>Összesítés!AH2+Összesítés!AH3+Összesítés!AH4+Összesítés!AH5+Összesítés!AH6+Összesítés!AH7</f>
        <v>399049879.30329216</v>
      </c>
    </row>
    <row r="115" spans="1:23" s="316" customFormat="1" ht="20.149999999999999" hidden="1" customHeight="1" thickBot="1" x14ac:dyDescent="0.3">
      <c r="A115" s="432" t="s">
        <v>706</v>
      </c>
      <c r="B115" s="440">
        <f>B114*1.27</f>
        <v>-123345152.61832951</v>
      </c>
      <c r="C115" s="440">
        <f>C114*1.27</f>
        <v>-8907770.0712114945</v>
      </c>
      <c r="D115" s="440">
        <f>D114*1.27</f>
        <v>-132252922.68954103</v>
      </c>
      <c r="E115" s="440">
        <f t="shared" ref="E115:S115" si="119">E114*1.27</f>
        <v>-162356936.04783741</v>
      </c>
      <c r="F115" s="440">
        <f t="shared" si="119"/>
        <v>-2201210.5334510081</v>
      </c>
      <c r="G115" s="440">
        <f t="shared" si="119"/>
        <v>-164558146.5812884</v>
      </c>
      <c r="H115" s="440">
        <f t="shared" si="119"/>
        <v>-25625191.476957496</v>
      </c>
      <c r="I115" s="440">
        <f t="shared" si="119"/>
        <v>-32583171.478540428</v>
      </c>
      <c r="J115" s="440">
        <f t="shared" si="119"/>
        <v>-1495275.907676032</v>
      </c>
      <c r="K115" s="440">
        <f t="shared" si="119"/>
        <v>-34078447.386216462</v>
      </c>
      <c r="L115" s="440">
        <f t="shared" si="119"/>
        <v>-110328796.97539526</v>
      </c>
      <c r="M115" s="440">
        <f t="shared" si="119"/>
        <v>-1647210.3017776327</v>
      </c>
      <c r="N115" s="440">
        <f t="shared" si="119"/>
        <v>-111976007.27717289</v>
      </c>
      <c r="O115" s="440">
        <f t="shared" si="119"/>
        <v>-36499357.768383957</v>
      </c>
      <c r="P115" s="440">
        <f t="shared" si="119"/>
        <v>-1803273.5356207595</v>
      </c>
      <c r="Q115" s="440">
        <f t="shared" si="119"/>
        <v>-38302631.304004729</v>
      </c>
      <c r="R115" s="440"/>
      <c r="S115" s="440">
        <f t="shared" si="119"/>
        <v>-19812360.000659887</v>
      </c>
      <c r="T115" s="440">
        <f t="shared" ref="T115" si="120">T114*1.27</f>
        <v>-465113414.88848662</v>
      </c>
      <c r="U115" s="440">
        <f t="shared" ref="U115" si="121">U114*1.27</f>
        <v>-41679931.826694414</v>
      </c>
      <c r="V115" s="440">
        <f t="shared" ref="V115" si="122">V114*1.27</f>
        <v>-506793346.71518105</v>
      </c>
    </row>
    <row r="117" spans="1:23" x14ac:dyDescent="0.25">
      <c r="A117" s="706" t="s">
        <v>817</v>
      </c>
    </row>
    <row r="118" spans="1:23" x14ac:dyDescent="0.25">
      <c r="A118" s="157" t="s">
        <v>1835</v>
      </c>
      <c r="B118" s="157">
        <v>5000000</v>
      </c>
    </row>
    <row r="119" spans="1:23" x14ac:dyDescent="0.25">
      <c r="A119" s="157" t="s">
        <v>1836</v>
      </c>
      <c r="B119" s="157">
        <v>12000000</v>
      </c>
    </row>
    <row r="120" spans="1:23" x14ac:dyDescent="0.25">
      <c r="A120" s="157" t="s">
        <v>1837</v>
      </c>
      <c r="B120" s="157">
        <v>14900000</v>
      </c>
    </row>
    <row r="125" spans="1:23" x14ac:dyDescent="0.25">
      <c r="A125" s="707" t="s">
        <v>1870</v>
      </c>
    </row>
    <row r="126" spans="1:23" x14ac:dyDescent="0.25">
      <c r="A126" s="157" t="s">
        <v>1835</v>
      </c>
      <c r="B126" s="157">
        <v>3720472</v>
      </c>
    </row>
    <row r="127" spans="1:23" x14ac:dyDescent="0.25">
      <c r="A127" s="157" t="s">
        <v>1836</v>
      </c>
      <c r="B127" s="157">
        <v>9445920</v>
      </c>
    </row>
    <row r="128" spans="1:23" x14ac:dyDescent="0.25">
      <c r="A128" s="157" t="s">
        <v>1837</v>
      </c>
      <c r="B128" s="157">
        <v>13809734</v>
      </c>
    </row>
    <row r="129" spans="1:2" x14ac:dyDescent="0.25">
      <c r="A129" s="1062" t="s">
        <v>1871</v>
      </c>
      <c r="B129" s="1062">
        <v>2800000</v>
      </c>
    </row>
    <row r="133" spans="1:2" x14ac:dyDescent="0.25">
      <c r="A133" s="708" t="s">
        <v>1733</v>
      </c>
    </row>
    <row r="134" spans="1:2" x14ac:dyDescent="0.25">
      <c r="A134" s="157" t="s">
        <v>1835</v>
      </c>
      <c r="B134" s="157">
        <f>B118-B126</f>
        <v>1279528</v>
      </c>
    </row>
    <row r="135" spans="1:2" x14ac:dyDescent="0.25">
      <c r="A135" s="157" t="s">
        <v>1836</v>
      </c>
      <c r="B135" s="157">
        <f t="shared" ref="B135:B136" si="123">B119-B127</f>
        <v>2554080</v>
      </c>
    </row>
    <row r="136" spans="1:2" x14ac:dyDescent="0.25">
      <c r="A136" s="157" t="s">
        <v>1837</v>
      </c>
      <c r="B136" s="157">
        <f t="shared" si="123"/>
        <v>1090266</v>
      </c>
    </row>
  </sheetData>
  <mergeCells count="24">
    <mergeCell ref="B4:D4"/>
    <mergeCell ref="E4:G4"/>
    <mergeCell ref="H4:K4"/>
    <mergeCell ref="B5:D5"/>
    <mergeCell ref="I5:K5"/>
    <mergeCell ref="O5:Q5"/>
    <mergeCell ref="O4:Q4"/>
    <mergeCell ref="T5:V5"/>
    <mergeCell ref="L5:N5"/>
    <mergeCell ref="E5:G5"/>
    <mergeCell ref="B46:U46"/>
    <mergeCell ref="B87:U87"/>
    <mergeCell ref="B88:D88"/>
    <mergeCell ref="E88:G88"/>
    <mergeCell ref="I88:K88"/>
    <mergeCell ref="L88:N88"/>
    <mergeCell ref="O88:Q88"/>
    <mergeCell ref="T88:V88"/>
    <mergeCell ref="B47:D47"/>
    <mergeCell ref="E47:G47"/>
    <mergeCell ref="I47:K47"/>
    <mergeCell ref="O47:Q47"/>
    <mergeCell ref="T47:V47"/>
    <mergeCell ref="L47:N47"/>
  </mergeCells>
  <pageMargins left="0" right="0" top="0" bottom="0" header="0.31496062992125984" footer="0.31496062992125984"/>
  <pageSetup paperSize="8" scale="70" fitToHeight="0" orientation="landscape" r:id="rId1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46"/>
  <sheetViews>
    <sheetView view="pageBreakPreview" zoomScale="60" zoomScaleNormal="100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I44" sqref="I44"/>
    </sheetView>
  </sheetViews>
  <sheetFormatPr defaultRowHeight="12.5" x14ac:dyDescent="0.25"/>
  <cols>
    <col min="1" max="1" width="36.7265625" customWidth="1"/>
    <col min="2" max="2" width="17.453125" customWidth="1"/>
    <col min="3" max="3" width="17.7265625" customWidth="1"/>
    <col min="4" max="4" width="16.453125" customWidth="1"/>
    <col min="5" max="5" width="18.54296875" customWidth="1"/>
    <col min="6" max="6" width="19.7265625" customWidth="1"/>
    <col min="7" max="7" width="19.453125" customWidth="1"/>
    <col min="8" max="8" width="19.7265625" customWidth="1"/>
    <col min="9" max="9" width="19" customWidth="1"/>
  </cols>
  <sheetData>
    <row r="1" spans="1:9" s="179" customFormat="1" ht="42.65" customHeight="1" x14ac:dyDescent="0.25">
      <c r="A1" s="155" t="s">
        <v>700</v>
      </c>
      <c r="B1" s="1138" t="s">
        <v>1783</v>
      </c>
      <c r="C1" s="1139"/>
      <c r="D1" s="1139"/>
      <c r="E1" s="1139"/>
      <c r="F1" s="1139"/>
      <c r="G1" s="1139"/>
      <c r="H1" s="1140"/>
      <c r="I1" s="180"/>
    </row>
    <row r="2" spans="1:9" s="179" customFormat="1" ht="39.65" customHeight="1" x14ac:dyDescent="0.25">
      <c r="A2" s="158" t="s">
        <v>702</v>
      </c>
      <c r="B2" s="1141" t="s">
        <v>1743</v>
      </c>
      <c r="C2" s="1142"/>
      <c r="D2" s="1143"/>
      <c r="E2" s="1144" t="s">
        <v>557</v>
      </c>
      <c r="F2" s="1144" t="s">
        <v>1796</v>
      </c>
      <c r="G2" s="1146" t="s">
        <v>1796</v>
      </c>
      <c r="H2" s="1146"/>
      <c r="I2" s="1146"/>
    </row>
    <row r="3" spans="1:9" s="179" customFormat="1" ht="46" x14ac:dyDescent="0.25">
      <c r="A3" s="159"/>
      <c r="B3" s="181" t="s">
        <v>567</v>
      </c>
      <c r="C3" s="181" t="s">
        <v>568</v>
      </c>
      <c r="D3" s="181" t="s">
        <v>564</v>
      </c>
      <c r="E3" s="1145"/>
      <c r="F3" s="1145"/>
      <c r="G3" s="182"/>
      <c r="H3" s="182"/>
      <c r="I3" s="182"/>
    </row>
    <row r="4" spans="1:9" s="179" customFormat="1" ht="11.5" x14ac:dyDescent="0.25">
      <c r="A4" s="159"/>
      <c r="B4" s="181"/>
      <c r="C4" s="181"/>
      <c r="D4" s="181"/>
      <c r="E4" s="183"/>
      <c r="F4" s="183"/>
      <c r="G4" s="182" t="s">
        <v>985</v>
      </c>
      <c r="H4" s="182" t="s">
        <v>986</v>
      </c>
      <c r="I4" s="182" t="s">
        <v>987</v>
      </c>
    </row>
    <row r="5" spans="1:9" s="179" customFormat="1" ht="11.5" x14ac:dyDescent="0.25">
      <c r="A5" s="236" t="s">
        <v>805</v>
      </c>
      <c r="B5" s="283"/>
      <c r="C5" s="283"/>
      <c r="D5" s="283">
        <v>0</v>
      </c>
      <c r="E5" s="283"/>
      <c r="F5" s="283"/>
      <c r="G5" s="283"/>
      <c r="H5" s="283"/>
      <c r="I5" s="283"/>
    </row>
    <row r="6" spans="1:9" s="179" customFormat="1" ht="11.5" x14ac:dyDescent="0.25">
      <c r="A6" s="237" t="s">
        <v>834</v>
      </c>
      <c r="B6" s="361">
        <f t="shared" ref="B6:I6" si="0">SUM(B7:B12)</f>
        <v>149722383.44239998</v>
      </c>
      <c r="C6" s="361">
        <f t="shared" si="0"/>
        <v>5498216.666666667</v>
      </c>
      <c r="D6" s="361">
        <f t="shared" si="0"/>
        <v>155220600.10906669</v>
      </c>
      <c r="E6" s="361">
        <f t="shared" si="0"/>
        <v>0</v>
      </c>
      <c r="F6" s="361">
        <f t="shared" si="0"/>
        <v>215368247.21567819</v>
      </c>
      <c r="G6" s="361">
        <f t="shared" si="0"/>
        <v>155220600.10906669</v>
      </c>
      <c r="H6" s="361">
        <f t="shared" si="0"/>
        <v>60147647.10661149</v>
      </c>
      <c r="I6" s="361">
        <f t="shared" si="0"/>
        <v>0</v>
      </c>
    </row>
    <row r="7" spans="1:9" s="179" customFormat="1" ht="11.5" x14ac:dyDescent="0.25">
      <c r="A7" s="238" t="s">
        <v>1001</v>
      </c>
      <c r="B7" s="362">
        <v>81257888.439999998</v>
      </c>
      <c r="C7" s="362">
        <v>2552088</v>
      </c>
      <c r="D7" s="362">
        <f t="shared" ref="D7:D12" si="1">SUM(B7:C7)</f>
        <v>83809976.439999998</v>
      </c>
      <c r="E7" s="362"/>
      <c r="F7" s="362">
        <f t="shared" ref="F7:F12" si="2">SUM(G7:H7)</f>
        <v>128876147.16858238</v>
      </c>
      <c r="G7" s="362">
        <f>D7</f>
        <v>83809976.439999998</v>
      </c>
      <c r="H7" s="362">
        <v>45066170.728582375</v>
      </c>
      <c r="I7" s="362">
        <v>0</v>
      </c>
    </row>
    <row r="8" spans="1:9" s="179" customFormat="1" ht="21" x14ac:dyDescent="0.25">
      <c r="A8" s="238" t="s">
        <v>1002</v>
      </c>
      <c r="B8" s="362">
        <v>51375240</v>
      </c>
      <c r="C8" s="362">
        <v>1743399.09</v>
      </c>
      <c r="D8" s="362">
        <f t="shared" si="1"/>
        <v>53118639.090000004</v>
      </c>
      <c r="E8" s="362"/>
      <c r="F8" s="362">
        <f t="shared" si="2"/>
        <v>61050916.331379317</v>
      </c>
      <c r="G8" s="362">
        <f t="shared" ref="G8:G21" si="3">D8</f>
        <v>53118639.090000004</v>
      </c>
      <c r="H8" s="362">
        <v>7932277.2413793104</v>
      </c>
      <c r="I8" s="362"/>
    </row>
    <row r="9" spans="1:9" s="179" customFormat="1" ht="11.5" x14ac:dyDescent="0.25">
      <c r="A9" s="238" t="s">
        <v>1003</v>
      </c>
      <c r="B9" s="362">
        <v>0</v>
      </c>
      <c r="C9" s="362">
        <v>0</v>
      </c>
      <c r="D9" s="362">
        <f t="shared" si="1"/>
        <v>0</v>
      </c>
      <c r="E9" s="362"/>
      <c r="F9" s="362">
        <f t="shared" si="2"/>
        <v>0</v>
      </c>
      <c r="G9" s="362">
        <f t="shared" si="3"/>
        <v>0</v>
      </c>
      <c r="H9" s="362">
        <v>0</v>
      </c>
      <c r="I9" s="362">
        <v>0</v>
      </c>
    </row>
    <row r="10" spans="1:9" s="179" customFormat="1" ht="21" x14ac:dyDescent="0.25">
      <c r="A10" s="238" t="s">
        <v>1004</v>
      </c>
      <c r="B10" s="362">
        <v>0</v>
      </c>
      <c r="C10" s="362">
        <v>0</v>
      </c>
      <c r="D10" s="362">
        <f t="shared" si="1"/>
        <v>0</v>
      </c>
      <c r="E10" s="362"/>
      <c r="F10" s="362">
        <f t="shared" si="2"/>
        <v>0</v>
      </c>
      <c r="G10" s="362">
        <f t="shared" si="3"/>
        <v>0</v>
      </c>
      <c r="H10" s="362">
        <v>0</v>
      </c>
      <c r="I10" s="362"/>
    </row>
    <row r="11" spans="1:9" s="179" customFormat="1" ht="21" x14ac:dyDescent="0.25">
      <c r="A11" s="238" t="s">
        <v>1005</v>
      </c>
      <c r="B11" s="362">
        <v>10410473.8024</v>
      </c>
      <c r="C11" s="362">
        <v>714578.66666666698</v>
      </c>
      <c r="D11" s="362">
        <f t="shared" si="1"/>
        <v>11125052.469066668</v>
      </c>
      <c r="E11" s="362"/>
      <c r="F11" s="362">
        <f t="shared" si="2"/>
        <v>17209130.73675096</v>
      </c>
      <c r="G11" s="362">
        <f t="shared" si="3"/>
        <v>11125052.469066668</v>
      </c>
      <c r="H11" s="362">
        <v>6084078.2676842911</v>
      </c>
      <c r="I11" s="362"/>
    </row>
    <row r="12" spans="1:9" s="179" customFormat="1" ht="31.5" x14ac:dyDescent="0.25">
      <c r="A12" s="239" t="s">
        <v>1006</v>
      </c>
      <c r="B12" s="363">
        <v>6678781.2000000002</v>
      </c>
      <c r="C12" s="363">
        <v>488150.91</v>
      </c>
      <c r="D12" s="362">
        <f t="shared" si="1"/>
        <v>7166932.1100000003</v>
      </c>
      <c r="E12" s="363"/>
      <c r="F12" s="362">
        <f t="shared" si="2"/>
        <v>8232052.9789655171</v>
      </c>
      <c r="G12" s="362">
        <f t="shared" si="3"/>
        <v>7166932.1100000003</v>
      </c>
      <c r="H12" s="362">
        <v>1065120.8689655173</v>
      </c>
      <c r="I12" s="362">
        <v>0</v>
      </c>
    </row>
    <row r="13" spans="1:9" s="179" customFormat="1" ht="11.5" x14ac:dyDescent="0.25">
      <c r="A13" s="237" t="s">
        <v>811</v>
      </c>
      <c r="B13" s="361">
        <f>SUM(B14:B21)</f>
        <v>303432776.06999999</v>
      </c>
      <c r="C13" s="361">
        <f>SUM(C14:C21)</f>
        <v>0</v>
      </c>
      <c r="D13" s="361">
        <f>SUM(D14:D21)</f>
        <v>303432776.06999999</v>
      </c>
      <c r="E13" s="361"/>
      <c r="F13" s="361">
        <f>SUM(F14:F21)</f>
        <v>382766961</v>
      </c>
      <c r="G13" s="361">
        <f>SUM(G14:G21)</f>
        <v>303432776.06999999</v>
      </c>
      <c r="H13" s="361">
        <f>SUM(H14:H21)</f>
        <v>79334184.930000007</v>
      </c>
      <c r="I13" s="361">
        <f>SUM(I14:I21)</f>
        <v>0</v>
      </c>
    </row>
    <row r="14" spans="1:9" s="179" customFormat="1" ht="11.5" x14ac:dyDescent="0.25">
      <c r="A14" s="238" t="s">
        <v>1007</v>
      </c>
      <c r="B14" s="362">
        <v>0</v>
      </c>
      <c r="C14" s="362">
        <v>0</v>
      </c>
      <c r="D14" s="362">
        <f t="shared" ref="D14:D30" si="4">SUM(B14:C14)</f>
        <v>0</v>
      </c>
      <c r="E14" s="362"/>
      <c r="F14" s="363">
        <f>SUM(G14:H14)</f>
        <v>0</v>
      </c>
      <c r="G14" s="362">
        <f t="shared" si="3"/>
        <v>0</v>
      </c>
      <c r="H14" s="362">
        <v>0</v>
      </c>
      <c r="I14" s="362">
        <v>0</v>
      </c>
    </row>
    <row r="15" spans="1:9" s="179" customFormat="1" ht="21" x14ac:dyDescent="0.25">
      <c r="A15" s="238" t="s">
        <v>1008</v>
      </c>
      <c r="B15" s="362">
        <v>9500400</v>
      </c>
      <c r="C15" s="362">
        <v>0</v>
      </c>
      <c r="D15" s="362">
        <f t="shared" si="4"/>
        <v>9500400</v>
      </c>
      <c r="E15" s="362"/>
      <c r="F15" s="363">
        <f t="shared" ref="F15:F21" si="5">SUM(G15:H15)</f>
        <v>10920000</v>
      </c>
      <c r="G15" s="362">
        <f t="shared" si="3"/>
        <v>9500400</v>
      </c>
      <c r="H15" s="362">
        <v>1419600</v>
      </c>
      <c r="I15" s="362"/>
    </row>
    <row r="16" spans="1:9" s="179" customFormat="1" ht="11.5" x14ac:dyDescent="0.25">
      <c r="A16" s="238" t="s">
        <v>1009</v>
      </c>
      <c r="B16" s="362">
        <v>0</v>
      </c>
      <c r="C16" s="362">
        <v>0</v>
      </c>
      <c r="D16" s="362">
        <f t="shared" si="4"/>
        <v>0</v>
      </c>
      <c r="E16" s="362"/>
      <c r="F16" s="363">
        <f t="shared" si="5"/>
        <v>350000</v>
      </c>
      <c r="G16" s="362">
        <f t="shared" si="3"/>
        <v>0</v>
      </c>
      <c r="H16" s="362">
        <v>350000</v>
      </c>
      <c r="I16" s="362"/>
    </row>
    <row r="17" spans="1:9" s="179" customFormat="1" ht="21" x14ac:dyDescent="0.25">
      <c r="A17" s="238" t="s">
        <v>1010</v>
      </c>
      <c r="B17" s="362">
        <v>11972036.07</v>
      </c>
      <c r="C17" s="362">
        <v>0</v>
      </c>
      <c r="D17" s="362">
        <f t="shared" si="4"/>
        <v>11972036.07</v>
      </c>
      <c r="E17" s="362"/>
      <c r="F17" s="363">
        <f t="shared" si="5"/>
        <v>13760961</v>
      </c>
      <c r="G17" s="362">
        <f t="shared" si="3"/>
        <v>11972036.07</v>
      </c>
      <c r="H17" s="362">
        <v>1788924.9300000002</v>
      </c>
      <c r="I17" s="362"/>
    </row>
    <row r="18" spans="1:9" s="179" customFormat="1" ht="11.5" x14ac:dyDescent="0.25">
      <c r="A18" s="238" t="s">
        <v>1011</v>
      </c>
      <c r="B18" s="362">
        <v>186624000</v>
      </c>
      <c r="C18" s="362">
        <v>0</v>
      </c>
      <c r="D18" s="362">
        <f t="shared" si="4"/>
        <v>186624000</v>
      </c>
      <c r="E18" s="362"/>
      <c r="F18" s="363">
        <f t="shared" si="5"/>
        <v>248154000</v>
      </c>
      <c r="G18" s="362">
        <f t="shared" si="3"/>
        <v>186624000</v>
      </c>
      <c r="H18" s="362">
        <v>61530000</v>
      </c>
      <c r="I18" s="362">
        <v>0</v>
      </c>
    </row>
    <row r="19" spans="1:9" s="179" customFormat="1" ht="21" x14ac:dyDescent="0.25">
      <c r="A19" s="238" t="s">
        <v>1012</v>
      </c>
      <c r="B19" s="362">
        <v>92813340</v>
      </c>
      <c r="C19" s="362">
        <v>0</v>
      </c>
      <c r="D19" s="362">
        <f t="shared" si="4"/>
        <v>92813340</v>
      </c>
      <c r="E19" s="362"/>
      <c r="F19" s="363">
        <f t="shared" si="5"/>
        <v>106682000</v>
      </c>
      <c r="G19" s="362">
        <f t="shared" si="3"/>
        <v>92813340</v>
      </c>
      <c r="H19" s="362">
        <v>13868660</v>
      </c>
      <c r="I19" s="362">
        <v>0</v>
      </c>
    </row>
    <row r="20" spans="1:9" s="179" customFormat="1" ht="21" x14ac:dyDescent="0.25">
      <c r="A20" s="238" t="s">
        <v>1013</v>
      </c>
      <c r="B20" s="362">
        <v>0</v>
      </c>
      <c r="C20" s="362">
        <v>0</v>
      </c>
      <c r="D20" s="362">
        <f t="shared" si="4"/>
        <v>0</v>
      </c>
      <c r="E20" s="362"/>
      <c r="F20" s="363">
        <f t="shared" si="5"/>
        <v>0</v>
      </c>
      <c r="G20" s="362">
        <f t="shared" si="3"/>
        <v>0</v>
      </c>
      <c r="H20" s="362">
        <v>0</v>
      </c>
      <c r="I20" s="362">
        <v>0</v>
      </c>
    </row>
    <row r="21" spans="1:9" s="179" customFormat="1" ht="21" x14ac:dyDescent="0.25">
      <c r="A21" s="238" t="s">
        <v>1014</v>
      </c>
      <c r="B21" s="362">
        <v>2523000</v>
      </c>
      <c r="C21" s="362">
        <v>0</v>
      </c>
      <c r="D21" s="362">
        <f t="shared" si="4"/>
        <v>2523000</v>
      </c>
      <c r="E21" s="362"/>
      <c r="F21" s="363">
        <f t="shared" si="5"/>
        <v>2900000</v>
      </c>
      <c r="G21" s="362">
        <f t="shared" si="3"/>
        <v>2523000</v>
      </c>
      <c r="H21" s="362">
        <v>377000</v>
      </c>
      <c r="I21" s="362">
        <v>0</v>
      </c>
    </row>
    <row r="22" spans="1:9" s="179" customFormat="1" ht="11.5" x14ac:dyDescent="0.25">
      <c r="A22" s="240" t="s">
        <v>815</v>
      </c>
      <c r="B22" s="364">
        <f>B6+B13</f>
        <v>453155159.51239997</v>
      </c>
      <c r="C22" s="364">
        <f t="shared" ref="C22:I22" si="6">C6+C13</f>
        <v>5498216.666666667</v>
      </c>
      <c r="D22" s="364">
        <f t="shared" si="6"/>
        <v>458653376.17906666</v>
      </c>
      <c r="E22" s="364"/>
      <c r="F22" s="364">
        <f t="shared" si="6"/>
        <v>598135208.21567822</v>
      </c>
      <c r="G22" s="364">
        <f t="shared" si="6"/>
        <v>458653376.17906666</v>
      </c>
      <c r="H22" s="364">
        <f t="shared" si="6"/>
        <v>139481832.0366115</v>
      </c>
      <c r="I22" s="364">
        <f t="shared" si="6"/>
        <v>0</v>
      </c>
    </row>
    <row r="23" spans="1:9" s="179" customFormat="1" ht="11.5" x14ac:dyDescent="0.25">
      <c r="A23" s="240" t="s">
        <v>816</v>
      </c>
      <c r="B23" s="362"/>
      <c r="C23" s="362"/>
      <c r="D23" s="362">
        <f t="shared" si="4"/>
        <v>0</v>
      </c>
      <c r="E23" s="362"/>
      <c r="F23" s="362"/>
      <c r="G23" s="362"/>
      <c r="H23" s="362"/>
      <c r="I23" s="362"/>
    </row>
    <row r="24" spans="1:9" s="179" customFormat="1" ht="11.5" x14ac:dyDescent="0.25">
      <c r="A24" s="238" t="s">
        <v>817</v>
      </c>
      <c r="B24" s="362"/>
      <c r="C24" s="362"/>
      <c r="D24" s="362">
        <f t="shared" si="4"/>
        <v>0</v>
      </c>
      <c r="E24" s="362"/>
      <c r="F24" s="362">
        <v>0</v>
      </c>
      <c r="G24" s="362">
        <v>0</v>
      </c>
      <c r="H24" s="362">
        <v>0</v>
      </c>
      <c r="I24" s="362">
        <v>0</v>
      </c>
    </row>
    <row r="25" spans="1:9" s="179" customFormat="1" ht="11.5" x14ac:dyDescent="0.25">
      <c r="A25" s="238" t="s">
        <v>818</v>
      </c>
      <c r="B25" s="362"/>
      <c r="C25" s="362"/>
      <c r="D25" s="362">
        <f t="shared" si="4"/>
        <v>0</v>
      </c>
      <c r="E25" s="362"/>
      <c r="F25" s="362"/>
      <c r="G25" s="362"/>
      <c r="H25" s="362"/>
      <c r="I25" s="362"/>
    </row>
    <row r="26" spans="1:9" s="179" customFormat="1" ht="12" thickBot="1" x14ac:dyDescent="0.3">
      <c r="A26" s="241" t="s">
        <v>819</v>
      </c>
      <c r="B26" s="365">
        <f>SUM(B24:B25)</f>
        <v>0</v>
      </c>
      <c r="C26" s="365">
        <f>SUM(C24:C25)</f>
        <v>0</v>
      </c>
      <c r="D26" s="365">
        <f t="shared" si="4"/>
        <v>0</v>
      </c>
      <c r="E26" s="365"/>
      <c r="F26" s="365">
        <f>SUM(F24:F25)</f>
        <v>0</v>
      </c>
      <c r="G26" s="365">
        <f>SUM(G24:G25)</f>
        <v>0</v>
      </c>
      <c r="H26" s="365">
        <f>SUM(H24:H25)</f>
        <v>0</v>
      </c>
      <c r="I26" s="365">
        <f>SUM(I24:I25)</f>
        <v>0</v>
      </c>
    </row>
    <row r="27" spans="1:9" s="179" customFormat="1" ht="12" thickBot="1" x14ac:dyDescent="0.3">
      <c r="A27" s="242" t="s">
        <v>820</v>
      </c>
      <c r="B27" s="366">
        <f>B26+B22</f>
        <v>453155159.51239997</v>
      </c>
      <c r="C27" s="366">
        <f>C26+C22</f>
        <v>5498216.666666667</v>
      </c>
      <c r="D27" s="366">
        <f>B27+C27</f>
        <v>458653376.17906666</v>
      </c>
      <c r="E27" s="366"/>
      <c r="F27" s="366">
        <f>F22+F26</f>
        <v>598135208.21567822</v>
      </c>
      <c r="G27" s="366">
        <f>G22+G26</f>
        <v>458653376.17906666</v>
      </c>
      <c r="H27" s="366">
        <f>H22+H26</f>
        <v>139481832.0366115</v>
      </c>
      <c r="I27" s="366">
        <f>I22+I26</f>
        <v>0</v>
      </c>
    </row>
    <row r="28" spans="1:9" s="179" customFormat="1" ht="11.5" x14ac:dyDescent="0.25">
      <c r="A28" s="243" t="s">
        <v>821</v>
      </c>
      <c r="B28" s="367"/>
      <c r="C28" s="367"/>
      <c r="D28" s="367">
        <f t="shared" si="4"/>
        <v>0</v>
      </c>
      <c r="E28" s="367"/>
      <c r="F28" s="367"/>
      <c r="G28" s="367"/>
      <c r="H28" s="367"/>
      <c r="I28" s="367"/>
    </row>
    <row r="29" spans="1:9" s="179" customFormat="1" ht="11.5" x14ac:dyDescent="0.25">
      <c r="A29" s="236" t="s">
        <v>822</v>
      </c>
      <c r="B29" s="362"/>
      <c r="C29" s="362"/>
      <c r="D29" s="362">
        <f t="shared" si="4"/>
        <v>0</v>
      </c>
      <c r="E29" s="362"/>
      <c r="F29" s="362"/>
      <c r="G29" s="362"/>
      <c r="H29" s="362"/>
      <c r="I29" s="362"/>
    </row>
    <row r="30" spans="1:9" s="179" customFormat="1" ht="21" x14ac:dyDescent="0.25">
      <c r="A30" s="244" t="s">
        <v>843</v>
      </c>
      <c r="B30" s="362"/>
      <c r="C30" s="362">
        <v>0</v>
      </c>
      <c r="D30" s="362">
        <f t="shared" si="4"/>
        <v>0</v>
      </c>
      <c r="E30" s="362"/>
      <c r="F30" s="362">
        <f>G30+H30+I30</f>
        <v>0</v>
      </c>
      <c r="G30" s="362">
        <f>D30</f>
        <v>0</v>
      </c>
      <c r="H30" s="362"/>
      <c r="I30" s="362"/>
    </row>
    <row r="31" spans="1:9" s="179" customFormat="1" ht="12" thickBot="1" x14ac:dyDescent="0.3">
      <c r="A31" s="241" t="s">
        <v>824</v>
      </c>
      <c r="B31" s="365">
        <f>SUM(B28:B30)</f>
        <v>0</v>
      </c>
      <c r="C31" s="365">
        <f>SUM(C28:C30)</f>
        <v>0</v>
      </c>
      <c r="D31" s="365">
        <f>SUM(D28:D30)</f>
        <v>0</v>
      </c>
      <c r="E31" s="365"/>
      <c r="F31" s="365">
        <f>SUM(F28:F30)</f>
        <v>0</v>
      </c>
      <c r="G31" s="365">
        <f>SUM(G28:G30)</f>
        <v>0</v>
      </c>
      <c r="H31" s="365">
        <f>SUM(H28:H30)</f>
        <v>0</v>
      </c>
      <c r="I31" s="365">
        <f>SUM(I28:I30)</f>
        <v>0</v>
      </c>
    </row>
    <row r="32" spans="1:9" s="179" customFormat="1" ht="12" thickBot="1" x14ac:dyDescent="0.3">
      <c r="A32" s="242" t="s">
        <v>828</v>
      </c>
      <c r="B32" s="368">
        <f t="shared" ref="B32:H32" si="7">B31</f>
        <v>0</v>
      </c>
      <c r="C32" s="368">
        <f t="shared" si="7"/>
        <v>0</v>
      </c>
      <c r="D32" s="368">
        <f t="shared" si="7"/>
        <v>0</v>
      </c>
      <c r="E32" s="368"/>
      <c r="F32" s="368">
        <f t="shared" si="7"/>
        <v>0</v>
      </c>
      <c r="G32" s="368">
        <f t="shared" si="7"/>
        <v>0</v>
      </c>
      <c r="H32" s="368">
        <f t="shared" si="7"/>
        <v>0</v>
      </c>
      <c r="I32" s="368">
        <f>I31</f>
        <v>0</v>
      </c>
    </row>
    <row r="33" spans="1:10" s="179" customFormat="1" ht="12" thickBot="1" x14ac:dyDescent="0.3">
      <c r="A33" s="242" t="s">
        <v>703</v>
      </c>
      <c r="B33" s="368">
        <f>B27-B32</f>
        <v>453155159.51239997</v>
      </c>
      <c r="C33" s="368">
        <f>C27-C32</f>
        <v>5498216.666666667</v>
      </c>
      <c r="D33" s="368">
        <f t="shared" ref="D33:I33" si="8">D27-D32</f>
        <v>458653376.17906666</v>
      </c>
      <c r="E33" s="368"/>
      <c r="F33" s="368">
        <f t="shared" si="8"/>
        <v>598135208.21567822</v>
      </c>
      <c r="G33" s="368">
        <f t="shared" si="8"/>
        <v>458653376.17906666</v>
      </c>
      <c r="H33" s="368">
        <f t="shared" si="8"/>
        <v>139481832.0366115</v>
      </c>
      <c r="I33" s="368">
        <f t="shared" si="8"/>
        <v>0</v>
      </c>
    </row>
    <row r="34" spans="1:10" s="179" customFormat="1" ht="12" thickBot="1" x14ac:dyDescent="0.3">
      <c r="A34" s="152" t="s">
        <v>703</v>
      </c>
      <c r="B34" s="288">
        <v>453155159.51239997</v>
      </c>
      <c r="C34" s="288">
        <v>5498216.666666667</v>
      </c>
      <c r="D34" s="288">
        <v>458653376.17906666</v>
      </c>
      <c r="E34" s="288"/>
      <c r="F34" s="288">
        <v>598135208.21567822</v>
      </c>
      <c r="G34" s="288">
        <v>458653376.17906666</v>
      </c>
      <c r="H34" s="288">
        <v>139481832.0366115</v>
      </c>
      <c r="I34" s="288">
        <v>0</v>
      </c>
    </row>
    <row r="35" spans="1:10" s="179" customFormat="1" ht="12" thickBot="1" x14ac:dyDescent="0.3">
      <c r="A35" s="153" t="s">
        <v>704</v>
      </c>
      <c r="B35" s="318">
        <v>42656182.456719898</v>
      </c>
      <c r="C35" s="318">
        <v>0</v>
      </c>
      <c r="D35" s="318">
        <v>42656182.456719898</v>
      </c>
      <c r="E35" s="318"/>
      <c r="F35" s="362">
        <v>57115905.32340461</v>
      </c>
      <c r="G35" s="318">
        <v>42656182.456719898</v>
      </c>
      <c r="H35" s="318">
        <v>14459722.866684711</v>
      </c>
      <c r="I35" s="318">
        <v>0</v>
      </c>
    </row>
    <row r="36" spans="1:10" s="179" customFormat="1" ht="12" thickBot="1" x14ac:dyDescent="0.3">
      <c r="A36" s="152" t="s">
        <v>705</v>
      </c>
      <c r="B36" s="319">
        <v>495811341.96911985</v>
      </c>
      <c r="C36" s="319">
        <v>5498216.666666667</v>
      </c>
      <c r="D36" s="319">
        <v>501309558.63578653</v>
      </c>
      <c r="E36" s="319"/>
      <c r="F36" s="319">
        <f>+F34+F35</f>
        <v>655251113.53908277</v>
      </c>
      <c r="G36" s="319">
        <f>+G34+G35</f>
        <v>501309558.63578653</v>
      </c>
      <c r="H36" s="319">
        <f>+H34+H35</f>
        <v>153941554.9032962</v>
      </c>
      <c r="I36" s="319">
        <v>0</v>
      </c>
    </row>
    <row r="37" spans="1:10" s="179" customFormat="1" ht="12" thickBot="1" x14ac:dyDescent="0.3">
      <c r="A37" s="152" t="s">
        <v>706</v>
      </c>
      <c r="B37" s="288">
        <v>629680404.3007822</v>
      </c>
      <c r="C37" s="288">
        <v>6982734.166666667</v>
      </c>
      <c r="D37" s="288">
        <v>636663138.46744883</v>
      </c>
      <c r="E37" s="288"/>
      <c r="F37" s="288">
        <f>+F36*1.27</f>
        <v>832168914.19463515</v>
      </c>
      <c r="G37" s="288">
        <f>+G36*1.27</f>
        <v>636663139.46744895</v>
      </c>
      <c r="H37" s="288">
        <f>+H36*1.27</f>
        <v>195505774.72718617</v>
      </c>
      <c r="I37" s="288">
        <v>0</v>
      </c>
    </row>
    <row r="38" spans="1:10" s="179" customFormat="1" ht="21.5" thickBot="1" x14ac:dyDescent="0.3">
      <c r="A38" s="1002" t="s">
        <v>1747</v>
      </c>
      <c r="B38" s="633"/>
      <c r="C38" s="633"/>
      <c r="D38" s="634">
        <f t="shared" ref="D38:D39" si="9">B38+C38</f>
        <v>0</v>
      </c>
      <c r="E38" s="318"/>
      <c r="F38" s="633"/>
      <c r="G38" s="633"/>
      <c r="H38" s="633"/>
      <c r="I38" s="634">
        <f t="shared" ref="I38" si="10">G38+H38</f>
        <v>0</v>
      </c>
      <c r="J38" s="806"/>
    </row>
    <row r="39" spans="1:10" s="179" customFormat="1" ht="21.5" thickBot="1" x14ac:dyDescent="0.3">
      <c r="A39" s="1003" t="s">
        <v>1748</v>
      </c>
      <c r="B39" s="633"/>
      <c r="C39" s="633">
        <v>17000000</v>
      </c>
      <c r="D39" s="634">
        <f t="shared" si="9"/>
        <v>17000000</v>
      </c>
      <c r="E39" s="318"/>
      <c r="F39" s="633">
        <f>SUM(G39:I39)</f>
        <v>17000000</v>
      </c>
      <c r="G39" s="633">
        <f>D39</f>
        <v>17000000</v>
      </c>
      <c r="H39" s="633"/>
      <c r="I39" s="634">
        <v>0</v>
      </c>
      <c r="J39" s="806"/>
    </row>
    <row r="40" spans="1:10" s="179" customFormat="1" ht="13.5" thickBot="1" x14ac:dyDescent="0.3">
      <c r="A40" s="147" t="s">
        <v>1750</v>
      </c>
      <c r="B40" s="807">
        <f>SUM(B37:B39)</f>
        <v>629680404.3007822</v>
      </c>
      <c r="C40" s="807">
        <f t="shared" ref="C40:D40" si="11">SUM(C37:C39)</f>
        <v>23982734.166666668</v>
      </c>
      <c r="D40" s="807">
        <f t="shared" si="11"/>
        <v>653663138.46744883</v>
      </c>
      <c r="E40" s="318"/>
      <c r="F40" s="807">
        <f>SUM(F37:F39)</f>
        <v>849168914.19463515</v>
      </c>
      <c r="G40" s="807">
        <f>SUM(G37:G39)</f>
        <v>653663139.46744895</v>
      </c>
      <c r="H40" s="807">
        <f t="shared" ref="H40" si="12">SUM(H37:H39)</f>
        <v>195505774.72718617</v>
      </c>
      <c r="I40" s="807">
        <f t="shared" ref="I40" si="13">SUM(I37:I39)</f>
        <v>0</v>
      </c>
      <c r="J40" s="806"/>
    </row>
    <row r="41" spans="1:10" s="179" customFormat="1" ht="23.25" customHeight="1" x14ac:dyDescent="0.25">
      <c r="A41" s="154" t="s">
        <v>1781</v>
      </c>
      <c r="B41" s="289">
        <v>29.5</v>
      </c>
      <c r="C41" s="289">
        <v>0</v>
      </c>
      <c r="D41" s="289">
        <v>29.5</v>
      </c>
      <c r="E41" s="289"/>
      <c r="F41" s="289">
        <v>39.5</v>
      </c>
      <c r="G41" s="289">
        <v>29.5</v>
      </c>
      <c r="H41" s="289">
        <v>10</v>
      </c>
      <c r="I41" s="289">
        <v>0</v>
      </c>
    </row>
    <row r="42" spans="1:10" s="179" customFormat="1" ht="11.5" x14ac:dyDescent="0.25">
      <c r="B42" s="188"/>
      <c r="C42" s="188"/>
      <c r="D42" s="188"/>
      <c r="E42" s="188"/>
      <c r="F42" s="188"/>
      <c r="G42" s="188"/>
      <c r="H42" s="188"/>
      <c r="I42" s="188"/>
    </row>
    <row r="43" spans="1:10" s="179" customFormat="1" ht="11.5" x14ac:dyDescent="0.25">
      <c r="B43" s="188"/>
      <c r="C43" s="188"/>
      <c r="D43" s="188"/>
      <c r="E43" s="188"/>
      <c r="F43" s="188"/>
      <c r="G43" s="188"/>
      <c r="H43" s="188"/>
      <c r="I43" s="188"/>
    </row>
    <row r="44" spans="1:10" s="179" customFormat="1" ht="42.65" customHeight="1" x14ac:dyDescent="0.25">
      <c r="A44" s="155" t="s">
        <v>700</v>
      </c>
      <c r="B44" s="1138" t="s">
        <v>1797</v>
      </c>
      <c r="C44" s="1139"/>
      <c r="D44" s="1139"/>
      <c r="E44" s="1139"/>
      <c r="F44" s="1139"/>
      <c r="G44" s="1139"/>
      <c r="H44" s="1140"/>
      <c r="I44" s="180"/>
    </row>
    <row r="45" spans="1:10" s="179" customFormat="1" ht="39.65" customHeight="1" x14ac:dyDescent="0.25">
      <c r="A45" s="158" t="s">
        <v>702</v>
      </c>
      <c r="B45" s="1141" t="s">
        <v>1743</v>
      </c>
      <c r="C45" s="1142"/>
      <c r="D45" s="1143"/>
      <c r="E45" s="1144" t="s">
        <v>557</v>
      </c>
      <c r="F45" s="1144" t="s">
        <v>1796</v>
      </c>
      <c r="G45" s="1146" t="s">
        <v>1798</v>
      </c>
      <c r="H45" s="1146"/>
      <c r="I45" s="1146"/>
    </row>
    <row r="46" spans="1:10" s="179" customFormat="1" ht="46" x14ac:dyDescent="0.25">
      <c r="A46" s="159"/>
      <c r="B46" s="181" t="s">
        <v>567</v>
      </c>
      <c r="C46" s="181" t="s">
        <v>568</v>
      </c>
      <c r="D46" s="181" t="s">
        <v>564</v>
      </c>
      <c r="E46" s="1145"/>
      <c r="F46" s="1145"/>
      <c r="G46" s="182"/>
      <c r="H46" s="182"/>
      <c r="I46" s="182"/>
    </row>
    <row r="47" spans="1:10" s="179" customFormat="1" ht="11.5" x14ac:dyDescent="0.25">
      <c r="A47" s="159"/>
      <c r="B47" s="181"/>
      <c r="C47" s="181"/>
      <c r="D47" s="181"/>
      <c r="E47" s="183"/>
      <c r="F47" s="183"/>
      <c r="G47" s="182" t="s">
        <v>985</v>
      </c>
      <c r="H47" s="182" t="s">
        <v>986</v>
      </c>
      <c r="I47" s="182" t="s">
        <v>987</v>
      </c>
    </row>
    <row r="48" spans="1:10" s="179" customFormat="1" ht="11.5" x14ac:dyDescent="0.25">
      <c r="A48" s="236" t="s">
        <v>805</v>
      </c>
      <c r="B48" s="283"/>
      <c r="C48" s="283"/>
      <c r="D48" s="283">
        <v>0</v>
      </c>
      <c r="E48" s="283"/>
      <c r="F48" s="283"/>
      <c r="G48" s="283"/>
      <c r="H48" s="283"/>
      <c r="I48" s="283"/>
    </row>
    <row r="49" spans="1:9" s="179" customFormat="1" ht="11.5" x14ac:dyDescent="0.25">
      <c r="A49" s="237" t="s">
        <v>834</v>
      </c>
      <c r="B49" s="361">
        <f>B50+B52+B55</f>
        <v>99089487.260000005</v>
      </c>
      <c r="C49" s="361">
        <f>C50+C52+C55</f>
        <v>2866764</v>
      </c>
      <c r="D49" s="361">
        <f>D50+D52+D55</f>
        <v>101956251.26000001</v>
      </c>
      <c r="E49" s="361"/>
      <c r="F49" s="361">
        <f>F50+F52+F55</f>
        <v>165080872.96000001</v>
      </c>
      <c r="G49" s="361">
        <f>G50+G52+G55</f>
        <v>101956251.26000001</v>
      </c>
      <c r="H49" s="361">
        <f>H50+H52+H55</f>
        <v>63124621.700000003</v>
      </c>
      <c r="I49" s="361">
        <f>I50+I52+I55</f>
        <v>0</v>
      </c>
    </row>
    <row r="50" spans="1:9" s="179" customFormat="1" ht="11.5" x14ac:dyDescent="0.25">
      <c r="A50" s="238" t="s">
        <v>1001</v>
      </c>
      <c r="B50" s="362">
        <f>('Felosztás eredménykim'!CX325+'Felosztás eredménykim'!CX326)*1000</f>
        <v>88108015.260000005</v>
      </c>
      <c r="C50" s="362">
        <f>'Felosztás eredménykim'!CX354*1000</f>
        <v>2269348</v>
      </c>
      <c r="D50" s="362">
        <f>SUM(B50:C50)</f>
        <v>90377363.260000005</v>
      </c>
      <c r="E50" s="362"/>
      <c r="F50" s="359">
        <f>SUM(G50:I50)</f>
        <v>146953557.96000001</v>
      </c>
      <c r="G50" s="362">
        <f t="shared" ref="G50:G55" si="14">D50</f>
        <v>90377363.260000005</v>
      </c>
      <c r="H50" s="362">
        <f>('Felosztás eredménykim'!CY325+'Felosztás eredménykim'!CZ325+'Felosztás eredménykim'!CY326+'Felosztás eredménykim'!CZ326+'Felosztás eredménykim'!CY354+'Felosztás eredménykim'!CZ354)*1000</f>
        <v>56576194.700000003</v>
      </c>
      <c r="I50" s="362"/>
    </row>
    <row r="51" spans="1:9" s="179" customFormat="1" ht="21" x14ac:dyDescent="0.25">
      <c r="A51" s="238" t="s">
        <v>1002</v>
      </c>
      <c r="B51" s="362"/>
      <c r="C51" s="362"/>
      <c r="D51" s="362"/>
      <c r="E51" s="362"/>
      <c r="F51" s="359"/>
      <c r="G51" s="362">
        <f t="shared" si="14"/>
        <v>0</v>
      </c>
      <c r="H51" s="362"/>
      <c r="I51" s="362"/>
    </row>
    <row r="52" spans="1:9" s="179" customFormat="1" ht="11.5" x14ac:dyDescent="0.25">
      <c r="A52" s="238" t="s">
        <v>1003</v>
      </c>
      <c r="B52" s="362">
        <f>'Felosztás eredménykim'!CX327*1000</f>
        <v>100000</v>
      </c>
      <c r="C52" s="362"/>
      <c r="D52" s="362">
        <f>SUM(B52:C52)</f>
        <v>100000</v>
      </c>
      <c r="E52" s="362"/>
      <c r="F52" s="359">
        <f>SUM(G52:I52)</f>
        <v>100000</v>
      </c>
      <c r="G52" s="362">
        <f t="shared" si="14"/>
        <v>100000</v>
      </c>
      <c r="H52" s="362">
        <f>'Felosztás eredménykim'!CY327*1000+'Felosztás eredménykim'!CZ327*1000</f>
        <v>0</v>
      </c>
      <c r="I52" s="362"/>
    </row>
    <row r="53" spans="1:9" s="179" customFormat="1" ht="21" x14ac:dyDescent="0.25">
      <c r="A53" s="238" t="s">
        <v>1004</v>
      </c>
      <c r="B53" s="362"/>
      <c r="C53" s="362"/>
      <c r="D53" s="362"/>
      <c r="E53" s="362"/>
      <c r="F53" s="359"/>
      <c r="G53" s="362">
        <f t="shared" si="14"/>
        <v>0</v>
      </c>
      <c r="H53" s="362"/>
      <c r="I53" s="362"/>
    </row>
    <row r="54" spans="1:9" s="179" customFormat="1" ht="21" x14ac:dyDescent="0.25">
      <c r="A54" s="238" t="s">
        <v>1005</v>
      </c>
      <c r="B54" s="362"/>
      <c r="C54" s="362"/>
      <c r="D54" s="362"/>
      <c r="E54" s="362"/>
      <c r="F54" s="359"/>
      <c r="G54" s="362">
        <f t="shared" si="14"/>
        <v>0</v>
      </c>
      <c r="H54" s="362"/>
      <c r="I54" s="362"/>
    </row>
    <row r="55" spans="1:9" s="179" customFormat="1" ht="31.5" x14ac:dyDescent="0.25">
      <c r="A55" s="239" t="s">
        <v>1006</v>
      </c>
      <c r="B55" s="362">
        <f>'Felosztás eredménykim'!CX328*1000</f>
        <v>10881472</v>
      </c>
      <c r="C55" s="362">
        <f>'Felosztás eredménykim'!CX356*1000</f>
        <v>597416</v>
      </c>
      <c r="D55" s="362">
        <f>SUM(B55:C55)</f>
        <v>11478888</v>
      </c>
      <c r="E55" s="363"/>
      <c r="F55" s="359">
        <f>SUM(G55:I55)</f>
        <v>18027315</v>
      </c>
      <c r="G55" s="362">
        <f t="shared" si="14"/>
        <v>11478888</v>
      </c>
      <c r="H55" s="362">
        <f>('Felosztás eredménykim'!CY328+'Felosztás eredménykim'!CZ328+'Felosztás eredménykim'!CY356+'Felosztás eredménykim'!CZ356)*1000</f>
        <v>6548427</v>
      </c>
      <c r="I55" s="362"/>
    </row>
    <row r="56" spans="1:9" s="179" customFormat="1" ht="11.5" x14ac:dyDescent="0.25">
      <c r="A56" s="237" t="s">
        <v>811</v>
      </c>
      <c r="B56" s="361">
        <f>B57+B59+B61+B62+B64</f>
        <v>309493988.75</v>
      </c>
      <c r="C56" s="361">
        <f>C57+C59+C61+C62+C64</f>
        <v>0</v>
      </c>
      <c r="D56" s="361">
        <f>D57+D59+D61+D62+D64</f>
        <v>309493988.75</v>
      </c>
      <c r="E56" s="361"/>
      <c r="F56" s="361">
        <f>F57+F59+F61+F62+F64</f>
        <v>385418139.22000003</v>
      </c>
      <c r="G56" s="361">
        <f>G57+G59+G61+G62+G64</f>
        <v>309493988.75</v>
      </c>
      <c r="H56" s="361">
        <f>H57+H59+H61+H62+H64</f>
        <v>75924150.470000029</v>
      </c>
      <c r="I56" s="361">
        <f>I57+I59+I61+I62+I64</f>
        <v>0</v>
      </c>
    </row>
    <row r="57" spans="1:9" s="179" customFormat="1" ht="11.5" x14ac:dyDescent="0.25">
      <c r="A57" s="238" t="s">
        <v>1007</v>
      </c>
      <c r="B57" s="362">
        <f>'Felosztás eredménykim'!CX334*1000</f>
        <v>6255150.2000000011</v>
      </c>
      <c r="C57" s="362"/>
      <c r="D57" s="362">
        <f>SUM(B57:C57)</f>
        <v>6255150.2000000011</v>
      </c>
      <c r="E57" s="362"/>
      <c r="F57" s="359">
        <f>SUM(G57:I57)</f>
        <v>7492014.2800000012</v>
      </c>
      <c r="G57" s="362">
        <f t="shared" ref="G57:G64" si="15">D57</f>
        <v>6255150.2000000011</v>
      </c>
      <c r="H57" s="362">
        <f>'Felosztás eredménykim'!CY334*1000+'Felosztás eredménykim'!CZ334*1000</f>
        <v>1236864.0800000003</v>
      </c>
      <c r="I57" s="362"/>
    </row>
    <row r="58" spans="1:9" s="179" customFormat="1" ht="21" x14ac:dyDescent="0.25">
      <c r="A58" s="238" t="s">
        <v>1008</v>
      </c>
      <c r="B58" s="362"/>
      <c r="C58" s="362"/>
      <c r="D58" s="362">
        <f t="shared" ref="D58:D64" si="16">SUM(B58:C58)</f>
        <v>0</v>
      </c>
      <c r="E58" s="362"/>
      <c r="F58" s="359">
        <f t="shared" ref="F58:F64" si="17">SUM(G58:I58)</f>
        <v>0</v>
      </c>
      <c r="G58" s="362">
        <f t="shared" si="15"/>
        <v>0</v>
      </c>
      <c r="H58" s="362"/>
      <c r="I58" s="362"/>
    </row>
    <row r="59" spans="1:9" s="179" customFormat="1" ht="11.5" x14ac:dyDescent="0.25">
      <c r="A59" s="238" t="s">
        <v>1009</v>
      </c>
      <c r="B59" s="362">
        <f>'Felosztás eredménykim'!CX331*1000</f>
        <v>4952774.1899999985</v>
      </c>
      <c r="C59" s="362"/>
      <c r="D59" s="362">
        <f t="shared" si="16"/>
        <v>4952774.1899999985</v>
      </c>
      <c r="E59" s="362"/>
      <c r="F59" s="359">
        <f t="shared" si="17"/>
        <v>6371842.1499999985</v>
      </c>
      <c r="G59" s="362">
        <f t="shared" si="15"/>
        <v>4952774.1899999985</v>
      </c>
      <c r="H59" s="362">
        <f>'Felosztás eredménykim'!CY331*1000+'Felosztás eredménykim'!CZ331*1000</f>
        <v>1419067.9599999995</v>
      </c>
      <c r="I59" s="362"/>
    </row>
    <row r="60" spans="1:9" s="179" customFormat="1" ht="21" x14ac:dyDescent="0.25">
      <c r="A60" s="238" t="s">
        <v>1010</v>
      </c>
      <c r="B60" s="362"/>
      <c r="C60" s="362"/>
      <c r="D60" s="362">
        <f t="shared" si="16"/>
        <v>0</v>
      </c>
      <c r="E60" s="362"/>
      <c r="F60" s="359">
        <f t="shared" si="17"/>
        <v>0</v>
      </c>
      <c r="G60" s="362">
        <f t="shared" si="15"/>
        <v>0</v>
      </c>
      <c r="H60" s="362"/>
      <c r="I60" s="362"/>
    </row>
    <row r="61" spans="1:9" s="179" customFormat="1" ht="11.5" x14ac:dyDescent="0.25">
      <c r="A61" s="238" t="s">
        <v>1011</v>
      </c>
      <c r="B61" s="362">
        <f>'Felosztás eredménykim'!CX332*1000</f>
        <v>293443990.05000001</v>
      </c>
      <c r="C61" s="362"/>
      <c r="D61" s="362">
        <f t="shared" si="16"/>
        <v>293443990.05000001</v>
      </c>
      <c r="E61" s="362"/>
      <c r="F61" s="359">
        <f t="shared" si="17"/>
        <v>366398266.48000002</v>
      </c>
      <c r="G61" s="362">
        <f t="shared" si="15"/>
        <v>293443990.05000001</v>
      </c>
      <c r="H61" s="362">
        <f>'Felosztás eredménykim'!CY332*1000+'Felosztás eredménykim'!CZ332*1000</f>
        <v>72954276.430000022</v>
      </c>
      <c r="I61" s="362"/>
    </row>
    <row r="62" spans="1:9" s="179" customFormat="1" ht="21" x14ac:dyDescent="0.25">
      <c r="A62" s="238" t="s">
        <v>1012</v>
      </c>
      <c r="B62" s="362">
        <f>'Felosztás eredménykim'!CX333*1000</f>
        <v>2852681.33</v>
      </c>
      <c r="C62" s="362"/>
      <c r="D62" s="362">
        <f t="shared" si="16"/>
        <v>2852681.33</v>
      </c>
      <c r="E62" s="362"/>
      <c r="F62" s="359">
        <f t="shared" si="17"/>
        <v>2906164.33</v>
      </c>
      <c r="G62" s="362">
        <f t="shared" si="15"/>
        <v>2852681.33</v>
      </c>
      <c r="H62" s="362">
        <f>'Felosztás eredménykim'!CY333*1000+'Felosztás eredménykim'!CZ333*1000</f>
        <v>53483</v>
      </c>
      <c r="I62" s="362"/>
    </row>
    <row r="63" spans="1:9" s="179" customFormat="1" ht="21" x14ac:dyDescent="0.25">
      <c r="A63" s="238" t="s">
        <v>1013</v>
      </c>
      <c r="B63" s="362"/>
      <c r="C63" s="362"/>
      <c r="D63" s="362">
        <f t="shared" si="16"/>
        <v>0</v>
      </c>
      <c r="E63" s="362"/>
      <c r="F63" s="359">
        <f t="shared" si="17"/>
        <v>0</v>
      </c>
      <c r="G63" s="362">
        <f t="shared" si="15"/>
        <v>0</v>
      </c>
      <c r="H63" s="362"/>
      <c r="I63" s="362"/>
    </row>
    <row r="64" spans="1:9" s="179" customFormat="1" ht="21" x14ac:dyDescent="0.25">
      <c r="A64" s="238" t="s">
        <v>1014</v>
      </c>
      <c r="B64" s="362">
        <f>'Felosztás eredménykim'!CX330*1000</f>
        <v>1989392.9800000002</v>
      </c>
      <c r="C64" s="362"/>
      <c r="D64" s="362">
        <f t="shared" si="16"/>
        <v>1989392.9800000002</v>
      </c>
      <c r="E64" s="362"/>
      <c r="F64" s="359">
        <f t="shared" si="17"/>
        <v>2249851.9800000004</v>
      </c>
      <c r="G64" s="362">
        <f t="shared" si="15"/>
        <v>1989392.9800000002</v>
      </c>
      <c r="H64" s="362">
        <f>'Felosztás eredménykim'!CY330*1000+'Felosztás eredménykim'!CZ330*1000</f>
        <v>260459</v>
      </c>
      <c r="I64" s="362"/>
    </row>
    <row r="65" spans="1:9" s="179" customFormat="1" ht="11.5" x14ac:dyDescent="0.25">
      <c r="A65" s="240" t="s">
        <v>815</v>
      </c>
      <c r="B65" s="364">
        <f>B49+B56</f>
        <v>408583476.00999999</v>
      </c>
      <c r="C65" s="364">
        <f>C49+C56</f>
        <v>2866764</v>
      </c>
      <c r="D65" s="364">
        <f>D49+D56</f>
        <v>411450240.00999999</v>
      </c>
      <c r="E65" s="364"/>
      <c r="F65" s="364">
        <f>F49+F56</f>
        <v>550499012.18000007</v>
      </c>
      <c r="G65" s="364">
        <f>G49+G56</f>
        <v>411450240.00999999</v>
      </c>
      <c r="H65" s="364">
        <f>H49+H56</f>
        <v>139048772.17000002</v>
      </c>
      <c r="I65" s="364">
        <f>I49+I56</f>
        <v>0</v>
      </c>
    </row>
    <row r="66" spans="1:9" s="179" customFormat="1" ht="11.5" x14ac:dyDescent="0.25">
      <c r="A66" s="240" t="s">
        <v>816</v>
      </c>
      <c r="B66" s="362"/>
      <c r="C66" s="362"/>
      <c r="D66" s="362">
        <f>SUM(B66:C66)</f>
        <v>0</v>
      </c>
      <c r="E66" s="362"/>
      <c r="F66" s="362"/>
      <c r="G66" s="362"/>
      <c r="H66" s="362"/>
      <c r="I66" s="362"/>
    </row>
    <row r="67" spans="1:9" s="179" customFormat="1" ht="11.5" x14ac:dyDescent="0.25">
      <c r="A67" s="238" t="s">
        <v>817</v>
      </c>
      <c r="B67" s="362">
        <f>'Felosztás eredménykim'!CX337*1000</f>
        <v>0</v>
      </c>
      <c r="C67" s="362"/>
      <c r="D67" s="362">
        <f>SUM(B67:C67)</f>
        <v>0</v>
      </c>
      <c r="E67" s="362"/>
      <c r="F67" s="359">
        <f>SUM(G67:I67)</f>
        <v>0</v>
      </c>
      <c r="G67" s="362">
        <f>D67</f>
        <v>0</v>
      </c>
      <c r="H67" s="362">
        <f>('Felosztás eredménykim'!CY336+'Felosztás eredménykim'!CY337)*1000</f>
        <v>0</v>
      </c>
      <c r="I67" s="362">
        <v>0</v>
      </c>
    </row>
    <row r="68" spans="1:9" s="179" customFormat="1" ht="11.5" x14ac:dyDescent="0.25">
      <c r="A68" s="238" t="s">
        <v>818</v>
      </c>
      <c r="B68" s="362"/>
      <c r="C68" s="362"/>
      <c r="D68" s="362">
        <f>SUM(B68:C68)</f>
        <v>0</v>
      </c>
      <c r="E68" s="362"/>
      <c r="F68" s="362"/>
      <c r="G68" s="362"/>
      <c r="H68" s="362"/>
      <c r="I68" s="362"/>
    </row>
    <row r="69" spans="1:9" s="179" customFormat="1" ht="12" thickBot="1" x14ac:dyDescent="0.3">
      <c r="A69" s="241" t="s">
        <v>819</v>
      </c>
      <c r="B69" s="365">
        <f>SUM(B67:B68)</f>
        <v>0</v>
      </c>
      <c r="C69" s="365">
        <f>SUM(C67:C68)</f>
        <v>0</v>
      </c>
      <c r="D69" s="365">
        <f>SUM(B69:C69)</f>
        <v>0</v>
      </c>
      <c r="E69" s="365"/>
      <c r="F69" s="365">
        <f>SUM(F67:F68)</f>
        <v>0</v>
      </c>
      <c r="G69" s="365">
        <f>SUM(G67:G68)</f>
        <v>0</v>
      </c>
      <c r="H69" s="365">
        <f>SUM(H67:H68)</f>
        <v>0</v>
      </c>
      <c r="I69" s="365">
        <f>SUM(I67:I68)</f>
        <v>0</v>
      </c>
    </row>
    <row r="70" spans="1:9" s="179" customFormat="1" ht="12" thickBot="1" x14ac:dyDescent="0.3">
      <c r="A70" s="242" t="s">
        <v>820</v>
      </c>
      <c r="B70" s="366">
        <f>B69+B65</f>
        <v>408583476.00999999</v>
      </c>
      <c r="C70" s="366">
        <f>C69+C65</f>
        <v>2866764</v>
      </c>
      <c r="D70" s="366">
        <f>B70+C70</f>
        <v>411450240.00999999</v>
      </c>
      <c r="E70" s="366"/>
      <c r="F70" s="366">
        <f>F65+F69</f>
        <v>550499012.18000007</v>
      </c>
      <c r="G70" s="366">
        <f>G65+G69</f>
        <v>411450240.00999999</v>
      </c>
      <c r="H70" s="366">
        <f>H65+H69</f>
        <v>139048772.17000002</v>
      </c>
      <c r="I70" s="366">
        <f>I65+I69</f>
        <v>0</v>
      </c>
    </row>
    <row r="71" spans="1:9" s="179" customFormat="1" ht="11.5" x14ac:dyDescent="0.25">
      <c r="A71" s="243" t="s">
        <v>821</v>
      </c>
      <c r="B71" s="367"/>
      <c r="C71" s="367"/>
      <c r="D71" s="367">
        <f>SUM(B71:C71)</f>
        <v>0</v>
      </c>
      <c r="E71" s="367"/>
      <c r="F71" s="367"/>
      <c r="G71" s="367"/>
      <c r="H71" s="367"/>
      <c r="I71" s="367"/>
    </row>
    <row r="72" spans="1:9" s="179" customFormat="1" ht="12" thickBot="1" x14ac:dyDescent="0.3">
      <c r="A72" s="236" t="s">
        <v>822</v>
      </c>
      <c r="B72" s="362"/>
      <c r="C72" s="362"/>
      <c r="D72" s="362">
        <f>SUM(B72:C72)</f>
        <v>0</v>
      </c>
      <c r="E72" s="362"/>
      <c r="F72" s="362"/>
      <c r="G72" s="362"/>
      <c r="H72" s="362"/>
      <c r="I72" s="362"/>
    </row>
    <row r="73" spans="1:9" s="179" customFormat="1" ht="21.5" thickBot="1" x14ac:dyDescent="0.3">
      <c r="A73" s="244" t="s">
        <v>843</v>
      </c>
      <c r="B73" s="362"/>
      <c r="C73" s="362">
        <f>-'Felosztás eredménykim'!CX344*1000</f>
        <v>633179.99999993481</v>
      </c>
      <c r="D73" s="362">
        <f>SUM(B73:C73)</f>
        <v>633179.99999993481</v>
      </c>
      <c r="E73" s="362"/>
      <c r="F73" s="288">
        <f>G73+H73+I73</f>
        <v>633179.99999993481</v>
      </c>
      <c r="G73" s="362">
        <f>D73-I73</f>
        <v>633179.99999993481</v>
      </c>
      <c r="H73" s="362">
        <f>-'Felosztás eredménykim'!CY344*1000</f>
        <v>0</v>
      </c>
      <c r="I73" s="369">
        <v>0</v>
      </c>
    </row>
    <row r="74" spans="1:9" s="179" customFormat="1" ht="12" thickBot="1" x14ac:dyDescent="0.3">
      <c r="A74" s="241" t="s">
        <v>824</v>
      </c>
      <c r="B74" s="365">
        <f>SUM(B71:B73)</f>
        <v>0</v>
      </c>
      <c r="C74" s="365">
        <f>SUM(C71:C73)</f>
        <v>633179.99999993481</v>
      </c>
      <c r="D74" s="365">
        <f>SUM(D71:D73)</f>
        <v>633179.99999993481</v>
      </c>
      <c r="E74" s="365"/>
      <c r="F74" s="365">
        <f>SUM(F71:F73)</f>
        <v>633179.99999993481</v>
      </c>
      <c r="G74" s="365">
        <f>SUM(G71:G73)</f>
        <v>633179.99999993481</v>
      </c>
      <c r="H74" s="365">
        <f>SUM(H71:H73)</f>
        <v>0</v>
      </c>
      <c r="I74" s="365">
        <f>SUM(I71:I73)</f>
        <v>0</v>
      </c>
    </row>
    <row r="75" spans="1:9" s="179" customFormat="1" ht="12" thickBot="1" x14ac:dyDescent="0.3">
      <c r="A75" s="242" t="s">
        <v>828</v>
      </c>
      <c r="B75" s="368">
        <f>B74</f>
        <v>0</v>
      </c>
      <c r="C75" s="368">
        <f>C74</f>
        <v>633179.99999993481</v>
      </c>
      <c r="D75" s="368">
        <f>D74</f>
        <v>633179.99999993481</v>
      </c>
      <c r="E75" s="368"/>
      <c r="F75" s="368">
        <f>F74</f>
        <v>633179.99999993481</v>
      </c>
      <c r="G75" s="368">
        <f>G74</f>
        <v>633179.99999993481</v>
      </c>
      <c r="H75" s="368">
        <f>H74</f>
        <v>0</v>
      </c>
      <c r="I75" s="368">
        <f>I74</f>
        <v>0</v>
      </c>
    </row>
    <row r="76" spans="1:9" s="179" customFormat="1" ht="12" thickBot="1" x14ac:dyDescent="0.3">
      <c r="A76" s="242" t="s">
        <v>703</v>
      </c>
      <c r="B76" s="368">
        <f>B70-B75</f>
        <v>408583476.00999999</v>
      </c>
      <c r="C76" s="368">
        <f>C70-C75</f>
        <v>2233584.0000000652</v>
      </c>
      <c r="D76" s="368">
        <f>D70-D75</f>
        <v>410817060.01000005</v>
      </c>
      <c r="E76" s="368"/>
      <c r="F76" s="368">
        <f>F70-F75</f>
        <v>549865832.18000019</v>
      </c>
      <c r="G76" s="368">
        <f>G70-G75</f>
        <v>410817060.01000005</v>
      </c>
      <c r="H76" s="368">
        <f>H70-H75</f>
        <v>139048772.17000002</v>
      </c>
      <c r="I76" s="368">
        <f>I70-I75</f>
        <v>0</v>
      </c>
    </row>
    <row r="77" spans="1:9" s="179" customFormat="1" ht="12" thickBot="1" x14ac:dyDescent="0.3">
      <c r="A77" s="152" t="s">
        <v>703</v>
      </c>
      <c r="B77" s="288">
        <f>D77-C77</f>
        <v>408583476.01000005</v>
      </c>
      <c r="C77" s="288">
        <f>('Felosztás eredménykim'!CX105+'Felosztás eredménykim'!CX106+'Felosztás eredménykim'!CX110++'Felosztás eredménykim'!CX113+'Felosztás eredménykim'!CX114+'Felosztás eredménykim'!CX119+'Felosztás eredménykim'!CX121+'Felosztás eredménykim'!CX122+'Felosztás eredménykim'!CX124+'Felosztás eredménykim'!CX125+'Felosztás eredménykim'!CX128+'Felosztás eredménykim'!CX135+'Felosztás eredménykim'!CX136+'Felosztás eredménykim'!CX248+'Felosztás eredménykim'!CX260+'Felosztás eredménykim'!CX261+'Felosztás eredménykim'!CX275)</f>
        <v>2233584</v>
      </c>
      <c r="D77" s="288">
        <f>Összesítés!H56</f>
        <v>410817060.01000005</v>
      </c>
      <c r="E77" s="288"/>
      <c r="F77" s="288">
        <f>G77+H77</f>
        <v>549865832.18000007</v>
      </c>
      <c r="G77" s="288">
        <f>D77</f>
        <v>410817060.01000005</v>
      </c>
      <c r="H77" s="288">
        <f>-('Felosztás eredménykim'!CY216+'Felosztás eredménykim'!CZ216-'Felosztás eredménykim'!CY281-'Felosztás eredménykim'!CZ281)</f>
        <v>139048772.17000002</v>
      </c>
      <c r="I77" s="288">
        <v>0</v>
      </c>
    </row>
    <row r="78" spans="1:9" s="179" customFormat="1" ht="12" thickBot="1" x14ac:dyDescent="0.3">
      <c r="A78" s="153" t="s">
        <v>704</v>
      </c>
      <c r="B78" s="288">
        <f>D78-C78</f>
        <v>51724497.016325697</v>
      </c>
      <c r="C78" s="318"/>
      <c r="D78" s="318">
        <f>Összesítés!K56</f>
        <v>51724497.016325697</v>
      </c>
      <c r="E78" s="318"/>
      <c r="F78" s="288">
        <f>SUM(G78:I78)</f>
        <v>51724497.016325697</v>
      </c>
      <c r="G78" s="288">
        <f>D78</f>
        <v>51724497.016325697</v>
      </c>
      <c r="H78" s="318">
        <v>0</v>
      </c>
      <c r="I78" s="318">
        <v>0</v>
      </c>
    </row>
    <row r="79" spans="1:9" s="179" customFormat="1" ht="12" thickBot="1" x14ac:dyDescent="0.3">
      <c r="A79" s="152" t="s">
        <v>705</v>
      </c>
      <c r="B79" s="319">
        <f>SUM(B77:B78)</f>
        <v>460307973.02632576</v>
      </c>
      <c r="C79" s="319">
        <f>SUM(C77:C78)</f>
        <v>2233584</v>
      </c>
      <c r="D79" s="319">
        <f>SUM(D77:D78)</f>
        <v>462541557.02632576</v>
      </c>
      <c r="E79" s="319"/>
      <c r="F79" s="319">
        <f>SUM(F77:F78)</f>
        <v>601590329.19632578</v>
      </c>
      <c r="G79" s="319">
        <f>SUM(G77:G78)</f>
        <v>462541557.02632576</v>
      </c>
      <c r="H79" s="319">
        <f>SUM(H77:H78)</f>
        <v>139048772.17000002</v>
      </c>
      <c r="I79" s="319">
        <f>SUM(I77:I78)</f>
        <v>0</v>
      </c>
    </row>
    <row r="80" spans="1:9" s="179" customFormat="1" ht="12" thickBot="1" x14ac:dyDescent="0.3">
      <c r="A80" s="152" t="s">
        <v>706</v>
      </c>
      <c r="B80" s="288">
        <f>B79*1.27</f>
        <v>584591125.74343371</v>
      </c>
      <c r="C80" s="288">
        <f>C79*1.27</f>
        <v>2836651.68</v>
      </c>
      <c r="D80" s="288">
        <f>D79*1.27</f>
        <v>587427777.42343378</v>
      </c>
      <c r="E80" s="288"/>
      <c r="F80" s="288">
        <f>F79*1.27</f>
        <v>764019718.07933378</v>
      </c>
      <c r="G80" s="288">
        <f>G79*1.27</f>
        <v>587427777.42343378</v>
      </c>
      <c r="H80" s="288">
        <f>H79*1.27</f>
        <v>176591940.65590003</v>
      </c>
      <c r="I80" s="288">
        <f>I79*1.27</f>
        <v>0</v>
      </c>
    </row>
    <row r="81" spans="1:10" s="179" customFormat="1" ht="21.5" thickBot="1" x14ac:dyDescent="0.3">
      <c r="A81" s="805" t="s">
        <v>1747</v>
      </c>
      <c r="B81" s="633"/>
      <c r="C81" s="633"/>
      <c r="D81" s="634">
        <f t="shared" ref="D81:D82" si="18">B81+C81</f>
        <v>0</v>
      </c>
      <c r="E81" s="318"/>
      <c r="F81" s="633">
        <f>SUM(G81:I81)</f>
        <v>0</v>
      </c>
      <c r="G81" s="633"/>
      <c r="H81" s="633"/>
      <c r="I81" s="634">
        <f t="shared" ref="I81" si="19">G81+H81</f>
        <v>0</v>
      </c>
      <c r="J81" s="806"/>
    </row>
    <row r="82" spans="1:10" s="179" customFormat="1" ht="21.5" thickBot="1" x14ac:dyDescent="0.3">
      <c r="A82" s="805" t="s">
        <v>1748</v>
      </c>
      <c r="B82" s="633"/>
      <c r="C82" s="633">
        <f>6016000*2</f>
        <v>12032000</v>
      </c>
      <c r="D82" s="634">
        <f t="shared" si="18"/>
        <v>12032000</v>
      </c>
      <c r="E82" s="318"/>
      <c r="F82" s="633">
        <f>SUM(G82:I82)</f>
        <v>12032000</v>
      </c>
      <c r="G82" s="633">
        <f>D82</f>
        <v>12032000</v>
      </c>
      <c r="H82" s="633"/>
      <c r="I82" s="634"/>
      <c r="J82" s="806"/>
    </row>
    <row r="83" spans="1:10" s="179" customFormat="1" ht="13.5" thickBot="1" x14ac:dyDescent="0.3">
      <c r="A83" s="147" t="s">
        <v>1750</v>
      </c>
      <c r="B83" s="643">
        <f>SUM(B80:B82)</f>
        <v>584591125.74343371</v>
      </c>
      <c r="C83" s="643">
        <f t="shared" ref="C83" si="20">SUM(C80:C82)</f>
        <v>14868651.68</v>
      </c>
      <c r="D83" s="643">
        <f t="shared" ref="D83" si="21">SUM(D80:D82)</f>
        <v>599459777.42343378</v>
      </c>
      <c r="E83" s="318"/>
      <c r="F83" s="643">
        <f>SUM(F80:F82)</f>
        <v>776051718.07933378</v>
      </c>
      <c r="G83" s="643">
        <f>SUM(G80:G82)</f>
        <v>599459777.42343378</v>
      </c>
      <c r="H83" s="643">
        <f t="shared" ref="H83" si="22">SUM(H80:H82)</f>
        <v>176591940.65590003</v>
      </c>
      <c r="I83" s="643">
        <f t="shared" ref="I83" si="23">SUM(I80:I82)</f>
        <v>0</v>
      </c>
      <c r="J83" s="806"/>
    </row>
    <row r="84" spans="1:10" s="179" customFormat="1" ht="24.75" customHeight="1" thickBot="1" x14ac:dyDescent="0.3">
      <c r="A84" s="398" t="s">
        <v>1789</v>
      </c>
      <c r="B84" s="288">
        <f>D84-C84</f>
        <v>18.47</v>
      </c>
      <c r="C84" s="360">
        <v>0</v>
      </c>
      <c r="D84" s="360">
        <f>'Felosztás eredménykim'!CR290-H84</f>
        <v>18.47</v>
      </c>
      <c r="E84" s="360"/>
      <c r="F84" s="288">
        <f>SUM(G84:I84)</f>
        <v>27.47</v>
      </c>
      <c r="G84" s="288">
        <f>D84</f>
        <v>18.47</v>
      </c>
      <c r="H84" s="360">
        <v>9</v>
      </c>
      <c r="I84" s="360">
        <v>0</v>
      </c>
    </row>
    <row r="87" spans="1:10" s="179" customFormat="1" ht="42.65" hidden="1" customHeight="1" x14ac:dyDescent="0.25">
      <c r="A87" s="155" t="s">
        <v>700</v>
      </c>
      <c r="B87" s="1138" t="s">
        <v>1702</v>
      </c>
      <c r="C87" s="1139"/>
      <c r="D87" s="1139"/>
      <c r="E87" s="1139"/>
      <c r="F87" s="1139"/>
      <c r="G87" s="1139"/>
      <c r="H87" s="1140"/>
      <c r="I87" s="180" t="s">
        <v>701</v>
      </c>
    </row>
    <row r="88" spans="1:10" s="179" customFormat="1" ht="39.65" hidden="1" customHeight="1" x14ac:dyDescent="0.25">
      <c r="A88" s="158" t="s">
        <v>702</v>
      </c>
      <c r="B88" s="1141" t="s">
        <v>556</v>
      </c>
      <c r="C88" s="1142"/>
      <c r="D88" s="1143"/>
      <c r="E88" s="1144" t="s">
        <v>557</v>
      </c>
      <c r="F88" s="1144" t="s">
        <v>1707</v>
      </c>
      <c r="G88" s="1146" t="s">
        <v>1707</v>
      </c>
      <c r="H88" s="1146"/>
      <c r="I88" s="1146"/>
    </row>
    <row r="89" spans="1:10" s="179" customFormat="1" ht="46" hidden="1" x14ac:dyDescent="0.25">
      <c r="A89" s="159"/>
      <c r="B89" s="181" t="s">
        <v>567</v>
      </c>
      <c r="C89" s="181" t="s">
        <v>568</v>
      </c>
      <c r="D89" s="181" t="s">
        <v>564</v>
      </c>
      <c r="E89" s="1145"/>
      <c r="F89" s="1145"/>
      <c r="G89" s="182"/>
      <c r="H89" s="182"/>
      <c r="I89" s="182"/>
    </row>
    <row r="90" spans="1:10" s="179" customFormat="1" ht="12" hidden="1" thickBot="1" x14ac:dyDescent="0.3">
      <c r="A90" s="159"/>
      <c r="B90" s="181"/>
      <c r="C90" s="181"/>
      <c r="D90" s="181"/>
      <c r="E90" s="183"/>
      <c r="F90" s="183"/>
      <c r="G90" s="182" t="s">
        <v>985</v>
      </c>
      <c r="H90" s="182" t="s">
        <v>986</v>
      </c>
      <c r="I90" s="182" t="s">
        <v>987</v>
      </c>
    </row>
    <row r="91" spans="1:10" s="179" customFormat="1" ht="12" hidden="1" thickBot="1" x14ac:dyDescent="0.3">
      <c r="A91" s="152" t="s">
        <v>703</v>
      </c>
      <c r="B91" s="189">
        <f>B77/B34</f>
        <v>0.90164145201312607</v>
      </c>
      <c r="C91" s="189">
        <f>C77/C34</f>
        <v>0.40623790138014443</v>
      </c>
      <c r="D91" s="189">
        <f>D77/D34</f>
        <v>0.89570268387081398</v>
      </c>
      <c r="E91" s="184"/>
      <c r="F91" s="189">
        <f>F77/F34</f>
        <v>0.91930022614841134</v>
      </c>
      <c r="G91" s="189">
        <f>G77/G34</f>
        <v>0.89570268387081398</v>
      </c>
      <c r="H91" s="189">
        <f>H77/H34</f>
        <v>0.99689522384178453</v>
      </c>
      <c r="I91" s="189" t="e">
        <f>I77/I34</f>
        <v>#DIV/0!</v>
      </c>
    </row>
    <row r="92" spans="1:10" s="179" customFormat="1" ht="12" hidden="1" thickBot="1" x14ac:dyDescent="0.3">
      <c r="A92" s="153" t="s">
        <v>704</v>
      </c>
      <c r="B92" s="189">
        <f>B78/B35</f>
        <v>1.2125908610974916</v>
      </c>
      <c r="C92" s="189"/>
      <c r="D92" s="189">
        <f>D78/D35</f>
        <v>1.2125908610974916</v>
      </c>
      <c r="E92" s="185"/>
      <c r="F92" s="189">
        <f t="shared" ref="F92:H94" si="24">F78/F35</f>
        <v>0.9056058329715444</v>
      </c>
      <c r="G92" s="189">
        <f t="shared" si="24"/>
        <v>1.2125908610974916</v>
      </c>
      <c r="H92" s="189">
        <f t="shared" si="24"/>
        <v>0</v>
      </c>
      <c r="I92" s="189"/>
    </row>
    <row r="93" spans="1:10" s="179" customFormat="1" ht="12" hidden="1" thickBot="1" x14ac:dyDescent="0.3">
      <c r="A93" s="152" t="s">
        <v>705</v>
      </c>
      <c r="B93" s="189">
        <f>B79/B36</f>
        <v>0.9283933909180212</v>
      </c>
      <c r="C93" s="189">
        <f>C79/C36</f>
        <v>0.40623790138014443</v>
      </c>
      <c r="D93" s="189">
        <f>D79/D36</f>
        <v>0.92266654217613542</v>
      </c>
      <c r="E93" s="186"/>
      <c r="F93" s="189">
        <f t="shared" si="24"/>
        <v>0.91810653467961434</v>
      </c>
      <c r="G93" s="189">
        <f t="shared" si="24"/>
        <v>0.92266654217613542</v>
      </c>
      <c r="H93" s="189">
        <f t="shared" si="24"/>
        <v>0.90325690329260599</v>
      </c>
      <c r="I93" s="189" t="e">
        <f>I79/I36</f>
        <v>#DIV/0!</v>
      </c>
    </row>
    <row r="94" spans="1:10" s="179" customFormat="1" ht="12" hidden="1" thickBot="1" x14ac:dyDescent="0.3">
      <c r="A94" s="152" t="s">
        <v>706</v>
      </c>
      <c r="B94" s="189">
        <f>B80/B37</f>
        <v>0.9283933909180212</v>
      </c>
      <c r="C94" s="189">
        <f>C80/C37</f>
        <v>0.40623795955762793</v>
      </c>
      <c r="D94" s="189">
        <f>D80/D37</f>
        <v>0.92266654362535805</v>
      </c>
      <c r="E94" s="184"/>
      <c r="F94" s="189">
        <f t="shared" si="24"/>
        <v>0.91810653467961434</v>
      </c>
      <c r="G94" s="189">
        <f t="shared" si="24"/>
        <v>0.92266654217613542</v>
      </c>
      <c r="H94" s="189">
        <f t="shared" si="24"/>
        <v>0.90325690329260611</v>
      </c>
      <c r="I94" s="189" t="e">
        <f>I80/I37</f>
        <v>#DIV/0!</v>
      </c>
    </row>
    <row r="95" spans="1:10" s="179" customFormat="1" ht="19.5" hidden="1" customHeight="1" thickBot="1" x14ac:dyDescent="0.3">
      <c r="A95" s="398" t="str">
        <f>A84</f>
        <v>létszám 2022.12.31</v>
      </c>
      <c r="B95" s="189">
        <f>B84/B41</f>
        <v>0.62610169491525425</v>
      </c>
      <c r="C95" s="189"/>
      <c r="D95" s="189">
        <f>D84/D41</f>
        <v>0.62610169491525425</v>
      </c>
      <c r="E95" s="187"/>
      <c r="F95" s="189">
        <f>F84/F41</f>
        <v>0.69544303797468354</v>
      </c>
      <c r="G95" s="189">
        <f>G84/G41</f>
        <v>0.62610169491525425</v>
      </c>
      <c r="H95" s="189"/>
      <c r="I95" s="189"/>
    </row>
    <row r="96" spans="1:10" hidden="1" x14ac:dyDescent="0.25"/>
    <row r="98" spans="1:9" hidden="1" x14ac:dyDescent="0.25">
      <c r="A98" t="s">
        <v>706</v>
      </c>
      <c r="I98">
        <v>0</v>
      </c>
    </row>
    <row r="99" spans="1:9" hidden="1" x14ac:dyDescent="0.25"/>
    <row r="100" spans="1:9" hidden="1" x14ac:dyDescent="0.25">
      <c r="B100" s="339">
        <f>+B37-B98</f>
        <v>629680404.3007822</v>
      </c>
      <c r="C100" s="339">
        <f>+C37-C98</f>
        <v>6982734.166666667</v>
      </c>
      <c r="D100" s="339">
        <f>+D37-D98</f>
        <v>636663138.46744883</v>
      </c>
      <c r="F100" s="339">
        <f>+F37-F98</f>
        <v>832168914.19463515</v>
      </c>
      <c r="G100" s="339">
        <f>+G37-G98</f>
        <v>636663139.46744895</v>
      </c>
      <c r="H100" s="339">
        <f>+H37-H98</f>
        <v>195505774.72718617</v>
      </c>
    </row>
    <row r="102" spans="1:9" s="179" customFormat="1" ht="42.65" hidden="1" customHeight="1" x14ac:dyDescent="0.25">
      <c r="A102" s="155" t="s">
        <v>700</v>
      </c>
      <c r="B102" s="1138" t="s">
        <v>1799</v>
      </c>
      <c r="C102" s="1139"/>
      <c r="D102" s="1139"/>
      <c r="E102" s="1139"/>
      <c r="F102" s="1139"/>
      <c r="G102" s="1139"/>
      <c r="H102" s="1140"/>
      <c r="I102" s="180" t="s">
        <v>1751</v>
      </c>
    </row>
    <row r="103" spans="1:9" s="179" customFormat="1" ht="39.65" hidden="1" customHeight="1" x14ac:dyDescent="0.25">
      <c r="A103" s="158" t="s">
        <v>702</v>
      </c>
      <c r="B103" s="1141" t="s">
        <v>1743</v>
      </c>
      <c r="C103" s="1142"/>
      <c r="D103" s="1143"/>
      <c r="E103" s="1144" t="s">
        <v>557</v>
      </c>
      <c r="F103" s="1144" t="s">
        <v>1796</v>
      </c>
      <c r="G103" s="1146" t="s">
        <v>1798</v>
      </c>
      <c r="H103" s="1146"/>
      <c r="I103" s="1146"/>
    </row>
    <row r="104" spans="1:9" s="179" customFormat="1" ht="46" hidden="1" x14ac:dyDescent="0.25">
      <c r="A104" s="159"/>
      <c r="B104" s="181" t="s">
        <v>567</v>
      </c>
      <c r="C104" s="181" t="s">
        <v>568</v>
      </c>
      <c r="D104" s="181" t="s">
        <v>564</v>
      </c>
      <c r="E104" s="1145"/>
      <c r="F104" s="1145"/>
      <c r="G104" s="182"/>
      <c r="H104" s="182"/>
      <c r="I104" s="182"/>
    </row>
    <row r="105" spans="1:9" s="179" customFormat="1" ht="11.5" hidden="1" x14ac:dyDescent="0.25">
      <c r="A105" s="159"/>
      <c r="B105" s="181"/>
      <c r="C105" s="181"/>
      <c r="D105" s="181"/>
      <c r="E105" s="183"/>
      <c r="F105" s="183"/>
      <c r="G105" s="182" t="s">
        <v>985</v>
      </c>
      <c r="H105" s="182" t="s">
        <v>986</v>
      </c>
      <c r="I105" s="182" t="s">
        <v>987</v>
      </c>
    </row>
    <row r="106" spans="1:9" s="179" customFormat="1" ht="11.5" hidden="1" x14ac:dyDescent="0.25">
      <c r="A106" s="236" t="s">
        <v>805</v>
      </c>
      <c r="B106" s="283"/>
      <c r="C106" s="283"/>
      <c r="D106" s="283">
        <v>0</v>
      </c>
      <c r="E106" s="283"/>
      <c r="F106" s="283"/>
      <c r="G106" s="283"/>
      <c r="H106" s="283"/>
      <c r="I106" s="283"/>
    </row>
    <row r="107" spans="1:9" s="179" customFormat="1" ht="11.5" hidden="1" x14ac:dyDescent="0.25">
      <c r="A107" s="237" t="s">
        <v>834</v>
      </c>
      <c r="B107" s="361">
        <f>SUM(B108:B113)</f>
        <v>50632896.182399988</v>
      </c>
      <c r="C107" s="361">
        <f>SUM(C108:C113)</f>
        <v>2631452.666666667</v>
      </c>
      <c r="D107" s="361">
        <f>SUM(D108:D113)</f>
        <v>53264348.84906666</v>
      </c>
      <c r="E107" s="361"/>
      <c r="F107" s="361">
        <f>SUM(F108:F113)</f>
        <v>50287374.255678155</v>
      </c>
      <c r="G107" s="361">
        <f>SUM(G108:G113)</f>
        <v>53264348.84906666</v>
      </c>
      <c r="H107" s="361">
        <f>SUM(H108:H113)</f>
        <v>-2976974.5933885071</v>
      </c>
      <c r="I107" s="361">
        <f>SUM(I108:I113)</f>
        <v>0</v>
      </c>
    </row>
    <row r="108" spans="1:9" s="179" customFormat="1" ht="11.5" hidden="1" x14ac:dyDescent="0.25">
      <c r="A108" s="238" t="s">
        <v>1001</v>
      </c>
      <c r="B108" s="362">
        <f>(B7+B8)-B50-B51</f>
        <v>44525113.179999992</v>
      </c>
      <c r="C108" s="362">
        <f>(C7+C8)-C50-C51</f>
        <v>2026139.0899999999</v>
      </c>
      <c r="D108" s="362">
        <f t="shared" ref="D108:D113" si="25">SUM(B108:C108)</f>
        <v>46551252.269999996</v>
      </c>
      <c r="E108" s="362"/>
      <c r="F108" s="359">
        <f>SUM(G108:I108)</f>
        <v>42973505.539961681</v>
      </c>
      <c r="G108" s="362">
        <f t="shared" ref="G108:G113" si="26">D108</f>
        <v>46551252.269999996</v>
      </c>
      <c r="H108" s="362">
        <f>(H7+H8)-H50-H51</f>
        <v>-3577746.7300383151</v>
      </c>
      <c r="I108" s="362"/>
    </row>
    <row r="109" spans="1:9" s="179" customFormat="1" ht="21" hidden="1" x14ac:dyDescent="0.25">
      <c r="A109" s="238" t="s">
        <v>1002</v>
      </c>
      <c r="B109" s="362"/>
      <c r="C109" s="362"/>
      <c r="D109" s="362">
        <f t="shared" si="25"/>
        <v>0</v>
      </c>
      <c r="E109" s="362"/>
      <c r="F109" s="359"/>
      <c r="G109" s="362">
        <f t="shared" si="26"/>
        <v>0</v>
      </c>
      <c r="H109" s="362"/>
      <c r="I109" s="362"/>
    </row>
    <row r="110" spans="1:9" s="179" customFormat="1" ht="11.5" hidden="1" x14ac:dyDescent="0.25">
      <c r="A110" s="238" t="s">
        <v>1003</v>
      </c>
      <c r="B110" s="362">
        <f>(B9+B10)-B52-B53</f>
        <v>-100000</v>
      </c>
      <c r="C110" s="362">
        <f>(C9+C10)-C52-C53</f>
        <v>0</v>
      </c>
      <c r="D110" s="362">
        <f t="shared" si="25"/>
        <v>-100000</v>
      </c>
      <c r="E110" s="362"/>
      <c r="F110" s="359">
        <f>SUM(G110:I110)</f>
        <v>-100000</v>
      </c>
      <c r="G110" s="362">
        <f t="shared" si="26"/>
        <v>-100000</v>
      </c>
      <c r="H110" s="362">
        <f>(H9+H10)-H52-H53</f>
        <v>0</v>
      </c>
      <c r="I110" s="362"/>
    </row>
    <row r="111" spans="1:9" s="179" customFormat="1" ht="21" hidden="1" x14ac:dyDescent="0.25">
      <c r="A111" s="238" t="s">
        <v>1004</v>
      </c>
      <c r="B111" s="362"/>
      <c r="C111" s="362"/>
      <c r="D111" s="362">
        <f t="shared" si="25"/>
        <v>0</v>
      </c>
      <c r="E111" s="362"/>
      <c r="F111" s="359"/>
      <c r="G111" s="362">
        <f t="shared" si="26"/>
        <v>0</v>
      </c>
      <c r="H111" s="362"/>
      <c r="I111" s="362"/>
    </row>
    <row r="112" spans="1:9" s="179" customFormat="1" ht="21" hidden="1" x14ac:dyDescent="0.25">
      <c r="A112" s="238" t="s">
        <v>1005</v>
      </c>
      <c r="B112" s="362">
        <f>(B11+B12)-B54-B55</f>
        <v>6207783.0023999996</v>
      </c>
      <c r="C112" s="362">
        <f>(C11+C12)-C54-C55</f>
        <v>605313.57666666689</v>
      </c>
      <c r="D112" s="362">
        <f t="shared" si="25"/>
        <v>6813096.5790666668</v>
      </c>
      <c r="E112" s="362"/>
      <c r="F112" s="359">
        <f>SUM(G112:I112)</f>
        <v>7413868.7157164747</v>
      </c>
      <c r="G112" s="362">
        <f t="shared" si="26"/>
        <v>6813096.5790666668</v>
      </c>
      <c r="H112" s="362">
        <f>(H11+H12)-H54-H55</f>
        <v>600772.13664980792</v>
      </c>
      <c r="I112" s="362"/>
    </row>
    <row r="113" spans="1:9" s="179" customFormat="1" ht="31.5" hidden="1" x14ac:dyDescent="0.25">
      <c r="A113" s="239" t="s">
        <v>1006</v>
      </c>
      <c r="B113" s="362"/>
      <c r="C113" s="362"/>
      <c r="D113" s="362">
        <f t="shared" si="25"/>
        <v>0</v>
      </c>
      <c r="E113" s="363"/>
      <c r="F113" s="359">
        <f>SUM(G113:I113)</f>
        <v>0</v>
      </c>
      <c r="G113" s="362">
        <f t="shared" si="26"/>
        <v>0</v>
      </c>
      <c r="H113" s="362">
        <f>'Felosztás eredménykim'!CY386+'Felosztás eredménykim'!CY415</f>
        <v>0</v>
      </c>
      <c r="I113" s="362"/>
    </row>
    <row r="114" spans="1:9" s="179" customFormat="1" ht="11.5" hidden="1" x14ac:dyDescent="0.25">
      <c r="A114" s="237" t="s">
        <v>811</v>
      </c>
      <c r="B114" s="361">
        <f>SUM(B115:B122)</f>
        <v>-6061212.6800000109</v>
      </c>
      <c r="C114" s="361">
        <f>SUM(C115:C122)</f>
        <v>0</v>
      </c>
      <c r="D114" s="361">
        <f>SUM(D115:D122)</f>
        <v>-6061212.6800000109</v>
      </c>
      <c r="E114" s="361"/>
      <c r="F114" s="361">
        <f>SUM(F115:F122)</f>
        <v>-2651178.2200000323</v>
      </c>
      <c r="G114" s="361">
        <f>SUM(G115:G122)</f>
        <v>-6061212.6800000109</v>
      </c>
      <c r="H114" s="361">
        <f>SUM(H115:H122)</f>
        <v>3410034.4599999785</v>
      </c>
      <c r="I114" s="361">
        <f>I115+I117+I119+I120+I122</f>
        <v>0</v>
      </c>
    </row>
    <row r="115" spans="1:9" s="179" customFormat="1" ht="11.5" hidden="1" x14ac:dyDescent="0.25">
      <c r="A115" s="238" t="s">
        <v>1007</v>
      </c>
      <c r="B115" s="362">
        <f>(B14+B15)-B57-B58</f>
        <v>3245249.7999999989</v>
      </c>
      <c r="C115" s="362">
        <f>(C14+C15)-C57-C58</f>
        <v>0</v>
      </c>
      <c r="D115" s="362">
        <f t="shared" ref="D115:D122" si="27">SUM(B115:C115)</f>
        <v>3245249.7999999989</v>
      </c>
      <c r="E115" s="362"/>
      <c r="F115" s="359">
        <f>SUM(G115:I115)</f>
        <v>3427985.7199999988</v>
      </c>
      <c r="G115" s="362">
        <f t="shared" ref="G115:G122" si="28">D115</f>
        <v>3245249.7999999989</v>
      </c>
      <c r="H115" s="362">
        <f>(H14+H15)-H57-H58</f>
        <v>182735.91999999969</v>
      </c>
      <c r="I115" s="362"/>
    </row>
    <row r="116" spans="1:9" s="179" customFormat="1" ht="21" hidden="1" x14ac:dyDescent="0.25">
      <c r="A116" s="238" t="s">
        <v>1008</v>
      </c>
      <c r="B116" s="362"/>
      <c r="C116" s="362"/>
      <c r="D116" s="362">
        <f t="shared" si="27"/>
        <v>0</v>
      </c>
      <c r="E116" s="362"/>
      <c r="F116" s="359">
        <f t="shared" ref="F116:F122" si="29">SUM(G116:I116)</f>
        <v>0</v>
      </c>
      <c r="G116" s="362">
        <f t="shared" si="28"/>
        <v>0</v>
      </c>
      <c r="H116" s="362"/>
      <c r="I116" s="362"/>
    </row>
    <row r="117" spans="1:9" s="179" customFormat="1" ht="11.5" hidden="1" x14ac:dyDescent="0.25">
      <c r="A117" s="238" t="s">
        <v>1009</v>
      </c>
      <c r="B117" s="362">
        <f>(B16+B17)-B59-B60</f>
        <v>7019261.8800000018</v>
      </c>
      <c r="C117" s="362">
        <f>(C16+C17)-C59-C60</f>
        <v>0</v>
      </c>
      <c r="D117" s="362">
        <f t="shared" si="27"/>
        <v>7019261.8800000018</v>
      </c>
      <c r="E117" s="362"/>
      <c r="F117" s="359">
        <f t="shared" si="29"/>
        <v>7739118.8500000024</v>
      </c>
      <c r="G117" s="362">
        <f t="shared" si="28"/>
        <v>7019261.8800000018</v>
      </c>
      <c r="H117" s="362">
        <f>(H16+H17)-H59-H60</f>
        <v>719856.97000000067</v>
      </c>
      <c r="I117" s="362"/>
    </row>
    <row r="118" spans="1:9" s="179" customFormat="1" ht="21" hidden="1" x14ac:dyDescent="0.25">
      <c r="A118" s="238" t="s">
        <v>1010</v>
      </c>
      <c r="B118" s="362"/>
      <c r="C118" s="362"/>
      <c r="D118" s="362">
        <f t="shared" si="27"/>
        <v>0</v>
      </c>
      <c r="E118" s="362"/>
      <c r="F118" s="359">
        <f t="shared" si="29"/>
        <v>0</v>
      </c>
      <c r="G118" s="362">
        <f t="shared" si="28"/>
        <v>0</v>
      </c>
      <c r="H118" s="362"/>
      <c r="I118" s="362"/>
    </row>
    <row r="119" spans="1:9" s="179" customFormat="1" ht="11.5" hidden="1" x14ac:dyDescent="0.25">
      <c r="A119" s="238" t="s">
        <v>1011</v>
      </c>
      <c r="B119" s="362">
        <f>(B18+B19)-B61-B62</f>
        <v>-16859331.38000001</v>
      </c>
      <c r="C119" s="362">
        <f>(C18+C19)-C61-C62</f>
        <v>0</v>
      </c>
      <c r="D119" s="362">
        <f t="shared" si="27"/>
        <v>-16859331.38000001</v>
      </c>
      <c r="E119" s="362"/>
      <c r="F119" s="359">
        <f t="shared" si="29"/>
        <v>-14468430.810000032</v>
      </c>
      <c r="G119" s="362">
        <f t="shared" si="28"/>
        <v>-16859331.38000001</v>
      </c>
      <c r="H119" s="362">
        <f>(H18+H19)-H61-H62</f>
        <v>2390900.5699999779</v>
      </c>
      <c r="I119" s="362"/>
    </row>
    <row r="120" spans="1:9" s="179" customFormat="1" ht="21" hidden="1" x14ac:dyDescent="0.25">
      <c r="A120" s="238" t="s">
        <v>1012</v>
      </c>
      <c r="B120" s="362"/>
      <c r="C120" s="362"/>
      <c r="D120" s="362">
        <f t="shared" si="27"/>
        <v>0</v>
      </c>
      <c r="E120" s="362"/>
      <c r="F120" s="359">
        <f t="shared" si="29"/>
        <v>0</v>
      </c>
      <c r="G120" s="362">
        <f t="shared" si="28"/>
        <v>0</v>
      </c>
      <c r="H120" s="362">
        <f>'Felosztás eredménykim'!CY391</f>
        <v>0</v>
      </c>
      <c r="I120" s="362"/>
    </row>
    <row r="121" spans="1:9" s="179" customFormat="1" ht="21" hidden="1" x14ac:dyDescent="0.25">
      <c r="A121" s="238" t="s">
        <v>1013</v>
      </c>
      <c r="B121" s="362">
        <f>(B20+B21)-B63-B64</f>
        <v>533607.01999999979</v>
      </c>
      <c r="C121" s="362">
        <f>(C20+C21)-C63-C64</f>
        <v>0</v>
      </c>
      <c r="D121" s="362">
        <f t="shared" si="27"/>
        <v>533607.01999999979</v>
      </c>
      <c r="E121" s="362"/>
      <c r="F121" s="359">
        <f t="shared" si="29"/>
        <v>650148.01999999979</v>
      </c>
      <c r="G121" s="362">
        <f t="shared" si="28"/>
        <v>533607.01999999979</v>
      </c>
      <c r="H121" s="362">
        <f>(H20+H21)-H63-H64</f>
        <v>116541</v>
      </c>
      <c r="I121" s="362"/>
    </row>
    <row r="122" spans="1:9" s="179" customFormat="1" ht="35.25" hidden="1" customHeight="1" x14ac:dyDescent="0.25">
      <c r="A122" s="238" t="s">
        <v>1014</v>
      </c>
      <c r="B122" s="362"/>
      <c r="C122" s="362"/>
      <c r="D122" s="362">
        <f t="shared" si="27"/>
        <v>0</v>
      </c>
      <c r="E122" s="362"/>
      <c r="F122" s="359">
        <f t="shared" si="29"/>
        <v>0</v>
      </c>
      <c r="G122" s="362">
        <f t="shared" si="28"/>
        <v>0</v>
      </c>
      <c r="H122" s="362">
        <f>'Felosztás eredménykim'!CY388</f>
        <v>0</v>
      </c>
      <c r="I122" s="362"/>
    </row>
    <row r="123" spans="1:9" s="179" customFormat="1" ht="11.5" hidden="1" x14ac:dyDescent="0.25">
      <c r="A123" s="240" t="s">
        <v>815</v>
      </c>
      <c r="B123" s="364">
        <f>B107+B114</f>
        <v>44571683.502399981</v>
      </c>
      <c r="C123" s="364">
        <f>C107+C114</f>
        <v>2631452.666666667</v>
      </c>
      <c r="D123" s="364">
        <f>D107+D114</f>
        <v>47203136.169066653</v>
      </c>
      <c r="E123" s="364"/>
      <c r="F123" s="364">
        <f>F107+F114</f>
        <v>47636196.035678118</v>
      </c>
      <c r="G123" s="364">
        <f>G107+G114</f>
        <v>47203136.169066653</v>
      </c>
      <c r="H123" s="364">
        <f>H107+H114</f>
        <v>433059.8666114714</v>
      </c>
      <c r="I123" s="364">
        <f>I107+I114</f>
        <v>0</v>
      </c>
    </row>
    <row r="124" spans="1:9" s="179" customFormat="1" ht="11.5" hidden="1" x14ac:dyDescent="0.25">
      <c r="A124" s="240" t="s">
        <v>816</v>
      </c>
      <c r="B124" s="362"/>
      <c r="C124" s="362"/>
      <c r="D124" s="362">
        <f>SUM(B124:C124)</f>
        <v>0</v>
      </c>
      <c r="E124" s="362"/>
      <c r="F124" s="362"/>
      <c r="G124" s="362"/>
      <c r="H124" s="362"/>
      <c r="I124" s="362"/>
    </row>
    <row r="125" spans="1:9" s="179" customFormat="1" ht="11.5" hidden="1" x14ac:dyDescent="0.25">
      <c r="A125" s="238" t="s">
        <v>817</v>
      </c>
      <c r="B125" s="362">
        <f>B24-B67</f>
        <v>0</v>
      </c>
      <c r="C125" s="362">
        <f>C24-C67</f>
        <v>0</v>
      </c>
      <c r="D125" s="362">
        <f>SUM(B125:C125)</f>
        <v>0</v>
      </c>
      <c r="E125" s="362"/>
      <c r="F125" s="359">
        <f>SUM(G125:I125)</f>
        <v>0</v>
      </c>
      <c r="G125" s="362">
        <f>D125</f>
        <v>0</v>
      </c>
      <c r="H125" s="362">
        <f>H24-H67</f>
        <v>0</v>
      </c>
      <c r="I125" s="362">
        <v>0</v>
      </c>
    </row>
    <row r="126" spans="1:9" s="179" customFormat="1" ht="11.5" hidden="1" x14ac:dyDescent="0.25">
      <c r="A126" s="238" t="s">
        <v>818</v>
      </c>
      <c r="B126" s="362"/>
      <c r="C126" s="362"/>
      <c r="D126" s="362">
        <f>SUM(B126:C126)</f>
        <v>0</v>
      </c>
      <c r="E126" s="362"/>
      <c r="F126" s="362"/>
      <c r="G126" s="362"/>
      <c r="H126" s="362"/>
      <c r="I126" s="362"/>
    </row>
    <row r="127" spans="1:9" s="179" customFormat="1" ht="12" hidden="1" thickBot="1" x14ac:dyDescent="0.3">
      <c r="A127" s="241" t="s">
        <v>819</v>
      </c>
      <c r="B127" s="365">
        <f>SUM(B125:B126)</f>
        <v>0</v>
      </c>
      <c r="C127" s="365">
        <f>SUM(C125:C126)</f>
        <v>0</v>
      </c>
      <c r="D127" s="365">
        <f>SUM(B127:C127)</f>
        <v>0</v>
      </c>
      <c r="E127" s="365"/>
      <c r="F127" s="365">
        <f>SUM(F125:F126)</f>
        <v>0</v>
      </c>
      <c r="G127" s="365">
        <f>SUM(G125:G126)</f>
        <v>0</v>
      </c>
      <c r="H127" s="365">
        <f>SUM(H125:H126)</f>
        <v>0</v>
      </c>
      <c r="I127" s="365">
        <f>SUM(I125:I126)</f>
        <v>0</v>
      </c>
    </row>
    <row r="128" spans="1:9" s="179" customFormat="1" ht="12" hidden="1" thickBot="1" x14ac:dyDescent="0.3">
      <c r="A128" s="242" t="s">
        <v>820</v>
      </c>
      <c r="B128" s="366">
        <f>B127+B123</f>
        <v>44571683.502399981</v>
      </c>
      <c r="C128" s="366">
        <f>C127+C123</f>
        <v>2631452.666666667</v>
      </c>
      <c r="D128" s="366">
        <f>B128+C128</f>
        <v>47203136.169066645</v>
      </c>
      <c r="E128" s="366"/>
      <c r="F128" s="366">
        <f>F123+F127</f>
        <v>47636196.035678118</v>
      </c>
      <c r="G128" s="366">
        <f>G123+G127</f>
        <v>47203136.169066653</v>
      </c>
      <c r="H128" s="366">
        <f>H123+H127</f>
        <v>433059.8666114714</v>
      </c>
      <c r="I128" s="366">
        <f>I123+I127</f>
        <v>0</v>
      </c>
    </row>
    <row r="129" spans="1:10" s="179" customFormat="1" ht="11.5" hidden="1" x14ac:dyDescent="0.25">
      <c r="A129" s="243" t="s">
        <v>821</v>
      </c>
      <c r="B129" s="367"/>
      <c r="C129" s="367"/>
      <c r="D129" s="367">
        <f>SUM(B129:C129)</f>
        <v>0</v>
      </c>
      <c r="E129" s="367"/>
      <c r="F129" s="367"/>
      <c r="G129" s="367"/>
      <c r="H129" s="367"/>
      <c r="I129" s="367"/>
    </row>
    <row r="130" spans="1:10" s="179" customFormat="1" ht="11.5" hidden="1" x14ac:dyDescent="0.25">
      <c r="A130" s="236" t="s">
        <v>822</v>
      </c>
      <c r="B130" s="362"/>
      <c r="C130" s="362"/>
      <c r="D130" s="362">
        <f>SUM(B130:C130)</f>
        <v>0</v>
      </c>
      <c r="E130" s="362"/>
      <c r="F130" s="362"/>
      <c r="G130" s="362"/>
      <c r="H130" s="362"/>
      <c r="I130" s="362"/>
    </row>
    <row r="131" spans="1:10" s="179" customFormat="1" ht="21" hidden="1" x14ac:dyDescent="0.25">
      <c r="A131" s="244" t="s">
        <v>843</v>
      </c>
      <c r="B131" s="362">
        <f>B30-B73</f>
        <v>0</v>
      </c>
      <c r="C131" s="362">
        <f>C30-C73</f>
        <v>-633179.99999993481</v>
      </c>
      <c r="D131" s="362">
        <f>SUM(B131:C131)</f>
        <v>-633179.99999993481</v>
      </c>
      <c r="E131" s="362"/>
      <c r="F131" s="359">
        <f>SUM(G131:I131)</f>
        <v>-633179.99999993481</v>
      </c>
      <c r="G131" s="362">
        <f>D131-I131</f>
        <v>-633179.99999993481</v>
      </c>
      <c r="H131" s="362">
        <f>H30-H73</f>
        <v>0</v>
      </c>
      <c r="I131" s="362"/>
    </row>
    <row r="132" spans="1:10" s="179" customFormat="1" ht="12" hidden="1" thickBot="1" x14ac:dyDescent="0.3">
      <c r="A132" s="241" t="s">
        <v>824</v>
      </c>
      <c r="B132" s="365">
        <f>SUM(B129:B131)</f>
        <v>0</v>
      </c>
      <c r="C132" s="365">
        <f>SUM(C129:C131)</f>
        <v>-633179.99999993481</v>
      </c>
      <c r="D132" s="365">
        <f>SUM(D129:D131)</f>
        <v>-633179.99999993481</v>
      </c>
      <c r="E132" s="365"/>
      <c r="F132" s="365">
        <f>SUM(F129:F131)</f>
        <v>-633179.99999993481</v>
      </c>
      <c r="G132" s="365">
        <f>SUM(G129:G131)</f>
        <v>-633179.99999993481</v>
      </c>
      <c r="H132" s="365">
        <f>SUM(H129:H131)</f>
        <v>0</v>
      </c>
      <c r="I132" s="365">
        <f>SUM(I129:I131)</f>
        <v>0</v>
      </c>
    </row>
    <row r="133" spans="1:10" s="179" customFormat="1" ht="12" hidden="1" thickBot="1" x14ac:dyDescent="0.3">
      <c r="A133" s="242" t="s">
        <v>828</v>
      </c>
      <c r="B133" s="368">
        <f>B132</f>
        <v>0</v>
      </c>
      <c r="C133" s="368">
        <f>C132</f>
        <v>-633179.99999993481</v>
      </c>
      <c r="D133" s="368">
        <f>D132</f>
        <v>-633179.99999993481</v>
      </c>
      <c r="E133" s="368"/>
      <c r="F133" s="368">
        <f>F132</f>
        <v>-633179.99999993481</v>
      </c>
      <c r="G133" s="368">
        <f>G132</f>
        <v>-633179.99999993481</v>
      </c>
      <c r="H133" s="368">
        <f>H132</f>
        <v>0</v>
      </c>
      <c r="I133" s="368">
        <f>I132</f>
        <v>0</v>
      </c>
    </row>
    <row r="134" spans="1:10" s="179" customFormat="1" ht="12" hidden="1" thickBot="1" x14ac:dyDescent="0.3">
      <c r="A134" s="242" t="s">
        <v>703</v>
      </c>
      <c r="B134" s="368">
        <f>B128-B133</f>
        <v>44571683.502399981</v>
      </c>
      <c r="C134" s="368">
        <f>C128-C133</f>
        <v>3264632.6666666018</v>
      </c>
      <c r="D134" s="368">
        <f>D128-D133</f>
        <v>47836316.169066578</v>
      </c>
      <c r="E134" s="368"/>
      <c r="F134" s="368">
        <f>F128-F133</f>
        <v>48269376.035678051</v>
      </c>
      <c r="G134" s="368">
        <f>G128-G133</f>
        <v>47836316.169066586</v>
      </c>
      <c r="H134" s="368">
        <f>H128-H133</f>
        <v>433059.8666114714</v>
      </c>
      <c r="I134" s="368">
        <f>I128-I133</f>
        <v>0</v>
      </c>
    </row>
    <row r="135" spans="1:10" s="179" customFormat="1" ht="12" hidden="1" thickBot="1" x14ac:dyDescent="0.3">
      <c r="A135" s="152" t="s">
        <v>703</v>
      </c>
      <c r="B135" s="362">
        <f t="shared" ref="B135:D138" si="30">B34/2-B77</f>
        <v>-182005896.25380006</v>
      </c>
      <c r="C135" s="362">
        <f t="shared" si="30"/>
        <v>515524.33333333349</v>
      </c>
      <c r="D135" s="362">
        <f t="shared" si="30"/>
        <v>-181490371.92046672</v>
      </c>
      <c r="E135" s="288"/>
      <c r="F135" s="288">
        <f>G135</f>
        <v>-181490371.92046672</v>
      </c>
      <c r="G135" s="288">
        <f>D135</f>
        <v>-181490371.92046672</v>
      </c>
      <c r="H135" s="362">
        <f>H34/2-H77</f>
        <v>-69307856.151694268</v>
      </c>
      <c r="I135" s="288">
        <v>0</v>
      </c>
    </row>
    <row r="136" spans="1:10" s="179" customFormat="1" ht="12" hidden="1" thickBot="1" x14ac:dyDescent="0.3">
      <c r="A136" s="153" t="s">
        <v>704</v>
      </c>
      <c r="B136" s="362">
        <f t="shared" si="30"/>
        <v>-30396405.787965748</v>
      </c>
      <c r="C136" s="362">
        <f t="shared" si="30"/>
        <v>0</v>
      </c>
      <c r="D136" s="362">
        <f t="shared" si="30"/>
        <v>-30396405.787965748</v>
      </c>
      <c r="E136" s="318"/>
      <c r="F136" s="288">
        <f>SUM(G136:I136)</f>
        <v>-23166544.354623392</v>
      </c>
      <c r="G136" s="288">
        <f>D136</f>
        <v>-30396405.787965748</v>
      </c>
      <c r="H136" s="362">
        <f>H35/2-H78</f>
        <v>7229861.4333423553</v>
      </c>
      <c r="I136" s="318">
        <v>0</v>
      </c>
    </row>
    <row r="137" spans="1:10" s="179" customFormat="1" ht="12" hidden="1" thickBot="1" x14ac:dyDescent="0.3">
      <c r="A137" s="152" t="s">
        <v>705</v>
      </c>
      <c r="B137" s="362">
        <f t="shared" si="30"/>
        <v>-212402302.04176584</v>
      </c>
      <c r="C137" s="362">
        <f t="shared" si="30"/>
        <v>515524.33333333349</v>
      </c>
      <c r="D137" s="362">
        <f t="shared" si="30"/>
        <v>-211886777.7084325</v>
      </c>
      <c r="E137" s="319"/>
      <c r="F137" s="319">
        <f>SUM(F135:F136)</f>
        <v>-204656916.2750901</v>
      </c>
      <c r="G137" s="319">
        <f>SUM(G135:G136)</f>
        <v>-211886777.70843247</v>
      </c>
      <c r="H137" s="362">
        <f>H36/2-H79</f>
        <v>-62077994.718351915</v>
      </c>
      <c r="I137" s="319">
        <f>SUM(I135:I136)</f>
        <v>0</v>
      </c>
    </row>
    <row r="138" spans="1:10" s="179" customFormat="1" ht="12" hidden="1" thickBot="1" x14ac:dyDescent="0.3">
      <c r="A138" s="152" t="s">
        <v>706</v>
      </c>
      <c r="B138" s="362">
        <f t="shared" si="30"/>
        <v>-269750923.59304261</v>
      </c>
      <c r="C138" s="362">
        <f t="shared" si="30"/>
        <v>654715.40333333332</v>
      </c>
      <c r="D138" s="362">
        <f t="shared" si="30"/>
        <v>-269096208.18970937</v>
      </c>
      <c r="E138" s="288"/>
      <c r="F138" s="288">
        <f>F137*1.27</f>
        <v>-259914283.66936442</v>
      </c>
      <c r="G138" s="288">
        <f>G137*1.27</f>
        <v>-269096207.68970925</v>
      </c>
      <c r="H138" s="362">
        <f>H37/2-H80</f>
        <v>-78839053.292306945</v>
      </c>
      <c r="I138" s="288">
        <f>I137*1.27</f>
        <v>0</v>
      </c>
    </row>
    <row r="139" spans="1:10" s="179" customFormat="1" ht="24.75" hidden="1" customHeight="1" thickBot="1" x14ac:dyDescent="0.3">
      <c r="A139" s="398" t="s">
        <v>1599</v>
      </c>
      <c r="B139" s="288">
        <f>D139-C139</f>
        <v>11.030000000000001</v>
      </c>
      <c r="C139" s="360">
        <v>0</v>
      </c>
      <c r="D139" s="360">
        <f>D41-D84</f>
        <v>11.030000000000001</v>
      </c>
      <c r="E139" s="360"/>
      <c r="F139" s="288">
        <f>SUM(G139:I139)</f>
        <v>23.03</v>
      </c>
      <c r="G139" s="288">
        <f>D139</f>
        <v>11.030000000000001</v>
      </c>
      <c r="H139" s="360">
        <v>12</v>
      </c>
      <c r="I139" s="360">
        <v>0</v>
      </c>
    </row>
    <row r="140" spans="1:10" s="179" customFormat="1" ht="12" hidden="1" thickBot="1" x14ac:dyDescent="0.3">
      <c r="A140" s="152" t="s">
        <v>703</v>
      </c>
      <c r="B140" s="288">
        <f>B34-B77</f>
        <v>44571683.502399921</v>
      </c>
      <c r="C140" s="288">
        <f>C34-C77</f>
        <v>3264632.666666667</v>
      </c>
      <c r="D140" s="288">
        <f>Összesítés!H118</f>
        <v>0</v>
      </c>
      <c r="E140" s="288"/>
      <c r="F140" s="288">
        <f>G140+H140</f>
        <v>48269376.035678089</v>
      </c>
      <c r="G140" s="288">
        <f>G34-G77</f>
        <v>47836316.169066608</v>
      </c>
      <c r="H140" s="288">
        <f>H34-H77</f>
        <v>433059.86661148071</v>
      </c>
      <c r="I140" s="288">
        <v>0</v>
      </c>
    </row>
    <row r="141" spans="1:10" s="179" customFormat="1" ht="12" hidden="1" thickBot="1" x14ac:dyDescent="0.3">
      <c r="A141" s="153" t="s">
        <v>704</v>
      </c>
      <c r="B141" s="288">
        <f>B35-B78</f>
        <v>-9068314.5596057996</v>
      </c>
      <c r="C141" s="288">
        <f>C35-C78</f>
        <v>0</v>
      </c>
      <c r="D141" s="318">
        <f>Összesítés!K118</f>
        <v>0</v>
      </c>
      <c r="E141" s="318"/>
      <c r="F141" s="288">
        <f>SUM(G141:I141)</f>
        <v>5391408.307078911</v>
      </c>
      <c r="G141" s="288">
        <f>G35-G78</f>
        <v>-9068314.5596057996</v>
      </c>
      <c r="H141" s="288">
        <f>H35-H78</f>
        <v>14459722.866684711</v>
      </c>
      <c r="I141" s="318">
        <v>0</v>
      </c>
    </row>
    <row r="142" spans="1:10" s="179" customFormat="1" ht="12" hidden="1" thickBot="1" x14ac:dyDescent="0.3">
      <c r="A142" s="152" t="s">
        <v>705</v>
      </c>
      <c r="B142" s="319">
        <f>SUM(B140:B141)</f>
        <v>35503368.942794122</v>
      </c>
      <c r="C142" s="319">
        <f>SUM(C140:C141)</f>
        <v>3264632.666666667</v>
      </c>
      <c r="D142" s="319">
        <f>SUM(D140:D141)</f>
        <v>0</v>
      </c>
      <c r="E142" s="319"/>
      <c r="F142" s="472">
        <f>SUM(F140:F141)</f>
        <v>53660784.342757002</v>
      </c>
      <c r="G142" s="319">
        <f>SUM(G140:G141)</f>
        <v>38768001.609460808</v>
      </c>
      <c r="H142" s="319">
        <f>SUM(H140:H141)</f>
        <v>14892782.733296191</v>
      </c>
      <c r="I142" s="319">
        <f>SUM(I140:I141)</f>
        <v>0</v>
      </c>
    </row>
    <row r="143" spans="1:10" s="179" customFormat="1" ht="12" hidden="1" thickBot="1" x14ac:dyDescent="0.3">
      <c r="A143" s="152" t="s">
        <v>706</v>
      </c>
      <c r="B143" s="288">
        <f>B142*1.27</f>
        <v>45089278.557348534</v>
      </c>
      <c r="C143" s="288">
        <f>C142*1.27</f>
        <v>4146083.4866666673</v>
      </c>
      <c r="D143" s="288">
        <f>D142*1.27</f>
        <v>0</v>
      </c>
      <c r="E143" s="288"/>
      <c r="F143" s="288">
        <f>F142*1.27</f>
        <v>68149196.115301386</v>
      </c>
      <c r="G143" s="288">
        <f>G142*1.27</f>
        <v>49235362.044015229</v>
      </c>
      <c r="H143" s="288">
        <f>H142*1.27</f>
        <v>18913834.071286164</v>
      </c>
      <c r="I143" s="288">
        <f>I142*1.27</f>
        <v>0</v>
      </c>
    </row>
    <row r="144" spans="1:10" s="179" customFormat="1" ht="21.5" hidden="1" thickBot="1" x14ac:dyDescent="0.3">
      <c r="A144" s="805" t="s">
        <v>1747</v>
      </c>
      <c r="B144" s="633">
        <f>B38-B81</f>
        <v>0</v>
      </c>
      <c r="C144" s="633">
        <f t="shared" ref="C144:C145" si="31">C38-C81</f>
        <v>0</v>
      </c>
      <c r="D144" s="634">
        <f t="shared" ref="D144:D145" si="32">B144+C144</f>
        <v>0</v>
      </c>
      <c r="E144" s="318"/>
      <c r="F144" s="633">
        <f>F38-F81</f>
        <v>0</v>
      </c>
      <c r="G144" s="633">
        <f t="shared" ref="G144:G145" si="33">G38-G81</f>
        <v>0</v>
      </c>
      <c r="H144" s="633"/>
      <c r="I144" s="634">
        <f t="shared" ref="I144" si="34">G144+H144</f>
        <v>0</v>
      </c>
      <c r="J144" s="806"/>
    </row>
    <row r="145" spans="1:10" s="179" customFormat="1" ht="21.5" hidden="1" thickBot="1" x14ac:dyDescent="0.3">
      <c r="A145" s="805" t="s">
        <v>1748</v>
      </c>
      <c r="B145" s="633">
        <f>B39-B82</f>
        <v>0</v>
      </c>
      <c r="C145" s="633">
        <f t="shared" si="31"/>
        <v>4968000</v>
      </c>
      <c r="D145" s="634">
        <f t="shared" si="32"/>
        <v>4968000</v>
      </c>
      <c r="E145" s="318"/>
      <c r="F145" s="633">
        <f>F39-F82</f>
        <v>4968000</v>
      </c>
      <c r="G145" s="633">
        <f t="shared" si="33"/>
        <v>4968000</v>
      </c>
      <c r="H145" s="633"/>
      <c r="I145" s="634"/>
      <c r="J145" s="806"/>
    </row>
    <row r="146" spans="1:10" s="179" customFormat="1" ht="13.5" hidden="1" thickBot="1" x14ac:dyDescent="0.3">
      <c r="A146" s="147" t="s">
        <v>1750</v>
      </c>
      <c r="B146" s="807">
        <f>SUM(B143:B145)</f>
        <v>45089278.557348534</v>
      </c>
      <c r="C146" s="807">
        <f t="shared" ref="C146" si="35">SUM(C143:C145)</f>
        <v>9114083.4866666682</v>
      </c>
      <c r="D146" s="807">
        <f t="shared" ref="D146" si="36">SUM(D143:D145)</f>
        <v>4968000</v>
      </c>
      <c r="E146" s="318"/>
      <c r="F146" s="808">
        <f>SUM(F143:F145)</f>
        <v>73117196.115301386</v>
      </c>
      <c r="G146" s="807">
        <f>SUM(G143:G145)</f>
        <v>54203362.044015229</v>
      </c>
      <c r="H146" s="807">
        <f t="shared" ref="H146" si="37">SUM(H143:H145)</f>
        <v>18913834.071286164</v>
      </c>
      <c r="I146" s="807">
        <f t="shared" ref="I146" si="38">SUM(I143:I145)</f>
        <v>0</v>
      </c>
      <c r="J146" s="806"/>
    </row>
  </sheetData>
  <mergeCells count="20">
    <mergeCell ref="B102:H102"/>
    <mergeCell ref="B103:D103"/>
    <mergeCell ref="E103:E104"/>
    <mergeCell ref="F103:F104"/>
    <mergeCell ref="G103:I103"/>
    <mergeCell ref="B1:H1"/>
    <mergeCell ref="B88:D88"/>
    <mergeCell ref="E88:E89"/>
    <mergeCell ref="F88:F89"/>
    <mergeCell ref="G88:I88"/>
    <mergeCell ref="B44:H44"/>
    <mergeCell ref="B45:D45"/>
    <mergeCell ref="E45:E46"/>
    <mergeCell ref="F45:F46"/>
    <mergeCell ref="G45:I45"/>
    <mergeCell ref="B87:H87"/>
    <mergeCell ref="B2:D2"/>
    <mergeCell ref="E2:E3"/>
    <mergeCell ref="F2:F3"/>
    <mergeCell ref="G2:I2"/>
  </mergeCells>
  <pageMargins left="0.70866141732283472" right="0.70866141732283472" top="0" bottom="0" header="0.31496062992125984" footer="0.31496062992125984"/>
  <pageSetup paperSize="8" fitToHeight="0" orientation="landscape" r:id="rId1"/>
  <rowBreaks count="2" manualBreakCount="2">
    <brk id="42" max="16383" man="1"/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8"/>
  <sheetViews>
    <sheetView view="pageBreakPreview" topLeftCell="A7" zoomScale="60" zoomScaleNormal="100" workbookViewId="0">
      <selection activeCell="A31" sqref="A31:A32"/>
    </sheetView>
  </sheetViews>
  <sheetFormatPr defaultRowHeight="12.5" x14ac:dyDescent="0.25"/>
  <cols>
    <col min="1" max="1" width="44.26953125" customWidth="1"/>
    <col min="2" max="7" width="25.7265625" customWidth="1"/>
    <col min="8" max="9" width="14.26953125" hidden="1" customWidth="1"/>
    <col min="10" max="10" width="13.453125" hidden="1" customWidth="1"/>
    <col min="11" max="12" width="14.26953125" hidden="1" customWidth="1"/>
    <col min="13" max="13" width="13.453125" hidden="1" customWidth="1"/>
    <col min="14" max="15" width="14.26953125" hidden="1" customWidth="1"/>
    <col min="16" max="16" width="13.453125" hidden="1" customWidth="1"/>
    <col min="17" max="17" width="17.1796875" hidden="1" customWidth="1"/>
  </cols>
  <sheetData>
    <row r="1" spans="1:16" s="2" customFormat="1" ht="46.9" customHeight="1" x14ac:dyDescent="0.25">
      <c r="A1" s="142" t="s">
        <v>707</v>
      </c>
      <c r="B1" s="1153" t="s">
        <v>1784</v>
      </c>
      <c r="C1" s="1153"/>
      <c r="D1" s="1153"/>
      <c r="E1" s="1147" t="s">
        <v>1785</v>
      </c>
      <c r="F1" s="1148"/>
      <c r="G1" s="1149"/>
      <c r="H1" s="1147" t="s">
        <v>1788</v>
      </c>
      <c r="I1" s="1148"/>
      <c r="J1" s="1149"/>
      <c r="K1" s="1147" t="s">
        <v>1787</v>
      </c>
      <c r="L1" s="1148"/>
      <c r="M1" s="1149"/>
      <c r="N1" s="1147" t="s">
        <v>1786</v>
      </c>
      <c r="O1" s="1148"/>
      <c r="P1" s="1149"/>
    </row>
    <row r="2" spans="1:16" s="2" customFormat="1" ht="25.9" customHeight="1" x14ac:dyDescent="0.3">
      <c r="A2" s="143" t="s">
        <v>702</v>
      </c>
      <c r="B2" s="150" t="s">
        <v>1744</v>
      </c>
      <c r="D2" s="144" t="s">
        <v>1751</v>
      </c>
      <c r="E2" s="150" t="s">
        <v>1744</v>
      </c>
      <c r="G2" s="144" t="s">
        <v>1751</v>
      </c>
      <c r="H2" s="150" t="s">
        <v>708</v>
      </c>
      <c r="J2" s="144" t="s">
        <v>701</v>
      </c>
      <c r="K2" s="150" t="s">
        <v>708</v>
      </c>
      <c r="M2" s="144" t="s">
        <v>701</v>
      </c>
      <c r="N2" s="150" t="s">
        <v>1744</v>
      </c>
      <c r="P2" s="144" t="s">
        <v>1751</v>
      </c>
    </row>
    <row r="3" spans="1:16" s="2" customFormat="1" ht="43.15" customHeight="1" x14ac:dyDescent="0.25">
      <c r="A3" s="143"/>
      <c r="B3" s="1150" t="s">
        <v>599</v>
      </c>
      <c r="C3" s="1151"/>
      <c r="D3" s="1152"/>
      <c r="E3" s="1150" t="s">
        <v>599</v>
      </c>
      <c r="F3" s="1151"/>
      <c r="G3" s="1152"/>
      <c r="H3" s="1150" t="s">
        <v>599</v>
      </c>
      <c r="I3" s="1151"/>
      <c r="J3" s="1152"/>
      <c r="K3" s="1150" t="s">
        <v>599</v>
      </c>
      <c r="L3" s="1151"/>
      <c r="M3" s="1152"/>
      <c r="N3" s="1150" t="s">
        <v>599</v>
      </c>
      <c r="O3" s="1151"/>
      <c r="P3" s="1152"/>
    </row>
    <row r="4" spans="1:16" s="2" customFormat="1" ht="24" customHeight="1" x14ac:dyDescent="0.3">
      <c r="A4" s="145"/>
      <c r="B4" s="146" t="s">
        <v>602</v>
      </c>
      <c r="C4" s="146"/>
      <c r="D4" s="146" t="s">
        <v>564</v>
      </c>
      <c r="E4" s="146" t="s">
        <v>602</v>
      </c>
      <c r="F4" s="146"/>
      <c r="G4" s="146" t="s">
        <v>564</v>
      </c>
      <c r="H4" s="146" t="s">
        <v>602</v>
      </c>
      <c r="I4" s="146"/>
      <c r="J4" s="146" t="s">
        <v>564</v>
      </c>
      <c r="K4" s="146" t="s">
        <v>602</v>
      </c>
      <c r="L4" s="146"/>
      <c r="M4" s="146" t="s">
        <v>564</v>
      </c>
      <c r="N4" s="146" t="s">
        <v>602</v>
      </c>
      <c r="O4" s="146"/>
      <c r="P4" s="146" t="s">
        <v>564</v>
      </c>
    </row>
    <row r="5" spans="1:16" s="2" customFormat="1" ht="15" customHeight="1" thickBot="1" x14ac:dyDescent="0.3">
      <c r="A5" s="245" t="s">
        <v>805</v>
      </c>
      <c r="B5" s="389"/>
      <c r="C5" s="389"/>
      <c r="D5" s="389">
        <v>0</v>
      </c>
      <c r="E5" s="389"/>
      <c r="F5" s="389"/>
      <c r="G5" s="389">
        <v>0</v>
      </c>
      <c r="H5" s="246"/>
      <c r="I5" s="246"/>
      <c r="J5" s="246">
        <v>0</v>
      </c>
      <c r="K5" s="246"/>
      <c r="L5" s="246"/>
      <c r="M5" s="246">
        <v>0</v>
      </c>
      <c r="N5" s="246"/>
      <c r="O5" s="246"/>
      <c r="P5" s="246">
        <v>0</v>
      </c>
    </row>
    <row r="6" spans="1:16" s="2" customFormat="1" ht="15" customHeight="1" thickBot="1" x14ac:dyDescent="0.4">
      <c r="A6" s="247" t="s">
        <v>834</v>
      </c>
      <c r="B6" s="390">
        <f t="shared" ref="B6:G6" si="0">B7+B8+B9</f>
        <v>69024418.959999993</v>
      </c>
      <c r="C6" s="390">
        <f t="shared" si="0"/>
        <v>0</v>
      </c>
      <c r="D6" s="390">
        <f t="shared" si="0"/>
        <v>69024418.959999993</v>
      </c>
      <c r="E6" s="390">
        <f t="shared" si="0"/>
        <v>78072027.439999998</v>
      </c>
      <c r="F6" s="390">
        <f t="shared" si="0"/>
        <v>0</v>
      </c>
      <c r="G6" s="390">
        <f t="shared" si="0"/>
        <v>78072027.439999998</v>
      </c>
      <c r="H6" s="151">
        <f t="shared" ref="H6:J7" si="1">E6/B6</f>
        <v>1.1310783722097413</v>
      </c>
      <c r="I6" s="151" t="e">
        <f t="shared" si="1"/>
        <v>#DIV/0!</v>
      </c>
      <c r="J6" s="151">
        <f t="shared" si="1"/>
        <v>1.1310783722097413</v>
      </c>
      <c r="K6" s="461">
        <f>B6/2-E6</f>
        <v>-43559817.960000001</v>
      </c>
      <c r="L6" s="461">
        <f>C6/2-F6</f>
        <v>0</v>
      </c>
      <c r="M6" s="461">
        <f>D6/2-G6</f>
        <v>-43559817.960000001</v>
      </c>
      <c r="N6" s="461">
        <f>B6-E6</f>
        <v>-9047608.4800000042</v>
      </c>
      <c r="O6" s="461">
        <f t="shared" ref="O6:P20" si="2">C6-F6</f>
        <v>0</v>
      </c>
      <c r="P6" s="461">
        <f t="shared" si="2"/>
        <v>-9047608.4800000042</v>
      </c>
    </row>
    <row r="7" spans="1:16" s="2" customFormat="1" ht="13.5" customHeight="1" thickBot="1" x14ac:dyDescent="0.4">
      <c r="A7" s="248" t="s">
        <v>807</v>
      </c>
      <c r="B7" s="462">
        <v>60874964</v>
      </c>
      <c r="C7" s="462">
        <v>0</v>
      </c>
      <c r="D7" s="463">
        <f>SUM(B7:C7)</f>
        <v>60874964</v>
      </c>
      <c r="E7" s="462">
        <f>('Felosztás eredménykim'!HB325+'Felosztás eredménykim'!HB326+'Felosztás eredménykim'!HB354)*1000</f>
        <v>67194452.439999998</v>
      </c>
      <c r="F7" s="462">
        <v>0</v>
      </c>
      <c r="G7" s="463">
        <f>SUM(E7:F7)</f>
        <v>67194452.439999998</v>
      </c>
      <c r="H7" s="464">
        <f t="shared" si="1"/>
        <v>1.1038109597896435</v>
      </c>
      <c r="I7" s="464" t="e">
        <f t="shared" si="1"/>
        <v>#DIV/0!</v>
      </c>
      <c r="J7" s="465">
        <f t="shared" si="1"/>
        <v>1.1038109597896435</v>
      </c>
      <c r="K7" s="461">
        <f t="shared" ref="K7:K30" si="3">B7/2-E7</f>
        <v>-36756970.439999998</v>
      </c>
      <c r="L7" s="461">
        <f t="shared" ref="L7:L30" si="4">C7/2-F7</f>
        <v>0</v>
      </c>
      <c r="M7" s="461">
        <f t="shared" ref="M7:M30" si="5">D7/2-G7</f>
        <v>-36756970.439999998</v>
      </c>
      <c r="N7" s="461">
        <f t="shared" ref="N7:N30" si="6">B7-E7</f>
        <v>-6319488.4399999976</v>
      </c>
      <c r="O7" s="461">
        <f t="shared" si="2"/>
        <v>0</v>
      </c>
      <c r="P7" s="461">
        <f t="shared" si="2"/>
        <v>-6319488.4399999976</v>
      </c>
    </row>
    <row r="8" spans="1:16" s="2" customFormat="1" ht="13.5" customHeight="1" thickBot="1" x14ac:dyDescent="0.4">
      <c r="A8" s="248" t="s">
        <v>835</v>
      </c>
      <c r="B8" s="463">
        <v>0</v>
      </c>
      <c r="C8" s="463">
        <v>0</v>
      </c>
      <c r="D8" s="463">
        <f t="shared" ref="D8:D30" si="7">SUM(B8:C8)</f>
        <v>0</v>
      </c>
      <c r="E8" s="463">
        <f>'Felosztás eredménykim'!HB327*1000</f>
        <v>3040700</v>
      </c>
      <c r="F8" s="463"/>
      <c r="G8" s="463">
        <f>SUM(E8:F8)</f>
        <v>3040700</v>
      </c>
      <c r="H8" s="464" t="e">
        <f t="shared" ref="H8:H13" si="8">E8/B8</f>
        <v>#DIV/0!</v>
      </c>
      <c r="I8" s="464"/>
      <c r="J8" s="465" t="e">
        <f t="shared" ref="J8:J13" si="9">G8/D8</f>
        <v>#DIV/0!</v>
      </c>
      <c r="K8" s="461">
        <f t="shared" si="3"/>
        <v>-3040700</v>
      </c>
      <c r="L8" s="461">
        <f t="shared" si="4"/>
        <v>0</v>
      </c>
      <c r="M8" s="461">
        <f t="shared" si="5"/>
        <v>-3040700</v>
      </c>
      <c r="N8" s="461">
        <f t="shared" si="6"/>
        <v>-3040700</v>
      </c>
      <c r="O8" s="461">
        <f t="shared" si="2"/>
        <v>0</v>
      </c>
      <c r="P8" s="461">
        <f t="shared" si="2"/>
        <v>-3040700</v>
      </c>
    </row>
    <row r="9" spans="1:16" s="2" customFormat="1" ht="13.5" customHeight="1" thickBot="1" x14ac:dyDescent="0.4">
      <c r="A9" s="249" t="s">
        <v>810</v>
      </c>
      <c r="B9" s="466">
        <v>8149454.96</v>
      </c>
      <c r="C9" s="466">
        <v>0</v>
      </c>
      <c r="D9" s="463">
        <f t="shared" si="7"/>
        <v>8149454.96</v>
      </c>
      <c r="E9" s="463">
        <f>'Felosztás eredménykim'!HB328*1000+'Felosztás eredménykim'!HB356*1000</f>
        <v>7836875</v>
      </c>
      <c r="F9" s="462">
        <v>0</v>
      </c>
      <c r="G9" s="463">
        <f>SUM(E9:F9)</f>
        <v>7836875</v>
      </c>
      <c r="H9" s="464">
        <f t="shared" si="8"/>
        <v>0.9616440655805526</v>
      </c>
      <c r="I9" s="464" t="e">
        <f>F9/C9</f>
        <v>#DIV/0!</v>
      </c>
      <c r="J9" s="465">
        <f t="shared" si="9"/>
        <v>0.9616440655805526</v>
      </c>
      <c r="K9" s="461">
        <f t="shared" si="3"/>
        <v>-3762147.52</v>
      </c>
      <c r="L9" s="461">
        <f t="shared" si="4"/>
        <v>0</v>
      </c>
      <c r="M9" s="461">
        <f t="shared" si="5"/>
        <v>-3762147.52</v>
      </c>
      <c r="N9" s="461">
        <f t="shared" si="6"/>
        <v>312579.95999999996</v>
      </c>
      <c r="O9" s="461">
        <f t="shared" si="2"/>
        <v>0</v>
      </c>
      <c r="P9" s="461">
        <f t="shared" si="2"/>
        <v>312579.95999999996</v>
      </c>
    </row>
    <row r="10" spans="1:16" s="2" customFormat="1" ht="13.5" customHeight="1" thickBot="1" x14ac:dyDescent="0.4">
      <c r="A10" s="247" t="s">
        <v>811</v>
      </c>
      <c r="B10" s="467">
        <f t="shared" ref="B10:G10" si="10">B14+B12+B13+B11</f>
        <v>69649327</v>
      </c>
      <c r="C10" s="467">
        <f t="shared" si="10"/>
        <v>0</v>
      </c>
      <c r="D10" s="467">
        <f t="shared" si="10"/>
        <v>69649327</v>
      </c>
      <c r="E10" s="467">
        <f t="shared" si="10"/>
        <v>44075511.960000001</v>
      </c>
      <c r="F10" s="467">
        <f t="shared" si="10"/>
        <v>0</v>
      </c>
      <c r="G10" s="467">
        <f t="shared" si="10"/>
        <v>44075511.960000001</v>
      </c>
      <c r="H10" s="465">
        <f t="shared" si="8"/>
        <v>0.63282035675664172</v>
      </c>
      <c r="I10" s="465"/>
      <c r="J10" s="465">
        <f t="shared" si="9"/>
        <v>0.63282035675664172</v>
      </c>
      <c r="K10" s="461">
        <f t="shared" si="3"/>
        <v>-9250848.4600000009</v>
      </c>
      <c r="L10" s="461">
        <f t="shared" si="4"/>
        <v>0</v>
      </c>
      <c r="M10" s="461">
        <f t="shared" si="5"/>
        <v>-9250848.4600000009</v>
      </c>
      <c r="N10" s="461">
        <f t="shared" si="6"/>
        <v>25573815.039999999</v>
      </c>
      <c r="O10" s="461">
        <f t="shared" si="2"/>
        <v>0</v>
      </c>
      <c r="P10" s="461">
        <f t="shared" si="2"/>
        <v>25573815.039999999</v>
      </c>
    </row>
    <row r="11" spans="1:16" s="2" customFormat="1" ht="13.5" customHeight="1" thickBot="1" x14ac:dyDescent="0.4">
      <c r="A11" s="250" t="s">
        <v>842</v>
      </c>
      <c r="B11" s="469">
        <v>3223000</v>
      </c>
      <c r="C11" s="469"/>
      <c r="D11" s="469">
        <f>SUM(B11:C11)</f>
        <v>3223000</v>
      </c>
      <c r="E11" s="463">
        <f>'Felosztás eredménykim'!HB334*1000</f>
        <v>1862925</v>
      </c>
      <c r="F11" s="469"/>
      <c r="G11" s="469">
        <f>SUM(E11:F11)</f>
        <v>1862925</v>
      </c>
      <c r="H11" s="464">
        <f t="shared" si="8"/>
        <v>0.57800961836798015</v>
      </c>
      <c r="I11" s="464"/>
      <c r="J11" s="465">
        <f t="shared" si="9"/>
        <v>0.57800961836798015</v>
      </c>
      <c r="K11" s="461">
        <f>B11/2-E11</f>
        <v>-251425</v>
      </c>
      <c r="L11" s="461">
        <f>C11/2-F11</f>
        <v>0</v>
      </c>
      <c r="M11" s="461">
        <f>D11/2-G11</f>
        <v>-251425</v>
      </c>
      <c r="N11" s="461">
        <f>B11-E11</f>
        <v>1360075</v>
      </c>
      <c r="O11" s="461">
        <f>C11-F11</f>
        <v>0</v>
      </c>
      <c r="P11" s="461">
        <f>D11-G11</f>
        <v>1360075</v>
      </c>
    </row>
    <row r="12" spans="1:16" s="2" customFormat="1" ht="13.5" customHeight="1" thickBot="1" x14ac:dyDescent="0.4">
      <c r="A12" s="248" t="s">
        <v>836</v>
      </c>
      <c r="B12" s="463">
        <v>48832705</v>
      </c>
      <c r="C12" s="463"/>
      <c r="D12" s="463">
        <f t="shared" si="7"/>
        <v>48832705</v>
      </c>
      <c r="E12" s="463">
        <f>'Felosztás eredménykim'!HB331*1000</f>
        <v>31220424.800000001</v>
      </c>
      <c r="F12" s="463"/>
      <c r="G12" s="463">
        <f>SUM(E12:F12)</f>
        <v>31220424.800000001</v>
      </c>
      <c r="H12" s="464">
        <f t="shared" si="8"/>
        <v>0.63933433136665274</v>
      </c>
      <c r="I12" s="464"/>
      <c r="J12" s="465">
        <f t="shared" si="9"/>
        <v>0.63933433136665274</v>
      </c>
      <c r="K12" s="461">
        <f t="shared" si="3"/>
        <v>-6804072.3000000007</v>
      </c>
      <c r="L12" s="461">
        <f t="shared" si="4"/>
        <v>0</v>
      </c>
      <c r="M12" s="461">
        <f t="shared" si="5"/>
        <v>-6804072.3000000007</v>
      </c>
      <c r="N12" s="461">
        <f t="shared" si="6"/>
        <v>17612280.199999999</v>
      </c>
      <c r="O12" s="461">
        <f t="shared" si="2"/>
        <v>0</v>
      </c>
      <c r="P12" s="461">
        <f t="shared" si="2"/>
        <v>17612280.199999999</v>
      </c>
    </row>
    <row r="13" spans="1:16" s="2" customFormat="1" ht="13.5" customHeight="1" thickBot="1" x14ac:dyDescent="0.4">
      <c r="A13" s="248" t="s">
        <v>813</v>
      </c>
      <c r="B13" s="463">
        <v>17213622</v>
      </c>
      <c r="C13" s="659">
        <v>0</v>
      </c>
      <c r="D13" s="463">
        <f t="shared" si="7"/>
        <v>17213622</v>
      </c>
      <c r="E13" s="463">
        <f>('Felosztás eredménykim'!HB332+'Felosztás eredménykim'!HB333)*1000</f>
        <v>10839611.360000001</v>
      </c>
      <c r="F13" s="463"/>
      <c r="G13" s="463">
        <f>SUM(E13:F13)</f>
        <v>10839611.360000001</v>
      </c>
      <c r="H13" s="464">
        <f t="shared" si="8"/>
        <v>0.62971124612821183</v>
      </c>
      <c r="I13" s="464"/>
      <c r="J13" s="465">
        <f t="shared" si="9"/>
        <v>0.62971124612821183</v>
      </c>
      <c r="K13" s="461">
        <f t="shared" si="3"/>
        <v>-2232800.3600000013</v>
      </c>
      <c r="L13" s="461">
        <f t="shared" si="4"/>
        <v>0</v>
      </c>
      <c r="M13" s="461">
        <f t="shared" si="5"/>
        <v>-2232800.3600000013</v>
      </c>
      <c r="N13" s="461">
        <f t="shared" si="6"/>
        <v>6374010.6399999987</v>
      </c>
      <c r="O13" s="461">
        <f t="shared" si="2"/>
        <v>0</v>
      </c>
      <c r="P13" s="461">
        <f t="shared" si="2"/>
        <v>6374010.6399999987</v>
      </c>
    </row>
    <row r="14" spans="1:16" s="2" customFormat="1" ht="13.5" customHeight="1" thickBot="1" x14ac:dyDescent="0.35">
      <c r="A14" s="248" t="s">
        <v>1842</v>
      </c>
      <c r="B14" s="463">
        <v>380000</v>
      </c>
      <c r="C14" s="463"/>
      <c r="D14" s="463">
        <f>SUM(B14:C14)</f>
        <v>380000</v>
      </c>
      <c r="E14" s="463">
        <f>'Felosztás eredménykim'!HB330*1000</f>
        <v>152550.8000000001</v>
      </c>
      <c r="F14" s="463"/>
      <c r="G14" s="463">
        <f>SUM(E14:F14)</f>
        <v>152550.8000000001</v>
      </c>
      <c r="H14" s="468"/>
      <c r="I14" s="468"/>
      <c r="J14" s="465"/>
      <c r="K14" s="461">
        <f>B14/2-E14</f>
        <v>37449.199999999895</v>
      </c>
      <c r="L14" s="461">
        <f>C14/2-F14</f>
        <v>0</v>
      </c>
      <c r="M14" s="461">
        <f>D14/2-G14</f>
        <v>37449.199999999895</v>
      </c>
      <c r="N14" s="461">
        <f>B14-E14</f>
        <v>227449.1999999999</v>
      </c>
      <c r="O14" s="461">
        <f>C14-F14</f>
        <v>0</v>
      </c>
      <c r="P14" s="461">
        <f>D14-G14</f>
        <v>227449.1999999999</v>
      </c>
    </row>
    <row r="15" spans="1:16" s="2" customFormat="1" ht="13.5" customHeight="1" thickBot="1" x14ac:dyDescent="0.35">
      <c r="A15" s="251" t="s">
        <v>815</v>
      </c>
      <c r="B15" s="470">
        <f t="shared" ref="B15:G15" si="11">B6+B10</f>
        <v>138673745.95999998</v>
      </c>
      <c r="C15" s="470">
        <f t="shared" si="11"/>
        <v>0</v>
      </c>
      <c r="D15" s="470">
        <f t="shared" si="11"/>
        <v>138673745.95999998</v>
      </c>
      <c r="E15" s="470">
        <f t="shared" si="11"/>
        <v>122147539.40000001</v>
      </c>
      <c r="F15" s="470">
        <f t="shared" si="11"/>
        <v>0</v>
      </c>
      <c r="G15" s="470">
        <f t="shared" si="11"/>
        <v>122147539.40000001</v>
      </c>
      <c r="H15" s="465">
        <f>E15/B15</f>
        <v>0.88082670987508405</v>
      </c>
      <c r="I15" s="471" t="e">
        <f>I6+I10</f>
        <v>#DIV/0!</v>
      </c>
      <c r="J15" s="465">
        <f>G15/D15</f>
        <v>0.88082670987508405</v>
      </c>
      <c r="K15" s="461">
        <f t="shared" si="3"/>
        <v>-52810666.420000017</v>
      </c>
      <c r="L15" s="461">
        <f t="shared" si="4"/>
        <v>0</v>
      </c>
      <c r="M15" s="461">
        <f t="shared" si="5"/>
        <v>-52810666.420000017</v>
      </c>
      <c r="N15" s="461">
        <f t="shared" si="6"/>
        <v>16526206.559999973</v>
      </c>
      <c r="O15" s="461">
        <f t="shared" si="2"/>
        <v>0</v>
      </c>
      <c r="P15" s="461">
        <f t="shared" si="2"/>
        <v>16526206.559999973</v>
      </c>
    </row>
    <row r="16" spans="1:16" s="2" customFormat="1" ht="13.5" customHeight="1" thickBot="1" x14ac:dyDescent="0.35">
      <c r="A16" s="252" t="s">
        <v>816</v>
      </c>
      <c r="B16" s="393"/>
      <c r="C16" s="393"/>
      <c r="D16" s="393">
        <f t="shared" si="7"/>
        <v>0</v>
      </c>
      <c r="E16" s="393"/>
      <c r="F16" s="393"/>
      <c r="G16" s="393">
        <f t="shared" ref="G16:G24" si="12">SUM(E16:F16)</f>
        <v>0</v>
      </c>
      <c r="H16" s="261"/>
      <c r="I16" s="261"/>
      <c r="J16" s="151"/>
      <c r="K16" s="461">
        <f t="shared" si="3"/>
        <v>0</v>
      </c>
      <c r="L16" s="461">
        <f t="shared" si="4"/>
        <v>0</v>
      </c>
      <c r="M16" s="461">
        <f t="shared" si="5"/>
        <v>0</v>
      </c>
      <c r="N16" s="461">
        <f t="shared" si="6"/>
        <v>0</v>
      </c>
      <c r="O16" s="461">
        <f t="shared" si="2"/>
        <v>0</v>
      </c>
      <c r="P16" s="461">
        <f t="shared" si="2"/>
        <v>0</v>
      </c>
    </row>
    <row r="17" spans="1:17" s="2" customFormat="1" ht="13.5" customHeight="1" thickBot="1" x14ac:dyDescent="0.4">
      <c r="A17" s="248" t="s">
        <v>817</v>
      </c>
      <c r="B17" s="389">
        <v>0</v>
      </c>
      <c r="C17" s="389"/>
      <c r="D17" s="389">
        <f t="shared" si="7"/>
        <v>0</v>
      </c>
      <c r="E17" s="389">
        <v>0</v>
      </c>
      <c r="F17" s="389"/>
      <c r="G17" s="389">
        <f t="shared" si="12"/>
        <v>0</v>
      </c>
      <c r="H17" s="257"/>
      <c r="I17" s="258"/>
      <c r="J17" s="151" t="e">
        <f>G17/D17</f>
        <v>#DIV/0!</v>
      </c>
      <c r="K17" s="461">
        <f t="shared" si="3"/>
        <v>0</v>
      </c>
      <c r="L17" s="461">
        <f t="shared" si="4"/>
        <v>0</v>
      </c>
      <c r="M17" s="461">
        <f t="shared" si="5"/>
        <v>0</v>
      </c>
      <c r="N17" s="461">
        <f t="shared" si="6"/>
        <v>0</v>
      </c>
      <c r="O17" s="461">
        <f t="shared" si="2"/>
        <v>0</v>
      </c>
      <c r="P17" s="461">
        <f t="shared" si="2"/>
        <v>0</v>
      </c>
    </row>
    <row r="18" spans="1:17" s="2" customFormat="1" ht="13.5" customHeight="1" thickBot="1" x14ac:dyDescent="0.35">
      <c r="A18" s="250" t="s">
        <v>818</v>
      </c>
      <c r="B18" s="391"/>
      <c r="C18" s="391"/>
      <c r="D18" s="391">
        <f t="shared" si="7"/>
        <v>0</v>
      </c>
      <c r="E18" s="391"/>
      <c r="F18" s="391"/>
      <c r="G18" s="391">
        <f t="shared" si="12"/>
        <v>0</v>
      </c>
      <c r="H18" s="259"/>
      <c r="I18" s="259"/>
      <c r="J18" s="151"/>
      <c r="K18" s="461">
        <f t="shared" si="3"/>
        <v>0</v>
      </c>
      <c r="L18" s="461">
        <f t="shared" si="4"/>
        <v>0</v>
      </c>
      <c r="M18" s="461">
        <f t="shared" si="5"/>
        <v>0</v>
      </c>
      <c r="N18" s="461">
        <f t="shared" si="6"/>
        <v>0</v>
      </c>
      <c r="O18" s="461">
        <f t="shared" si="2"/>
        <v>0</v>
      </c>
      <c r="P18" s="461">
        <f t="shared" si="2"/>
        <v>0</v>
      </c>
    </row>
    <row r="19" spans="1:17" s="2" customFormat="1" ht="13.5" customHeight="1" thickBot="1" x14ac:dyDescent="0.35">
      <c r="A19" s="253" t="s">
        <v>819</v>
      </c>
      <c r="B19" s="392">
        <f>SUM(B17:B18)</f>
        <v>0</v>
      </c>
      <c r="C19" s="392">
        <f>SUM(C17:C18)</f>
        <v>0</v>
      </c>
      <c r="D19" s="392">
        <f t="shared" si="7"/>
        <v>0</v>
      </c>
      <c r="E19" s="392">
        <f>SUM(E17:E18)</f>
        <v>0</v>
      </c>
      <c r="F19" s="392">
        <f>SUM(F17:F18)</f>
        <v>0</v>
      </c>
      <c r="G19" s="392">
        <f t="shared" si="12"/>
        <v>0</v>
      </c>
      <c r="H19" s="151"/>
      <c r="I19" s="260">
        <f>SUM(I17:I18)</f>
        <v>0</v>
      </c>
      <c r="J19" s="151" t="e">
        <f>G19/D19</f>
        <v>#DIV/0!</v>
      </c>
      <c r="K19" s="461">
        <f t="shared" si="3"/>
        <v>0</v>
      </c>
      <c r="L19" s="461">
        <f t="shared" si="4"/>
        <v>0</v>
      </c>
      <c r="M19" s="461">
        <f t="shared" si="5"/>
        <v>0</v>
      </c>
      <c r="N19" s="461">
        <f t="shared" si="6"/>
        <v>0</v>
      </c>
      <c r="O19" s="461">
        <f t="shared" si="2"/>
        <v>0</v>
      </c>
      <c r="P19" s="461">
        <f t="shared" si="2"/>
        <v>0</v>
      </c>
    </row>
    <row r="20" spans="1:17" s="2" customFormat="1" ht="13.5" customHeight="1" thickBot="1" x14ac:dyDescent="0.35">
      <c r="A20" s="253" t="s">
        <v>820</v>
      </c>
      <c r="B20" s="392">
        <f>B19+B15</f>
        <v>138673745.95999998</v>
      </c>
      <c r="C20" s="392">
        <f>C19+C15</f>
        <v>0</v>
      </c>
      <c r="D20" s="392">
        <f t="shared" si="7"/>
        <v>138673745.95999998</v>
      </c>
      <c r="E20" s="392">
        <f>E19+E15</f>
        <v>122147539.40000001</v>
      </c>
      <c r="F20" s="392">
        <f>F19+F15</f>
        <v>0</v>
      </c>
      <c r="G20" s="392">
        <f t="shared" si="12"/>
        <v>122147539.40000001</v>
      </c>
      <c r="H20" s="151">
        <f>E20/B20</f>
        <v>0.88082670987508405</v>
      </c>
      <c r="I20" s="260" t="e">
        <f>I19+I15</f>
        <v>#DIV/0!</v>
      </c>
      <c r="J20" s="151">
        <f>G20/D20</f>
        <v>0.88082670987508405</v>
      </c>
      <c r="K20" s="461">
        <f t="shared" si="3"/>
        <v>-52810666.420000017</v>
      </c>
      <c r="L20" s="461">
        <f t="shared" si="4"/>
        <v>0</v>
      </c>
      <c r="M20" s="461">
        <f t="shared" si="5"/>
        <v>-52810666.420000017</v>
      </c>
      <c r="N20" s="461">
        <f t="shared" si="6"/>
        <v>16526206.559999973</v>
      </c>
      <c r="O20" s="461">
        <f t="shared" si="2"/>
        <v>0</v>
      </c>
      <c r="P20" s="461">
        <f t="shared" si="2"/>
        <v>16526206.559999973</v>
      </c>
    </row>
    <row r="21" spans="1:17" s="2" customFormat="1" ht="13.5" customHeight="1" thickBot="1" x14ac:dyDescent="0.35">
      <c r="A21" s="254" t="s">
        <v>821</v>
      </c>
      <c r="B21" s="393"/>
      <c r="C21" s="393"/>
      <c r="D21" s="393">
        <f t="shared" si="7"/>
        <v>0</v>
      </c>
      <c r="E21" s="393"/>
      <c r="F21" s="393"/>
      <c r="G21" s="393">
        <f t="shared" si="12"/>
        <v>0</v>
      </c>
      <c r="H21" s="261"/>
      <c r="I21" s="261"/>
      <c r="J21" s="151"/>
      <c r="K21" s="461">
        <f t="shared" si="3"/>
        <v>0</v>
      </c>
      <c r="L21" s="461">
        <f t="shared" si="4"/>
        <v>0</v>
      </c>
      <c r="M21" s="461">
        <f t="shared" si="5"/>
        <v>0</v>
      </c>
      <c r="N21" s="461">
        <f t="shared" si="6"/>
        <v>0</v>
      </c>
      <c r="O21" s="461">
        <f t="shared" ref="O21:O30" si="13">C21-F21</f>
        <v>0</v>
      </c>
      <c r="P21" s="461">
        <f t="shared" ref="P21:P30" si="14">D21-G21</f>
        <v>0</v>
      </c>
    </row>
    <row r="22" spans="1:17" s="2" customFormat="1" ht="13.5" customHeight="1" thickBot="1" x14ac:dyDescent="0.35">
      <c r="A22" s="245" t="s">
        <v>822</v>
      </c>
      <c r="B22" s="389"/>
      <c r="C22" s="389"/>
      <c r="D22" s="389">
        <f t="shared" si="7"/>
        <v>0</v>
      </c>
      <c r="E22" s="389"/>
      <c r="F22" s="389"/>
      <c r="G22" s="389">
        <f t="shared" si="12"/>
        <v>0</v>
      </c>
      <c r="H22" s="258"/>
      <c r="I22" s="258"/>
      <c r="J22" s="151"/>
      <c r="K22" s="461">
        <f t="shared" si="3"/>
        <v>0</v>
      </c>
      <c r="L22" s="461">
        <f t="shared" si="4"/>
        <v>0</v>
      </c>
      <c r="M22" s="461">
        <f t="shared" si="5"/>
        <v>0</v>
      </c>
      <c r="N22" s="461">
        <f t="shared" si="6"/>
        <v>0</v>
      </c>
      <c r="O22" s="461">
        <f t="shared" si="13"/>
        <v>0</v>
      </c>
      <c r="P22" s="461">
        <f t="shared" si="14"/>
        <v>0</v>
      </c>
    </row>
    <row r="23" spans="1:17" s="2" customFormat="1" ht="13.5" customHeight="1" thickBot="1" x14ac:dyDescent="0.4">
      <c r="A23" s="255" t="s">
        <v>843</v>
      </c>
      <c r="B23" s="389"/>
      <c r="C23" s="389"/>
      <c r="D23" s="389">
        <f t="shared" si="7"/>
        <v>0</v>
      </c>
      <c r="E23" s="389">
        <v>0</v>
      </c>
      <c r="F23" s="389"/>
      <c r="G23" s="389">
        <f t="shared" si="12"/>
        <v>0</v>
      </c>
      <c r="H23" s="257"/>
      <c r="I23" s="258"/>
      <c r="J23" s="151"/>
      <c r="K23" s="461">
        <f t="shared" si="3"/>
        <v>0</v>
      </c>
      <c r="L23" s="461">
        <f t="shared" si="4"/>
        <v>0</v>
      </c>
      <c r="M23" s="461">
        <f t="shared" si="5"/>
        <v>0</v>
      </c>
      <c r="N23" s="461">
        <f t="shared" si="6"/>
        <v>0</v>
      </c>
      <c r="O23" s="461">
        <f t="shared" si="13"/>
        <v>0</v>
      </c>
      <c r="P23" s="461">
        <f t="shared" si="14"/>
        <v>0</v>
      </c>
    </row>
    <row r="24" spans="1:17" s="2" customFormat="1" ht="13.5" customHeight="1" thickBot="1" x14ac:dyDescent="0.35">
      <c r="A24" s="256" t="s">
        <v>824</v>
      </c>
      <c r="B24" s="391">
        <f>SUM(B23)</f>
        <v>0</v>
      </c>
      <c r="C24" s="391">
        <f>SUM(C23)</f>
        <v>0</v>
      </c>
      <c r="D24" s="391">
        <f t="shared" si="7"/>
        <v>0</v>
      </c>
      <c r="E24" s="391">
        <f>SUM(E23)</f>
        <v>0</v>
      </c>
      <c r="F24" s="391">
        <f>SUM(F23)</f>
        <v>0</v>
      </c>
      <c r="G24" s="391">
        <f t="shared" si="12"/>
        <v>0</v>
      </c>
      <c r="H24" s="151"/>
      <c r="I24" s="151"/>
      <c r="J24" s="151"/>
      <c r="K24" s="461">
        <f t="shared" si="3"/>
        <v>0</v>
      </c>
      <c r="L24" s="461">
        <f t="shared" si="4"/>
        <v>0</v>
      </c>
      <c r="M24" s="461">
        <f t="shared" si="5"/>
        <v>0</v>
      </c>
      <c r="N24" s="461">
        <f t="shared" si="6"/>
        <v>0</v>
      </c>
      <c r="O24" s="461">
        <f t="shared" si="13"/>
        <v>0</v>
      </c>
      <c r="P24" s="461">
        <f t="shared" si="14"/>
        <v>0</v>
      </c>
    </row>
    <row r="25" spans="1:17" s="2" customFormat="1" ht="13.5" customHeight="1" thickBot="1" x14ac:dyDescent="0.35">
      <c r="A25" s="253" t="s">
        <v>828</v>
      </c>
      <c r="B25" s="392">
        <f>SUM(B24)</f>
        <v>0</v>
      </c>
      <c r="C25" s="392">
        <f>SUM(C24)</f>
        <v>0</v>
      </c>
      <c r="D25" s="392">
        <f>SUM(D24)</f>
        <v>0</v>
      </c>
      <c r="E25" s="392">
        <f>SUM(E24)</f>
        <v>0</v>
      </c>
      <c r="F25" s="392">
        <f>SUM(F24)</f>
        <v>0</v>
      </c>
      <c r="G25" s="392">
        <f>SUM(G24)</f>
        <v>0</v>
      </c>
      <c r="H25" s="151"/>
      <c r="I25" s="151"/>
      <c r="J25" s="151"/>
      <c r="K25" s="461">
        <f t="shared" si="3"/>
        <v>0</v>
      </c>
      <c r="L25" s="461">
        <f t="shared" si="4"/>
        <v>0</v>
      </c>
      <c r="M25" s="461">
        <f t="shared" si="5"/>
        <v>0</v>
      </c>
      <c r="N25" s="461">
        <f t="shared" si="6"/>
        <v>0</v>
      </c>
      <c r="O25" s="461">
        <f t="shared" si="13"/>
        <v>0</v>
      </c>
      <c r="P25" s="461">
        <f t="shared" si="14"/>
        <v>0</v>
      </c>
    </row>
    <row r="26" spans="1:17" s="2" customFormat="1" ht="13.5" customHeight="1" thickBot="1" x14ac:dyDescent="0.35">
      <c r="A26" s="253" t="s">
        <v>703</v>
      </c>
      <c r="B26" s="392">
        <f>B20-B25</f>
        <v>138673745.95999998</v>
      </c>
      <c r="C26" s="392">
        <f>C20-C25</f>
        <v>0</v>
      </c>
      <c r="D26" s="392">
        <f t="shared" si="7"/>
        <v>138673745.95999998</v>
      </c>
      <c r="E26" s="392">
        <f>E20-E25</f>
        <v>122147539.40000001</v>
      </c>
      <c r="F26" s="392">
        <f>F20-F25</f>
        <v>0</v>
      </c>
      <c r="G26" s="392">
        <f>SUM(E26:F26)</f>
        <v>122147539.40000001</v>
      </c>
      <c r="H26" s="151">
        <f>E26/B26</f>
        <v>0.88082670987508405</v>
      </c>
      <c r="I26" s="260" t="e">
        <f>I20-I25</f>
        <v>#DIV/0!</v>
      </c>
      <c r="J26" s="151">
        <f>G26/D26</f>
        <v>0.88082670987508405</v>
      </c>
      <c r="K26" s="461">
        <f t="shared" si="3"/>
        <v>-52810666.420000017</v>
      </c>
      <c r="L26" s="461">
        <f t="shared" si="4"/>
        <v>0</v>
      </c>
      <c r="M26" s="461">
        <f t="shared" si="5"/>
        <v>-52810666.420000017</v>
      </c>
      <c r="N26" s="461">
        <f t="shared" si="6"/>
        <v>16526206.559999973</v>
      </c>
      <c r="O26" s="461">
        <f t="shared" si="13"/>
        <v>0</v>
      </c>
      <c r="P26" s="461">
        <f t="shared" si="14"/>
        <v>16526206.559999973</v>
      </c>
    </row>
    <row r="27" spans="1:17" s="2" customFormat="1" ht="13.5" thickBot="1" x14ac:dyDescent="0.35">
      <c r="A27" s="147" t="s">
        <v>703</v>
      </c>
      <c r="B27" s="394">
        <v>138673745.95999998</v>
      </c>
      <c r="C27" s="394">
        <v>0</v>
      </c>
      <c r="D27" s="392">
        <f t="shared" si="7"/>
        <v>138673745.95999998</v>
      </c>
      <c r="E27" s="394">
        <f>G27-F27</f>
        <v>120701039.90000001</v>
      </c>
      <c r="F27" s="394">
        <v>0</v>
      </c>
      <c r="G27" s="394">
        <f>Összesítés!H95</f>
        <v>120701039.90000001</v>
      </c>
      <c r="H27" s="151">
        <f>E27/B27</f>
        <v>0.87039575562353277</v>
      </c>
      <c r="I27" s="151" t="e">
        <f>F27/C27</f>
        <v>#DIV/0!</v>
      </c>
      <c r="J27" s="151">
        <f>G27/D27</f>
        <v>0.87039575562353277</v>
      </c>
      <c r="K27" s="461">
        <f t="shared" si="3"/>
        <v>-51364166.920000017</v>
      </c>
      <c r="L27" s="461">
        <f t="shared" si="4"/>
        <v>0</v>
      </c>
      <c r="M27" s="461">
        <f t="shared" si="5"/>
        <v>-51364166.920000017</v>
      </c>
      <c r="N27" s="461">
        <f t="shared" si="6"/>
        <v>17972706.059999973</v>
      </c>
      <c r="O27" s="461">
        <f t="shared" si="13"/>
        <v>0</v>
      </c>
      <c r="P27" s="461">
        <f t="shared" si="14"/>
        <v>17972706.059999973</v>
      </c>
    </row>
    <row r="28" spans="1:17" s="2" customFormat="1" ht="13.5" thickBot="1" x14ac:dyDescent="0.35">
      <c r="A28" s="148" t="s">
        <v>704</v>
      </c>
      <c r="B28" s="395">
        <v>14459722.866684711</v>
      </c>
      <c r="C28" s="395"/>
      <c r="D28" s="392">
        <f t="shared" si="7"/>
        <v>14459722.866684711</v>
      </c>
      <c r="E28" s="394">
        <f>G28-F28</f>
        <v>28620762.819372054</v>
      </c>
      <c r="F28" s="395"/>
      <c r="G28" s="395">
        <f>Összesítés!K95</f>
        <v>28620762.819372054</v>
      </c>
      <c r="H28" s="151">
        <f>E28/B28</f>
        <v>1.9793438009323447</v>
      </c>
      <c r="I28" s="151"/>
      <c r="J28" s="151">
        <f>G28/D28</f>
        <v>1.9793438009323447</v>
      </c>
      <c r="K28" s="461">
        <f t="shared" si="3"/>
        <v>-21390901.386029698</v>
      </c>
      <c r="L28" s="461">
        <f t="shared" si="4"/>
        <v>0</v>
      </c>
      <c r="M28" s="461">
        <f t="shared" si="5"/>
        <v>-21390901.386029698</v>
      </c>
      <c r="N28" s="461">
        <f t="shared" si="6"/>
        <v>-14161039.952687344</v>
      </c>
      <c r="O28" s="461">
        <f t="shared" si="13"/>
        <v>0</v>
      </c>
      <c r="P28" s="461">
        <f t="shared" si="14"/>
        <v>-14161039.952687344</v>
      </c>
    </row>
    <row r="29" spans="1:17" s="125" customFormat="1" ht="13.5" thickBot="1" x14ac:dyDescent="0.35">
      <c r="A29" s="147" t="s">
        <v>705</v>
      </c>
      <c r="B29" s="396">
        <v>153133468.82668468</v>
      </c>
      <c r="C29" s="396">
        <v>0</v>
      </c>
      <c r="D29" s="1027">
        <f t="shared" si="7"/>
        <v>153133468.82668468</v>
      </c>
      <c r="E29" s="396">
        <f>SUM(E27:E28)</f>
        <v>149321802.71937206</v>
      </c>
      <c r="F29" s="396">
        <f>SUM(F27:F28)</f>
        <v>0</v>
      </c>
      <c r="G29" s="396">
        <f>SUM(G27:G28)</f>
        <v>149321802.71937206</v>
      </c>
      <c r="H29" s="504">
        <f>E29/B29</f>
        <v>0.97510886329084179</v>
      </c>
      <c r="I29" s="504" t="e">
        <f>F29/C29</f>
        <v>#DIV/0!</v>
      </c>
      <c r="J29" s="504">
        <f>G29/D29</f>
        <v>0.97510886329084179</v>
      </c>
      <c r="K29" s="505">
        <f t="shared" si="3"/>
        <v>-72755068.306029722</v>
      </c>
      <c r="L29" s="505">
        <f t="shared" si="4"/>
        <v>0</v>
      </c>
      <c r="M29" s="506">
        <f t="shared" si="5"/>
        <v>-72755068.306029722</v>
      </c>
      <c r="N29" s="505">
        <f t="shared" si="6"/>
        <v>3811666.1073126197</v>
      </c>
      <c r="O29" s="505">
        <f t="shared" si="13"/>
        <v>0</v>
      </c>
      <c r="P29" s="507">
        <f t="shared" si="14"/>
        <v>3811666.1073126197</v>
      </c>
      <c r="Q29" s="508">
        <f>Összesítés!X29</f>
        <v>-3811666.1073126197</v>
      </c>
    </row>
    <row r="30" spans="1:17" s="2" customFormat="1" ht="13.5" thickBot="1" x14ac:dyDescent="0.35">
      <c r="A30" s="147" t="s">
        <v>706</v>
      </c>
      <c r="B30" s="394">
        <v>194479505.40988955</v>
      </c>
      <c r="C30" s="394">
        <v>0</v>
      </c>
      <c r="D30" s="392">
        <f t="shared" si="7"/>
        <v>194479505.40988955</v>
      </c>
      <c r="E30" s="394">
        <f>E29*1.27</f>
        <v>189638689.45360252</v>
      </c>
      <c r="F30" s="394">
        <f>F29*1.27</f>
        <v>0</v>
      </c>
      <c r="G30" s="394">
        <f>G29*1.27</f>
        <v>189638689.45360252</v>
      </c>
      <c r="H30" s="151">
        <f>E30/B30</f>
        <v>0.97510886329084179</v>
      </c>
      <c r="I30" s="151" t="e">
        <f>F30/C30</f>
        <v>#DIV/0!</v>
      </c>
      <c r="J30" s="151">
        <f>G30/D30</f>
        <v>0.97510886329084179</v>
      </c>
      <c r="K30" s="461">
        <f t="shared" si="3"/>
        <v>-92398936.748657748</v>
      </c>
      <c r="L30" s="461">
        <f t="shared" si="4"/>
        <v>0</v>
      </c>
      <c r="M30" s="461">
        <f t="shared" si="5"/>
        <v>-92398936.748657748</v>
      </c>
      <c r="N30" s="461">
        <f t="shared" si="6"/>
        <v>4840815.9562870264</v>
      </c>
      <c r="O30" s="461">
        <f t="shared" si="13"/>
        <v>0</v>
      </c>
      <c r="P30" s="461">
        <f t="shared" si="14"/>
        <v>4840815.9562870264</v>
      </c>
    </row>
    <row r="31" spans="1:17" s="2" customFormat="1" ht="27" customHeight="1" thickBot="1" x14ac:dyDescent="0.35">
      <c r="A31" s="1089" t="s">
        <v>1747</v>
      </c>
      <c r="B31" s="633">
        <f>2060705*1.27</f>
        <v>2617095.35</v>
      </c>
      <c r="C31" s="633"/>
      <c r="D31" s="634">
        <f t="shared" ref="D31:D32" si="15">B31+C31</f>
        <v>2617095.35</v>
      </c>
      <c r="E31" s="633">
        <f>1446500*1.27</f>
        <v>1837055</v>
      </c>
      <c r="F31" s="633"/>
      <c r="G31" s="634">
        <f t="shared" ref="G31:G32" si="16">E31+F31</f>
        <v>1837055</v>
      </c>
      <c r="H31" s="151"/>
      <c r="I31" s="151"/>
      <c r="J31" s="151"/>
      <c r="K31" s="461"/>
      <c r="L31" s="461"/>
      <c r="M31" s="461"/>
      <c r="N31" s="633">
        <f>+B31-E31</f>
        <v>780040.35000000009</v>
      </c>
      <c r="O31" s="633">
        <f t="shared" ref="O31:P31" si="17">+C31-F31</f>
        <v>0</v>
      </c>
      <c r="P31" s="633">
        <f t="shared" si="17"/>
        <v>780040.35000000009</v>
      </c>
    </row>
    <row r="32" spans="1:17" s="2" customFormat="1" ht="37.5" customHeight="1" thickBot="1" x14ac:dyDescent="0.35">
      <c r="A32" s="1090" t="s">
        <v>1846</v>
      </c>
      <c r="B32" s="633">
        <v>1174500</v>
      </c>
      <c r="C32" s="633"/>
      <c r="D32" s="634">
        <f t="shared" si="15"/>
        <v>1174500</v>
      </c>
      <c r="E32" s="633">
        <v>757700</v>
      </c>
      <c r="F32" s="633"/>
      <c r="G32" s="634">
        <f t="shared" si="16"/>
        <v>757700</v>
      </c>
      <c r="H32" s="151"/>
      <c r="I32" s="151"/>
      <c r="J32" s="151"/>
      <c r="K32" s="461"/>
      <c r="L32" s="461"/>
      <c r="M32" s="461"/>
      <c r="N32" s="633">
        <f>+B32-E32</f>
        <v>416800</v>
      </c>
      <c r="O32" s="633">
        <f t="shared" ref="O32" si="18">+C32-F32</f>
        <v>0</v>
      </c>
      <c r="P32" s="633">
        <f t="shared" ref="P32" si="19">+D32-G32</f>
        <v>416800</v>
      </c>
    </row>
    <row r="33" spans="1:16" s="2" customFormat="1" ht="32.25" customHeight="1" thickBot="1" x14ac:dyDescent="0.35">
      <c r="A33" s="147" t="s">
        <v>1750</v>
      </c>
      <c r="B33" s="807">
        <f>SUM(B30:B32)</f>
        <v>198271100.75988954</v>
      </c>
      <c r="C33" s="807">
        <f t="shared" ref="C33:D33" si="20">SUM(C30:C32)</f>
        <v>0</v>
      </c>
      <c r="D33" s="807">
        <f t="shared" si="20"/>
        <v>198271100.75988954</v>
      </c>
      <c r="E33" s="807">
        <f>SUM(E30:E32)</f>
        <v>192233444.45360252</v>
      </c>
      <c r="F33" s="807">
        <f t="shared" ref="F33" si="21">SUM(F30:F32)</f>
        <v>0</v>
      </c>
      <c r="G33" s="807">
        <f t="shared" ref="G33" si="22">SUM(G30:G32)</f>
        <v>192233444.45360252</v>
      </c>
      <c r="H33" s="151"/>
      <c r="I33" s="151"/>
      <c r="J33" s="151"/>
      <c r="K33" s="461"/>
      <c r="L33" s="461"/>
      <c r="M33" s="461"/>
      <c r="N33" s="807">
        <f>SUM(N30:N32)</f>
        <v>6037656.306287026</v>
      </c>
      <c r="O33" s="807">
        <f t="shared" ref="O33" si="23">SUM(O30:O32)</f>
        <v>0</v>
      </c>
      <c r="P33" s="807">
        <f>SUM(P30:P32)+1</f>
        <v>6037657.306287026</v>
      </c>
    </row>
    <row r="34" spans="1:16" s="2" customFormat="1" ht="13" x14ac:dyDescent="0.3">
      <c r="A34" s="140" t="s">
        <v>1781</v>
      </c>
      <c r="B34" s="397">
        <v>10</v>
      </c>
      <c r="C34" s="397"/>
      <c r="D34" s="397">
        <v>10</v>
      </c>
      <c r="E34" s="395"/>
      <c r="F34" s="395"/>
      <c r="G34" s="425"/>
      <c r="H34" s="989"/>
      <c r="I34" s="989"/>
      <c r="J34" s="989">
        <f>G35/D34</f>
        <v>1.52</v>
      </c>
      <c r="K34" s="989"/>
      <c r="L34" s="989"/>
      <c r="M34" s="989"/>
      <c r="N34" s="989"/>
      <c r="O34" s="989"/>
      <c r="P34" s="989"/>
    </row>
    <row r="35" spans="1:16" s="2" customFormat="1" ht="13" x14ac:dyDescent="0.3">
      <c r="A35" s="141" t="s">
        <v>1789</v>
      </c>
      <c r="B35" s="287"/>
      <c r="C35" s="287"/>
      <c r="D35" s="287"/>
      <c r="E35" s="287"/>
      <c r="F35" s="287"/>
      <c r="G35" s="287">
        <f>'Felosztás eredménykim'!GW290</f>
        <v>15.2</v>
      </c>
      <c r="H35" s="149"/>
      <c r="I35" s="149"/>
      <c r="J35" s="988"/>
      <c r="K35" s="149"/>
      <c r="L35" s="149"/>
      <c r="M35" s="988"/>
      <c r="N35" s="149"/>
      <c r="O35" s="149"/>
      <c r="P35" s="988"/>
    </row>
    <row r="38" spans="1:16" s="320" customFormat="1" ht="10.5" x14ac:dyDescent="0.25">
      <c r="A38" s="660" t="s">
        <v>1725</v>
      </c>
      <c r="B38" s="651"/>
      <c r="C38" s="661" t="s">
        <v>1726</v>
      </c>
      <c r="D38" s="651"/>
      <c r="E38" s="651"/>
      <c r="F38" s="651"/>
      <c r="G38" s="651"/>
    </row>
  </sheetData>
  <mergeCells count="10">
    <mergeCell ref="N1:P1"/>
    <mergeCell ref="N3:P3"/>
    <mergeCell ref="K1:M1"/>
    <mergeCell ref="K3:M3"/>
    <mergeCell ref="B3:D3"/>
    <mergeCell ref="B1:D1"/>
    <mergeCell ref="E1:G1"/>
    <mergeCell ref="E3:G3"/>
    <mergeCell ref="H1:J1"/>
    <mergeCell ref="H3:J3"/>
  </mergeCells>
  <pageMargins left="0.7" right="0.7" top="0.75" bottom="0.75" header="0.3" footer="0.3"/>
  <pageSetup paperSize="8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42"/>
  <sheetViews>
    <sheetView view="pageBreakPreview" zoomScale="75" zoomScaleNormal="100" zoomScaleSheetLayoutView="75" workbookViewId="0">
      <pane xSplit="1" ySplit="4" topLeftCell="B75" activePane="bottomRight" state="frozen"/>
      <selection pane="topRight" activeCell="B1" sqref="B1"/>
      <selection pane="bottomLeft" activeCell="A5" sqref="A5"/>
      <selection pane="bottomRight" activeCell="A77" sqref="A77:A80"/>
    </sheetView>
  </sheetViews>
  <sheetFormatPr defaultColWidth="9.1796875" defaultRowHeight="11.5" x14ac:dyDescent="0.25"/>
  <cols>
    <col min="1" max="1" width="31" style="157" customWidth="1"/>
    <col min="2" max="2" width="16.26953125" style="157" customWidth="1"/>
    <col min="3" max="3" width="16.1796875" style="157" customWidth="1"/>
    <col min="4" max="4" width="17.54296875" style="157" customWidth="1"/>
    <col min="5" max="5" width="13.26953125" style="157" hidden="1" customWidth="1"/>
    <col min="6" max="6" width="14.7265625" style="157" customWidth="1"/>
    <col min="7" max="7" width="15.7265625" style="157" customWidth="1"/>
    <col min="8" max="8" width="16.54296875" style="157" customWidth="1"/>
    <col min="9" max="9" width="17.453125" style="157" customWidth="1"/>
    <col min="10" max="10" width="14.54296875" style="157" customWidth="1"/>
    <col min="11" max="11" width="19.453125" style="157" customWidth="1"/>
    <col min="12" max="12" width="16.1796875" style="157" customWidth="1"/>
    <col min="13" max="13" width="14.81640625" style="157" customWidth="1"/>
    <col min="14" max="14" width="15.7265625" style="157" customWidth="1"/>
    <col min="15" max="15" width="23.1796875" style="157" customWidth="1"/>
    <col min="16" max="16" width="24.453125" style="157" customWidth="1"/>
    <col min="17" max="17" width="9.81640625" style="157" bestFit="1" customWidth="1"/>
    <col min="18" max="18" width="9.26953125" style="157" bestFit="1" customWidth="1"/>
    <col min="19" max="21" width="11.54296875" style="157" bestFit="1" customWidth="1"/>
    <col min="22" max="16384" width="9.1796875" style="157"/>
  </cols>
  <sheetData>
    <row r="1" spans="1:16" x14ac:dyDescent="0.25">
      <c r="A1" s="155" t="s">
        <v>707</v>
      </c>
      <c r="B1" s="156" t="s">
        <v>1745</v>
      </c>
      <c r="C1" s="156"/>
      <c r="D1" s="156"/>
      <c r="E1" s="156"/>
      <c r="F1" s="156" t="s">
        <v>1783</v>
      </c>
      <c r="G1" s="156" t="s">
        <v>701</v>
      </c>
      <c r="H1" s="156"/>
      <c r="I1" s="156"/>
      <c r="J1" s="156"/>
      <c r="K1" s="156"/>
      <c r="L1" s="156"/>
      <c r="M1" s="156"/>
      <c r="N1" s="156"/>
      <c r="O1" s="156"/>
    </row>
    <row r="2" spans="1:16" ht="12" thickBot="1" x14ac:dyDescent="0.3">
      <c r="A2" s="158" t="s">
        <v>702</v>
      </c>
      <c r="B2" s="1163"/>
      <c r="C2" s="1164"/>
      <c r="D2" s="1165"/>
      <c r="E2" s="399"/>
      <c r="F2" s="399"/>
      <c r="G2" s="399"/>
      <c r="H2" s="399"/>
      <c r="I2" s="399"/>
      <c r="J2" s="399"/>
      <c r="K2" s="399"/>
      <c r="L2" s="399"/>
      <c r="M2" s="399"/>
      <c r="N2" s="399" t="s">
        <v>1751</v>
      </c>
      <c r="O2" s="420"/>
      <c r="P2" s="1085"/>
    </row>
    <row r="3" spans="1:16" ht="48.75" customHeight="1" thickTop="1" thickBot="1" x14ac:dyDescent="0.3">
      <c r="A3" s="406"/>
      <c r="B3" s="1155" t="s">
        <v>1790</v>
      </c>
      <c r="C3" s="1155"/>
      <c r="D3" s="1156"/>
      <c r="E3" s="401" t="s">
        <v>559</v>
      </c>
      <c r="F3" s="1157" t="s">
        <v>1791</v>
      </c>
      <c r="G3" s="1158"/>
      <c r="H3" s="1159"/>
      <c r="I3" s="1160" t="s">
        <v>1792</v>
      </c>
      <c r="J3" s="1161"/>
      <c r="K3" s="1162"/>
      <c r="L3" s="1018" t="s">
        <v>541</v>
      </c>
      <c r="M3" s="1154" t="s">
        <v>1819</v>
      </c>
      <c r="N3" s="1154"/>
      <c r="O3" s="1154"/>
      <c r="P3" s="1064" t="s">
        <v>1782</v>
      </c>
    </row>
    <row r="4" spans="1:16" ht="43.15" customHeight="1" thickTop="1" x14ac:dyDescent="0.3">
      <c r="A4" s="407" t="s">
        <v>709</v>
      </c>
      <c r="B4" s="1010" t="s">
        <v>569</v>
      </c>
      <c r="C4" s="1010" t="s">
        <v>570</v>
      </c>
      <c r="D4" s="1011" t="s">
        <v>564</v>
      </c>
      <c r="E4" s="285" t="s">
        <v>569</v>
      </c>
      <c r="F4" s="1012" t="s">
        <v>569</v>
      </c>
      <c r="G4" s="1013" t="s">
        <v>571</v>
      </c>
      <c r="H4" s="1014" t="s">
        <v>564</v>
      </c>
      <c r="I4" s="1015" t="s">
        <v>572</v>
      </c>
      <c r="J4" s="1016" t="s">
        <v>573</v>
      </c>
      <c r="K4" s="1017" t="s">
        <v>564</v>
      </c>
      <c r="L4" s="1019" t="s">
        <v>574</v>
      </c>
      <c r="M4" s="284" t="s">
        <v>603</v>
      </c>
      <c r="N4" s="284" t="s">
        <v>604</v>
      </c>
      <c r="O4" s="284" t="s">
        <v>605</v>
      </c>
      <c r="P4" s="1065" t="s">
        <v>1844</v>
      </c>
    </row>
    <row r="5" spans="1:16" x14ac:dyDescent="0.25">
      <c r="A5" s="407" t="s">
        <v>805</v>
      </c>
      <c r="B5" s="265"/>
      <c r="C5" s="262"/>
      <c r="D5" s="263">
        <f>SUM(B5:C5)</f>
        <v>0</v>
      </c>
      <c r="E5" s="266"/>
      <c r="F5" s="265"/>
      <c r="G5" s="262"/>
      <c r="H5" s="263">
        <f>SUM(F5:G5)</f>
        <v>0</v>
      </c>
      <c r="I5" s="265"/>
      <c r="J5" s="262"/>
      <c r="K5" s="263">
        <f>SUM(I5:J5)</f>
        <v>0</v>
      </c>
      <c r="L5" s="264"/>
      <c r="M5" s="264">
        <f>I5+F5+E5+B5</f>
        <v>0</v>
      </c>
      <c r="N5" s="264"/>
      <c r="O5" s="264"/>
      <c r="P5" s="1066"/>
    </row>
    <row r="6" spans="1:16" ht="13.9" customHeight="1" x14ac:dyDescent="0.3">
      <c r="A6" s="408" t="s">
        <v>834</v>
      </c>
      <c r="B6" s="758">
        <f>B7+B8+B9</f>
        <v>62014189</v>
      </c>
      <c r="C6" s="759">
        <f>C7+C8+C9</f>
        <v>2580000</v>
      </c>
      <c r="D6" s="760">
        <f>SUM(B6:C6)</f>
        <v>64594189</v>
      </c>
      <c r="E6" s="782">
        <f>E7+E8+E9</f>
        <v>0</v>
      </c>
      <c r="F6" s="758">
        <f>F7+F8+F9</f>
        <v>62449289</v>
      </c>
      <c r="G6" s="759">
        <f>G7+G8+G9</f>
        <v>2600000</v>
      </c>
      <c r="H6" s="760">
        <f>SUM(F6:G6)</f>
        <v>65049289</v>
      </c>
      <c r="I6" s="758">
        <f>I7+I8+I9</f>
        <v>369665576.15600002</v>
      </c>
      <c r="J6" s="759">
        <f>J7+J8+J9</f>
        <v>15423000</v>
      </c>
      <c r="K6" s="760">
        <f>SUM(I6:J6)</f>
        <v>385088576.15600002</v>
      </c>
      <c r="L6" s="761">
        <f>L7+L8+L9</f>
        <v>160392557.47600001</v>
      </c>
      <c r="M6" s="761">
        <f t="shared" ref="M6:M14" si="0">B6+E6+F6+I6</f>
        <v>494129054.15600002</v>
      </c>
      <c r="N6" s="761">
        <f t="shared" ref="N6:N14" si="1">C6+G6+J6+L6</f>
        <v>180995557.47600001</v>
      </c>
      <c r="O6" s="761">
        <f>SUM(M6:N6)</f>
        <v>675124611.63199997</v>
      </c>
      <c r="P6" s="1067">
        <f>P7+P8+P9</f>
        <v>0</v>
      </c>
    </row>
    <row r="7" spans="1:16" ht="14.5" customHeight="1" x14ac:dyDescent="0.25">
      <c r="A7" s="409" t="s">
        <v>807</v>
      </c>
      <c r="B7" s="741">
        <v>53312809</v>
      </c>
      <c r="C7" s="764">
        <v>2015626.5</v>
      </c>
      <c r="D7" s="742">
        <f t="shared" ref="D7:D26" si="2">SUM(B7:C7)</f>
        <v>55328435.5</v>
      </c>
      <c r="E7" s="783">
        <v>0</v>
      </c>
      <c r="F7" s="741">
        <v>54646809</v>
      </c>
      <c r="G7" s="750">
        <v>2031252.5</v>
      </c>
      <c r="H7" s="742">
        <f t="shared" ref="H7:H26" si="3">SUM(F7:G7)</f>
        <v>56678061.5</v>
      </c>
      <c r="I7" s="741">
        <v>308063045</v>
      </c>
      <c r="J7" s="750">
        <v>12068287.5</v>
      </c>
      <c r="K7" s="742">
        <f t="shared" ref="K7:K26" si="4">SUM(I7:J7)</f>
        <v>320131332.5</v>
      </c>
      <c r="L7" s="743">
        <v>133522917.5</v>
      </c>
      <c r="M7" s="744">
        <f t="shared" si="0"/>
        <v>416022663</v>
      </c>
      <c r="N7" s="744">
        <f t="shared" si="1"/>
        <v>149638084</v>
      </c>
      <c r="O7" s="744">
        <f t="shared" ref="O7:O13" si="5">SUM(M7:N7)</f>
        <v>565660747</v>
      </c>
      <c r="P7" s="1066"/>
    </row>
    <row r="8" spans="1:16" ht="16.149999999999999" customHeight="1" x14ac:dyDescent="0.25">
      <c r="A8" s="409" t="s">
        <v>844</v>
      </c>
      <c r="B8" s="741">
        <v>1588218</v>
      </c>
      <c r="C8" s="750">
        <v>0</v>
      </c>
      <c r="D8" s="742">
        <f t="shared" si="2"/>
        <v>1588218</v>
      </c>
      <c r="E8" s="783">
        <v>0</v>
      </c>
      <c r="F8" s="741">
        <v>628218</v>
      </c>
      <c r="G8" s="750">
        <v>0</v>
      </c>
      <c r="H8" s="742">
        <f t="shared" si="3"/>
        <v>628218</v>
      </c>
      <c r="I8" s="741">
        <v>19300218</v>
      </c>
      <c r="J8" s="750">
        <v>0</v>
      </c>
      <c r="K8" s="742">
        <f t="shared" si="4"/>
        <v>19300218</v>
      </c>
      <c r="L8" s="743">
        <v>7828218</v>
      </c>
      <c r="M8" s="744">
        <f t="shared" si="0"/>
        <v>21516654</v>
      </c>
      <c r="N8" s="744">
        <f t="shared" si="1"/>
        <v>7828218</v>
      </c>
      <c r="O8" s="744">
        <f t="shared" si="5"/>
        <v>29344872</v>
      </c>
      <c r="P8" s="1066"/>
    </row>
    <row r="9" spans="1:16" ht="16.149999999999999" customHeight="1" x14ac:dyDescent="0.25">
      <c r="A9" s="410" t="s">
        <v>810</v>
      </c>
      <c r="B9" s="784">
        <v>7113162</v>
      </c>
      <c r="C9" s="764">
        <v>564373.5</v>
      </c>
      <c r="D9" s="742">
        <f t="shared" si="2"/>
        <v>7677535.5</v>
      </c>
      <c r="E9" s="785">
        <v>0</v>
      </c>
      <c r="F9" s="784">
        <v>7174262</v>
      </c>
      <c r="G9" s="764">
        <v>568747.5</v>
      </c>
      <c r="H9" s="742">
        <f t="shared" si="3"/>
        <v>7743009.5</v>
      </c>
      <c r="I9" s="784">
        <v>42302313.156000003</v>
      </c>
      <c r="J9" s="764">
        <v>3354712.5</v>
      </c>
      <c r="K9" s="742">
        <f t="shared" si="4"/>
        <v>45657025.656000003</v>
      </c>
      <c r="L9" s="744">
        <v>19041421.976</v>
      </c>
      <c r="M9" s="744">
        <f t="shared" si="0"/>
        <v>56589737.156000003</v>
      </c>
      <c r="N9" s="744">
        <f t="shared" si="1"/>
        <v>23529255.476</v>
      </c>
      <c r="O9" s="744">
        <f t="shared" si="5"/>
        <v>80118992.631999999</v>
      </c>
      <c r="P9" s="1066"/>
    </row>
    <row r="10" spans="1:16" ht="20.5" customHeight="1" x14ac:dyDescent="0.3">
      <c r="A10" s="408" t="s">
        <v>811</v>
      </c>
      <c r="B10" s="758">
        <f>B14+B12+B13+B11</f>
        <v>378892383</v>
      </c>
      <c r="C10" s="759">
        <f>C14+C12+C13+C11</f>
        <v>0</v>
      </c>
      <c r="D10" s="760">
        <f t="shared" si="2"/>
        <v>378892383</v>
      </c>
      <c r="E10" s="782">
        <f>E14+E12+E13+E11</f>
        <v>0</v>
      </c>
      <c r="F10" s="758">
        <f>F14+F12+F13+F11</f>
        <v>118732900</v>
      </c>
      <c r="G10" s="759">
        <f>G14+G12+G13+G11</f>
        <v>0</v>
      </c>
      <c r="H10" s="760">
        <f t="shared" si="3"/>
        <v>118732900</v>
      </c>
      <c r="I10" s="758">
        <f>I14+I12+I13+I11</f>
        <v>167338500</v>
      </c>
      <c r="J10" s="759">
        <f>J14+J12+J13+J11</f>
        <v>4707000</v>
      </c>
      <c r="K10" s="760">
        <f t="shared" si="4"/>
        <v>172045500</v>
      </c>
      <c r="L10" s="761">
        <f>L14+L12+L13+L11</f>
        <v>6712500</v>
      </c>
      <c r="M10" s="761">
        <f t="shared" si="0"/>
        <v>664963783</v>
      </c>
      <c r="N10" s="761">
        <f t="shared" si="1"/>
        <v>11419500</v>
      </c>
      <c r="O10" s="761">
        <f t="shared" si="5"/>
        <v>676383283</v>
      </c>
      <c r="P10" s="1067">
        <f>P14+P12+P13+P11</f>
        <v>0</v>
      </c>
    </row>
    <row r="11" spans="1:16" ht="25" customHeight="1" x14ac:dyDescent="0.25">
      <c r="A11" s="411" t="s">
        <v>846</v>
      </c>
      <c r="B11" s="745">
        <v>39247500</v>
      </c>
      <c r="C11" s="786"/>
      <c r="D11" s="747">
        <f>SUM(B11:C11)</f>
        <v>39247500</v>
      </c>
      <c r="E11" s="787">
        <v>0</v>
      </c>
      <c r="F11" s="745">
        <v>18362500</v>
      </c>
      <c r="G11" s="746"/>
      <c r="H11" s="747">
        <f>SUM(F11:G11)</f>
        <v>18362500</v>
      </c>
      <c r="I11" s="745">
        <v>51762500</v>
      </c>
      <c r="J11" s="746">
        <v>0</v>
      </c>
      <c r="K11" s="747">
        <f>SUM(I11:J11)</f>
        <v>51762500</v>
      </c>
      <c r="L11" s="748">
        <v>3561500</v>
      </c>
      <c r="M11" s="744">
        <f t="shared" si="0"/>
        <v>109372500</v>
      </c>
      <c r="N11" s="744">
        <f t="shared" si="1"/>
        <v>3561500</v>
      </c>
      <c r="O11" s="744">
        <f>SUM(M11:N11)</f>
        <v>112934000</v>
      </c>
      <c r="P11" s="1066"/>
    </row>
    <row r="12" spans="1:16" ht="17.5" customHeight="1" x14ac:dyDescent="0.25">
      <c r="A12" s="409" t="s">
        <v>812</v>
      </c>
      <c r="B12" s="741">
        <v>17699123</v>
      </c>
      <c r="C12" s="750"/>
      <c r="D12" s="742">
        <f t="shared" si="2"/>
        <v>17699123</v>
      </c>
      <c r="E12" s="783">
        <v>0</v>
      </c>
      <c r="F12" s="741">
        <v>990000</v>
      </c>
      <c r="G12" s="750"/>
      <c r="H12" s="742">
        <f t="shared" si="3"/>
        <v>990000</v>
      </c>
      <c r="I12" s="741">
        <v>10790000</v>
      </c>
      <c r="J12" s="750"/>
      <c r="K12" s="742">
        <f>SUM(I12:J12)</f>
        <v>10790000</v>
      </c>
      <c r="L12" s="743">
        <v>290000</v>
      </c>
      <c r="M12" s="744">
        <f t="shared" si="0"/>
        <v>29479123</v>
      </c>
      <c r="N12" s="744">
        <f t="shared" si="1"/>
        <v>290000</v>
      </c>
      <c r="O12" s="744">
        <f t="shared" si="5"/>
        <v>29769123</v>
      </c>
      <c r="P12" s="1066"/>
    </row>
    <row r="13" spans="1:16" ht="16.899999999999999" customHeight="1" x14ac:dyDescent="0.25">
      <c r="A13" s="409" t="s">
        <v>845</v>
      </c>
      <c r="B13" s="741">
        <v>319255760</v>
      </c>
      <c r="C13" s="764"/>
      <c r="D13" s="742">
        <f t="shared" si="2"/>
        <v>319255760</v>
      </c>
      <c r="E13" s="783">
        <v>0</v>
      </c>
      <c r="F13" s="741">
        <v>97985400</v>
      </c>
      <c r="G13" s="750"/>
      <c r="H13" s="742">
        <f t="shared" si="3"/>
        <v>97985400</v>
      </c>
      <c r="I13" s="788">
        <v>90011000</v>
      </c>
      <c r="J13" s="750">
        <v>4707000</v>
      </c>
      <c r="K13" s="742">
        <f t="shared" si="4"/>
        <v>94718000</v>
      </c>
      <c r="L13" s="743">
        <v>2406000</v>
      </c>
      <c r="M13" s="744">
        <f t="shared" si="0"/>
        <v>507252160</v>
      </c>
      <c r="N13" s="744">
        <f t="shared" si="1"/>
        <v>7113000</v>
      </c>
      <c r="O13" s="744">
        <f t="shared" si="5"/>
        <v>514365160</v>
      </c>
      <c r="P13" s="1066"/>
    </row>
    <row r="14" spans="1:16" ht="16.149999999999999" customHeight="1" thickBot="1" x14ac:dyDescent="0.3">
      <c r="A14" s="409" t="s">
        <v>840</v>
      </c>
      <c r="B14" s="741">
        <v>2690000</v>
      </c>
      <c r="C14" s="750"/>
      <c r="D14" s="742">
        <f>SUM(B14:C14)</f>
        <v>2690000</v>
      </c>
      <c r="E14" s="783"/>
      <c r="F14" s="741">
        <v>1395000</v>
      </c>
      <c r="G14" s="750"/>
      <c r="H14" s="742">
        <f>SUM(F14:G14)</f>
        <v>1395000</v>
      </c>
      <c r="I14" s="789">
        <v>14775000</v>
      </c>
      <c r="J14" s="750">
        <v>0</v>
      </c>
      <c r="K14" s="742">
        <f>SUM(I14:J14)</f>
        <v>14775000</v>
      </c>
      <c r="L14" s="743">
        <v>455000</v>
      </c>
      <c r="M14" s="744">
        <f t="shared" si="0"/>
        <v>18860000</v>
      </c>
      <c r="N14" s="744">
        <f t="shared" si="1"/>
        <v>455000</v>
      </c>
      <c r="O14" s="744">
        <f>SUM(M14:N14)</f>
        <v>19315000</v>
      </c>
      <c r="P14" s="1066"/>
    </row>
    <row r="15" spans="1:16" s="316" customFormat="1" ht="21" customHeight="1" thickBot="1" x14ac:dyDescent="0.3">
      <c r="A15" s="412" t="s">
        <v>815</v>
      </c>
      <c r="B15" s="732">
        <f t="shared" ref="B15:P15" si="6">B6+B10</f>
        <v>440906572</v>
      </c>
      <c r="C15" s="733">
        <f t="shared" si="6"/>
        <v>2580000</v>
      </c>
      <c r="D15" s="734">
        <f t="shared" si="6"/>
        <v>443486572</v>
      </c>
      <c r="E15" s="790">
        <f t="shared" si="6"/>
        <v>0</v>
      </c>
      <c r="F15" s="732">
        <f t="shared" si="6"/>
        <v>181182189</v>
      </c>
      <c r="G15" s="733">
        <f t="shared" si="6"/>
        <v>2600000</v>
      </c>
      <c r="H15" s="734">
        <f t="shared" si="6"/>
        <v>183782189</v>
      </c>
      <c r="I15" s="732">
        <f t="shared" si="6"/>
        <v>537004076.15600002</v>
      </c>
      <c r="J15" s="733">
        <f t="shared" si="6"/>
        <v>20130000</v>
      </c>
      <c r="K15" s="734">
        <f t="shared" si="6"/>
        <v>557134076.15600002</v>
      </c>
      <c r="L15" s="735">
        <f t="shared" si="6"/>
        <v>167105057.47600001</v>
      </c>
      <c r="M15" s="735">
        <f t="shared" si="6"/>
        <v>1159092837.1560001</v>
      </c>
      <c r="N15" s="735">
        <f t="shared" si="6"/>
        <v>192415057.47600001</v>
      </c>
      <c r="O15" s="735">
        <f t="shared" si="6"/>
        <v>1351507894.632</v>
      </c>
      <c r="P15" s="1068">
        <f t="shared" si="6"/>
        <v>0</v>
      </c>
    </row>
    <row r="16" spans="1:16" ht="20.5" customHeight="1" x14ac:dyDescent="0.25">
      <c r="A16" s="413" t="s">
        <v>816</v>
      </c>
      <c r="B16" s="736"/>
      <c r="C16" s="737"/>
      <c r="D16" s="738">
        <f t="shared" si="2"/>
        <v>0</v>
      </c>
      <c r="E16" s="791"/>
      <c r="F16" s="736"/>
      <c r="G16" s="737"/>
      <c r="H16" s="738">
        <f t="shared" si="3"/>
        <v>0</v>
      </c>
      <c r="I16" s="736"/>
      <c r="J16" s="737"/>
      <c r="K16" s="738">
        <f t="shared" si="4"/>
        <v>0</v>
      </c>
      <c r="L16" s="739"/>
      <c r="M16" s="744">
        <f>B16+E16+F16+I16</f>
        <v>0</v>
      </c>
      <c r="N16" s="744">
        <f>C16+G16+J16+L16</f>
        <v>0</v>
      </c>
      <c r="O16" s="740">
        <f>+L16+K16+H16+E16+D16</f>
        <v>0</v>
      </c>
      <c r="P16" s="1066"/>
    </row>
    <row r="17" spans="1:16" ht="16.149999999999999" customHeight="1" x14ac:dyDescent="0.25">
      <c r="A17" s="409" t="s">
        <v>817</v>
      </c>
      <c r="B17" s="792"/>
      <c r="C17" s="793">
        <v>31700000</v>
      </c>
      <c r="D17" s="794">
        <f t="shared" si="2"/>
        <v>31700000</v>
      </c>
      <c r="E17" s="795"/>
      <c r="F17" s="792">
        <v>0</v>
      </c>
      <c r="G17" s="793">
        <v>0</v>
      </c>
      <c r="H17" s="794">
        <f t="shared" si="3"/>
        <v>0</v>
      </c>
      <c r="I17" s="792"/>
      <c r="J17" s="793">
        <v>77500000</v>
      </c>
      <c r="K17" s="794">
        <f t="shared" si="4"/>
        <v>77500000</v>
      </c>
      <c r="L17" s="796"/>
      <c r="M17" s="797">
        <f>B17+E17+F17+I17</f>
        <v>0</v>
      </c>
      <c r="N17" s="797">
        <f>C17+G17+J17+L17</f>
        <v>109200000</v>
      </c>
      <c r="O17" s="797">
        <f>+L17+K17+H17+E17+D17</f>
        <v>109200000</v>
      </c>
      <c r="P17" s="1066"/>
    </row>
    <row r="18" spans="1:16" ht="16.899999999999999" customHeight="1" thickBot="1" x14ac:dyDescent="0.3">
      <c r="A18" s="411" t="s">
        <v>818</v>
      </c>
      <c r="B18" s="745"/>
      <c r="C18" s="746">
        <f>2000-2000</f>
        <v>0</v>
      </c>
      <c r="D18" s="747">
        <f t="shared" si="2"/>
        <v>0</v>
      </c>
      <c r="E18" s="787"/>
      <c r="F18" s="745"/>
      <c r="G18" s="746"/>
      <c r="H18" s="747">
        <f t="shared" si="3"/>
        <v>0</v>
      </c>
      <c r="I18" s="745"/>
      <c r="J18" s="746"/>
      <c r="K18" s="747">
        <f t="shared" si="4"/>
        <v>0</v>
      </c>
      <c r="L18" s="748"/>
      <c r="M18" s="744">
        <f>B18+E18+F18+I18</f>
        <v>0</v>
      </c>
      <c r="N18" s="744">
        <f>C18+G18+J18+L18</f>
        <v>0</v>
      </c>
      <c r="O18" s="749">
        <f>+L18+K18+H18+E18+D18</f>
        <v>0</v>
      </c>
      <c r="P18" s="1066"/>
    </row>
    <row r="19" spans="1:16" ht="23.5" customHeight="1" thickBot="1" x14ac:dyDescent="0.3">
      <c r="A19" s="414" t="s">
        <v>819</v>
      </c>
      <c r="B19" s="751">
        <f>SUM(B16:B18)</f>
        <v>0</v>
      </c>
      <c r="C19" s="752">
        <f t="shared" ref="C19:P19" si="7">SUM(C16:C18)</f>
        <v>31700000</v>
      </c>
      <c r="D19" s="753">
        <f t="shared" si="7"/>
        <v>31700000</v>
      </c>
      <c r="E19" s="798">
        <f t="shared" si="7"/>
        <v>0</v>
      </c>
      <c r="F19" s="751">
        <f t="shared" si="7"/>
        <v>0</v>
      </c>
      <c r="G19" s="752">
        <f t="shared" si="7"/>
        <v>0</v>
      </c>
      <c r="H19" s="753">
        <f t="shared" si="7"/>
        <v>0</v>
      </c>
      <c r="I19" s="751">
        <f t="shared" si="7"/>
        <v>0</v>
      </c>
      <c r="J19" s="752">
        <f t="shared" si="7"/>
        <v>77500000</v>
      </c>
      <c r="K19" s="753">
        <f t="shared" si="7"/>
        <v>77500000</v>
      </c>
      <c r="L19" s="754">
        <f t="shared" si="7"/>
        <v>0</v>
      </c>
      <c r="M19" s="754">
        <f t="shared" si="7"/>
        <v>0</v>
      </c>
      <c r="N19" s="754">
        <f t="shared" si="7"/>
        <v>109200000</v>
      </c>
      <c r="O19" s="754">
        <f t="shared" si="7"/>
        <v>109200000</v>
      </c>
      <c r="P19" s="1069">
        <f t="shared" si="7"/>
        <v>0</v>
      </c>
    </row>
    <row r="20" spans="1:16" s="316" customFormat="1" ht="21.65" customHeight="1" thickBot="1" x14ac:dyDescent="0.3">
      <c r="A20" s="414" t="s">
        <v>820</v>
      </c>
      <c r="B20" s="732">
        <f>B19+B15</f>
        <v>440906572</v>
      </c>
      <c r="C20" s="733">
        <f t="shared" ref="C20:P20" si="8">C19+C15</f>
        <v>34280000</v>
      </c>
      <c r="D20" s="734">
        <f t="shared" si="8"/>
        <v>475186572</v>
      </c>
      <c r="E20" s="790">
        <f t="shared" si="8"/>
        <v>0</v>
      </c>
      <c r="F20" s="732">
        <f t="shared" si="8"/>
        <v>181182189</v>
      </c>
      <c r="G20" s="733">
        <f t="shared" si="8"/>
        <v>2600000</v>
      </c>
      <c r="H20" s="734">
        <f t="shared" si="8"/>
        <v>183782189</v>
      </c>
      <c r="I20" s="732">
        <f t="shared" si="8"/>
        <v>537004076.15600002</v>
      </c>
      <c r="J20" s="733">
        <f t="shared" si="8"/>
        <v>97630000</v>
      </c>
      <c r="K20" s="734">
        <f t="shared" si="8"/>
        <v>634634076.15600002</v>
      </c>
      <c r="L20" s="735">
        <f t="shared" si="8"/>
        <v>167105057.47600001</v>
      </c>
      <c r="M20" s="735">
        <f t="shared" si="8"/>
        <v>1159092837.1560001</v>
      </c>
      <c r="N20" s="735">
        <f t="shared" si="8"/>
        <v>301615057.47600001</v>
      </c>
      <c r="O20" s="735">
        <f t="shared" si="8"/>
        <v>1460707894.632</v>
      </c>
      <c r="P20" s="1068">
        <f t="shared" si="8"/>
        <v>0</v>
      </c>
    </row>
    <row r="21" spans="1:16" ht="22.9" customHeight="1" x14ac:dyDescent="0.25">
      <c r="A21" s="415" t="s">
        <v>821</v>
      </c>
      <c r="B21" s="736"/>
      <c r="C21" s="737"/>
      <c r="D21" s="738">
        <f t="shared" si="2"/>
        <v>0</v>
      </c>
      <c r="E21" s="791"/>
      <c r="F21" s="736"/>
      <c r="G21" s="737"/>
      <c r="H21" s="738">
        <f t="shared" si="3"/>
        <v>0</v>
      </c>
      <c r="I21" s="736"/>
      <c r="J21" s="737"/>
      <c r="K21" s="738">
        <f t="shared" si="4"/>
        <v>0</v>
      </c>
      <c r="L21" s="739"/>
      <c r="M21" s="744">
        <f>B21+E21+F21+I21</f>
        <v>0</v>
      </c>
      <c r="N21" s="740">
        <f t="shared" ref="N21:N26" si="9">O21-M21</f>
        <v>0</v>
      </c>
      <c r="O21" s="740">
        <f>+L21+K21+H21+E21+D21</f>
        <v>0</v>
      </c>
      <c r="P21" s="1066"/>
    </row>
    <row r="22" spans="1:16" ht="25" hidden="1" customHeight="1" x14ac:dyDescent="0.25">
      <c r="A22" s="407" t="s">
        <v>822</v>
      </c>
      <c r="B22" s="741"/>
      <c r="C22" s="750"/>
      <c r="D22" s="742">
        <f t="shared" si="2"/>
        <v>0</v>
      </c>
      <c r="E22" s="783"/>
      <c r="F22" s="741"/>
      <c r="G22" s="750"/>
      <c r="H22" s="742">
        <f t="shared" si="3"/>
        <v>0</v>
      </c>
      <c r="I22" s="741"/>
      <c r="J22" s="750"/>
      <c r="K22" s="742">
        <f t="shared" si="4"/>
        <v>0</v>
      </c>
      <c r="L22" s="743"/>
      <c r="M22" s="744">
        <f>B22+E22+F22+I22</f>
        <v>0</v>
      </c>
      <c r="N22" s="744">
        <f t="shared" si="9"/>
        <v>0</v>
      </c>
      <c r="O22" s="744">
        <f>+L22+K22+H22+E22+D22</f>
        <v>0</v>
      </c>
      <c r="P22" s="1066"/>
    </row>
    <row r="23" spans="1:16" ht="19.149999999999999" hidden="1" customHeight="1" thickBot="1" x14ac:dyDescent="0.35">
      <c r="A23" s="416" t="s">
        <v>847</v>
      </c>
      <c r="B23" s="745"/>
      <c r="C23" s="746"/>
      <c r="D23" s="747">
        <f t="shared" si="2"/>
        <v>0</v>
      </c>
      <c r="E23" s="787"/>
      <c r="F23" s="745"/>
      <c r="G23" s="746"/>
      <c r="H23" s="747">
        <f t="shared" si="3"/>
        <v>0</v>
      </c>
      <c r="I23" s="745"/>
      <c r="J23" s="799"/>
      <c r="K23" s="747">
        <f t="shared" si="4"/>
        <v>0</v>
      </c>
      <c r="L23" s="748"/>
      <c r="M23" s="744">
        <f>B23+E23+F23+I23</f>
        <v>0</v>
      </c>
      <c r="N23" s="744">
        <f>C23+G23+J23+L23</f>
        <v>0</v>
      </c>
      <c r="O23" s="749">
        <f>+L23+K23+H23+E23+D23</f>
        <v>0</v>
      </c>
      <c r="P23" s="1066"/>
    </row>
    <row r="24" spans="1:16" ht="25" hidden="1" customHeight="1" thickBot="1" x14ac:dyDescent="0.3">
      <c r="A24" s="414" t="s">
        <v>824</v>
      </c>
      <c r="B24" s="751">
        <f t="shared" ref="B24:O24" si="10">SUM(B22:B23)</f>
        <v>0</v>
      </c>
      <c r="C24" s="752">
        <f t="shared" si="10"/>
        <v>0</v>
      </c>
      <c r="D24" s="753">
        <f t="shared" si="10"/>
        <v>0</v>
      </c>
      <c r="E24" s="798">
        <f t="shared" si="10"/>
        <v>0</v>
      </c>
      <c r="F24" s="751">
        <f t="shared" si="10"/>
        <v>0</v>
      </c>
      <c r="G24" s="752">
        <f t="shared" si="10"/>
        <v>0</v>
      </c>
      <c r="H24" s="753">
        <f t="shared" si="10"/>
        <v>0</v>
      </c>
      <c r="I24" s="751">
        <f t="shared" si="10"/>
        <v>0</v>
      </c>
      <c r="J24" s="752">
        <f t="shared" si="10"/>
        <v>0</v>
      </c>
      <c r="K24" s="753">
        <f t="shared" si="10"/>
        <v>0</v>
      </c>
      <c r="L24" s="754">
        <f t="shared" si="10"/>
        <v>0</v>
      </c>
      <c r="M24" s="754">
        <f t="shared" si="10"/>
        <v>0</v>
      </c>
      <c r="N24" s="754">
        <f t="shared" si="10"/>
        <v>0</v>
      </c>
      <c r="O24" s="754">
        <f t="shared" si="10"/>
        <v>0</v>
      </c>
      <c r="P24" s="1066"/>
    </row>
    <row r="25" spans="1:16" ht="25" customHeight="1" x14ac:dyDescent="0.25">
      <c r="A25" s="407" t="s">
        <v>822</v>
      </c>
      <c r="B25" s="736"/>
      <c r="C25" s="737"/>
      <c r="D25" s="738">
        <f t="shared" si="2"/>
        <v>0</v>
      </c>
      <c r="E25" s="791"/>
      <c r="F25" s="736"/>
      <c r="G25" s="737"/>
      <c r="H25" s="738">
        <f t="shared" si="3"/>
        <v>0</v>
      </c>
      <c r="I25" s="736"/>
      <c r="J25" s="737"/>
      <c r="K25" s="738">
        <f t="shared" si="4"/>
        <v>0</v>
      </c>
      <c r="L25" s="739"/>
      <c r="M25" s="740">
        <f>B25+E25+F25+I25</f>
        <v>0</v>
      </c>
      <c r="N25" s="740">
        <f t="shared" si="9"/>
        <v>0</v>
      </c>
      <c r="O25" s="740">
        <f>+L25+K25+H25+E25+D25</f>
        <v>0</v>
      </c>
      <c r="P25" s="1066"/>
    </row>
    <row r="26" spans="1:16" ht="25" customHeight="1" thickBot="1" x14ac:dyDescent="0.3">
      <c r="A26" s="416" t="s">
        <v>847</v>
      </c>
      <c r="B26" s="745"/>
      <c r="C26" s="746"/>
      <c r="D26" s="747">
        <f t="shared" si="2"/>
        <v>0</v>
      </c>
      <c r="E26" s="787"/>
      <c r="F26" s="745"/>
      <c r="G26" s="746"/>
      <c r="H26" s="747">
        <f t="shared" si="3"/>
        <v>0</v>
      </c>
      <c r="I26" s="745"/>
      <c r="J26" s="746">
        <v>800000</v>
      </c>
      <c r="K26" s="747">
        <f t="shared" si="4"/>
        <v>800000</v>
      </c>
      <c r="L26" s="748"/>
      <c r="M26" s="749">
        <f>B26+E26+F26+I26</f>
        <v>0</v>
      </c>
      <c r="N26" s="749">
        <f t="shared" si="9"/>
        <v>800000</v>
      </c>
      <c r="O26" s="749">
        <f>+L26+K26+H26+E26+D26</f>
        <v>800000</v>
      </c>
      <c r="P26" s="1066"/>
    </row>
    <row r="27" spans="1:16" ht="25" customHeight="1" thickBot="1" x14ac:dyDescent="0.3">
      <c r="A27" s="414" t="s">
        <v>824</v>
      </c>
      <c r="B27" s="751">
        <f>SUM(B25:B26)</f>
        <v>0</v>
      </c>
      <c r="C27" s="752">
        <f t="shared" ref="C27:O27" si="11">SUM(C25:C26)</f>
        <v>0</v>
      </c>
      <c r="D27" s="753">
        <f t="shared" si="11"/>
        <v>0</v>
      </c>
      <c r="E27" s="798">
        <f t="shared" si="11"/>
        <v>0</v>
      </c>
      <c r="F27" s="751">
        <f t="shared" si="11"/>
        <v>0</v>
      </c>
      <c r="G27" s="752">
        <f t="shared" si="11"/>
        <v>0</v>
      </c>
      <c r="H27" s="753">
        <f t="shared" si="11"/>
        <v>0</v>
      </c>
      <c r="I27" s="751">
        <f t="shared" si="11"/>
        <v>0</v>
      </c>
      <c r="J27" s="752">
        <f t="shared" si="11"/>
        <v>800000</v>
      </c>
      <c r="K27" s="753">
        <f t="shared" si="11"/>
        <v>800000</v>
      </c>
      <c r="L27" s="754">
        <f t="shared" si="11"/>
        <v>0</v>
      </c>
      <c r="M27" s="754">
        <f t="shared" si="11"/>
        <v>0</v>
      </c>
      <c r="N27" s="754">
        <f t="shared" si="11"/>
        <v>800000</v>
      </c>
      <c r="O27" s="754">
        <f t="shared" si="11"/>
        <v>800000</v>
      </c>
      <c r="P27" s="1069">
        <f t="shared" ref="P27" si="12">SUM(P25:P26)</f>
        <v>0</v>
      </c>
    </row>
    <row r="28" spans="1:16" ht="25" customHeight="1" thickBot="1" x14ac:dyDescent="0.3">
      <c r="A28" s="414" t="s">
        <v>828</v>
      </c>
      <c r="B28" s="751">
        <f>B27+B24</f>
        <v>0</v>
      </c>
      <c r="C28" s="752">
        <f t="shared" ref="C28:O28" si="13">C27+C24</f>
        <v>0</v>
      </c>
      <c r="D28" s="753">
        <f t="shared" si="13"/>
        <v>0</v>
      </c>
      <c r="E28" s="798">
        <f t="shared" si="13"/>
        <v>0</v>
      </c>
      <c r="F28" s="751">
        <f t="shared" si="13"/>
        <v>0</v>
      </c>
      <c r="G28" s="752">
        <f t="shared" si="13"/>
        <v>0</v>
      </c>
      <c r="H28" s="753">
        <f t="shared" si="13"/>
        <v>0</v>
      </c>
      <c r="I28" s="751">
        <f t="shared" si="13"/>
        <v>0</v>
      </c>
      <c r="J28" s="752">
        <f t="shared" si="13"/>
        <v>800000</v>
      </c>
      <c r="K28" s="753">
        <f t="shared" si="13"/>
        <v>800000</v>
      </c>
      <c r="L28" s="754">
        <f t="shared" si="13"/>
        <v>0</v>
      </c>
      <c r="M28" s="754">
        <f t="shared" si="13"/>
        <v>0</v>
      </c>
      <c r="N28" s="754">
        <f t="shared" si="13"/>
        <v>800000</v>
      </c>
      <c r="O28" s="754">
        <f t="shared" si="13"/>
        <v>800000</v>
      </c>
      <c r="P28" s="1069">
        <f t="shared" ref="P28" si="14">P27+P24</f>
        <v>0</v>
      </c>
    </row>
    <row r="29" spans="1:16" ht="25" customHeight="1" thickBot="1" x14ac:dyDescent="0.3">
      <c r="A29" s="414" t="s">
        <v>703</v>
      </c>
      <c r="B29" s="732">
        <f>B20-B28</f>
        <v>440906572</v>
      </c>
      <c r="C29" s="733">
        <f t="shared" ref="C29:O29" si="15">C20-C28</f>
        <v>34280000</v>
      </c>
      <c r="D29" s="734">
        <f t="shared" si="15"/>
        <v>475186572</v>
      </c>
      <c r="E29" s="790">
        <f t="shared" si="15"/>
        <v>0</v>
      </c>
      <c r="F29" s="732">
        <f t="shared" si="15"/>
        <v>181182189</v>
      </c>
      <c r="G29" s="733">
        <f t="shared" si="15"/>
        <v>2600000</v>
      </c>
      <c r="H29" s="734">
        <f t="shared" si="15"/>
        <v>183782189</v>
      </c>
      <c r="I29" s="732">
        <f t="shared" si="15"/>
        <v>537004076.15600002</v>
      </c>
      <c r="J29" s="733">
        <f t="shared" si="15"/>
        <v>96830000</v>
      </c>
      <c r="K29" s="734">
        <f t="shared" si="15"/>
        <v>633834076.15600002</v>
      </c>
      <c r="L29" s="735">
        <f t="shared" si="15"/>
        <v>167105057.47600001</v>
      </c>
      <c r="M29" s="735">
        <f t="shared" si="15"/>
        <v>1159092837.1560001</v>
      </c>
      <c r="N29" s="735">
        <f t="shared" si="15"/>
        <v>300815057.47600001</v>
      </c>
      <c r="O29" s="735">
        <f t="shared" si="15"/>
        <v>1459907894.632</v>
      </c>
      <c r="P29" s="1068">
        <f t="shared" ref="P29" si="16">P20-P28</f>
        <v>0</v>
      </c>
    </row>
    <row r="30" spans="1:16" ht="25" customHeight="1" thickBot="1" x14ac:dyDescent="0.35">
      <c r="A30" s="414" t="s">
        <v>703</v>
      </c>
      <c r="B30" s="755">
        <v>440906572.47600001</v>
      </c>
      <c r="C30" s="766">
        <v>34280000</v>
      </c>
      <c r="D30" s="767">
        <v>475186572.47600001</v>
      </c>
      <c r="E30" s="800">
        <v>0</v>
      </c>
      <c r="F30" s="755">
        <v>181182189.47600001</v>
      </c>
      <c r="G30" s="766">
        <v>2600000</v>
      </c>
      <c r="H30" s="767">
        <v>183782189.47600001</v>
      </c>
      <c r="I30" s="755">
        <v>537004076.15600002</v>
      </c>
      <c r="J30" s="766">
        <v>96830000</v>
      </c>
      <c r="K30" s="767">
        <v>633834076.15600002</v>
      </c>
      <c r="L30" s="756">
        <v>167105057.47600001</v>
      </c>
      <c r="M30" s="801">
        <f>B30+E30+F30+I30</f>
        <v>1159092838.108</v>
      </c>
      <c r="N30" s="802">
        <f>O30-M30</f>
        <v>300815057.47600007</v>
      </c>
      <c r="O30" s="761">
        <f>+L30+K30+H30+E30+D30</f>
        <v>1459907895.5840001</v>
      </c>
      <c r="P30" s="1070">
        <v>0</v>
      </c>
    </row>
    <row r="31" spans="1:16" ht="25" customHeight="1" thickBot="1" x14ac:dyDescent="0.35">
      <c r="A31" s="417" t="s">
        <v>710</v>
      </c>
      <c r="B31" s="755">
        <v>18074653.583355889</v>
      </c>
      <c r="C31" s="768">
        <v>0</v>
      </c>
      <c r="D31" s="769">
        <v>18074653.583355889</v>
      </c>
      <c r="E31" s="803">
        <v>0</v>
      </c>
      <c r="F31" s="804">
        <v>19520625.870024361</v>
      </c>
      <c r="G31" s="768">
        <v>0</v>
      </c>
      <c r="H31" s="769">
        <v>19520625.870024361</v>
      </c>
      <c r="I31" s="804">
        <v>121461672.08015157</v>
      </c>
      <c r="J31" s="768">
        <v>0</v>
      </c>
      <c r="K31" s="769">
        <v>121461672.08015157</v>
      </c>
      <c r="L31" s="770">
        <v>69406669.760086611</v>
      </c>
      <c r="M31" s="801">
        <f>B31+E31+F31+I31</f>
        <v>159056951.53353181</v>
      </c>
      <c r="N31" s="802">
        <f>O31-M31</f>
        <v>69406669.760086626</v>
      </c>
      <c r="O31" s="761">
        <f>+L31+K31+H31+E31+D31</f>
        <v>228463621.29361844</v>
      </c>
      <c r="P31" s="1071">
        <v>0</v>
      </c>
    </row>
    <row r="32" spans="1:16" ht="25" customHeight="1" thickBot="1" x14ac:dyDescent="0.3">
      <c r="A32" s="414" t="s">
        <v>711</v>
      </c>
      <c r="B32" s="755">
        <v>458981226.05935591</v>
      </c>
      <c r="C32" s="766">
        <v>34280000</v>
      </c>
      <c r="D32" s="767">
        <v>493261226.05935591</v>
      </c>
      <c r="E32" s="800">
        <v>0</v>
      </c>
      <c r="F32" s="755">
        <v>200702815.34602436</v>
      </c>
      <c r="G32" s="766">
        <v>2600000</v>
      </c>
      <c r="H32" s="767">
        <v>203302815.34602436</v>
      </c>
      <c r="I32" s="755">
        <v>658465748.23615158</v>
      </c>
      <c r="J32" s="766">
        <v>96830000</v>
      </c>
      <c r="K32" s="767">
        <v>755295748.23615158</v>
      </c>
      <c r="L32" s="756">
        <v>236511727.23608661</v>
      </c>
      <c r="M32" s="756">
        <f>+M30+M31</f>
        <v>1318149789.6415319</v>
      </c>
      <c r="N32" s="756">
        <f>+N30+N31</f>
        <v>370221727.23608673</v>
      </c>
      <c r="O32" s="756">
        <f>+O30+O31</f>
        <v>1688371516.8776186</v>
      </c>
      <c r="P32" s="1070">
        <v>0</v>
      </c>
    </row>
    <row r="33" spans="1:17" ht="31.5" customHeight="1" thickBot="1" x14ac:dyDescent="0.3">
      <c r="A33" s="1089" t="s">
        <v>1747</v>
      </c>
      <c r="B33" s="777"/>
      <c r="C33" s="633"/>
      <c r="D33" s="634">
        <f>B33+C33</f>
        <v>0</v>
      </c>
      <c r="E33" s="635"/>
      <c r="F33" s="636"/>
      <c r="G33" s="771"/>
      <c r="H33" s="634"/>
      <c r="I33" s="636"/>
      <c r="J33" s="633"/>
      <c r="K33" s="634">
        <f>I33+J33</f>
        <v>0</v>
      </c>
      <c r="L33" s="634"/>
      <c r="M33" s="637">
        <f>B33+E33+F33+I33</f>
        <v>0</v>
      </c>
      <c r="N33" s="638">
        <f>C33+G33+J33+L33</f>
        <v>0</v>
      </c>
      <c r="O33" s="639">
        <f>M33+N33</f>
        <v>0</v>
      </c>
      <c r="P33" s="1072"/>
    </row>
    <row r="34" spans="1:17" ht="33.75" customHeight="1" thickBot="1" x14ac:dyDescent="0.3">
      <c r="A34" s="1089" t="s">
        <v>1748</v>
      </c>
      <c r="B34" s="777">
        <f>4694683+17322375</f>
        <v>22017058</v>
      </c>
      <c r="C34" s="640"/>
      <c r="D34" s="634"/>
      <c r="E34" s="635"/>
      <c r="F34" s="636"/>
      <c r="G34" s="771">
        <v>19000000</v>
      </c>
      <c r="H34" s="634"/>
      <c r="I34" s="636"/>
      <c r="J34" s="641">
        <v>0</v>
      </c>
      <c r="K34" s="642"/>
      <c r="L34" s="642"/>
      <c r="M34" s="637">
        <f>B34+E34+F34+I34</f>
        <v>22017058</v>
      </c>
      <c r="N34" s="638">
        <f>C34+G34+J34+L34</f>
        <v>19000000</v>
      </c>
      <c r="O34" s="639">
        <f>M34+N34</f>
        <v>41017058</v>
      </c>
      <c r="P34" s="1073"/>
    </row>
    <row r="35" spans="1:17" ht="33.75" customHeight="1" thickBot="1" x14ac:dyDescent="0.3">
      <c r="A35" s="1089" t="s">
        <v>1845</v>
      </c>
      <c r="B35" s="640"/>
      <c r="C35" s="640"/>
      <c r="D35" s="634"/>
      <c r="E35" s="642"/>
      <c r="F35" s="720"/>
      <c r="G35" s="640"/>
      <c r="H35" s="634"/>
      <c r="I35" s="636"/>
      <c r="J35" s="641"/>
      <c r="K35" s="642"/>
      <c r="L35" s="642"/>
      <c r="M35" s="636"/>
      <c r="N35" s="641"/>
      <c r="O35" s="721"/>
      <c r="P35" s="1073"/>
    </row>
    <row r="36" spans="1:17" ht="33.75" customHeight="1" thickBot="1" x14ac:dyDescent="0.3">
      <c r="A36" s="1090" t="s">
        <v>1846</v>
      </c>
      <c r="B36" s="640"/>
      <c r="C36" s="640"/>
      <c r="D36" s="634"/>
      <c r="E36" s="642"/>
      <c r="F36" s="720"/>
      <c r="G36" s="640"/>
      <c r="H36" s="634"/>
      <c r="I36" s="636"/>
      <c r="J36" s="641"/>
      <c r="K36" s="642"/>
      <c r="L36" s="642"/>
      <c r="M36" s="636"/>
      <c r="N36" s="641"/>
      <c r="O36" s="721"/>
      <c r="P36" s="1073"/>
    </row>
    <row r="37" spans="1:17" ht="25" customHeight="1" x14ac:dyDescent="0.25">
      <c r="A37" s="725" t="s">
        <v>1711</v>
      </c>
      <c r="B37" s="643">
        <f t="shared" ref="B37:C37" si="17">B32+B33</f>
        <v>458981226.05935591</v>
      </c>
      <c r="C37" s="643">
        <f t="shared" si="17"/>
        <v>34280000</v>
      </c>
      <c r="D37" s="643">
        <f>D32+D33</f>
        <v>493261226.05935591</v>
      </c>
      <c r="E37" s="643">
        <f t="shared" ref="E37:H37" si="18">E32+E33</f>
        <v>0</v>
      </c>
      <c r="F37" s="643">
        <f t="shared" si="18"/>
        <v>200702815.34602436</v>
      </c>
      <c r="G37" s="643">
        <f t="shared" si="18"/>
        <v>2600000</v>
      </c>
      <c r="H37" s="643">
        <f t="shared" si="18"/>
        <v>203302815.34602436</v>
      </c>
      <c r="I37" s="645">
        <f>I32+I33</f>
        <v>658465748.23615158</v>
      </c>
      <c r="J37" s="645">
        <f t="shared" ref="J37:K37" si="19">J32+J33</f>
        <v>96830000</v>
      </c>
      <c r="K37" s="644">
        <f t="shared" si="19"/>
        <v>755295748.23615158</v>
      </c>
      <c r="L37" s="646">
        <f>L32+L33</f>
        <v>236511727.23608661</v>
      </c>
      <c r="M37" s="645">
        <f>M32+M33+M34</f>
        <v>1340166847.6415319</v>
      </c>
      <c r="N37" s="645">
        <f>N32+N33+N34</f>
        <v>389221727.23608673</v>
      </c>
      <c r="O37" s="644">
        <f>O32+O33+O34</f>
        <v>1729388574.8776186</v>
      </c>
      <c r="P37" s="1074">
        <f>P32+P33</f>
        <v>0</v>
      </c>
    </row>
    <row r="38" spans="1:17" ht="25" customHeight="1" x14ac:dyDescent="0.3">
      <c r="A38" s="726" t="s">
        <v>1662</v>
      </c>
      <c r="B38" s="730">
        <v>0</v>
      </c>
      <c r="C38" s="730">
        <v>0</v>
      </c>
      <c r="D38" s="730">
        <f>B38+C38</f>
        <v>0</v>
      </c>
      <c r="E38" s="730">
        <f>E32/$O$32*$P$38</f>
        <v>0</v>
      </c>
      <c r="F38" s="730">
        <f>F32/$O$32*$P$38</f>
        <v>0</v>
      </c>
      <c r="G38" s="730">
        <f>G32/$O$32*$P$38</f>
        <v>0</v>
      </c>
      <c r="H38" s="730">
        <f>F38+G38</f>
        <v>0</v>
      </c>
      <c r="I38" s="730">
        <f>I32/$O$32*$P$38</f>
        <v>0</v>
      </c>
      <c r="J38" s="730">
        <f>J32/$O$32*$P$38</f>
        <v>0</v>
      </c>
      <c r="K38" s="730">
        <f>I38+J38</f>
        <v>0</v>
      </c>
      <c r="L38" s="730">
        <f>L32/$O$32*$P$38</f>
        <v>0</v>
      </c>
      <c r="M38" s="757">
        <f>B38+E38+F38+I38</f>
        <v>0</v>
      </c>
      <c r="N38" s="757">
        <f>O38-M38</f>
        <v>0</v>
      </c>
      <c r="O38" s="781">
        <f>+L38+K38+H38+E38+D38</f>
        <v>0</v>
      </c>
      <c r="P38" s="1075">
        <v>0</v>
      </c>
      <c r="Q38" s="286" t="s">
        <v>1709</v>
      </c>
    </row>
    <row r="39" spans="1:17" ht="25" customHeight="1" x14ac:dyDescent="0.3">
      <c r="A39" s="726" t="s">
        <v>1663</v>
      </c>
      <c r="B39" s="730">
        <v>0</v>
      </c>
      <c r="C39" s="730">
        <v>0</v>
      </c>
      <c r="D39" s="730">
        <f>B39+C39</f>
        <v>0</v>
      </c>
      <c r="E39" s="730">
        <f>E32/$O$32*$P$39</f>
        <v>0</v>
      </c>
      <c r="F39" s="730">
        <f>F32/$O$32*$P$39</f>
        <v>0</v>
      </c>
      <c r="G39" s="730">
        <f>G32/$O$32*$P$39</f>
        <v>0</v>
      </c>
      <c r="H39" s="730">
        <f>F39+G39</f>
        <v>0</v>
      </c>
      <c r="I39" s="730">
        <f>I32/$O$32*$P$39</f>
        <v>0</v>
      </c>
      <c r="J39" s="730">
        <v>-2500000</v>
      </c>
      <c r="K39" s="730">
        <f>I39+J39</f>
        <v>-2500000</v>
      </c>
      <c r="L39" s="730">
        <f>L32/$O$32*$P$39</f>
        <v>0</v>
      </c>
      <c r="M39" s="757">
        <f>B39+E39+F39+I39</f>
        <v>0</v>
      </c>
      <c r="N39" s="757">
        <f>O39-M39</f>
        <v>-2500000</v>
      </c>
      <c r="O39" s="781">
        <f>+L39+K39+H39+E39+D39</f>
        <v>-2500000</v>
      </c>
      <c r="P39" s="1075">
        <v>0</v>
      </c>
      <c r="Q39" s="286" t="s">
        <v>1664</v>
      </c>
    </row>
    <row r="40" spans="1:17" ht="38.25" customHeight="1" thickBot="1" x14ac:dyDescent="0.3">
      <c r="A40" s="729" t="s">
        <v>1749</v>
      </c>
      <c r="B40" s="731">
        <f>+B37+B38+B39</f>
        <v>458981226.05935591</v>
      </c>
      <c r="C40" s="731">
        <f t="shared" ref="C40:O40" si="20">+C37+C38+C39</f>
        <v>34280000</v>
      </c>
      <c r="D40" s="731">
        <f t="shared" si="20"/>
        <v>493261226.05935591</v>
      </c>
      <c r="E40" s="731">
        <f t="shared" si="20"/>
        <v>0</v>
      </c>
      <c r="F40" s="731">
        <f t="shared" si="20"/>
        <v>200702815.34602436</v>
      </c>
      <c r="G40" s="731">
        <f t="shared" si="20"/>
        <v>2600000</v>
      </c>
      <c r="H40" s="731">
        <f t="shared" si="20"/>
        <v>203302815.34602436</v>
      </c>
      <c r="I40" s="731">
        <f t="shared" si="20"/>
        <v>658465748.23615158</v>
      </c>
      <c r="J40" s="731">
        <f t="shared" si="20"/>
        <v>94330000</v>
      </c>
      <c r="K40" s="731">
        <f t="shared" si="20"/>
        <v>752795748.23615158</v>
      </c>
      <c r="L40" s="731">
        <f t="shared" si="20"/>
        <v>236511727.23608661</v>
      </c>
      <c r="M40" s="731">
        <f t="shared" si="20"/>
        <v>1340166847.6415319</v>
      </c>
      <c r="N40" s="731">
        <f t="shared" si="20"/>
        <v>386721727.23608673</v>
      </c>
      <c r="O40" s="731">
        <f t="shared" si="20"/>
        <v>1726888574.8776186</v>
      </c>
      <c r="P40" s="1076">
        <f t="shared" ref="P40" si="21">+P37+P38+P39</f>
        <v>0</v>
      </c>
      <c r="Q40" s="286"/>
    </row>
    <row r="41" spans="1:17" ht="19.149999999999999" customHeight="1" thickBot="1" x14ac:dyDescent="0.3">
      <c r="A41" s="418" t="s">
        <v>1781</v>
      </c>
      <c r="B41" s="387">
        <v>12.5</v>
      </c>
      <c r="C41" s="384"/>
      <c r="D41" s="385">
        <v>12.5</v>
      </c>
      <c r="E41" s="388">
        <v>0</v>
      </c>
      <c r="F41" s="387">
        <v>13.5</v>
      </c>
      <c r="G41" s="384"/>
      <c r="H41" s="385">
        <v>13.5</v>
      </c>
      <c r="I41" s="387">
        <v>89</v>
      </c>
      <c r="J41" s="384"/>
      <c r="K41" s="385">
        <v>89</v>
      </c>
      <c r="L41" s="386">
        <v>48</v>
      </c>
      <c r="M41" s="727">
        <f>B41+E41+F41+I41</f>
        <v>115</v>
      </c>
      <c r="N41" s="728">
        <f>C41+G41+J41+L41</f>
        <v>48</v>
      </c>
      <c r="O41" s="386">
        <f>M41+N41</f>
        <v>163</v>
      </c>
      <c r="P41" s="1077"/>
    </row>
    <row r="42" spans="1:17" ht="16.899999999999999" customHeight="1" thickBot="1" x14ac:dyDescent="0.3">
      <c r="A42" s="419" t="s">
        <v>712</v>
      </c>
      <c r="B42" s="403"/>
      <c r="C42" s="404"/>
      <c r="D42" s="405"/>
      <c r="E42" s="402"/>
      <c r="F42" s="403"/>
      <c r="G42" s="404"/>
      <c r="H42" s="405"/>
      <c r="I42" s="403"/>
      <c r="J42" s="404"/>
      <c r="K42" s="405"/>
      <c r="L42" s="400"/>
      <c r="M42" s="400"/>
      <c r="N42" s="400"/>
      <c r="O42" s="400"/>
      <c r="P42" s="1078"/>
    </row>
    <row r="45" spans="1:17" x14ac:dyDescent="0.25">
      <c r="A45" s="155" t="s">
        <v>707</v>
      </c>
      <c r="B45" s="156" t="s">
        <v>1745</v>
      </c>
      <c r="C45" s="156"/>
      <c r="D45" s="156"/>
      <c r="E45" s="156" t="s">
        <v>1700</v>
      </c>
      <c r="F45" s="156" t="s">
        <v>1818</v>
      </c>
      <c r="G45" s="156" t="s">
        <v>1751</v>
      </c>
      <c r="H45" s="156"/>
      <c r="I45" s="156"/>
      <c r="J45" s="156"/>
      <c r="K45" s="156"/>
      <c r="L45" s="156"/>
      <c r="M45" s="156"/>
      <c r="N45" s="156"/>
      <c r="O45" s="156"/>
    </row>
    <row r="46" spans="1:17" ht="12" thickBot="1" x14ac:dyDescent="0.3">
      <c r="A46" s="158" t="s">
        <v>702</v>
      </c>
      <c r="B46" s="1163"/>
      <c r="C46" s="1164"/>
      <c r="D46" s="1165"/>
      <c r="E46" s="399"/>
      <c r="F46" s="399"/>
      <c r="G46" s="399"/>
      <c r="H46" s="399"/>
      <c r="I46" s="399"/>
      <c r="J46" s="399"/>
      <c r="K46" s="399"/>
      <c r="L46" s="399"/>
      <c r="M46" s="399"/>
      <c r="N46" s="399" t="s">
        <v>1751</v>
      </c>
      <c r="O46" s="420"/>
      <c r="P46" s="1084"/>
    </row>
    <row r="47" spans="1:17" ht="48.75" customHeight="1" thickTop="1" thickBot="1" x14ac:dyDescent="0.3">
      <c r="A47" s="406"/>
      <c r="B47" s="1155" t="s">
        <v>1790</v>
      </c>
      <c r="C47" s="1155"/>
      <c r="D47" s="1156"/>
      <c r="E47" s="401" t="s">
        <v>559</v>
      </c>
      <c r="F47" s="1157" t="s">
        <v>1791</v>
      </c>
      <c r="G47" s="1158"/>
      <c r="H47" s="1159"/>
      <c r="I47" s="1160" t="s">
        <v>1792</v>
      </c>
      <c r="J47" s="1161"/>
      <c r="K47" s="1162"/>
      <c r="L47" s="1018" t="s">
        <v>541</v>
      </c>
      <c r="M47" s="1154" t="s">
        <v>1712</v>
      </c>
      <c r="N47" s="1154"/>
      <c r="O47" s="1154"/>
      <c r="P47" s="1064" t="s">
        <v>1782</v>
      </c>
    </row>
    <row r="48" spans="1:17" ht="43.15" customHeight="1" thickTop="1" x14ac:dyDescent="0.3">
      <c r="A48" s="407" t="s">
        <v>709</v>
      </c>
      <c r="B48" s="1010" t="s">
        <v>569</v>
      </c>
      <c r="C48" s="1010" t="s">
        <v>570</v>
      </c>
      <c r="D48" s="1011" t="s">
        <v>564</v>
      </c>
      <c r="E48" s="285" t="s">
        <v>569</v>
      </c>
      <c r="F48" s="1012" t="s">
        <v>569</v>
      </c>
      <c r="G48" s="1013" t="s">
        <v>571</v>
      </c>
      <c r="H48" s="1014" t="s">
        <v>564</v>
      </c>
      <c r="I48" s="1015" t="s">
        <v>572</v>
      </c>
      <c r="J48" s="1016" t="s">
        <v>573</v>
      </c>
      <c r="K48" s="1017" t="s">
        <v>564</v>
      </c>
      <c r="L48" s="1019" t="s">
        <v>574</v>
      </c>
      <c r="M48" s="284" t="s">
        <v>603</v>
      </c>
      <c r="N48" s="284" t="s">
        <v>604</v>
      </c>
      <c r="O48" s="284" t="s">
        <v>605</v>
      </c>
      <c r="P48" s="1065" t="s">
        <v>1844</v>
      </c>
    </row>
    <row r="49" spans="1:16" ht="17.5" customHeight="1" x14ac:dyDescent="0.25">
      <c r="A49" s="407" t="s">
        <v>805</v>
      </c>
      <c r="B49" s="265"/>
      <c r="C49" s="262"/>
      <c r="D49" s="263">
        <f>SUM(B49:C49)</f>
        <v>0</v>
      </c>
      <c r="E49" s="264"/>
      <c r="F49" s="265"/>
      <c r="G49" s="262"/>
      <c r="H49" s="263">
        <f>SUM(F49:G49)</f>
        <v>0</v>
      </c>
      <c r="I49" s="265"/>
      <c r="J49" s="262"/>
      <c r="K49" s="263">
        <f t="shared" ref="K49:K57" si="22">SUM(I49:J49)</f>
        <v>0</v>
      </c>
      <c r="L49" s="264"/>
      <c r="M49" s="264">
        <f>I49+F49+E49+B49</f>
        <v>0</v>
      </c>
      <c r="N49" s="264"/>
      <c r="O49" s="264"/>
      <c r="P49" s="1066"/>
    </row>
    <row r="50" spans="1:16" ht="17.5" customHeight="1" x14ac:dyDescent="0.3">
      <c r="A50" s="408" t="s">
        <v>834</v>
      </c>
      <c r="B50" s="758">
        <f>B51+B52+B53</f>
        <v>42616734.840746962</v>
      </c>
      <c r="C50" s="759">
        <f>C51+C52+C53</f>
        <v>1634030.4834276475</v>
      </c>
      <c r="D50" s="760">
        <f>SUM(B50:C50)</f>
        <v>44250765.324174613</v>
      </c>
      <c r="E50" s="761">
        <f>E51+E52+E53</f>
        <v>0</v>
      </c>
      <c r="F50" s="758">
        <f>F51+F52+F53</f>
        <v>112514243.8543379</v>
      </c>
      <c r="G50" s="759">
        <f>G51+G52+G53</f>
        <v>3548670.9805982215</v>
      </c>
      <c r="H50" s="760">
        <f>SUM(F50:G50)</f>
        <v>116062914.83493613</v>
      </c>
      <c r="I50" s="758">
        <f>I51+I52+I53</f>
        <v>352597676.30252707</v>
      </c>
      <c r="J50" s="759">
        <f>J51+J52+J53</f>
        <v>11341686.414713016</v>
      </c>
      <c r="K50" s="760">
        <f t="shared" si="22"/>
        <v>363939362.7172401</v>
      </c>
      <c r="L50" s="761">
        <f>L51+L52+L53</f>
        <v>164089422.21364912</v>
      </c>
      <c r="M50" s="761">
        <f t="shared" ref="M50:M58" si="23">B50+E50+F50+I50</f>
        <v>507728654.99761194</v>
      </c>
      <c r="N50" s="761">
        <f t="shared" ref="N50:N58" si="24">C50+G50+J50+L50</f>
        <v>180613810.092388</v>
      </c>
      <c r="O50" s="761">
        <f>SUM(M50:N50)</f>
        <v>688342465.08999991</v>
      </c>
      <c r="P50" s="1067">
        <f>P51+P52+P53</f>
        <v>0</v>
      </c>
    </row>
    <row r="51" spans="1:16" ht="16.899999999999999" customHeight="1" x14ac:dyDescent="0.25">
      <c r="A51" s="409" t="s">
        <v>807</v>
      </c>
      <c r="B51" s="741">
        <f>('Felosztás eredménykim'!GF325+'Felosztás eredménykim'!GF326)*1000</f>
        <v>37603913.186907023</v>
      </c>
      <c r="C51" s="750">
        <f>'Felosztás eredménykim'!GF354*1000</f>
        <v>1426101.1751010509</v>
      </c>
      <c r="D51" s="742">
        <f t="shared" ref="D51:D57" si="25">SUM(B51:C51)</f>
        <v>39030014.362008072</v>
      </c>
      <c r="E51" s="762">
        <f>'Felosztás eredménykim'!GR325+'Felosztás eredménykim'!GR326+'Felosztás eredménykim'!GR354</f>
        <v>0</v>
      </c>
      <c r="F51" s="741">
        <f>('Felosztás eredménykim'!FS325+'Felosztás eredménykim'!FS326)*1000</f>
        <v>95650417.615696028</v>
      </c>
      <c r="G51" s="750">
        <f>'Felosztás eredménykim'!FS354*1000</f>
        <v>3090984.3220695229</v>
      </c>
      <c r="H51" s="742">
        <f t="shared" ref="H51:H57" si="26">SUM(F51:G51)</f>
        <v>98741401.937765554</v>
      </c>
      <c r="I51" s="741">
        <f>('Felosztás eredménykim'!GA325+'Felosztás eredménykim'!GA326)*1000</f>
        <v>295260822.60349715</v>
      </c>
      <c r="J51" s="750">
        <f>'Felosztás eredménykim'!GA354*1000</f>
        <v>9914410.2157639451</v>
      </c>
      <c r="K51" s="742">
        <f t="shared" si="22"/>
        <v>305175232.81926107</v>
      </c>
      <c r="L51" s="743">
        <f>('Felosztás eredménykim'!FM325+'Felosztás eredménykim'!FM326+'Felosztás eredménykim'!FM354)*1000</f>
        <v>125359454.97096522</v>
      </c>
      <c r="M51" s="744">
        <f t="shared" si="23"/>
        <v>428515153.40610021</v>
      </c>
      <c r="N51" s="744">
        <f t="shared" si="24"/>
        <v>139790950.68389973</v>
      </c>
      <c r="O51" s="744">
        <f t="shared" ref="O51:O56" si="27">SUM(M51:N51)</f>
        <v>568306104.08999991</v>
      </c>
      <c r="P51" s="1079"/>
    </row>
    <row r="52" spans="1:16" ht="16.149999999999999" customHeight="1" x14ac:dyDescent="0.25">
      <c r="A52" s="409" t="s">
        <v>844</v>
      </c>
      <c r="B52" s="741">
        <f>'Felosztás eredménykim'!GF327*1000</f>
        <v>720000</v>
      </c>
      <c r="C52" s="750"/>
      <c r="D52" s="742">
        <f t="shared" si="25"/>
        <v>720000</v>
      </c>
      <c r="E52" s="743"/>
      <c r="F52" s="741">
        <f>'Felosztás eredménykim'!FS327*1000</f>
        <v>5327500</v>
      </c>
      <c r="G52" s="750"/>
      <c r="H52" s="742">
        <f t="shared" si="26"/>
        <v>5327500</v>
      </c>
      <c r="I52" s="741">
        <f>'Felosztás eredménykim'!GA327*1000</f>
        <v>25006000</v>
      </c>
      <c r="J52" s="750"/>
      <c r="K52" s="742">
        <f t="shared" si="22"/>
        <v>25006000</v>
      </c>
      <c r="L52" s="743">
        <f>'Felosztás eredménykim'!FM327*1000</f>
        <v>23520600</v>
      </c>
      <c r="M52" s="744">
        <f t="shared" si="23"/>
        <v>31053500</v>
      </c>
      <c r="N52" s="744">
        <f t="shared" si="24"/>
        <v>23520600</v>
      </c>
      <c r="O52" s="744">
        <f t="shared" si="27"/>
        <v>54574100</v>
      </c>
      <c r="P52" s="1079"/>
    </row>
    <row r="53" spans="1:16" ht="25" customHeight="1" x14ac:dyDescent="0.25">
      <c r="A53" s="410" t="s">
        <v>810</v>
      </c>
      <c r="B53" s="741">
        <f>'Felosztás eredménykim'!GF328*1000</f>
        <v>4292821.6538399355</v>
      </c>
      <c r="C53" s="750">
        <f>'Felosztás eredménykim'!GF356*1000</f>
        <v>207929.3083265966</v>
      </c>
      <c r="D53" s="742">
        <f t="shared" si="25"/>
        <v>4500750.9621665319</v>
      </c>
      <c r="E53" s="763">
        <f>'Felosztás eredménykim'!GR328+'Felosztás eredménykim'!GR356</f>
        <v>0</v>
      </c>
      <c r="F53" s="741">
        <f>'Felosztás eredménykim'!FS328*1000</f>
        <v>11536326.238641877</v>
      </c>
      <c r="G53" s="750">
        <f>'Felosztás eredménykim'!FS356*1000</f>
        <v>457686.65852869849</v>
      </c>
      <c r="H53" s="742">
        <f t="shared" si="26"/>
        <v>11994012.897170575</v>
      </c>
      <c r="I53" s="741">
        <f>'Felosztás eredménykim'!GA328*1000</f>
        <v>32330853.699029911</v>
      </c>
      <c r="J53" s="764">
        <f>'Felosztás eredménykim'!GA356*1000</f>
        <v>1427276.1989490704</v>
      </c>
      <c r="K53" s="742">
        <f t="shared" si="22"/>
        <v>33758129.897978984</v>
      </c>
      <c r="L53" s="744">
        <f>('Felosztás eredménykim'!FM328+'Felosztás eredménykim'!FM356)*1000</f>
        <v>15209367.242683915</v>
      </c>
      <c r="M53" s="744">
        <f t="shared" si="23"/>
        <v>48160001.591511726</v>
      </c>
      <c r="N53" s="744">
        <f t="shared" si="24"/>
        <v>17302259.408488281</v>
      </c>
      <c r="O53" s="744">
        <f t="shared" si="27"/>
        <v>65462261.000000007</v>
      </c>
      <c r="P53" s="1079"/>
    </row>
    <row r="54" spans="1:16" ht="19.899999999999999" customHeight="1" x14ac:dyDescent="0.3">
      <c r="A54" s="408" t="s">
        <v>811</v>
      </c>
      <c r="B54" s="758">
        <f>B58+B56+B57+B55</f>
        <v>473576109.50973308</v>
      </c>
      <c r="C54" s="759">
        <f>C58+C56+C57+C55</f>
        <v>0</v>
      </c>
      <c r="D54" s="760">
        <f t="shared" si="25"/>
        <v>473576109.50973308</v>
      </c>
      <c r="E54" s="761">
        <f>E58+E56+E57+E55</f>
        <v>0</v>
      </c>
      <c r="F54" s="758">
        <f>F58+F56+F57+F55</f>
        <v>90205350.047736466</v>
      </c>
      <c r="G54" s="759">
        <f>G58+G56+G57+G55</f>
        <v>0</v>
      </c>
      <c r="H54" s="760">
        <f t="shared" si="26"/>
        <v>90205350.047736466</v>
      </c>
      <c r="I54" s="758">
        <f>I58+I56+I57+I55</f>
        <v>110154726.46338317</v>
      </c>
      <c r="J54" s="759">
        <f>J58+J56+J57+J55</f>
        <v>0</v>
      </c>
      <c r="K54" s="760">
        <f t="shared" si="22"/>
        <v>110154726.46338317</v>
      </c>
      <c r="L54" s="761">
        <f>L58+L56+L57+L55</f>
        <v>2583310.1691471296</v>
      </c>
      <c r="M54" s="761">
        <f t="shared" si="23"/>
        <v>673936186.0208528</v>
      </c>
      <c r="N54" s="761">
        <f t="shared" si="24"/>
        <v>2583310.1691471296</v>
      </c>
      <c r="O54" s="761">
        <f t="shared" si="27"/>
        <v>676519496.18999994</v>
      </c>
      <c r="P54" s="1067">
        <f>P58+P56+P57+P55</f>
        <v>43841861</v>
      </c>
    </row>
    <row r="55" spans="1:16" ht="25" customHeight="1" x14ac:dyDescent="0.3">
      <c r="A55" s="411" t="s">
        <v>846</v>
      </c>
      <c r="B55" s="741">
        <f>('Felosztás eredménykim'!GF333+'Felosztás eredménykim'!GF334)*1000-C55</f>
        <v>8762624.9640776049</v>
      </c>
      <c r="C55" s="990">
        <v>0</v>
      </c>
      <c r="D55" s="747">
        <f>SUM(B55:C55)</f>
        <v>8762624.9640776049</v>
      </c>
      <c r="E55" s="743">
        <f>'Felosztás eredménykim'!GR333+'Felosztás eredménykim'!GR334</f>
        <v>0</v>
      </c>
      <c r="F55" s="741">
        <f>('Felosztás eredménykim'!FS333+'Felosztás eredménykim'!FS334)*1000-G55</f>
        <v>18859670.367749393</v>
      </c>
      <c r="G55" s="991">
        <v>0</v>
      </c>
      <c r="H55" s="747">
        <f>SUM(F55:G55)</f>
        <v>18859670.367749393</v>
      </c>
      <c r="I55" s="741">
        <f>('Felosztás eredménykim'!GA333+'Felosztás eredménykim'!GA334)*1000-J55</f>
        <v>37251795.712106705</v>
      </c>
      <c r="J55" s="992"/>
      <c r="K55" s="747">
        <f>SUM(I55:J55)</f>
        <v>37251795.712106705</v>
      </c>
      <c r="L55" s="743">
        <f>('Felosztás eredménykim'!FM333+'Felosztás eredménykim'!FM334)*1000</f>
        <v>772488.18606628943</v>
      </c>
      <c r="M55" s="744">
        <f t="shared" si="23"/>
        <v>64874091.043933704</v>
      </c>
      <c r="N55" s="744">
        <f t="shared" si="24"/>
        <v>772488.18606628943</v>
      </c>
      <c r="O55" s="744">
        <f>SUM(M55:N55)</f>
        <v>65646579.229999997</v>
      </c>
      <c r="P55" s="1079"/>
    </row>
    <row r="56" spans="1:16" ht="13.9" customHeight="1" x14ac:dyDescent="0.25">
      <c r="A56" s="409" t="s">
        <v>812</v>
      </c>
      <c r="B56" s="741">
        <f>'Felosztás eredménykim'!GF331*1000-C56</f>
        <v>14488269.149238478</v>
      </c>
      <c r="C56" s="765">
        <v>0</v>
      </c>
      <c r="D56" s="742">
        <f t="shared" si="25"/>
        <v>14488269.149238478</v>
      </c>
      <c r="E56" s="743">
        <f>'Felosztás eredménykim'!GR331</f>
        <v>0</v>
      </c>
      <c r="F56" s="741">
        <f>'Felosztás eredménykim'!FS331*1000</f>
        <v>1551226.2440840742</v>
      </c>
      <c r="G56" s="750"/>
      <c r="H56" s="742">
        <f t="shared" si="26"/>
        <v>1551226.2440840742</v>
      </c>
      <c r="I56" s="741">
        <f>'Felosztás eredménykim'!GA331*1000-J56</f>
        <v>4317699.2532029105</v>
      </c>
      <c r="J56" s="765">
        <v>0</v>
      </c>
      <c r="K56" s="742">
        <f t="shared" si="22"/>
        <v>4317699.2532029105</v>
      </c>
      <c r="L56" s="743">
        <f>'Felosztás eredménykim'!FM331*1000</f>
        <v>337290.59347453516</v>
      </c>
      <c r="M56" s="744">
        <f t="shared" si="23"/>
        <v>20357194.646525465</v>
      </c>
      <c r="N56" s="744">
        <f t="shared" si="24"/>
        <v>337290.59347453516</v>
      </c>
      <c r="O56" s="744">
        <f t="shared" si="27"/>
        <v>20694485.239999998</v>
      </c>
      <c r="P56" s="1079"/>
    </row>
    <row r="57" spans="1:16" ht="15.65" customHeight="1" x14ac:dyDescent="0.3">
      <c r="A57" s="409" t="s">
        <v>845</v>
      </c>
      <c r="B57" s="741">
        <f>'Felosztás eredménykim'!GF332*1000-C57</f>
        <v>445017965.33604354</v>
      </c>
      <c r="C57" s="759"/>
      <c r="D57" s="742">
        <f t="shared" si="25"/>
        <v>445017965.33604354</v>
      </c>
      <c r="E57" s="743">
        <f>'Felosztás eredménykim'!GR332+'Felosztás eredménykim'!GR333</f>
        <v>0</v>
      </c>
      <c r="F57" s="741">
        <f>'Felosztás eredménykim'!FS332*1000</f>
        <v>68789877.208734035</v>
      </c>
      <c r="G57" s="750"/>
      <c r="H57" s="742">
        <f t="shared" si="26"/>
        <v>68789877.208734035</v>
      </c>
      <c r="I57" s="741">
        <f>'Felosztás eredménykim'!GA332*1000-J57</f>
        <v>62942534.471810021</v>
      </c>
      <c r="J57" s="757">
        <v>0</v>
      </c>
      <c r="K57" s="742">
        <f t="shared" si="22"/>
        <v>62942534.471810021</v>
      </c>
      <c r="L57" s="743">
        <f>'Felosztás eredménykim'!FM332*1000</f>
        <v>1032260.4634122874</v>
      </c>
      <c r="M57" s="744">
        <f t="shared" si="23"/>
        <v>576750377.01658762</v>
      </c>
      <c r="N57" s="744">
        <f t="shared" si="24"/>
        <v>1032260.4634122874</v>
      </c>
      <c r="O57" s="744">
        <f>SUM(M57:N57)</f>
        <v>577782637.4799999</v>
      </c>
      <c r="P57" s="1080">
        <f>('Felosztás eredménykim'!FP332+'Felosztás eredménykim'!FR332+'Felosztás eredménykim'!GD332+'Felosztás eredménykim'!GE332)*1000</f>
        <v>43841861</v>
      </c>
    </row>
    <row r="58" spans="1:16" ht="19.149999999999999" customHeight="1" thickBot="1" x14ac:dyDescent="0.3">
      <c r="A58" s="409" t="s">
        <v>840</v>
      </c>
      <c r="B58" s="741">
        <f>'Felosztás eredménykim'!GF330*1000</f>
        <v>5307250.0603734851</v>
      </c>
      <c r="C58" s="750"/>
      <c r="D58" s="742">
        <f>SUM(B58:C58)</f>
        <v>5307250.0603734851</v>
      </c>
      <c r="E58" s="743">
        <f>'Felosztás eredménykim'!GR330</f>
        <v>0</v>
      </c>
      <c r="F58" s="741">
        <f>'Felosztás eredménykim'!FS330*1000</f>
        <v>1004576.2271689576</v>
      </c>
      <c r="G58" s="750"/>
      <c r="H58" s="742">
        <f>SUM(F58:G58)</f>
        <v>1004576.2271689576</v>
      </c>
      <c r="I58" s="741">
        <f>'Felosztás eredménykim'!GA330*1000</f>
        <v>5642697.0262635378</v>
      </c>
      <c r="J58" s="750"/>
      <c r="K58" s="742">
        <f>SUM(I58:J58)</f>
        <v>5642697.0262635378</v>
      </c>
      <c r="L58" s="743">
        <f>'Felosztás eredménykim'!FM330*1000</f>
        <v>441270.92619401775</v>
      </c>
      <c r="M58" s="744">
        <f t="shared" si="23"/>
        <v>11954523.313805981</v>
      </c>
      <c r="N58" s="744">
        <f t="shared" si="24"/>
        <v>441270.92619401775</v>
      </c>
      <c r="O58" s="744">
        <f>SUM(M58:N58)</f>
        <v>12395794.239999998</v>
      </c>
      <c r="P58" s="1081"/>
    </row>
    <row r="59" spans="1:16" ht="25" customHeight="1" thickBot="1" x14ac:dyDescent="0.3">
      <c r="A59" s="412" t="s">
        <v>815</v>
      </c>
      <c r="B59" s="751">
        <f t="shared" ref="B59:P59" si="28">B50+B54</f>
        <v>516192844.35048002</v>
      </c>
      <c r="C59" s="752">
        <f t="shared" si="28"/>
        <v>1634030.4834276475</v>
      </c>
      <c r="D59" s="753">
        <f t="shared" si="28"/>
        <v>517826874.83390772</v>
      </c>
      <c r="E59" s="754">
        <f t="shared" si="28"/>
        <v>0</v>
      </c>
      <c r="F59" s="751">
        <f t="shared" si="28"/>
        <v>202719593.90207437</v>
      </c>
      <c r="G59" s="752">
        <f t="shared" si="28"/>
        <v>3548670.9805982215</v>
      </c>
      <c r="H59" s="753">
        <f t="shared" si="28"/>
        <v>206268264.88267261</v>
      </c>
      <c r="I59" s="751">
        <f t="shared" si="28"/>
        <v>462752402.76591027</v>
      </c>
      <c r="J59" s="752">
        <f t="shared" si="28"/>
        <v>11341686.414713016</v>
      </c>
      <c r="K59" s="753">
        <f t="shared" si="28"/>
        <v>474094089.18062329</v>
      </c>
      <c r="L59" s="754">
        <f t="shared" si="28"/>
        <v>166672732.38279626</v>
      </c>
      <c r="M59" s="754">
        <f t="shared" si="28"/>
        <v>1181664841.0184648</v>
      </c>
      <c r="N59" s="754">
        <f t="shared" si="28"/>
        <v>183197120.26153514</v>
      </c>
      <c r="O59" s="754">
        <f t="shared" si="28"/>
        <v>1364861961.2799997</v>
      </c>
      <c r="P59" s="1068">
        <f t="shared" si="28"/>
        <v>43841861</v>
      </c>
    </row>
    <row r="60" spans="1:16" ht="20.5" customHeight="1" x14ac:dyDescent="0.25">
      <c r="A60" s="413" t="s">
        <v>816</v>
      </c>
      <c r="B60" s="736"/>
      <c r="C60" s="737"/>
      <c r="D60" s="738">
        <f>SUM(B60:C60)</f>
        <v>0</v>
      </c>
      <c r="E60" s="739"/>
      <c r="F60" s="736"/>
      <c r="G60" s="737"/>
      <c r="H60" s="738">
        <f>SUM(F60:G60)</f>
        <v>0</v>
      </c>
      <c r="I60" s="736"/>
      <c r="J60" s="737"/>
      <c r="K60" s="738">
        <f>SUM(I60:J60)</f>
        <v>0</v>
      </c>
      <c r="L60" s="739"/>
      <c r="M60" s="740">
        <f>B60+E60+F60+I60</f>
        <v>0</v>
      </c>
      <c r="N60" s="740">
        <f>O60-M60</f>
        <v>0</v>
      </c>
      <c r="O60" s="740">
        <f>+L60+K60+H60+E60+D60</f>
        <v>0</v>
      </c>
      <c r="P60" s="1082"/>
    </row>
    <row r="61" spans="1:16" ht="18.649999999999999" customHeight="1" x14ac:dyDescent="0.25">
      <c r="A61" s="409" t="s">
        <v>817</v>
      </c>
      <c r="B61" s="741">
        <f>('Felosztás eredménykim'!GF337*1000+'Felosztás eredménykim'!GF338*1000)-C61</f>
        <v>0</v>
      </c>
      <c r="C61" s="765">
        <f>C108+C109</f>
        <v>26712101</v>
      </c>
      <c r="D61" s="742">
        <f>SUM(B61:C61)</f>
        <v>26712101</v>
      </c>
      <c r="E61" s="743"/>
      <c r="F61" s="741">
        <f>('Felosztás eredménykim'!FS337+'Felosztás eredménykim'!FS338)*1000-G61</f>
        <v>0</v>
      </c>
      <c r="G61" s="765">
        <v>0</v>
      </c>
      <c r="H61" s="742">
        <f>SUM(F61:G61)</f>
        <v>0</v>
      </c>
      <c r="I61" s="741">
        <f>'Felosztás eredménykim'!GA337*1000</f>
        <v>0</v>
      </c>
      <c r="J61" s="765">
        <f>'Felosztás eredménykim'!GA338*1000</f>
        <v>22478987</v>
      </c>
      <c r="K61" s="742">
        <f>SUM(I61:J61)</f>
        <v>22478987</v>
      </c>
      <c r="L61" s="743">
        <f>'Felosztás eredménykim'!FM337*1000</f>
        <v>0</v>
      </c>
      <c r="M61" s="740">
        <f>B61+E61+F61+I61</f>
        <v>0</v>
      </c>
      <c r="N61" s="744">
        <f>C61+G61+J61+L61</f>
        <v>49191088</v>
      </c>
      <c r="O61" s="744">
        <f t="shared" ref="O61" si="29">SUM(M61:N61)</f>
        <v>49191088</v>
      </c>
      <c r="P61" s="1079"/>
    </row>
    <row r="62" spans="1:16" ht="16.149999999999999" customHeight="1" thickBot="1" x14ac:dyDescent="0.3">
      <c r="A62" s="411" t="s">
        <v>818</v>
      </c>
      <c r="B62" s="745"/>
      <c r="C62" s="746"/>
      <c r="D62" s="747">
        <f>SUM(B62:C62)</f>
        <v>0</v>
      </c>
      <c r="E62" s="748"/>
      <c r="F62" s="745"/>
      <c r="G62" s="746"/>
      <c r="H62" s="747">
        <f>SUM(F62:G62)</f>
        <v>0</v>
      </c>
      <c r="I62" s="745"/>
      <c r="J62" s="746"/>
      <c r="K62" s="747">
        <f>SUM(I62:J62)</f>
        <v>0</v>
      </c>
      <c r="L62" s="748"/>
      <c r="M62" s="740">
        <f>B62+E62+F62+I62</f>
        <v>0</v>
      </c>
      <c r="N62" s="749">
        <f>O62-M62</f>
        <v>0</v>
      </c>
      <c r="O62" s="749">
        <f>+L62+K62+H62+E62+D62</f>
        <v>0</v>
      </c>
      <c r="P62" s="1081"/>
    </row>
    <row r="63" spans="1:16" ht="25" customHeight="1" thickBot="1" x14ac:dyDescent="0.3">
      <c r="A63" s="414" t="s">
        <v>819</v>
      </c>
      <c r="B63" s="751">
        <f>SUM(B60:B62)</f>
        <v>0</v>
      </c>
      <c r="C63" s="752">
        <f t="shared" ref="C63:O63" si="30">SUM(C60:C62)</f>
        <v>26712101</v>
      </c>
      <c r="D63" s="753">
        <f t="shared" si="30"/>
        <v>26712101</v>
      </c>
      <c r="E63" s="754">
        <f t="shared" si="30"/>
        <v>0</v>
      </c>
      <c r="F63" s="751">
        <f t="shared" si="30"/>
        <v>0</v>
      </c>
      <c r="G63" s="752">
        <f t="shared" si="30"/>
        <v>0</v>
      </c>
      <c r="H63" s="753">
        <f t="shared" si="30"/>
        <v>0</v>
      </c>
      <c r="I63" s="751">
        <f t="shared" si="30"/>
        <v>0</v>
      </c>
      <c r="J63" s="752">
        <f t="shared" si="30"/>
        <v>22478987</v>
      </c>
      <c r="K63" s="753">
        <f t="shared" si="30"/>
        <v>22478987</v>
      </c>
      <c r="L63" s="754">
        <f t="shared" si="30"/>
        <v>0</v>
      </c>
      <c r="M63" s="754">
        <f t="shared" si="30"/>
        <v>0</v>
      </c>
      <c r="N63" s="754">
        <f t="shared" si="30"/>
        <v>49191088</v>
      </c>
      <c r="O63" s="754">
        <f t="shared" si="30"/>
        <v>49191088</v>
      </c>
      <c r="P63" s="1069">
        <f t="shared" ref="P63" si="31">SUM(P60:P62)</f>
        <v>0</v>
      </c>
    </row>
    <row r="64" spans="1:16" ht="25" customHeight="1" thickBot="1" x14ac:dyDescent="0.3">
      <c r="A64" s="414" t="s">
        <v>820</v>
      </c>
      <c r="B64" s="751">
        <f>B63+B59</f>
        <v>516192844.35048002</v>
      </c>
      <c r="C64" s="752">
        <f t="shared" ref="C64:P64" si="32">C63+C59</f>
        <v>28346131.483427648</v>
      </c>
      <c r="D64" s="753">
        <f t="shared" si="32"/>
        <v>544538975.83390772</v>
      </c>
      <c r="E64" s="754">
        <f t="shared" si="32"/>
        <v>0</v>
      </c>
      <c r="F64" s="751">
        <f t="shared" si="32"/>
        <v>202719593.90207437</v>
      </c>
      <c r="G64" s="752">
        <f t="shared" si="32"/>
        <v>3548670.9805982215</v>
      </c>
      <c r="H64" s="753">
        <f t="shared" si="32"/>
        <v>206268264.88267261</v>
      </c>
      <c r="I64" s="751">
        <f t="shared" si="32"/>
        <v>462752402.76591027</v>
      </c>
      <c r="J64" s="752">
        <f t="shared" si="32"/>
        <v>33820673.414713018</v>
      </c>
      <c r="K64" s="753">
        <f t="shared" si="32"/>
        <v>496573076.18062329</v>
      </c>
      <c r="L64" s="754">
        <f t="shared" si="32"/>
        <v>166672732.38279626</v>
      </c>
      <c r="M64" s="754">
        <f t="shared" si="32"/>
        <v>1181664841.0184648</v>
      </c>
      <c r="N64" s="754">
        <f t="shared" si="32"/>
        <v>232388208.26153514</v>
      </c>
      <c r="O64" s="754">
        <f t="shared" si="32"/>
        <v>1414053049.2799997</v>
      </c>
      <c r="P64" s="1068">
        <f t="shared" si="32"/>
        <v>43841861</v>
      </c>
    </row>
    <row r="65" spans="1:17" ht="14.5" customHeight="1" x14ac:dyDescent="0.25">
      <c r="A65" s="415" t="s">
        <v>821</v>
      </c>
      <c r="B65" s="736"/>
      <c r="C65" s="737"/>
      <c r="D65" s="738">
        <f>SUM(B65:C65)</f>
        <v>0</v>
      </c>
      <c r="E65" s="739"/>
      <c r="F65" s="736"/>
      <c r="G65" s="737"/>
      <c r="H65" s="738">
        <f>SUM(F65:G65)</f>
        <v>0</v>
      </c>
      <c r="I65" s="736"/>
      <c r="J65" s="737"/>
      <c r="K65" s="738">
        <f>SUM(I65:J65)</f>
        <v>0</v>
      </c>
      <c r="L65" s="739"/>
      <c r="M65" s="740">
        <f>B65+E65+F65+I65</f>
        <v>0</v>
      </c>
      <c r="N65" s="740">
        <f>O65-M65</f>
        <v>0</v>
      </c>
      <c r="O65" s="740">
        <f>+L65+K65+H65+E65+D65</f>
        <v>0</v>
      </c>
      <c r="P65" s="1082"/>
    </row>
    <row r="66" spans="1:17" ht="16.899999999999999" hidden="1" customHeight="1" x14ac:dyDescent="0.25">
      <c r="A66" s="407" t="s">
        <v>822</v>
      </c>
      <c r="B66" s="741"/>
      <c r="C66" s="750"/>
      <c r="D66" s="742">
        <f>SUM(B66:C66)</f>
        <v>0</v>
      </c>
      <c r="E66" s="743"/>
      <c r="F66" s="741"/>
      <c r="G66" s="750"/>
      <c r="H66" s="742">
        <f>SUM(F66:G66)</f>
        <v>0</v>
      </c>
      <c r="I66" s="741"/>
      <c r="J66" s="750"/>
      <c r="K66" s="742">
        <f>SUM(I66:J66)</f>
        <v>0</v>
      </c>
      <c r="L66" s="743"/>
      <c r="M66" s="740">
        <f>B66+E66+F66+I66</f>
        <v>0</v>
      </c>
      <c r="N66" s="744">
        <f>O66-M66</f>
        <v>0</v>
      </c>
      <c r="O66" s="744">
        <f>+L66+K66+H66+E66+D66</f>
        <v>0</v>
      </c>
      <c r="P66" s="1079"/>
    </row>
    <row r="67" spans="1:17" ht="18.649999999999999" hidden="1" customHeight="1" thickBot="1" x14ac:dyDescent="0.3">
      <c r="A67" s="416" t="s">
        <v>847</v>
      </c>
      <c r="B67" s="745"/>
      <c r="C67" s="746"/>
      <c r="D67" s="747">
        <f>SUM(B67:C67)</f>
        <v>0</v>
      </c>
      <c r="E67" s="748"/>
      <c r="F67" s="741"/>
      <c r="G67" s="746"/>
      <c r="H67" s="747">
        <f>SUM(F67:G67)</f>
        <v>0</v>
      </c>
      <c r="I67" s="745"/>
      <c r="J67" s="746">
        <v>0</v>
      </c>
      <c r="K67" s="747">
        <f>SUM(I67:J67)</f>
        <v>0</v>
      </c>
      <c r="L67" s="748"/>
      <c r="M67" s="740">
        <f>B67+E67+F67+I67</f>
        <v>0</v>
      </c>
      <c r="N67" s="749">
        <f>O67-M67</f>
        <v>0</v>
      </c>
      <c r="O67" s="749">
        <f>+L67+K67+H67+E67+D67</f>
        <v>0</v>
      </c>
      <c r="P67" s="1079"/>
    </row>
    <row r="68" spans="1:17" ht="15" hidden="1" customHeight="1" thickBot="1" x14ac:dyDescent="0.3">
      <c r="A68" s="414" t="s">
        <v>824</v>
      </c>
      <c r="B68" s="751">
        <f t="shared" ref="B68:O68" si="33">SUM(B66:B67)</f>
        <v>0</v>
      </c>
      <c r="C68" s="752">
        <f t="shared" si="33"/>
        <v>0</v>
      </c>
      <c r="D68" s="753">
        <f t="shared" si="33"/>
        <v>0</v>
      </c>
      <c r="E68" s="754">
        <f t="shared" si="33"/>
        <v>0</v>
      </c>
      <c r="F68" s="751">
        <f t="shared" si="33"/>
        <v>0</v>
      </c>
      <c r="G68" s="752">
        <f t="shared" si="33"/>
        <v>0</v>
      </c>
      <c r="H68" s="753">
        <f t="shared" si="33"/>
        <v>0</v>
      </c>
      <c r="I68" s="751">
        <f t="shared" si="33"/>
        <v>0</v>
      </c>
      <c r="J68" s="752">
        <f t="shared" si="33"/>
        <v>0</v>
      </c>
      <c r="K68" s="753">
        <f t="shared" si="33"/>
        <v>0</v>
      </c>
      <c r="L68" s="754">
        <f t="shared" si="33"/>
        <v>0</v>
      </c>
      <c r="M68" s="754">
        <f t="shared" si="33"/>
        <v>0</v>
      </c>
      <c r="N68" s="754">
        <f t="shared" si="33"/>
        <v>0</v>
      </c>
      <c r="O68" s="754">
        <f t="shared" si="33"/>
        <v>0</v>
      </c>
      <c r="P68" s="1079"/>
    </row>
    <row r="69" spans="1:17" ht="18.649999999999999" customHeight="1" x14ac:dyDescent="0.25">
      <c r="A69" s="407" t="s">
        <v>822</v>
      </c>
      <c r="B69" s="736"/>
      <c r="C69" s="737"/>
      <c r="D69" s="738">
        <f>SUM(B69:C69)</f>
        <v>0</v>
      </c>
      <c r="E69" s="739"/>
      <c r="F69" s="736"/>
      <c r="G69" s="737"/>
      <c r="H69" s="738">
        <f>SUM(F69:G69)</f>
        <v>0</v>
      </c>
      <c r="I69" s="736"/>
      <c r="J69" s="737"/>
      <c r="K69" s="738">
        <f>SUM(I69:J69)</f>
        <v>0</v>
      </c>
      <c r="L69" s="739"/>
      <c r="M69" s="740">
        <f>B69+E69+F69+I69</f>
        <v>0</v>
      </c>
      <c r="N69" s="740">
        <f>O69-M69</f>
        <v>0</v>
      </c>
      <c r="O69" s="740">
        <f>+L69+K69+H69+E69+D69</f>
        <v>0</v>
      </c>
      <c r="P69" s="1079"/>
    </row>
    <row r="70" spans="1:17" ht="24.75" customHeight="1" thickBot="1" x14ac:dyDescent="0.35">
      <c r="A70" s="416" t="s">
        <v>847</v>
      </c>
      <c r="B70" s="745">
        <f>-'Felosztás eredménykim'!GF344*1000-'Felosztás eredménykim'!GF347*1000-C70</f>
        <v>17445642.382336304</v>
      </c>
      <c r="C70" s="746"/>
      <c r="D70" s="747">
        <f>SUM(B70:C70)</f>
        <v>17445642.382336304</v>
      </c>
      <c r="E70" s="748">
        <f>-'Felosztás eredménykim'!GR344</f>
        <v>0</v>
      </c>
      <c r="F70" s="745">
        <f>-'Felosztás eredménykim'!FS344*1000-'Felosztás eredménykim'!FS347*1000-G70</f>
        <v>55664.262247372222</v>
      </c>
      <c r="G70" s="990">
        <v>0</v>
      </c>
      <c r="H70" s="747">
        <f>SUM(F70:G70)</f>
        <v>55664.262247372222</v>
      </c>
      <c r="I70" s="745">
        <f>-'Felosztás eredménykim'!GA344*1000-'Felosztás eredménykim'!GA347*1000-J70</f>
        <v>2957531.7444624077</v>
      </c>
      <c r="J70" s="990">
        <v>0</v>
      </c>
      <c r="K70" s="747">
        <f>SUM(I70:J70)</f>
        <v>2957531.7444624077</v>
      </c>
      <c r="L70" s="748">
        <f>-'Felosztás eredménykim'!FM344*1000-'Felosztás eredménykim'!FM347*1000</f>
        <v>12835.160953920778</v>
      </c>
      <c r="M70" s="749">
        <f>B70+E70+F70+I70</f>
        <v>20458838.389046084</v>
      </c>
      <c r="N70" s="749">
        <f>O70-M70</f>
        <v>12835.160953920335</v>
      </c>
      <c r="O70" s="749">
        <f>+L70+K70+H70+E70+D70</f>
        <v>20471673.550000004</v>
      </c>
      <c r="P70" s="1083">
        <f>-('Felosztás eredménykim'!FP344+'Felosztás eredménykim'!FR344+'Felosztás eredménykim'!GD344+'Felosztás eredménykim'!GE344)*1000</f>
        <v>46834646</v>
      </c>
    </row>
    <row r="71" spans="1:17" ht="25" customHeight="1" thickBot="1" x14ac:dyDescent="0.3">
      <c r="A71" s="414" t="s">
        <v>824</v>
      </c>
      <c r="B71" s="751">
        <f>SUM(B69:B70)</f>
        <v>17445642.382336304</v>
      </c>
      <c r="C71" s="752">
        <f t="shared" ref="C71:O71" si="34">SUM(C69:C70)</f>
        <v>0</v>
      </c>
      <c r="D71" s="753">
        <f t="shared" si="34"/>
        <v>17445642.382336304</v>
      </c>
      <c r="E71" s="754">
        <f t="shared" si="34"/>
        <v>0</v>
      </c>
      <c r="F71" s="751">
        <f t="shared" si="34"/>
        <v>55664.262247372222</v>
      </c>
      <c r="G71" s="752">
        <f t="shared" si="34"/>
        <v>0</v>
      </c>
      <c r="H71" s="753">
        <f t="shared" si="34"/>
        <v>55664.262247372222</v>
      </c>
      <c r="I71" s="751">
        <f t="shared" si="34"/>
        <v>2957531.7444624077</v>
      </c>
      <c r="J71" s="752">
        <f t="shared" si="34"/>
        <v>0</v>
      </c>
      <c r="K71" s="753">
        <f t="shared" si="34"/>
        <v>2957531.7444624077</v>
      </c>
      <c r="L71" s="754">
        <f t="shared" si="34"/>
        <v>12835.160953920778</v>
      </c>
      <c r="M71" s="754">
        <f t="shared" si="34"/>
        <v>20458838.389046084</v>
      </c>
      <c r="N71" s="754">
        <f t="shared" si="34"/>
        <v>12835.160953920335</v>
      </c>
      <c r="O71" s="754">
        <f t="shared" si="34"/>
        <v>20471673.550000004</v>
      </c>
      <c r="P71" s="1069">
        <f t="shared" ref="P71" si="35">SUM(P69:P70)</f>
        <v>46834646</v>
      </c>
    </row>
    <row r="72" spans="1:17" ht="16.899999999999999" customHeight="1" thickBot="1" x14ac:dyDescent="0.3">
      <c r="A72" s="414" t="s">
        <v>828</v>
      </c>
      <c r="B72" s="751">
        <f>B71</f>
        <v>17445642.382336304</v>
      </c>
      <c r="C72" s="751">
        <f t="shared" ref="C72:O72" si="36">C71</f>
        <v>0</v>
      </c>
      <c r="D72" s="751">
        <f t="shared" si="36"/>
        <v>17445642.382336304</v>
      </c>
      <c r="E72" s="751">
        <f t="shared" si="36"/>
        <v>0</v>
      </c>
      <c r="F72" s="751">
        <f t="shared" si="36"/>
        <v>55664.262247372222</v>
      </c>
      <c r="G72" s="751">
        <f t="shared" si="36"/>
        <v>0</v>
      </c>
      <c r="H72" s="751">
        <f t="shared" si="36"/>
        <v>55664.262247372222</v>
      </c>
      <c r="I72" s="751">
        <f t="shared" si="36"/>
        <v>2957531.7444624077</v>
      </c>
      <c r="J72" s="751">
        <f t="shared" si="36"/>
        <v>0</v>
      </c>
      <c r="K72" s="751">
        <f t="shared" si="36"/>
        <v>2957531.7444624077</v>
      </c>
      <c r="L72" s="751">
        <f t="shared" si="36"/>
        <v>12835.160953920778</v>
      </c>
      <c r="M72" s="751">
        <f t="shared" si="36"/>
        <v>20458838.389046084</v>
      </c>
      <c r="N72" s="751">
        <f t="shared" si="36"/>
        <v>12835.160953920335</v>
      </c>
      <c r="O72" s="751">
        <f t="shared" si="36"/>
        <v>20471673.550000004</v>
      </c>
      <c r="P72" s="1069">
        <f t="shared" ref="P72" si="37">P71+P68</f>
        <v>46834646</v>
      </c>
    </row>
    <row r="73" spans="1:17" ht="25" customHeight="1" thickBot="1" x14ac:dyDescent="0.3">
      <c r="A73" s="414" t="s">
        <v>703</v>
      </c>
      <c r="B73" s="732">
        <f>B64-B72</f>
        <v>498747201.9681437</v>
      </c>
      <c r="C73" s="733">
        <f t="shared" ref="C73:K73" si="38">C64-C72</f>
        <v>28346131.483427648</v>
      </c>
      <c r="D73" s="734">
        <f t="shared" si="38"/>
        <v>527093333.4515714</v>
      </c>
      <c r="E73" s="735">
        <f t="shared" si="38"/>
        <v>0</v>
      </c>
      <c r="F73" s="732">
        <f t="shared" si="38"/>
        <v>202663929.63982698</v>
      </c>
      <c r="G73" s="733">
        <f t="shared" si="38"/>
        <v>3548670.9805982215</v>
      </c>
      <c r="H73" s="734">
        <f t="shared" si="38"/>
        <v>206212600.62042522</v>
      </c>
      <c r="I73" s="732">
        <f t="shared" si="38"/>
        <v>459794871.02144784</v>
      </c>
      <c r="J73" s="733">
        <f t="shared" si="38"/>
        <v>33820673.414713018</v>
      </c>
      <c r="K73" s="734">
        <f t="shared" si="38"/>
        <v>493615544.43616086</v>
      </c>
      <c r="L73" s="735">
        <f t="shared" ref="L73:P73" si="39">L64-L72</f>
        <v>166659897.22184235</v>
      </c>
      <c r="M73" s="735">
        <f t="shared" si="39"/>
        <v>1161206002.6294186</v>
      </c>
      <c r="N73" s="735">
        <f t="shared" si="39"/>
        <v>232375373.10058123</v>
      </c>
      <c r="O73" s="735">
        <f t="shared" si="39"/>
        <v>1393581375.7299998</v>
      </c>
      <c r="P73" s="1068">
        <f t="shared" si="39"/>
        <v>-2992785</v>
      </c>
    </row>
    <row r="74" spans="1:17" ht="25" customHeight="1" thickBot="1" x14ac:dyDescent="0.3">
      <c r="A74" s="414" t="s">
        <v>703</v>
      </c>
      <c r="B74" s="755">
        <f>D74-C74</f>
        <v>498747201.96814376</v>
      </c>
      <c r="C74" s="766">
        <f>('Felosztás eredménykim'!GF105+'Felosztás eredménykim'!GF106+'Felosztás eredménykim'!GF110+'Felosztás eredménykim'!GF113+'Felosztás eredménykim'!GF114+'Felosztás eredménykim'!GF119+'Felosztás eredménykim'!GF121+'Felosztás eredménykim'!GF122+'Felosztás eredménykim'!GF124+'Felosztás eredménykim'!GF125+'Felosztás eredménykim'!GF128+'Felosztás eredménykim'!GF135+'Felosztás eredménykim'!GF136)+C55+C56+C57+C63</f>
        <v>28346131.483427648</v>
      </c>
      <c r="D74" s="767">
        <f>Összesítés!H79+Összesítés!D79</f>
        <v>527093333.4515714</v>
      </c>
      <c r="E74" s="756">
        <f>Összesítés!H80/1000</f>
        <v>0</v>
      </c>
      <c r="F74" s="755">
        <f>H74-G74</f>
        <v>202663929.63982695</v>
      </c>
      <c r="G74" s="766">
        <f>('Felosztás eredménykim'!FS105+'Felosztás eredménykim'!FS106+'Felosztás eredménykim'!FS110+'Felosztás eredménykim'!FS113+'Felosztás eredménykim'!FS114+'Felosztás eredménykim'!FS119+'Felosztás eredménykim'!FS121+'Felosztás eredménykim'!FS122+'Felosztás eredménykim'!FS124+'Felosztás eredménykim'!FS125+'Felosztás eredménykim'!FS128+'Felosztás eredménykim'!FS135+'Felosztás eredménykim'!FS136)+G55+G61</f>
        <v>3548670.9805982215</v>
      </c>
      <c r="H74" s="767">
        <f>Összesítés!H81+Összesítés!D81</f>
        <v>206212600.62042516</v>
      </c>
      <c r="I74" s="755">
        <f>K74-J74</f>
        <v>459794871.02144784</v>
      </c>
      <c r="J74" s="766">
        <f>('Felosztás eredménykim'!GA105+'Felosztás eredménykim'!GA106+'Felosztás eredménykim'!GA110+'Felosztás eredménykim'!GA113+'Felosztás eredménykim'!GA114+'Felosztás eredménykim'!GA119+'Felosztás eredménykim'!GA121+'Felosztás eredménykim'!GA122+'Felosztás eredménykim'!GA124+'Felosztás eredménykim'!GA125+'Felosztás eredménykim'!GA128+'Felosztás eredménykim'!GA135+'Felosztás eredménykim'!GA136)+J57+J56-J72+J61</f>
        <v>33820673.414713018</v>
      </c>
      <c r="K74" s="767">
        <f>Összesítés!H82+Összesítés!D82</f>
        <v>493615544.43616086</v>
      </c>
      <c r="L74" s="756">
        <f>Összesítés!H83</f>
        <v>166659897.22184235</v>
      </c>
      <c r="M74" s="756">
        <f>+B74+E74+F74+I74</f>
        <v>1161206002.6294186</v>
      </c>
      <c r="N74" s="756">
        <f>C74+G74+J74+L74</f>
        <v>232375373.10058123</v>
      </c>
      <c r="O74" s="756">
        <f>SUM(M74:N74)</f>
        <v>1393581375.7299998</v>
      </c>
      <c r="P74" s="1070">
        <f>-Összesítés!P25</f>
        <v>-2992785.0000000023</v>
      </c>
    </row>
    <row r="75" spans="1:17" ht="25" customHeight="1" thickBot="1" x14ac:dyDescent="0.35">
      <c r="A75" s="417" t="s">
        <v>710</v>
      </c>
      <c r="B75" s="755">
        <f>D75-C75</f>
        <v>16672857.757228058</v>
      </c>
      <c r="C75" s="768"/>
      <c r="D75" s="769">
        <f>Összesítés!K79</f>
        <v>16672857.757228058</v>
      </c>
      <c r="E75" s="770">
        <f>Összesítés!K80/1000</f>
        <v>0</v>
      </c>
      <c r="F75" s="755">
        <f>H75-G75</f>
        <v>45315972.365799367</v>
      </c>
      <c r="G75" s="768"/>
      <c r="H75" s="769">
        <f>Összesítés!K81</f>
        <v>45315972.365799367</v>
      </c>
      <c r="I75" s="755">
        <f>K75-J75</f>
        <v>125085297.64950708</v>
      </c>
      <c r="J75" s="768"/>
      <c r="K75" s="769">
        <f>Összesítés!K82</f>
        <v>125085297.64950708</v>
      </c>
      <c r="L75" s="770">
        <f>Összesítés!K83</f>
        <v>53302621.011744283</v>
      </c>
      <c r="M75" s="756">
        <f>+B75+E75+F75+I75</f>
        <v>187074127.77253449</v>
      </c>
      <c r="N75" s="756">
        <f>C75+G75+J75+L75</f>
        <v>53302621.011744283</v>
      </c>
      <c r="O75" s="756">
        <f>SUM(M75:N75)</f>
        <v>240376748.78427878</v>
      </c>
      <c r="P75" s="1071">
        <v>0</v>
      </c>
    </row>
    <row r="76" spans="1:17" ht="25" customHeight="1" thickBot="1" x14ac:dyDescent="0.3">
      <c r="A76" s="414" t="s">
        <v>711</v>
      </c>
      <c r="B76" s="755">
        <f>SUM(B74:B75)</f>
        <v>515420059.72537184</v>
      </c>
      <c r="C76" s="766">
        <f>SUM(C74:C75)</f>
        <v>28346131.483427648</v>
      </c>
      <c r="D76" s="767">
        <f>SUM(D74:D75)</f>
        <v>543766191.20879948</v>
      </c>
      <c r="E76" s="756">
        <f>SUM(E74:E75)</f>
        <v>0</v>
      </c>
      <c r="F76" s="756">
        <f t="shared" ref="F76:L76" si="40">SUM(F74:F75)</f>
        <v>247979902.00562632</v>
      </c>
      <c r="G76" s="756">
        <f t="shared" si="40"/>
        <v>3548670.9805982215</v>
      </c>
      <c r="H76" s="756">
        <f t="shared" si="40"/>
        <v>251528572.98622453</v>
      </c>
      <c r="I76" s="756">
        <f t="shared" si="40"/>
        <v>584880168.67095494</v>
      </c>
      <c r="J76" s="756">
        <f t="shared" si="40"/>
        <v>33820673.414713018</v>
      </c>
      <c r="K76" s="756">
        <f t="shared" si="40"/>
        <v>618700842.08566797</v>
      </c>
      <c r="L76" s="756">
        <f t="shared" si="40"/>
        <v>219962518.23358664</v>
      </c>
      <c r="M76" s="756">
        <f>+B76+E76+F76+I76</f>
        <v>1348280130.4019532</v>
      </c>
      <c r="N76" s="756">
        <f>C76+G76+J76+L76</f>
        <v>285677994.11232555</v>
      </c>
      <c r="O76" s="756">
        <f>SUM(M76:N76)</f>
        <v>1633958124.5142789</v>
      </c>
      <c r="P76" s="1070">
        <f t="shared" ref="P76" si="41">SUM(P74:P75)</f>
        <v>-2992785.0000000023</v>
      </c>
      <c r="Q76" s="338">
        <f>+O76-Összesítés!N25-Összesítés!N26</f>
        <v>2.384185791015625E-7</v>
      </c>
    </row>
    <row r="77" spans="1:17" ht="25" customHeight="1" thickBot="1" x14ac:dyDescent="0.3">
      <c r="A77" s="1089" t="s">
        <v>1747</v>
      </c>
      <c r="B77" s="771"/>
      <c r="C77" s="771"/>
      <c r="D77" s="772">
        <f t="shared" ref="D77:D80" si="42">B77+C77</f>
        <v>0</v>
      </c>
      <c r="E77" s="773"/>
      <c r="F77" s="774"/>
      <c r="G77" s="771"/>
      <c r="H77" s="772">
        <f t="shared" ref="H77:H80" si="43">F77+G77</f>
        <v>0</v>
      </c>
      <c r="I77" s="774"/>
      <c r="J77" s="771"/>
      <c r="K77" s="772">
        <f>I77+J77</f>
        <v>0</v>
      </c>
      <c r="L77" s="772"/>
      <c r="M77" s="775">
        <f>B77+E77+F77+I77</f>
        <v>0</v>
      </c>
      <c r="N77" s="776">
        <f>C77+G77+J77+L77</f>
        <v>0</v>
      </c>
      <c r="O77" s="772">
        <f t="shared" ref="O77:O80" si="44">M77+N77</f>
        <v>0</v>
      </c>
      <c r="P77" s="1072"/>
    </row>
    <row r="78" spans="1:17" ht="38.25" customHeight="1" thickBot="1" x14ac:dyDescent="0.3">
      <c r="A78" s="1089" t="s">
        <v>1748</v>
      </c>
      <c r="B78" s="777">
        <f>9438031+17322375</f>
        <v>26760406</v>
      </c>
      <c r="C78" s="777"/>
      <c r="D78" s="772">
        <f t="shared" si="42"/>
        <v>26760406</v>
      </c>
      <c r="E78" s="773"/>
      <c r="F78" s="774"/>
      <c r="G78" s="771"/>
      <c r="H78" s="772">
        <f t="shared" si="43"/>
        <v>0</v>
      </c>
      <c r="I78" s="774"/>
      <c r="J78" s="778">
        <v>0</v>
      </c>
      <c r="K78" s="772">
        <f t="shared" ref="K78:K80" si="45">I78+J78</f>
        <v>0</v>
      </c>
      <c r="L78" s="779"/>
      <c r="M78" s="775">
        <f>B78+E78+F78+I78</f>
        <v>26760406</v>
      </c>
      <c r="N78" s="776">
        <f>C78+G78+J78+L78</f>
        <v>0</v>
      </c>
      <c r="O78" s="772">
        <f t="shared" si="44"/>
        <v>26760406</v>
      </c>
      <c r="P78" s="1073"/>
    </row>
    <row r="79" spans="1:17" ht="25" customHeight="1" thickBot="1" x14ac:dyDescent="0.3">
      <c r="A79" s="1089" t="s">
        <v>1845</v>
      </c>
      <c r="B79" s="777"/>
      <c r="C79" s="777"/>
      <c r="D79" s="772">
        <f t="shared" si="42"/>
        <v>0</v>
      </c>
      <c r="E79" s="773"/>
      <c r="F79" s="774"/>
      <c r="G79" s="771"/>
      <c r="H79" s="772">
        <f t="shared" si="43"/>
        <v>0</v>
      </c>
      <c r="I79" s="774"/>
      <c r="J79" s="778"/>
      <c r="K79" s="772">
        <f t="shared" si="45"/>
        <v>0</v>
      </c>
      <c r="L79" s="779"/>
      <c r="M79" s="775">
        <f t="shared" ref="M79:M80" si="46">B79+E79+F79+I79</f>
        <v>0</v>
      </c>
      <c r="N79" s="776">
        <f t="shared" ref="N79:N80" si="47">C79+G79+J79+L79</f>
        <v>0</v>
      </c>
      <c r="O79" s="772">
        <f t="shared" si="44"/>
        <v>0</v>
      </c>
      <c r="P79" s="1073"/>
    </row>
    <row r="80" spans="1:17" ht="33.75" customHeight="1" thickBot="1" x14ac:dyDescent="0.3">
      <c r="A80" s="1090" t="s">
        <v>1846</v>
      </c>
      <c r="B80" s="777"/>
      <c r="C80" s="777"/>
      <c r="D80" s="772">
        <f t="shared" si="42"/>
        <v>0</v>
      </c>
      <c r="E80" s="773"/>
      <c r="F80" s="774"/>
      <c r="G80" s="771"/>
      <c r="H80" s="772">
        <f t="shared" si="43"/>
        <v>0</v>
      </c>
      <c r="I80" s="774"/>
      <c r="J80" s="778">
        <v>57508912</v>
      </c>
      <c r="K80" s="772">
        <f t="shared" si="45"/>
        <v>57508912</v>
      </c>
      <c r="L80" s="779"/>
      <c r="M80" s="775">
        <f t="shared" si="46"/>
        <v>0</v>
      </c>
      <c r="N80" s="776">
        <f t="shared" si="47"/>
        <v>57508912</v>
      </c>
      <c r="O80" s="772">
        <f t="shared" si="44"/>
        <v>57508912</v>
      </c>
      <c r="P80" s="1073"/>
    </row>
    <row r="81" spans="1:17" ht="25" customHeight="1" x14ac:dyDescent="0.25">
      <c r="A81" s="725" t="s">
        <v>1711</v>
      </c>
      <c r="B81" s="780">
        <f>SUM(B76:B80)</f>
        <v>542180465.72537184</v>
      </c>
      <c r="C81" s="780">
        <f>SUM(C76:C80)</f>
        <v>28346131.483427648</v>
      </c>
      <c r="D81" s="780">
        <f>SUM(D76:D80)</f>
        <v>570526597.20879948</v>
      </c>
      <c r="E81" s="780">
        <f t="shared" ref="E81:L81" si="48">SUM(E76:E80)</f>
        <v>0</v>
      </c>
      <c r="F81" s="780">
        <f t="shared" si="48"/>
        <v>247979902.00562632</v>
      </c>
      <c r="G81" s="780">
        <f t="shared" si="48"/>
        <v>3548670.9805982215</v>
      </c>
      <c r="H81" s="780">
        <f t="shared" si="48"/>
        <v>251528572.98622453</v>
      </c>
      <c r="I81" s="780">
        <f t="shared" si="48"/>
        <v>584880168.67095494</v>
      </c>
      <c r="J81" s="780">
        <f t="shared" si="48"/>
        <v>91329585.414713025</v>
      </c>
      <c r="K81" s="780">
        <f t="shared" si="48"/>
        <v>676209754.08566797</v>
      </c>
      <c r="L81" s="780">
        <f t="shared" si="48"/>
        <v>219962518.23358664</v>
      </c>
      <c r="M81" s="780">
        <f t="shared" ref="M81:O81" si="49">SUM(M76:M80)</f>
        <v>1375040536.4019532</v>
      </c>
      <c r="N81" s="780">
        <f t="shared" si="49"/>
        <v>343186906.11232555</v>
      </c>
      <c r="O81" s="780">
        <f t="shared" si="49"/>
        <v>1718227442.5142789</v>
      </c>
      <c r="P81" s="1074">
        <f>P76+P77</f>
        <v>-2992785.0000000023</v>
      </c>
    </row>
    <row r="82" spans="1:17" ht="25" customHeight="1" x14ac:dyDescent="0.3">
      <c r="A82" s="726" t="s">
        <v>1662</v>
      </c>
      <c r="B82" s="730"/>
      <c r="C82" s="730"/>
      <c r="D82" s="730">
        <f>B82+C82</f>
        <v>0</v>
      </c>
      <c r="E82" s="730">
        <v>0</v>
      </c>
      <c r="F82" s="730"/>
      <c r="G82" s="730"/>
      <c r="H82" s="730">
        <f>F82+G82</f>
        <v>0</v>
      </c>
      <c r="I82" s="730"/>
      <c r="J82" s="730"/>
      <c r="K82" s="730">
        <f>I82+J82</f>
        <v>0</v>
      </c>
      <c r="L82" s="730">
        <v>0</v>
      </c>
      <c r="M82" s="757">
        <f>B82+E82+F82+I82</f>
        <v>0</v>
      </c>
      <c r="N82" s="757">
        <f>O82-M82</f>
        <v>0</v>
      </c>
      <c r="O82" s="757">
        <f>+L82+K82+H82+E82+D82</f>
        <v>0</v>
      </c>
      <c r="P82" s="1075">
        <v>0</v>
      </c>
      <c r="Q82" s="286" t="s">
        <v>1709</v>
      </c>
    </row>
    <row r="83" spans="1:17" ht="25" customHeight="1" x14ac:dyDescent="0.3">
      <c r="A83" s="726" t="s">
        <v>1663</v>
      </c>
      <c r="B83" s="730"/>
      <c r="C83" s="730"/>
      <c r="D83" s="730">
        <f>B83+C83</f>
        <v>0</v>
      </c>
      <c r="E83" s="730">
        <v>0</v>
      </c>
      <c r="F83" s="730"/>
      <c r="G83" s="730"/>
      <c r="H83" s="730">
        <f>F83+G83</f>
        <v>0</v>
      </c>
      <c r="I83" s="730"/>
      <c r="J83" s="730"/>
      <c r="K83" s="730">
        <f>I83+J83</f>
        <v>0</v>
      </c>
      <c r="L83" s="730">
        <v>0</v>
      </c>
      <c r="M83" s="757">
        <f>B83+E83+F83+I83</f>
        <v>0</v>
      </c>
      <c r="N83" s="757">
        <f>O83-M83</f>
        <v>0</v>
      </c>
      <c r="O83" s="757">
        <f>+L83+K83+H83+E83+D83</f>
        <v>0</v>
      </c>
      <c r="P83" s="1075">
        <v>0</v>
      </c>
      <c r="Q83" s="286" t="s">
        <v>1664</v>
      </c>
    </row>
    <row r="84" spans="1:17" ht="38.25" customHeight="1" thickBot="1" x14ac:dyDescent="0.3">
      <c r="A84" s="726" t="s">
        <v>1749</v>
      </c>
      <c r="B84" s="730">
        <f>+B81+B82+B83</f>
        <v>542180465.72537184</v>
      </c>
      <c r="C84" s="730">
        <f t="shared" ref="C84:L84" si="50">+C81+C82+C83</f>
        <v>28346131.483427648</v>
      </c>
      <c r="D84" s="730">
        <f t="shared" si="50"/>
        <v>570526597.20879948</v>
      </c>
      <c r="E84" s="730">
        <f t="shared" si="50"/>
        <v>0</v>
      </c>
      <c r="F84" s="730">
        <f t="shared" si="50"/>
        <v>247979902.00562632</v>
      </c>
      <c r="G84" s="730">
        <f t="shared" si="50"/>
        <v>3548670.9805982215</v>
      </c>
      <c r="H84" s="730">
        <f t="shared" si="50"/>
        <v>251528572.98622453</v>
      </c>
      <c r="I84" s="730">
        <f t="shared" si="50"/>
        <v>584880168.67095494</v>
      </c>
      <c r="J84" s="730">
        <f t="shared" si="50"/>
        <v>91329585.414713025</v>
      </c>
      <c r="K84" s="730">
        <f t="shared" si="50"/>
        <v>676209754.08566797</v>
      </c>
      <c r="L84" s="730">
        <f t="shared" si="50"/>
        <v>219962518.23358664</v>
      </c>
      <c r="M84" s="730">
        <f t="shared" ref="M84" si="51">+M81+M82+M83</f>
        <v>1375040536.4019532</v>
      </c>
      <c r="N84" s="730">
        <f t="shared" ref="N84" si="52">+N81+N82+N83</f>
        <v>343186906.11232555</v>
      </c>
      <c r="O84" s="730">
        <f t="shared" ref="O84:P84" si="53">+O81+O82+O83</f>
        <v>1718227442.5142789</v>
      </c>
      <c r="P84" s="1076">
        <f t="shared" si="53"/>
        <v>-2992785.0000000023</v>
      </c>
      <c r="Q84" s="286"/>
    </row>
    <row r="85" spans="1:17" ht="25" customHeight="1" thickBot="1" x14ac:dyDescent="0.3">
      <c r="A85" s="418" t="s">
        <v>1820</v>
      </c>
      <c r="B85" s="722">
        <f>D85-C85</f>
        <v>5.8546709781729991</v>
      </c>
      <c r="C85" s="384">
        <v>3</v>
      </c>
      <c r="D85" s="385">
        <f>'Felosztás eredménykim'!GC290+'Felosztás eredménykim'!GC293</f>
        <v>8.8546709781729991</v>
      </c>
      <c r="E85" s="386">
        <f>'Felosztás eredménykim'!GG290+'Felosztás eredménykim'!GG293</f>
        <v>0</v>
      </c>
      <c r="F85" s="722">
        <f>H85-G85</f>
        <v>23.066541632983025</v>
      </c>
      <c r="G85" s="384">
        <v>1</v>
      </c>
      <c r="H85" s="385">
        <f>'Felosztás eredménykim'!FO290+'Felosztás eredménykim'!FO293</f>
        <v>24.066541632983025</v>
      </c>
      <c r="I85" s="722">
        <f>K85-J85</f>
        <v>63.430672594987882</v>
      </c>
      <c r="J85" s="384">
        <v>3</v>
      </c>
      <c r="K85" s="385">
        <f>'Felosztás eredménykim'!FU290+'Felosztás eredménykim'!FU293</f>
        <v>66.430672594987882</v>
      </c>
      <c r="L85" s="386">
        <f>'Felosztás eredménykim'!FJ290+'Felosztás eredménykim'!FJ293</f>
        <v>28.308114793856102</v>
      </c>
      <c r="M85" s="723">
        <f>+B85+E85+F85+I85</f>
        <v>92.351885206143905</v>
      </c>
      <c r="N85" s="723">
        <f>C85+G85+J85+L85</f>
        <v>35.308114793856106</v>
      </c>
      <c r="O85" s="724">
        <f>SUM(M85:N85)</f>
        <v>127.66000000000001</v>
      </c>
      <c r="P85" s="1077"/>
    </row>
    <row r="86" spans="1:17" ht="25" customHeight="1" thickBot="1" x14ac:dyDescent="0.3">
      <c r="A86" s="419" t="s">
        <v>712</v>
      </c>
      <c r="B86" s="421"/>
      <c r="C86" s="422"/>
      <c r="D86" s="423"/>
      <c r="E86" s="424"/>
      <c r="F86" s="421"/>
      <c r="G86" s="422"/>
      <c r="H86" s="423"/>
      <c r="I86" s="421"/>
      <c r="J86" s="422"/>
      <c r="K86" s="423"/>
      <c r="L86" s="424"/>
      <c r="M86" s="424"/>
      <c r="N86" s="424"/>
      <c r="O86" s="424">
        <v>2</v>
      </c>
      <c r="P86" s="1078"/>
    </row>
    <row r="88" spans="1:17" s="651" customFormat="1" ht="10.5" x14ac:dyDescent="0.25">
      <c r="A88" s="706" t="s">
        <v>817</v>
      </c>
      <c r="B88" s="649"/>
      <c r="C88" s="650"/>
      <c r="D88" s="650"/>
      <c r="E88" s="650"/>
      <c r="F88" s="650"/>
      <c r="G88" s="650"/>
      <c r="H88" s="650"/>
      <c r="I88" s="650"/>
      <c r="J88" s="649"/>
      <c r="K88" s="649"/>
      <c r="L88" s="649"/>
      <c r="M88" s="649"/>
      <c r="N88" s="649"/>
      <c r="O88" s="649"/>
    </row>
    <row r="89" spans="1:17" s="651" customFormat="1" ht="10.5" x14ac:dyDescent="0.25">
      <c r="A89" s="652" t="s">
        <v>1821</v>
      </c>
      <c r="B89" s="650"/>
      <c r="C89" s="653">
        <v>19000000</v>
      </c>
      <c r="D89" s="653"/>
      <c r="E89" s="653"/>
      <c r="F89" s="653"/>
      <c r="G89" s="653"/>
      <c r="H89" s="653"/>
      <c r="I89" s="653"/>
      <c r="J89" s="653"/>
      <c r="K89" s="654"/>
      <c r="L89" s="649"/>
      <c r="M89" s="649"/>
      <c r="N89" s="649"/>
      <c r="O89" s="649"/>
    </row>
    <row r="90" spans="1:17" s="651" customFormat="1" ht="10.5" x14ac:dyDescent="0.25">
      <c r="A90" s="652" t="s">
        <v>1822</v>
      </c>
      <c r="B90" s="650"/>
      <c r="C90" s="653">
        <v>12700000</v>
      </c>
      <c r="D90" s="653"/>
      <c r="E90" s="653"/>
      <c r="F90" s="653"/>
      <c r="G90" s="653"/>
      <c r="H90" s="653"/>
      <c r="I90" s="653"/>
      <c r="J90" s="653"/>
      <c r="K90" s="654"/>
      <c r="L90" s="649"/>
      <c r="M90" s="649"/>
      <c r="N90" s="649"/>
      <c r="O90" s="649"/>
    </row>
    <row r="91" spans="1:17" s="651" customFormat="1" ht="10.5" x14ac:dyDescent="0.25">
      <c r="A91" s="652" t="s">
        <v>1821</v>
      </c>
      <c r="B91" s="650"/>
      <c r="C91" s="653"/>
      <c r="D91" s="653"/>
      <c r="E91" s="653"/>
      <c r="F91" s="653"/>
      <c r="G91" s="653"/>
      <c r="H91" s="653"/>
      <c r="I91" s="653"/>
      <c r="J91" s="1028">
        <v>19000000</v>
      </c>
      <c r="K91" s="654"/>
      <c r="L91" s="650"/>
      <c r="M91" s="649"/>
      <c r="N91" s="649"/>
      <c r="O91" s="649"/>
    </row>
    <row r="92" spans="1:17" s="651" customFormat="1" ht="10.5" x14ac:dyDescent="0.25">
      <c r="A92" s="652" t="s">
        <v>1823</v>
      </c>
      <c r="B92" s="650"/>
      <c r="C92" s="653"/>
      <c r="D92" s="653"/>
      <c r="E92" s="653"/>
      <c r="F92" s="653"/>
      <c r="G92" s="653"/>
      <c r="H92" s="653"/>
      <c r="I92" s="653"/>
      <c r="J92" s="1028">
        <v>2500000</v>
      </c>
      <c r="K92" s="654"/>
      <c r="L92" s="649"/>
      <c r="M92" s="649"/>
      <c r="N92" s="649"/>
      <c r="O92" s="649"/>
    </row>
    <row r="93" spans="1:17" s="651" customFormat="1" ht="10.5" x14ac:dyDescent="0.25">
      <c r="A93" s="652" t="s">
        <v>1824</v>
      </c>
      <c r="B93" s="650"/>
      <c r="C93" s="653"/>
      <c r="D93" s="653"/>
      <c r="E93" s="653"/>
      <c r="F93" s="653"/>
      <c r="G93" s="653"/>
      <c r="H93" s="653"/>
      <c r="I93" s="653"/>
      <c r="J93" s="1028">
        <v>10000000</v>
      </c>
      <c r="K93" s="654"/>
      <c r="L93" s="649"/>
      <c r="M93" s="649"/>
      <c r="N93" s="649"/>
      <c r="O93" s="649"/>
    </row>
    <row r="94" spans="1:17" s="651" customFormat="1" ht="10.5" x14ac:dyDescent="0.25">
      <c r="A94" s="652" t="s">
        <v>1825</v>
      </c>
      <c r="B94" s="650"/>
      <c r="C94" s="653"/>
      <c r="D94" s="653"/>
      <c r="E94" s="653"/>
      <c r="F94" s="653"/>
      <c r="G94" s="653"/>
      <c r="H94" s="653"/>
      <c r="I94" s="653"/>
      <c r="J94" s="1028">
        <v>35000000</v>
      </c>
      <c r="K94" s="654"/>
      <c r="L94" s="649"/>
      <c r="M94" s="649"/>
      <c r="N94" s="649"/>
      <c r="O94" s="649"/>
    </row>
    <row r="95" spans="1:17" s="651" customFormat="1" ht="10.5" x14ac:dyDescent="0.25">
      <c r="A95" s="655" t="s">
        <v>1826</v>
      </c>
      <c r="B95" s="650"/>
      <c r="C95" s="653"/>
      <c r="D95" s="653"/>
      <c r="E95" s="653"/>
      <c r="F95" s="653"/>
      <c r="G95" s="653"/>
      <c r="H95" s="656"/>
      <c r="I95" s="649"/>
      <c r="J95" s="1028">
        <v>2000000</v>
      </c>
      <c r="K95" s="653"/>
      <c r="L95" s="650"/>
      <c r="M95" s="649"/>
      <c r="N95" s="649"/>
      <c r="O95" s="649"/>
    </row>
    <row r="96" spans="1:17" s="651" customFormat="1" ht="10.5" x14ac:dyDescent="0.25">
      <c r="A96" s="652" t="s">
        <v>1827</v>
      </c>
      <c r="B96" s="649"/>
      <c r="C96" s="650"/>
      <c r="D96" s="649"/>
      <c r="E96" s="649"/>
      <c r="F96" s="649"/>
      <c r="G96" s="649"/>
      <c r="H96" s="649"/>
      <c r="I96" s="657"/>
      <c r="J96" s="658">
        <v>6000000</v>
      </c>
      <c r="K96" s="649"/>
      <c r="L96" s="649"/>
      <c r="M96" s="649"/>
      <c r="N96" s="649"/>
      <c r="O96" s="649"/>
    </row>
    <row r="97" spans="1:15" s="651" customFormat="1" ht="10.5" x14ac:dyDescent="0.25">
      <c r="A97" s="652" t="s">
        <v>1828</v>
      </c>
      <c r="B97" s="649"/>
      <c r="C97" s="650"/>
      <c r="D97" s="649"/>
      <c r="E97" s="649"/>
      <c r="F97" s="649"/>
      <c r="G97" s="649"/>
      <c r="H97" s="649"/>
      <c r="I97" s="658"/>
      <c r="J97" s="658">
        <v>3000000</v>
      </c>
      <c r="K97" s="649"/>
      <c r="L97" s="649"/>
      <c r="M97" s="649"/>
      <c r="N97" s="649"/>
      <c r="O97" s="649"/>
    </row>
    <row r="98" spans="1:15" s="651" customFormat="1" ht="10.5" x14ac:dyDescent="0.25">
      <c r="A98" s="652"/>
      <c r="B98" s="653"/>
      <c r="C98" s="653"/>
      <c r="D98" s="653"/>
      <c r="E98" s="653"/>
      <c r="F98" s="653"/>
      <c r="G98" s="653"/>
      <c r="H98" s="653"/>
      <c r="I98" s="649"/>
      <c r="J98" s="649"/>
      <c r="K98" s="649"/>
      <c r="L98" s="649"/>
      <c r="M98" s="649"/>
      <c r="N98" s="649"/>
      <c r="O98" s="649"/>
    </row>
    <row r="99" spans="1:15" s="651" customFormat="1" ht="10.5" hidden="1" x14ac:dyDescent="0.25">
      <c r="A99" s="652"/>
      <c r="B99" s="653"/>
      <c r="C99" s="653"/>
      <c r="D99" s="653"/>
      <c r="E99" s="653"/>
      <c r="F99" s="653"/>
      <c r="G99" s="653"/>
      <c r="H99" s="653"/>
      <c r="I99" s="649"/>
      <c r="J99" s="649"/>
      <c r="K99" s="649"/>
      <c r="L99" s="649"/>
      <c r="M99" s="649"/>
      <c r="N99" s="649"/>
      <c r="O99" s="649"/>
    </row>
    <row r="100" spans="1:15" s="651" customFormat="1" ht="10.5" hidden="1" x14ac:dyDescent="0.25">
      <c r="A100" s="652"/>
      <c r="B100" s="653"/>
      <c r="C100" s="653"/>
      <c r="D100" s="653"/>
      <c r="E100" s="653"/>
      <c r="F100" s="653"/>
      <c r="G100" s="653"/>
      <c r="H100" s="653"/>
      <c r="I100" s="649"/>
      <c r="J100" s="649"/>
      <c r="K100" s="649"/>
      <c r="L100" s="649"/>
      <c r="M100" s="649"/>
      <c r="N100" s="649"/>
      <c r="O100" s="649"/>
    </row>
    <row r="101" spans="1:15" s="651" customFormat="1" ht="10.5" hidden="1" x14ac:dyDescent="0.25">
      <c r="A101" s="652"/>
      <c r="B101" s="653"/>
      <c r="C101" s="653"/>
      <c r="D101" s="653"/>
      <c r="E101" s="653"/>
      <c r="F101" s="653"/>
      <c r="G101" s="653"/>
      <c r="H101" s="653"/>
      <c r="I101" s="649"/>
      <c r="J101" s="650"/>
      <c r="K101" s="649"/>
      <c r="L101" s="649"/>
      <c r="M101" s="649"/>
      <c r="N101" s="649"/>
      <c r="O101" s="649"/>
    </row>
    <row r="102" spans="1:15" s="651" customFormat="1" ht="10.5" hidden="1" x14ac:dyDescent="0.25">
      <c r="A102" s="652"/>
      <c r="B102" s="653"/>
      <c r="C102" s="653"/>
      <c r="D102" s="653"/>
      <c r="E102" s="653"/>
      <c r="F102" s="653"/>
      <c r="G102" s="653"/>
      <c r="H102" s="653"/>
      <c r="I102" s="649"/>
      <c r="J102" s="650"/>
      <c r="K102" s="649"/>
      <c r="L102" s="649"/>
      <c r="M102" s="649"/>
      <c r="N102" s="649"/>
      <c r="O102" s="649"/>
    </row>
    <row r="103" spans="1:15" s="651" customFormat="1" ht="10.5" hidden="1" x14ac:dyDescent="0.25">
      <c r="A103" s="652"/>
      <c r="B103" s="649"/>
      <c r="C103" s="653"/>
      <c r="D103" s="653"/>
      <c r="E103" s="653"/>
      <c r="F103" s="653"/>
      <c r="G103" s="649"/>
      <c r="H103" s="653"/>
      <c r="I103" s="649"/>
      <c r="J103" s="649"/>
      <c r="K103" s="649"/>
      <c r="L103" s="649"/>
      <c r="M103" s="649"/>
      <c r="N103" s="649"/>
      <c r="O103" s="649"/>
    </row>
    <row r="104" spans="1:15" hidden="1" x14ac:dyDescent="0.25"/>
    <row r="105" spans="1:15" hidden="1" x14ac:dyDescent="0.25"/>
    <row r="106" spans="1:15" hidden="1" x14ac:dyDescent="0.25"/>
    <row r="107" spans="1:15" s="687" customFormat="1" ht="10.5" x14ac:dyDescent="0.25">
      <c r="A107" s="707" t="s">
        <v>1732</v>
      </c>
      <c r="B107" s="686"/>
      <c r="C107" s="686"/>
      <c r="D107" s="686"/>
      <c r="E107" s="686"/>
      <c r="F107" s="686"/>
      <c r="G107" s="686"/>
      <c r="H107" s="686"/>
      <c r="I107" s="686"/>
      <c r="J107" s="686"/>
      <c r="K107" s="686"/>
      <c r="L107" s="686"/>
      <c r="M107" s="686"/>
      <c r="N107" s="686"/>
      <c r="O107" s="686"/>
    </row>
    <row r="108" spans="1:15" s="687" customFormat="1" ht="10.5" x14ac:dyDescent="0.25">
      <c r="A108" s="688" t="s">
        <v>1821</v>
      </c>
      <c r="B108" s="686"/>
      <c r="C108" s="689">
        <v>14990001</v>
      </c>
      <c r="D108" s="689"/>
      <c r="E108" s="689"/>
      <c r="F108" s="689"/>
      <c r="G108" s="689"/>
      <c r="H108" s="689"/>
      <c r="I108" s="689"/>
      <c r="J108" s="689"/>
      <c r="K108" s="689"/>
      <c r="L108" s="686"/>
      <c r="M108" s="686"/>
      <c r="N108" s="686"/>
      <c r="O108" s="686"/>
    </row>
    <row r="109" spans="1:15" s="687" customFormat="1" ht="10.5" x14ac:dyDescent="0.25">
      <c r="A109" s="688" t="s">
        <v>1822</v>
      </c>
      <c r="B109" s="686"/>
      <c r="C109" s="689">
        <v>11722100</v>
      </c>
      <c r="D109" s="689"/>
      <c r="E109" s="689"/>
      <c r="F109" s="689"/>
      <c r="G109" s="689"/>
      <c r="H109" s="689"/>
      <c r="I109" s="689"/>
      <c r="J109" s="689"/>
      <c r="K109" s="689"/>
      <c r="L109" s="686"/>
      <c r="M109" s="686"/>
      <c r="N109" s="686"/>
      <c r="O109" s="686"/>
    </row>
    <row r="110" spans="1:15" s="687" customFormat="1" ht="10.5" x14ac:dyDescent="0.25">
      <c r="A110" s="688" t="s">
        <v>1821</v>
      </c>
      <c r="B110" s="686"/>
      <c r="C110" s="689"/>
      <c r="D110" s="689"/>
      <c r="E110" s="689"/>
      <c r="F110" s="689"/>
      <c r="G110" s="689"/>
      <c r="H110" s="689"/>
      <c r="I110" s="689"/>
      <c r="J110" s="689"/>
      <c r="K110" s="689"/>
      <c r="L110" s="686"/>
      <c r="M110" s="686"/>
      <c r="N110" s="686"/>
      <c r="O110" s="686"/>
    </row>
    <row r="111" spans="1:15" s="687" customFormat="1" ht="10.5" x14ac:dyDescent="0.25">
      <c r="A111" s="688" t="s">
        <v>1823</v>
      </c>
      <c r="B111" s="686"/>
      <c r="C111" s="689"/>
      <c r="D111" s="689"/>
      <c r="E111" s="689"/>
      <c r="F111" s="689"/>
      <c r="G111" s="689"/>
      <c r="H111" s="689"/>
      <c r="I111" s="689"/>
      <c r="J111" s="689"/>
      <c r="K111" s="689"/>
      <c r="L111" s="686"/>
      <c r="M111" s="686"/>
      <c r="N111" s="686"/>
      <c r="O111" s="686"/>
    </row>
    <row r="112" spans="1:15" s="687" customFormat="1" ht="10.5" x14ac:dyDescent="0.25">
      <c r="A112" s="688" t="s">
        <v>1824</v>
      </c>
      <c r="B112" s="686"/>
      <c r="C112" s="689"/>
      <c r="D112" s="689"/>
      <c r="E112" s="689"/>
      <c r="F112" s="689"/>
      <c r="G112" s="689"/>
      <c r="H112" s="689"/>
      <c r="I112" s="689"/>
      <c r="J112" s="689">
        <v>8576772</v>
      </c>
      <c r="K112" s="689"/>
      <c r="L112" s="686"/>
      <c r="M112" s="686"/>
      <c r="N112" s="686"/>
      <c r="O112" s="686"/>
    </row>
    <row r="113" spans="1:15" s="687" customFormat="1" ht="10.5" x14ac:dyDescent="0.25">
      <c r="A113" s="688" t="s">
        <v>1825</v>
      </c>
      <c r="B113" s="686"/>
      <c r="C113" s="689"/>
      <c r="D113" s="689"/>
      <c r="E113" s="689"/>
      <c r="F113" s="689"/>
      <c r="G113" s="689"/>
      <c r="H113" s="689"/>
      <c r="I113" s="689"/>
      <c r="J113" s="689"/>
      <c r="K113" s="689"/>
      <c r="L113" s="686"/>
      <c r="M113" s="686"/>
      <c r="N113" s="686"/>
      <c r="O113" s="686"/>
    </row>
    <row r="114" spans="1:15" s="687" customFormat="1" ht="10.5" x14ac:dyDescent="0.25">
      <c r="A114" s="690" t="s">
        <v>1826</v>
      </c>
      <c r="B114" s="686"/>
      <c r="C114" s="689"/>
      <c r="D114" s="689"/>
      <c r="E114" s="689"/>
      <c r="F114" s="689"/>
      <c r="G114" s="689"/>
      <c r="H114" s="691"/>
      <c r="I114" s="686"/>
      <c r="J114" s="689">
        <v>3552985</v>
      </c>
      <c r="K114" s="689"/>
      <c r="L114" s="686"/>
      <c r="M114" s="686"/>
      <c r="N114" s="686"/>
      <c r="O114" s="686"/>
    </row>
    <row r="115" spans="1:15" s="687" customFormat="1" ht="10.5" x14ac:dyDescent="0.25">
      <c r="A115" s="688" t="s">
        <v>1827</v>
      </c>
      <c r="B115" s="693"/>
      <c r="C115" s="693"/>
      <c r="D115" s="693"/>
      <c r="E115" s="693"/>
      <c r="F115" s="693"/>
      <c r="G115" s="693"/>
      <c r="H115" s="693"/>
      <c r="I115" s="694"/>
      <c r="J115" s="693">
        <v>10349230</v>
      </c>
      <c r="K115" s="693"/>
      <c r="L115" s="693"/>
      <c r="M115" s="693"/>
      <c r="N115" s="693"/>
      <c r="O115" s="693"/>
    </row>
    <row r="116" spans="1:15" s="687" customFormat="1" ht="10.5" x14ac:dyDescent="0.25">
      <c r="A116" s="688" t="s">
        <v>1828</v>
      </c>
      <c r="B116" s="693"/>
      <c r="C116" s="693"/>
      <c r="D116" s="693"/>
      <c r="E116" s="693"/>
      <c r="F116" s="693"/>
      <c r="G116" s="693"/>
      <c r="H116" s="693"/>
      <c r="I116" s="695"/>
      <c r="J116" s="693"/>
      <c r="K116" s="693"/>
      <c r="L116" s="693"/>
      <c r="M116" s="693"/>
      <c r="N116" s="693"/>
      <c r="O116" s="693"/>
    </row>
    <row r="117" spans="1:15" s="687" customFormat="1" ht="10.5" x14ac:dyDescent="0.25">
      <c r="A117" s="688"/>
      <c r="B117" s="698"/>
      <c r="C117" s="698"/>
      <c r="D117" s="698"/>
      <c r="E117" s="698"/>
      <c r="F117" s="698"/>
      <c r="G117" s="698"/>
      <c r="H117" s="698"/>
      <c r="I117" s="697"/>
      <c r="J117" s="697"/>
      <c r="K117" s="697"/>
      <c r="L117" s="697"/>
      <c r="M117" s="697"/>
      <c r="N117" s="697"/>
      <c r="O117" s="697"/>
    </row>
    <row r="118" spans="1:15" s="687" customFormat="1" ht="10.5" hidden="1" x14ac:dyDescent="0.25">
      <c r="A118" s="692"/>
      <c r="B118" s="696"/>
      <c r="C118" s="696"/>
      <c r="D118" s="696"/>
      <c r="E118" s="696"/>
      <c r="F118" s="696"/>
      <c r="G118" s="696"/>
      <c r="H118" s="696"/>
      <c r="I118" s="693"/>
      <c r="J118" s="693"/>
      <c r="K118" s="693"/>
      <c r="L118" s="693"/>
      <c r="M118" s="693"/>
      <c r="N118" s="693"/>
      <c r="O118" s="693"/>
    </row>
    <row r="119" spans="1:15" s="687" customFormat="1" ht="10.5" hidden="1" x14ac:dyDescent="0.25">
      <c r="A119" s="692"/>
      <c r="B119" s="696"/>
      <c r="C119" s="696"/>
      <c r="D119" s="696"/>
      <c r="E119" s="696"/>
      <c r="F119" s="696"/>
      <c r="G119" s="696"/>
      <c r="H119" s="696"/>
      <c r="I119" s="693"/>
      <c r="J119" s="693"/>
      <c r="K119" s="693"/>
      <c r="L119" s="693"/>
      <c r="M119" s="693"/>
      <c r="N119" s="693"/>
      <c r="O119" s="693"/>
    </row>
    <row r="120" spans="1:15" s="687" customFormat="1" ht="10.5" hidden="1" x14ac:dyDescent="0.25">
      <c r="A120" s="688"/>
      <c r="B120" s="698"/>
      <c r="C120" s="698"/>
      <c r="D120" s="698"/>
      <c r="E120" s="698"/>
      <c r="F120" s="698"/>
      <c r="G120" s="698"/>
      <c r="H120" s="698"/>
      <c r="I120" s="697"/>
      <c r="J120" s="697"/>
      <c r="K120" s="697"/>
      <c r="L120" s="697"/>
      <c r="M120" s="697"/>
      <c r="N120" s="697"/>
      <c r="O120" s="697"/>
    </row>
    <row r="121" spans="1:15" s="687" customFormat="1" ht="10.5" hidden="1" x14ac:dyDescent="0.25">
      <c r="A121" s="688"/>
      <c r="B121" s="698"/>
      <c r="C121" s="698"/>
      <c r="D121" s="698"/>
      <c r="E121" s="698"/>
      <c r="F121" s="698"/>
      <c r="G121" s="698"/>
      <c r="H121" s="698"/>
      <c r="I121" s="697"/>
      <c r="J121" s="697"/>
      <c r="K121" s="697"/>
      <c r="L121" s="697"/>
      <c r="M121" s="697"/>
      <c r="N121" s="697"/>
      <c r="O121" s="697"/>
    </row>
    <row r="122" spans="1:15" s="687" customFormat="1" ht="10.5" hidden="1" x14ac:dyDescent="0.25">
      <c r="A122" s="688"/>
      <c r="B122" s="686"/>
      <c r="C122" s="689"/>
      <c r="D122" s="689"/>
      <c r="E122" s="689"/>
      <c r="F122" s="689"/>
      <c r="G122" s="686"/>
      <c r="H122" s="689"/>
      <c r="I122" s="686"/>
      <c r="J122" s="686"/>
      <c r="K122" s="686"/>
      <c r="L122" s="686"/>
      <c r="M122" s="686"/>
      <c r="N122" s="686"/>
      <c r="O122" s="686"/>
    </row>
    <row r="123" spans="1:15" hidden="1" x14ac:dyDescent="0.25"/>
    <row r="124" spans="1:15" hidden="1" x14ac:dyDescent="0.25"/>
    <row r="125" spans="1:15" hidden="1" x14ac:dyDescent="0.25"/>
    <row r="126" spans="1:15" s="700" customFormat="1" ht="10.5" x14ac:dyDescent="0.25">
      <c r="A126" s="708" t="s">
        <v>1733</v>
      </c>
      <c r="B126" s="699"/>
      <c r="C126" s="699"/>
      <c r="D126" s="699"/>
      <c r="E126" s="699"/>
      <c r="F126" s="699"/>
      <c r="G126" s="699"/>
      <c r="H126" s="699"/>
      <c r="I126" s="699"/>
      <c r="J126" s="699"/>
      <c r="K126" s="699"/>
      <c r="L126" s="699"/>
      <c r="M126" s="699"/>
      <c r="N126" s="699"/>
      <c r="O126" s="699"/>
    </row>
    <row r="127" spans="1:15" s="704" customFormat="1" ht="10.5" x14ac:dyDescent="0.25">
      <c r="A127" s="701" t="s">
        <v>1821</v>
      </c>
      <c r="B127" s="702">
        <f t="shared" ref="B127:O127" si="54">+B89-B108</f>
        <v>0</v>
      </c>
      <c r="C127" s="702">
        <f t="shared" si="54"/>
        <v>4009999</v>
      </c>
      <c r="D127" s="702">
        <f t="shared" si="54"/>
        <v>0</v>
      </c>
      <c r="E127" s="702">
        <f t="shared" si="54"/>
        <v>0</v>
      </c>
      <c r="F127" s="702">
        <f t="shared" si="54"/>
        <v>0</v>
      </c>
      <c r="G127" s="702">
        <f t="shared" si="54"/>
        <v>0</v>
      </c>
      <c r="H127" s="702">
        <f t="shared" si="54"/>
        <v>0</v>
      </c>
      <c r="I127" s="702">
        <f t="shared" si="54"/>
        <v>0</v>
      </c>
      <c r="J127" s="702">
        <f t="shared" si="54"/>
        <v>0</v>
      </c>
      <c r="K127" s="702">
        <f t="shared" si="54"/>
        <v>0</v>
      </c>
      <c r="L127" s="702">
        <f t="shared" si="54"/>
        <v>0</v>
      </c>
      <c r="M127" s="702">
        <f t="shared" si="54"/>
        <v>0</v>
      </c>
      <c r="N127" s="702">
        <f t="shared" si="54"/>
        <v>0</v>
      </c>
      <c r="O127" s="702">
        <f t="shared" si="54"/>
        <v>0</v>
      </c>
    </row>
    <row r="128" spans="1:15" s="704" customFormat="1" ht="10.5" x14ac:dyDescent="0.25">
      <c r="A128" s="701" t="s">
        <v>1822</v>
      </c>
      <c r="B128" s="702">
        <f t="shared" ref="B128:O128" si="55">+B90-B109</f>
        <v>0</v>
      </c>
      <c r="C128" s="702">
        <f t="shared" si="55"/>
        <v>977900</v>
      </c>
      <c r="D128" s="702">
        <f t="shared" si="55"/>
        <v>0</v>
      </c>
      <c r="E128" s="702">
        <f t="shared" si="55"/>
        <v>0</v>
      </c>
      <c r="F128" s="702">
        <f t="shared" si="55"/>
        <v>0</v>
      </c>
      <c r="G128" s="702">
        <f t="shared" si="55"/>
        <v>0</v>
      </c>
      <c r="H128" s="702">
        <f t="shared" si="55"/>
        <v>0</v>
      </c>
      <c r="I128" s="702">
        <f t="shared" si="55"/>
        <v>0</v>
      </c>
      <c r="J128" s="702">
        <f t="shared" si="55"/>
        <v>0</v>
      </c>
      <c r="K128" s="702">
        <f t="shared" si="55"/>
        <v>0</v>
      </c>
      <c r="L128" s="702">
        <f t="shared" si="55"/>
        <v>0</v>
      </c>
      <c r="M128" s="702">
        <f t="shared" si="55"/>
        <v>0</v>
      </c>
      <c r="N128" s="702">
        <f t="shared" si="55"/>
        <v>0</v>
      </c>
      <c r="O128" s="702">
        <f t="shared" si="55"/>
        <v>0</v>
      </c>
    </row>
    <row r="129" spans="1:15" s="704" customFormat="1" ht="10.5" x14ac:dyDescent="0.25">
      <c r="A129" s="701" t="s">
        <v>1821</v>
      </c>
      <c r="B129" s="702">
        <f t="shared" ref="B129:O129" si="56">+B91-B110</f>
        <v>0</v>
      </c>
      <c r="C129" s="705">
        <f t="shared" si="56"/>
        <v>0</v>
      </c>
      <c r="D129" s="702">
        <f t="shared" si="56"/>
        <v>0</v>
      </c>
      <c r="E129" s="702">
        <f t="shared" si="56"/>
        <v>0</v>
      </c>
      <c r="F129" s="702">
        <f t="shared" si="56"/>
        <v>0</v>
      </c>
      <c r="G129" s="705">
        <f t="shared" si="56"/>
        <v>0</v>
      </c>
      <c r="H129" s="702">
        <f t="shared" si="56"/>
        <v>0</v>
      </c>
      <c r="I129" s="702">
        <f t="shared" si="56"/>
        <v>0</v>
      </c>
      <c r="J129" s="702">
        <f t="shared" si="56"/>
        <v>19000000</v>
      </c>
      <c r="K129" s="702">
        <f t="shared" si="56"/>
        <v>0</v>
      </c>
      <c r="L129" s="702">
        <f t="shared" si="56"/>
        <v>0</v>
      </c>
      <c r="M129" s="702">
        <f t="shared" si="56"/>
        <v>0</v>
      </c>
      <c r="N129" s="702">
        <f t="shared" si="56"/>
        <v>0</v>
      </c>
      <c r="O129" s="702">
        <f t="shared" si="56"/>
        <v>0</v>
      </c>
    </row>
    <row r="130" spans="1:15" s="704" customFormat="1" ht="10.5" x14ac:dyDescent="0.25">
      <c r="A130" s="701" t="s">
        <v>1823</v>
      </c>
      <c r="B130" s="702">
        <f t="shared" ref="B130:O130" si="57">+B92-B111</f>
        <v>0</v>
      </c>
      <c r="C130" s="705">
        <f t="shared" si="57"/>
        <v>0</v>
      </c>
      <c r="D130" s="702">
        <f t="shared" si="57"/>
        <v>0</v>
      </c>
      <c r="E130" s="702">
        <f t="shared" si="57"/>
        <v>0</v>
      </c>
      <c r="F130" s="702">
        <f t="shared" si="57"/>
        <v>0</v>
      </c>
      <c r="G130" s="705">
        <f t="shared" si="57"/>
        <v>0</v>
      </c>
      <c r="H130" s="702">
        <f t="shared" si="57"/>
        <v>0</v>
      </c>
      <c r="I130" s="702">
        <f t="shared" si="57"/>
        <v>0</v>
      </c>
      <c r="J130" s="702">
        <f t="shared" si="57"/>
        <v>2500000</v>
      </c>
      <c r="K130" s="702">
        <f t="shared" si="57"/>
        <v>0</v>
      </c>
      <c r="L130" s="702">
        <f t="shared" si="57"/>
        <v>0</v>
      </c>
      <c r="M130" s="702">
        <f t="shared" si="57"/>
        <v>0</v>
      </c>
      <c r="N130" s="702">
        <f t="shared" si="57"/>
        <v>0</v>
      </c>
      <c r="O130" s="702">
        <f t="shared" si="57"/>
        <v>0</v>
      </c>
    </row>
    <row r="131" spans="1:15" s="704" customFormat="1" ht="10.5" x14ac:dyDescent="0.25">
      <c r="A131" s="701" t="s">
        <v>1824</v>
      </c>
      <c r="B131" s="702">
        <f t="shared" ref="B131:O131" si="58">+B93-B112</f>
        <v>0</v>
      </c>
      <c r="C131" s="702">
        <f t="shared" si="58"/>
        <v>0</v>
      </c>
      <c r="D131" s="702">
        <f t="shared" si="58"/>
        <v>0</v>
      </c>
      <c r="E131" s="702">
        <f t="shared" si="58"/>
        <v>0</v>
      </c>
      <c r="F131" s="702">
        <f t="shared" si="58"/>
        <v>0</v>
      </c>
      <c r="G131" s="702">
        <f t="shared" si="58"/>
        <v>0</v>
      </c>
      <c r="H131" s="702">
        <f t="shared" si="58"/>
        <v>0</v>
      </c>
      <c r="I131" s="702">
        <f t="shared" si="58"/>
        <v>0</v>
      </c>
      <c r="J131" s="702">
        <f t="shared" si="58"/>
        <v>1423228</v>
      </c>
      <c r="K131" s="702">
        <f t="shared" si="58"/>
        <v>0</v>
      </c>
      <c r="L131" s="702">
        <f t="shared" si="58"/>
        <v>0</v>
      </c>
      <c r="M131" s="702">
        <f t="shared" si="58"/>
        <v>0</v>
      </c>
      <c r="N131" s="702">
        <f t="shared" si="58"/>
        <v>0</v>
      </c>
      <c r="O131" s="702">
        <f t="shared" si="58"/>
        <v>0</v>
      </c>
    </row>
    <row r="132" spans="1:15" s="704" customFormat="1" ht="10.5" x14ac:dyDescent="0.25">
      <c r="A132" s="701" t="s">
        <v>1825</v>
      </c>
      <c r="B132" s="702">
        <f t="shared" ref="B132:O132" si="59">+B94-B113</f>
        <v>0</v>
      </c>
      <c r="C132" s="702">
        <f t="shared" si="59"/>
        <v>0</v>
      </c>
      <c r="D132" s="702">
        <f t="shared" si="59"/>
        <v>0</v>
      </c>
      <c r="E132" s="702">
        <f t="shared" si="59"/>
        <v>0</v>
      </c>
      <c r="F132" s="702">
        <f t="shared" si="59"/>
        <v>0</v>
      </c>
      <c r="G132" s="702">
        <f t="shared" si="59"/>
        <v>0</v>
      </c>
      <c r="H132" s="702">
        <f t="shared" si="59"/>
        <v>0</v>
      </c>
      <c r="I132" s="702">
        <f t="shared" si="59"/>
        <v>0</v>
      </c>
      <c r="J132" s="702">
        <f t="shared" si="59"/>
        <v>35000000</v>
      </c>
      <c r="K132" s="702">
        <f t="shared" si="59"/>
        <v>0</v>
      </c>
      <c r="L132" s="702">
        <f t="shared" si="59"/>
        <v>0</v>
      </c>
      <c r="M132" s="702">
        <f t="shared" si="59"/>
        <v>0</v>
      </c>
      <c r="N132" s="702">
        <f t="shared" si="59"/>
        <v>0</v>
      </c>
      <c r="O132" s="702">
        <f t="shared" si="59"/>
        <v>0</v>
      </c>
    </row>
    <row r="133" spans="1:15" s="704" customFormat="1" ht="10.5" x14ac:dyDescent="0.25">
      <c r="A133" s="1029" t="s">
        <v>1826</v>
      </c>
      <c r="B133" s="702">
        <f t="shared" ref="B133:O133" si="60">+B95-B114</f>
        <v>0</v>
      </c>
      <c r="C133" s="702">
        <f t="shared" si="60"/>
        <v>0</v>
      </c>
      <c r="D133" s="702">
        <f t="shared" si="60"/>
        <v>0</v>
      </c>
      <c r="E133" s="702">
        <f t="shared" si="60"/>
        <v>0</v>
      </c>
      <c r="F133" s="702">
        <f t="shared" si="60"/>
        <v>0</v>
      </c>
      <c r="G133" s="702">
        <f t="shared" si="60"/>
        <v>0</v>
      </c>
      <c r="H133" s="702">
        <f t="shared" si="60"/>
        <v>0</v>
      </c>
      <c r="I133" s="702">
        <f t="shared" si="60"/>
        <v>0</v>
      </c>
      <c r="J133" s="702">
        <f t="shared" si="60"/>
        <v>-1552985</v>
      </c>
      <c r="K133" s="702">
        <f t="shared" si="60"/>
        <v>0</v>
      </c>
      <c r="L133" s="702">
        <f t="shared" si="60"/>
        <v>0</v>
      </c>
      <c r="M133" s="702">
        <f t="shared" si="60"/>
        <v>0</v>
      </c>
      <c r="N133" s="702">
        <f t="shared" si="60"/>
        <v>0</v>
      </c>
      <c r="O133" s="702">
        <f t="shared" si="60"/>
        <v>0</v>
      </c>
    </row>
    <row r="134" spans="1:15" s="704" customFormat="1" ht="10.5" x14ac:dyDescent="0.25">
      <c r="A134" s="701" t="s">
        <v>1827</v>
      </c>
      <c r="B134" s="702">
        <f t="shared" ref="B134:O134" si="61">+B96-B115</f>
        <v>0</v>
      </c>
      <c r="C134" s="702">
        <f t="shared" si="61"/>
        <v>0</v>
      </c>
      <c r="D134" s="702">
        <f t="shared" si="61"/>
        <v>0</v>
      </c>
      <c r="E134" s="702">
        <f t="shared" si="61"/>
        <v>0</v>
      </c>
      <c r="F134" s="702">
        <f t="shared" si="61"/>
        <v>0</v>
      </c>
      <c r="G134" s="702">
        <f t="shared" si="61"/>
        <v>0</v>
      </c>
      <c r="H134" s="702">
        <f t="shared" si="61"/>
        <v>0</v>
      </c>
      <c r="I134" s="702">
        <f t="shared" si="61"/>
        <v>0</v>
      </c>
      <c r="J134" s="702">
        <f t="shared" si="61"/>
        <v>-4349230</v>
      </c>
      <c r="K134" s="702">
        <f t="shared" si="61"/>
        <v>0</v>
      </c>
      <c r="L134" s="702">
        <f t="shared" si="61"/>
        <v>0</v>
      </c>
      <c r="M134" s="702">
        <f t="shared" si="61"/>
        <v>0</v>
      </c>
      <c r="N134" s="702">
        <f t="shared" si="61"/>
        <v>0</v>
      </c>
      <c r="O134" s="702">
        <f t="shared" si="61"/>
        <v>0</v>
      </c>
    </row>
    <row r="135" spans="1:15" s="704" customFormat="1" ht="10.5" x14ac:dyDescent="0.25">
      <c r="A135" s="701" t="s">
        <v>1828</v>
      </c>
      <c r="B135" s="702">
        <f t="shared" ref="B135:O135" si="62">+B97-B116</f>
        <v>0</v>
      </c>
      <c r="C135" s="702">
        <f t="shared" si="62"/>
        <v>0</v>
      </c>
      <c r="D135" s="702">
        <f t="shared" si="62"/>
        <v>0</v>
      </c>
      <c r="E135" s="702">
        <f t="shared" si="62"/>
        <v>0</v>
      </c>
      <c r="F135" s="702">
        <f t="shared" si="62"/>
        <v>0</v>
      </c>
      <c r="G135" s="702">
        <f t="shared" si="62"/>
        <v>0</v>
      </c>
      <c r="H135" s="702">
        <f t="shared" si="62"/>
        <v>0</v>
      </c>
      <c r="I135" s="702">
        <f t="shared" si="62"/>
        <v>0</v>
      </c>
      <c r="J135" s="702">
        <f t="shared" si="62"/>
        <v>3000000</v>
      </c>
      <c r="K135" s="702">
        <f t="shared" si="62"/>
        <v>0</v>
      </c>
      <c r="L135" s="702">
        <f t="shared" si="62"/>
        <v>0</v>
      </c>
      <c r="M135" s="702">
        <f t="shared" si="62"/>
        <v>0</v>
      </c>
      <c r="N135" s="702">
        <f t="shared" si="62"/>
        <v>0</v>
      </c>
      <c r="O135" s="702">
        <f t="shared" si="62"/>
        <v>0</v>
      </c>
    </row>
    <row r="136" spans="1:15" s="704" customFormat="1" ht="10.5" x14ac:dyDescent="0.25">
      <c r="A136" s="701"/>
      <c r="B136" s="702">
        <f t="shared" ref="B136:O136" si="63">+B98-B117</f>
        <v>0</v>
      </c>
      <c r="C136" s="702">
        <f t="shared" si="63"/>
        <v>0</v>
      </c>
      <c r="D136" s="702">
        <f t="shared" si="63"/>
        <v>0</v>
      </c>
      <c r="E136" s="702">
        <f t="shared" si="63"/>
        <v>0</v>
      </c>
      <c r="F136" s="702">
        <f t="shared" si="63"/>
        <v>0</v>
      </c>
      <c r="G136" s="702">
        <f t="shared" si="63"/>
        <v>0</v>
      </c>
      <c r="H136" s="702">
        <f t="shared" si="63"/>
        <v>0</v>
      </c>
      <c r="I136" s="702">
        <f t="shared" si="63"/>
        <v>0</v>
      </c>
      <c r="J136" s="702">
        <f t="shared" si="63"/>
        <v>0</v>
      </c>
      <c r="K136" s="702">
        <f t="shared" si="63"/>
        <v>0</v>
      </c>
      <c r="L136" s="702">
        <f t="shared" si="63"/>
        <v>0</v>
      </c>
      <c r="M136" s="702">
        <f t="shared" si="63"/>
        <v>0</v>
      </c>
      <c r="N136" s="702">
        <f t="shared" si="63"/>
        <v>0</v>
      </c>
      <c r="O136" s="702">
        <f t="shared" si="63"/>
        <v>0</v>
      </c>
    </row>
    <row r="137" spans="1:15" s="704" customFormat="1" ht="10.5" hidden="1" x14ac:dyDescent="0.25">
      <c r="A137" s="703"/>
      <c r="B137" s="702">
        <f t="shared" ref="B137:O137" si="64">+B99-B118</f>
        <v>0</v>
      </c>
      <c r="C137" s="702">
        <f t="shared" si="64"/>
        <v>0</v>
      </c>
      <c r="D137" s="702">
        <f t="shared" si="64"/>
        <v>0</v>
      </c>
      <c r="E137" s="702">
        <f t="shared" si="64"/>
        <v>0</v>
      </c>
      <c r="F137" s="702">
        <f t="shared" si="64"/>
        <v>0</v>
      </c>
      <c r="G137" s="702">
        <f t="shared" si="64"/>
        <v>0</v>
      </c>
      <c r="H137" s="702">
        <f t="shared" si="64"/>
        <v>0</v>
      </c>
      <c r="I137" s="702">
        <f t="shared" si="64"/>
        <v>0</v>
      </c>
      <c r="J137" s="702">
        <f t="shared" si="64"/>
        <v>0</v>
      </c>
      <c r="K137" s="702">
        <f t="shared" si="64"/>
        <v>0</v>
      </c>
      <c r="L137" s="702">
        <f t="shared" si="64"/>
        <v>0</v>
      </c>
      <c r="M137" s="702">
        <f t="shared" si="64"/>
        <v>0</v>
      </c>
      <c r="N137" s="702">
        <f t="shared" si="64"/>
        <v>0</v>
      </c>
      <c r="O137" s="702">
        <f t="shared" si="64"/>
        <v>0</v>
      </c>
    </row>
    <row r="138" spans="1:15" s="704" customFormat="1" ht="10.5" hidden="1" x14ac:dyDescent="0.25">
      <c r="A138" s="703"/>
      <c r="B138" s="702">
        <f t="shared" ref="B138:O138" si="65">+B100-B119</f>
        <v>0</v>
      </c>
      <c r="C138" s="705">
        <f t="shared" si="65"/>
        <v>0</v>
      </c>
      <c r="D138" s="702">
        <f t="shared" si="65"/>
        <v>0</v>
      </c>
      <c r="E138" s="702">
        <f t="shared" si="65"/>
        <v>0</v>
      </c>
      <c r="F138" s="702">
        <f t="shared" si="65"/>
        <v>0</v>
      </c>
      <c r="G138" s="702">
        <f t="shared" si="65"/>
        <v>0</v>
      </c>
      <c r="H138" s="702">
        <f t="shared" si="65"/>
        <v>0</v>
      </c>
      <c r="I138" s="702">
        <f t="shared" si="65"/>
        <v>0</v>
      </c>
      <c r="J138" s="702">
        <f t="shared" si="65"/>
        <v>0</v>
      </c>
      <c r="K138" s="702">
        <f t="shared" si="65"/>
        <v>0</v>
      </c>
      <c r="L138" s="702">
        <f t="shared" si="65"/>
        <v>0</v>
      </c>
      <c r="M138" s="702">
        <f t="shared" si="65"/>
        <v>0</v>
      </c>
      <c r="N138" s="702">
        <f t="shared" si="65"/>
        <v>0</v>
      </c>
      <c r="O138" s="702">
        <f t="shared" si="65"/>
        <v>0</v>
      </c>
    </row>
    <row r="139" spans="1:15" s="704" customFormat="1" ht="10.5" hidden="1" x14ac:dyDescent="0.25">
      <c r="A139" s="701"/>
      <c r="B139" s="702">
        <f t="shared" ref="B139:O139" si="66">+B101-B120</f>
        <v>0</v>
      </c>
      <c r="C139" s="702">
        <f t="shared" si="66"/>
        <v>0</v>
      </c>
      <c r="D139" s="702">
        <f t="shared" si="66"/>
        <v>0</v>
      </c>
      <c r="E139" s="702">
        <f t="shared" si="66"/>
        <v>0</v>
      </c>
      <c r="F139" s="702">
        <f t="shared" si="66"/>
        <v>0</v>
      </c>
      <c r="G139" s="702">
        <f t="shared" si="66"/>
        <v>0</v>
      </c>
      <c r="H139" s="702">
        <f t="shared" si="66"/>
        <v>0</v>
      </c>
      <c r="I139" s="702">
        <f t="shared" si="66"/>
        <v>0</v>
      </c>
      <c r="J139" s="702">
        <f t="shared" si="66"/>
        <v>0</v>
      </c>
      <c r="K139" s="702">
        <f t="shared" si="66"/>
        <v>0</v>
      </c>
      <c r="L139" s="702">
        <f t="shared" si="66"/>
        <v>0</v>
      </c>
      <c r="M139" s="702">
        <f t="shared" si="66"/>
        <v>0</v>
      </c>
      <c r="N139" s="702">
        <f t="shared" si="66"/>
        <v>0</v>
      </c>
      <c r="O139" s="702">
        <f t="shared" si="66"/>
        <v>0</v>
      </c>
    </row>
    <row r="140" spans="1:15" s="704" customFormat="1" ht="10.5" hidden="1" x14ac:dyDescent="0.25">
      <c r="A140" s="701"/>
      <c r="B140" s="702">
        <f t="shared" ref="B140:O140" si="67">+B102-B121</f>
        <v>0</v>
      </c>
      <c r="C140" s="702">
        <f t="shared" si="67"/>
        <v>0</v>
      </c>
      <c r="D140" s="702">
        <f t="shared" si="67"/>
        <v>0</v>
      </c>
      <c r="E140" s="702">
        <f t="shared" si="67"/>
        <v>0</v>
      </c>
      <c r="F140" s="702">
        <f t="shared" si="67"/>
        <v>0</v>
      </c>
      <c r="G140" s="702">
        <f t="shared" si="67"/>
        <v>0</v>
      </c>
      <c r="H140" s="702">
        <f t="shared" si="67"/>
        <v>0</v>
      </c>
      <c r="I140" s="702">
        <f t="shared" si="67"/>
        <v>0</v>
      </c>
      <c r="J140" s="702">
        <f t="shared" si="67"/>
        <v>0</v>
      </c>
      <c r="K140" s="702">
        <f t="shared" si="67"/>
        <v>0</v>
      </c>
      <c r="L140" s="702">
        <f t="shared" si="67"/>
        <v>0</v>
      </c>
      <c r="M140" s="702">
        <f t="shared" si="67"/>
        <v>0</v>
      </c>
      <c r="N140" s="702">
        <f t="shared" si="67"/>
        <v>0</v>
      </c>
      <c r="O140" s="702">
        <f t="shared" si="67"/>
        <v>0</v>
      </c>
    </row>
    <row r="141" spans="1:15" s="704" customFormat="1" ht="10.5" hidden="1" x14ac:dyDescent="0.25">
      <c r="A141" s="701"/>
      <c r="B141" s="702">
        <f t="shared" ref="B141:O141" si="68">+B103-B122</f>
        <v>0</v>
      </c>
      <c r="C141" s="702">
        <f t="shared" si="68"/>
        <v>0</v>
      </c>
      <c r="D141" s="702">
        <f t="shared" si="68"/>
        <v>0</v>
      </c>
      <c r="E141" s="702">
        <f t="shared" si="68"/>
        <v>0</v>
      </c>
      <c r="F141" s="702">
        <f t="shared" si="68"/>
        <v>0</v>
      </c>
      <c r="G141" s="702">
        <f t="shared" si="68"/>
        <v>0</v>
      </c>
      <c r="H141" s="702">
        <f t="shared" si="68"/>
        <v>0</v>
      </c>
      <c r="I141" s="702">
        <f t="shared" si="68"/>
        <v>0</v>
      </c>
      <c r="J141" s="702">
        <f t="shared" si="68"/>
        <v>0</v>
      </c>
      <c r="K141" s="702">
        <f t="shared" si="68"/>
        <v>0</v>
      </c>
      <c r="L141" s="702">
        <f t="shared" si="68"/>
        <v>0</v>
      </c>
      <c r="M141" s="702">
        <f t="shared" si="68"/>
        <v>0</v>
      </c>
      <c r="N141" s="702">
        <f t="shared" si="68"/>
        <v>0</v>
      </c>
      <c r="O141" s="702">
        <f t="shared" si="68"/>
        <v>0</v>
      </c>
    </row>
    <row r="142" spans="1:15" hidden="1" x14ac:dyDescent="0.25"/>
  </sheetData>
  <mergeCells count="10">
    <mergeCell ref="B2:D2"/>
    <mergeCell ref="B3:D3"/>
    <mergeCell ref="F3:H3"/>
    <mergeCell ref="I3:K3"/>
    <mergeCell ref="B46:D46"/>
    <mergeCell ref="M3:O3"/>
    <mergeCell ref="M47:O47"/>
    <mergeCell ref="B47:D47"/>
    <mergeCell ref="F47:H47"/>
    <mergeCell ref="I47:K47"/>
  </mergeCells>
  <pageMargins left="0" right="0" top="0.74803149606299213" bottom="0.74803149606299213" header="0.31496062992125984" footer="0.31496062992125984"/>
  <pageSetup paperSize="8" scale="78" fitToHeight="0" orientation="landscape" r:id="rId1"/>
  <rowBreaks count="2" manualBreakCount="2">
    <brk id="43" max="15" man="1"/>
    <brk id="86" max="15" man="1"/>
  </rowBreaks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17"/>
  <sheetViews>
    <sheetView tabSelected="1" view="pageBreakPreview" zoomScaleNormal="100" zoomScaleSheetLayoutView="10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A34" sqref="A34"/>
    </sheetView>
  </sheetViews>
  <sheetFormatPr defaultRowHeight="12.5" x14ac:dyDescent="0.25"/>
  <cols>
    <col min="1" max="1" width="30.7265625" customWidth="1"/>
    <col min="2" max="2" width="19.81640625" customWidth="1"/>
    <col min="3" max="3" width="19" customWidth="1"/>
    <col min="4" max="5" width="17" customWidth="1"/>
    <col min="6" max="6" width="17.54296875" customWidth="1"/>
    <col min="7" max="7" width="16.81640625" customWidth="1"/>
    <col min="8" max="8" width="18.7265625" customWidth="1"/>
    <col min="9" max="9" width="19" customWidth="1"/>
    <col min="10" max="10" width="20" customWidth="1"/>
    <col min="11" max="12" width="15.453125" hidden="1" customWidth="1"/>
    <col min="13" max="13" width="21.54296875" customWidth="1"/>
    <col min="14" max="14" width="10.81640625" hidden="1" customWidth="1"/>
  </cols>
  <sheetData>
    <row r="1" spans="1:13" ht="13.5" thickBot="1" x14ac:dyDescent="0.35">
      <c r="A1" s="160" t="s">
        <v>707</v>
      </c>
      <c r="B1" s="160"/>
      <c r="C1" s="160"/>
      <c r="D1" s="160"/>
      <c r="E1" s="161"/>
      <c r="G1" s="162"/>
      <c r="H1" s="162"/>
      <c r="I1" s="162"/>
      <c r="J1" s="162"/>
      <c r="K1" s="162"/>
      <c r="L1" s="162"/>
      <c r="M1" s="161" t="s">
        <v>1751</v>
      </c>
    </row>
    <row r="2" spans="1:13" ht="13.5" thickBot="1" x14ac:dyDescent="0.35">
      <c r="A2" s="163"/>
      <c r="B2" s="580"/>
      <c r="C2" s="580"/>
      <c r="D2" s="1166" t="s">
        <v>1793</v>
      </c>
      <c r="E2" s="1167"/>
      <c r="F2" s="1167"/>
      <c r="G2" s="1167"/>
      <c r="H2" s="1167"/>
      <c r="I2" s="1167"/>
      <c r="J2" s="1167"/>
      <c r="K2" s="1168"/>
      <c r="L2" s="588"/>
      <c r="M2" s="164"/>
    </row>
    <row r="3" spans="1:13" ht="13.5" thickTop="1" thickBot="1" x14ac:dyDescent="0.3">
      <c r="A3" s="165" t="s">
        <v>702</v>
      </c>
      <c r="B3" s="581"/>
      <c r="C3" s="581"/>
      <c r="D3" s="1169" t="s">
        <v>1746</v>
      </c>
      <c r="E3" s="1170"/>
      <c r="F3" s="1170"/>
      <c r="G3" s="1170"/>
      <c r="H3" s="1170"/>
      <c r="I3" s="1170"/>
      <c r="J3" s="1170"/>
      <c r="K3" s="1170"/>
      <c r="L3" s="575"/>
      <c r="M3" s="166" t="s">
        <v>607</v>
      </c>
    </row>
    <row r="4" spans="1:13" ht="13.5" thickTop="1" thickBot="1" x14ac:dyDescent="0.3">
      <c r="A4" s="165"/>
      <c r="B4" s="581"/>
      <c r="C4" s="581"/>
      <c r="D4" s="1171" t="s">
        <v>608</v>
      </c>
      <c r="E4" s="1172"/>
      <c r="F4" s="1172"/>
      <c r="G4" s="1172"/>
      <c r="H4" s="1172"/>
      <c r="I4" s="1172"/>
      <c r="J4" s="1172"/>
      <c r="K4" s="1172"/>
      <c r="L4" s="576"/>
      <c r="M4" s="167"/>
    </row>
    <row r="5" spans="1:13" ht="54" customHeight="1" thickTop="1" x14ac:dyDescent="0.25">
      <c r="A5" s="168" t="s">
        <v>709</v>
      </c>
      <c r="B5" s="1020" t="s">
        <v>1687</v>
      </c>
      <c r="C5" s="1021" t="s">
        <v>1794</v>
      </c>
      <c r="D5" s="172" t="s">
        <v>1698</v>
      </c>
      <c r="E5" s="169" t="s">
        <v>1690</v>
      </c>
      <c r="F5" s="169" t="s">
        <v>1691</v>
      </c>
      <c r="G5" s="169" t="s">
        <v>1692</v>
      </c>
      <c r="H5" s="170" t="s">
        <v>1693</v>
      </c>
      <c r="I5" s="171" t="s">
        <v>1694</v>
      </c>
      <c r="J5" s="1022" t="s">
        <v>1695</v>
      </c>
      <c r="K5" s="171" t="s">
        <v>1696</v>
      </c>
      <c r="L5" s="589" t="s">
        <v>1697</v>
      </c>
      <c r="M5" s="172" t="s">
        <v>1698</v>
      </c>
    </row>
    <row r="6" spans="1:13" x14ac:dyDescent="0.25">
      <c r="A6" s="267" t="s">
        <v>805</v>
      </c>
      <c r="B6" s="267"/>
      <c r="C6" s="267"/>
      <c r="D6" s="267"/>
      <c r="E6" s="268"/>
      <c r="F6" s="268"/>
      <c r="G6" s="268"/>
      <c r="H6" s="268"/>
      <c r="I6" s="268"/>
      <c r="J6" s="268"/>
      <c r="K6" s="268"/>
      <c r="L6" s="590"/>
      <c r="M6" s="269"/>
    </row>
    <row r="7" spans="1:13" x14ac:dyDescent="0.25">
      <c r="A7" s="270" t="s">
        <v>806</v>
      </c>
      <c r="B7" s="370">
        <f t="shared" ref="B7:M7" si="0">B8+B9+B10</f>
        <v>74513520</v>
      </c>
      <c r="C7" s="370">
        <f t="shared" si="0"/>
        <v>2735000</v>
      </c>
      <c r="D7" s="910">
        <f t="shared" si="0"/>
        <v>77248520</v>
      </c>
      <c r="E7" s="910">
        <f t="shared" si="0"/>
        <v>0</v>
      </c>
      <c r="F7" s="910">
        <f t="shared" si="0"/>
        <v>0</v>
      </c>
      <c r="G7" s="910">
        <f t="shared" si="0"/>
        <v>0</v>
      </c>
      <c r="H7" s="910">
        <f t="shared" si="0"/>
        <v>0</v>
      </c>
      <c r="I7" s="910">
        <f t="shared" si="0"/>
        <v>0</v>
      </c>
      <c r="J7" s="910">
        <f t="shared" si="0"/>
        <v>26994600</v>
      </c>
      <c r="K7" s="910">
        <f t="shared" si="0"/>
        <v>77248520</v>
      </c>
      <c r="L7" s="910">
        <f t="shared" si="0"/>
        <v>0</v>
      </c>
      <c r="M7" s="910">
        <f t="shared" si="0"/>
        <v>77248520</v>
      </c>
    </row>
    <row r="8" spans="1:13" x14ac:dyDescent="0.25">
      <c r="A8" s="271" t="s">
        <v>807</v>
      </c>
      <c r="B8" s="595">
        <v>66039340</v>
      </c>
      <c r="C8" s="595">
        <v>2136721</v>
      </c>
      <c r="D8" s="595">
        <f>+B8+C8</f>
        <v>68176061</v>
      </c>
      <c r="E8" s="911">
        <v>0</v>
      </c>
      <c r="F8" s="912">
        <v>0</v>
      </c>
      <c r="G8" s="912">
        <v>0</v>
      </c>
      <c r="H8" s="912">
        <v>0</v>
      </c>
      <c r="I8" s="912">
        <v>0</v>
      </c>
      <c r="J8" s="912">
        <v>23768046</v>
      </c>
      <c r="K8" s="912">
        <v>68176061</v>
      </c>
      <c r="L8" s="913"/>
      <c r="M8" s="914">
        <f>SUM(D8:I8)</f>
        <v>68176061</v>
      </c>
    </row>
    <row r="9" spans="1:13" ht="21" x14ac:dyDescent="0.25">
      <c r="A9" s="271" t="s">
        <v>809</v>
      </c>
      <c r="B9" s="595">
        <v>0</v>
      </c>
      <c r="C9" s="595">
        <v>0</v>
      </c>
      <c r="D9" s="595">
        <f t="shared" ref="D9:D10" si="1">+B9+C9</f>
        <v>0</v>
      </c>
      <c r="E9" s="911">
        <v>0</v>
      </c>
      <c r="F9" s="912">
        <v>0</v>
      </c>
      <c r="G9" s="912">
        <v>0</v>
      </c>
      <c r="H9" s="912">
        <v>0</v>
      </c>
      <c r="I9" s="912">
        <v>0</v>
      </c>
      <c r="J9" s="912">
        <v>0</v>
      </c>
      <c r="K9" s="912">
        <v>0</v>
      </c>
      <c r="L9" s="913"/>
      <c r="M9" s="914">
        <f t="shared" ref="M9:M15" si="2">SUM(D9:I9)</f>
        <v>0</v>
      </c>
    </row>
    <row r="10" spans="1:13" ht="21" x14ac:dyDescent="0.25">
      <c r="A10" s="272" t="s">
        <v>810</v>
      </c>
      <c r="B10" s="596">
        <v>8474180</v>
      </c>
      <c r="C10" s="596">
        <v>598279</v>
      </c>
      <c r="D10" s="595">
        <f t="shared" si="1"/>
        <v>9072459</v>
      </c>
      <c r="E10" s="915">
        <v>0</v>
      </c>
      <c r="F10" s="916">
        <v>0</v>
      </c>
      <c r="G10" s="916">
        <v>0</v>
      </c>
      <c r="H10" s="916">
        <v>0</v>
      </c>
      <c r="I10" s="916">
        <v>0</v>
      </c>
      <c r="J10" s="912">
        <v>3226554</v>
      </c>
      <c r="K10" s="916">
        <v>9072459</v>
      </c>
      <c r="L10" s="917"/>
      <c r="M10" s="914">
        <f t="shared" si="2"/>
        <v>9072459</v>
      </c>
    </row>
    <row r="11" spans="1:13" x14ac:dyDescent="0.25">
      <c r="A11" s="270" t="s">
        <v>811</v>
      </c>
      <c r="B11" s="370">
        <f t="shared" ref="B11:K11" si="3">B12+B13+B14+B15</f>
        <v>12385870</v>
      </c>
      <c r="C11" s="370">
        <f t="shared" si="3"/>
        <v>1200000</v>
      </c>
      <c r="D11" s="910">
        <f t="shared" si="3"/>
        <v>13585870</v>
      </c>
      <c r="E11" s="918">
        <f t="shared" si="3"/>
        <v>0</v>
      </c>
      <c r="F11" s="910">
        <f t="shared" si="3"/>
        <v>5359400</v>
      </c>
      <c r="G11" s="910">
        <f t="shared" si="3"/>
        <v>0</v>
      </c>
      <c r="H11" s="910">
        <f t="shared" si="3"/>
        <v>0</v>
      </c>
      <c r="I11" s="910">
        <f>I12+I13+I14+I15</f>
        <v>0</v>
      </c>
      <c r="J11" s="910">
        <f>J12+J13+J14+J15</f>
        <v>10668000</v>
      </c>
      <c r="K11" s="910">
        <f t="shared" si="3"/>
        <v>12885870</v>
      </c>
      <c r="L11" s="919"/>
      <c r="M11" s="914">
        <f>M12+M13+M14+M15</f>
        <v>18945270</v>
      </c>
    </row>
    <row r="12" spans="1:13" x14ac:dyDescent="0.25">
      <c r="A12" s="271" t="s">
        <v>1699</v>
      </c>
      <c r="B12" s="595">
        <v>5000000</v>
      </c>
      <c r="C12" s="595">
        <v>0</v>
      </c>
      <c r="D12" s="595">
        <f t="shared" ref="D12:D15" si="4">+B12+C12</f>
        <v>5000000</v>
      </c>
      <c r="E12" s="911"/>
      <c r="F12" s="912">
        <v>3810000</v>
      </c>
      <c r="G12" s="912">
        <v>0</v>
      </c>
      <c r="H12" s="912">
        <v>0</v>
      </c>
      <c r="I12" s="912"/>
      <c r="J12" s="912">
        <v>5330000</v>
      </c>
      <c r="K12" s="912">
        <v>5000000</v>
      </c>
      <c r="L12" s="913"/>
      <c r="M12" s="914">
        <f t="shared" si="2"/>
        <v>8810000</v>
      </c>
    </row>
    <row r="13" spans="1:13" ht="21" customHeight="1" x14ac:dyDescent="0.25">
      <c r="A13" s="271" t="s">
        <v>836</v>
      </c>
      <c r="B13" s="595">
        <v>2291870</v>
      </c>
      <c r="C13" s="595">
        <v>0</v>
      </c>
      <c r="D13" s="595">
        <f t="shared" si="4"/>
        <v>2291870</v>
      </c>
      <c r="E13" s="911"/>
      <c r="F13" s="912">
        <v>0</v>
      </c>
      <c r="G13" s="912">
        <v>0</v>
      </c>
      <c r="H13" s="912">
        <v>0</v>
      </c>
      <c r="I13" s="912"/>
      <c r="J13" s="912">
        <v>0</v>
      </c>
      <c r="K13" s="912">
        <v>1591870</v>
      </c>
      <c r="L13" s="913"/>
      <c r="M13" s="914">
        <f t="shared" si="2"/>
        <v>2291870</v>
      </c>
    </row>
    <row r="14" spans="1:13" x14ac:dyDescent="0.25">
      <c r="A14" s="273" t="s">
        <v>813</v>
      </c>
      <c r="B14" s="597">
        <v>3729000</v>
      </c>
      <c r="C14" s="597">
        <v>1200000</v>
      </c>
      <c r="D14" s="595">
        <f t="shared" si="4"/>
        <v>4929000</v>
      </c>
      <c r="E14" s="911"/>
      <c r="F14" s="912">
        <v>1549400</v>
      </c>
      <c r="G14" s="912">
        <v>0</v>
      </c>
      <c r="H14" s="912">
        <v>0</v>
      </c>
      <c r="I14" s="912"/>
      <c r="J14" s="912">
        <v>5238000</v>
      </c>
      <c r="K14" s="912">
        <v>4929000</v>
      </c>
      <c r="L14" s="913"/>
      <c r="M14" s="914">
        <f t="shared" si="2"/>
        <v>6478400</v>
      </c>
    </row>
    <row r="15" spans="1:13" ht="13" thickBot="1" x14ac:dyDescent="0.3">
      <c r="A15" s="274" t="s">
        <v>840</v>
      </c>
      <c r="B15" s="598">
        <v>1365000</v>
      </c>
      <c r="C15" s="598">
        <v>0</v>
      </c>
      <c r="D15" s="595">
        <f t="shared" si="4"/>
        <v>1365000</v>
      </c>
      <c r="E15" s="920"/>
      <c r="F15" s="921">
        <v>0</v>
      </c>
      <c r="G15" s="921">
        <v>0</v>
      </c>
      <c r="H15" s="921">
        <v>0</v>
      </c>
      <c r="I15" s="921"/>
      <c r="J15" s="921">
        <v>100000</v>
      </c>
      <c r="K15" s="921">
        <v>1365000</v>
      </c>
      <c r="L15" s="922"/>
      <c r="M15" s="914">
        <f t="shared" si="2"/>
        <v>1365000</v>
      </c>
    </row>
    <row r="16" spans="1:13" ht="13" thickBot="1" x14ac:dyDescent="0.3">
      <c r="A16" s="275" t="s">
        <v>815</v>
      </c>
      <c r="B16" s="374">
        <f t="shared" ref="B16:C16" si="5">B7+B11</f>
        <v>86899390</v>
      </c>
      <c r="C16" s="374">
        <f t="shared" si="5"/>
        <v>3935000</v>
      </c>
      <c r="D16" s="923">
        <f t="shared" ref="D16:K16" si="6">D7+D11</f>
        <v>90834390</v>
      </c>
      <c r="E16" s="924">
        <f t="shared" si="6"/>
        <v>0</v>
      </c>
      <c r="F16" s="923">
        <f t="shared" si="6"/>
        <v>5359400</v>
      </c>
      <c r="G16" s="923">
        <f t="shared" si="6"/>
        <v>0</v>
      </c>
      <c r="H16" s="923">
        <f t="shared" si="6"/>
        <v>0</v>
      </c>
      <c r="I16" s="923">
        <f t="shared" si="6"/>
        <v>0</v>
      </c>
      <c r="J16" s="923">
        <f t="shared" si="6"/>
        <v>37662600</v>
      </c>
      <c r="K16" s="923">
        <f t="shared" si="6"/>
        <v>90134390</v>
      </c>
      <c r="L16" s="925"/>
      <c r="M16" s="926">
        <f>M7+M11</f>
        <v>96193790</v>
      </c>
    </row>
    <row r="17" spans="1:13" x14ac:dyDescent="0.25">
      <c r="A17" s="276" t="s">
        <v>816</v>
      </c>
      <c r="B17" s="276"/>
      <c r="C17" s="276"/>
      <c r="D17" s="927"/>
      <c r="E17" s="928"/>
      <c r="F17" s="929"/>
      <c r="G17" s="929"/>
      <c r="H17" s="929"/>
      <c r="I17" s="929"/>
      <c r="J17" s="929"/>
      <c r="K17" s="929"/>
      <c r="L17" s="930"/>
      <c r="M17" s="914"/>
    </row>
    <row r="18" spans="1:13" x14ac:dyDescent="0.25">
      <c r="A18" s="273" t="s">
        <v>817</v>
      </c>
      <c r="B18" s="273"/>
      <c r="C18" s="273"/>
      <c r="D18" s="595">
        <f t="shared" ref="D18:D19" si="7">+B18+C18</f>
        <v>0</v>
      </c>
      <c r="E18" s="931"/>
      <c r="F18" s="932"/>
      <c r="G18" s="932"/>
      <c r="H18" s="932"/>
      <c r="I18" s="932"/>
      <c r="J18" s="932"/>
      <c r="K18" s="932"/>
      <c r="L18" s="933"/>
      <c r="M18" s="914">
        <f t="shared" ref="M18:M19" si="8">SUM(D18:I18)</f>
        <v>0</v>
      </c>
    </row>
    <row r="19" spans="1:13" ht="13" thickBot="1" x14ac:dyDescent="0.3">
      <c r="A19" s="274" t="s">
        <v>818</v>
      </c>
      <c r="B19" s="274"/>
      <c r="C19" s="274"/>
      <c r="D19" s="595">
        <f t="shared" si="7"/>
        <v>0</v>
      </c>
      <c r="E19" s="920"/>
      <c r="F19" s="921"/>
      <c r="G19" s="921"/>
      <c r="H19" s="921"/>
      <c r="I19" s="921"/>
      <c r="J19" s="921"/>
      <c r="K19" s="921"/>
      <c r="L19" s="922"/>
      <c r="M19" s="914">
        <f t="shared" si="8"/>
        <v>0</v>
      </c>
    </row>
    <row r="20" spans="1:13" ht="13" thickBot="1" x14ac:dyDescent="0.3">
      <c r="A20" s="277" t="s">
        <v>819</v>
      </c>
      <c r="B20" s="377">
        <f t="shared" ref="B20:K20" si="9">SUM(B17:B19)</f>
        <v>0</v>
      </c>
      <c r="C20" s="377">
        <f t="shared" si="9"/>
        <v>0</v>
      </c>
      <c r="D20" s="934">
        <f t="shared" si="9"/>
        <v>0</v>
      </c>
      <c r="E20" s="935">
        <f t="shared" si="9"/>
        <v>0</v>
      </c>
      <c r="F20" s="936">
        <f t="shared" si="9"/>
        <v>0</v>
      </c>
      <c r="G20" s="936">
        <f t="shared" si="9"/>
        <v>0</v>
      </c>
      <c r="H20" s="936">
        <f t="shared" si="9"/>
        <v>0</v>
      </c>
      <c r="I20" s="936">
        <f>SUM(I17:I19)</f>
        <v>0</v>
      </c>
      <c r="J20" s="936">
        <f>SUM(J17:J19)</f>
        <v>0</v>
      </c>
      <c r="K20" s="936">
        <f t="shared" si="9"/>
        <v>0</v>
      </c>
      <c r="L20" s="937"/>
      <c r="M20" s="938">
        <f>M18+M19</f>
        <v>0</v>
      </c>
    </row>
    <row r="21" spans="1:13" ht="13" thickBot="1" x14ac:dyDescent="0.3">
      <c r="A21" s="277" t="s">
        <v>820</v>
      </c>
      <c r="B21" s="378">
        <f t="shared" ref="B21:M21" si="10">B20+B16</f>
        <v>86899390</v>
      </c>
      <c r="C21" s="378">
        <f t="shared" si="10"/>
        <v>3935000</v>
      </c>
      <c r="D21" s="939">
        <f t="shared" si="10"/>
        <v>90834390</v>
      </c>
      <c r="E21" s="940">
        <f t="shared" si="10"/>
        <v>0</v>
      </c>
      <c r="F21" s="941">
        <f t="shared" si="10"/>
        <v>5359400</v>
      </c>
      <c r="G21" s="941">
        <f t="shared" si="10"/>
        <v>0</v>
      </c>
      <c r="H21" s="941">
        <f t="shared" si="10"/>
        <v>0</v>
      </c>
      <c r="I21" s="941">
        <f>I20+I16</f>
        <v>0</v>
      </c>
      <c r="J21" s="941">
        <f>J20+J16</f>
        <v>37662600</v>
      </c>
      <c r="K21" s="941">
        <f t="shared" si="10"/>
        <v>90134390</v>
      </c>
      <c r="L21" s="942"/>
      <c r="M21" s="938">
        <f t="shared" si="10"/>
        <v>96193790</v>
      </c>
    </row>
    <row r="22" spans="1:13" x14ac:dyDescent="0.25">
      <c r="A22" s="278" t="s">
        <v>821</v>
      </c>
      <c r="B22" s="278"/>
      <c r="C22" s="278"/>
      <c r="D22" s="943"/>
      <c r="E22" s="928"/>
      <c r="F22" s="929"/>
      <c r="G22" s="929"/>
      <c r="H22" s="929"/>
      <c r="I22" s="929"/>
      <c r="J22" s="929"/>
      <c r="K22" s="929"/>
      <c r="L22" s="930"/>
      <c r="M22" s="914">
        <f t="shared" ref="M22:M28" si="11">SUM(D22:K22)</f>
        <v>0</v>
      </c>
    </row>
    <row r="23" spans="1:13" x14ac:dyDescent="0.25">
      <c r="A23" s="279" t="s">
        <v>822</v>
      </c>
      <c r="B23" s="279"/>
      <c r="C23" s="279"/>
      <c r="D23" s="912"/>
      <c r="E23" s="931"/>
      <c r="F23" s="932"/>
      <c r="G23" s="932"/>
      <c r="H23" s="932"/>
      <c r="I23" s="932"/>
      <c r="J23" s="932"/>
      <c r="K23" s="932"/>
      <c r="L23" s="933"/>
      <c r="M23" s="914">
        <f t="shared" si="11"/>
        <v>0</v>
      </c>
    </row>
    <row r="24" spans="1:13" x14ac:dyDescent="0.25">
      <c r="A24" s="280" t="s">
        <v>823</v>
      </c>
      <c r="B24" s="280"/>
      <c r="C24" s="280"/>
      <c r="D24" s="595">
        <f t="shared" ref="D24" si="12">+B24+C24</f>
        <v>0</v>
      </c>
      <c r="E24" s="931"/>
      <c r="F24" s="932">
        <v>0</v>
      </c>
      <c r="G24" s="932"/>
      <c r="H24" s="932"/>
      <c r="I24" s="932"/>
      <c r="J24" s="932">
        <v>38400000</v>
      </c>
      <c r="K24" s="932"/>
      <c r="L24" s="933"/>
      <c r="M24" s="914">
        <f t="shared" ref="M24" si="13">SUM(D24:I24)</f>
        <v>0</v>
      </c>
    </row>
    <row r="25" spans="1:13" ht="13" thickBot="1" x14ac:dyDescent="0.3">
      <c r="A25" s="281" t="s">
        <v>824</v>
      </c>
      <c r="B25" s="380">
        <f t="shared" ref="B25:K25" si="14">SUM(B23:B24)</f>
        <v>0</v>
      </c>
      <c r="C25" s="380">
        <f t="shared" si="14"/>
        <v>0</v>
      </c>
      <c r="D25" s="944">
        <f t="shared" si="14"/>
        <v>0</v>
      </c>
      <c r="E25" s="945">
        <f t="shared" si="14"/>
        <v>0</v>
      </c>
      <c r="F25" s="946">
        <f t="shared" si="14"/>
        <v>0</v>
      </c>
      <c r="G25" s="946">
        <f t="shared" si="14"/>
        <v>0</v>
      </c>
      <c r="H25" s="946">
        <f t="shared" si="14"/>
        <v>0</v>
      </c>
      <c r="I25" s="946">
        <f>SUM(I23:I24)</f>
        <v>0</v>
      </c>
      <c r="J25" s="946">
        <f>SUM(J23:J24)</f>
        <v>38400000</v>
      </c>
      <c r="K25" s="946">
        <f t="shared" si="14"/>
        <v>0</v>
      </c>
      <c r="L25" s="947"/>
      <c r="M25" s="948">
        <f t="shared" si="11"/>
        <v>38400000</v>
      </c>
    </row>
    <row r="26" spans="1:13" x14ac:dyDescent="0.25">
      <c r="A26" s="278" t="s">
        <v>825</v>
      </c>
      <c r="B26" s="278"/>
      <c r="C26" s="278"/>
      <c r="D26" s="943"/>
      <c r="E26" s="928"/>
      <c r="F26" s="929"/>
      <c r="G26" s="929"/>
      <c r="H26" s="929"/>
      <c r="I26" s="929"/>
      <c r="J26" s="929"/>
      <c r="K26" s="929"/>
      <c r="L26" s="930"/>
      <c r="M26" s="949">
        <f t="shared" si="11"/>
        <v>0</v>
      </c>
    </row>
    <row r="27" spans="1:13" ht="13" thickBot="1" x14ac:dyDescent="0.3">
      <c r="A27" s="282" t="s">
        <v>826</v>
      </c>
      <c r="B27" s="282"/>
      <c r="C27" s="282"/>
      <c r="D27" s="595">
        <f t="shared" ref="D27" si="15">+B27+C27</f>
        <v>0</v>
      </c>
      <c r="E27" s="920"/>
      <c r="F27" s="921"/>
      <c r="G27" s="921"/>
      <c r="H27" s="921"/>
      <c r="I27" s="921"/>
      <c r="J27" s="921"/>
      <c r="K27" s="921"/>
      <c r="L27" s="922"/>
      <c r="M27" s="914">
        <f t="shared" ref="M27:M33" si="16">SUM(D27:I27)</f>
        <v>0</v>
      </c>
    </row>
    <row r="28" spans="1:13" ht="13" thickBot="1" x14ac:dyDescent="0.3">
      <c r="A28" s="277" t="s">
        <v>827</v>
      </c>
      <c r="B28" s="377">
        <f t="shared" ref="B28:C28" si="17">SUM(B26:B27)</f>
        <v>0</v>
      </c>
      <c r="C28" s="377">
        <f t="shared" si="17"/>
        <v>0</v>
      </c>
      <c r="D28" s="934">
        <f t="shared" ref="D28:K28" si="18">SUM(D26:D27)</f>
        <v>0</v>
      </c>
      <c r="E28" s="935">
        <f t="shared" si="18"/>
        <v>0</v>
      </c>
      <c r="F28" s="936">
        <f t="shared" si="18"/>
        <v>0</v>
      </c>
      <c r="G28" s="936">
        <f t="shared" si="18"/>
        <v>0</v>
      </c>
      <c r="H28" s="936">
        <f t="shared" si="18"/>
        <v>0</v>
      </c>
      <c r="I28" s="936">
        <f>SUM(I26:I27)</f>
        <v>0</v>
      </c>
      <c r="J28" s="936">
        <f>SUM(J26:J27)</f>
        <v>0</v>
      </c>
      <c r="K28" s="936">
        <f t="shared" si="18"/>
        <v>0</v>
      </c>
      <c r="L28" s="937"/>
      <c r="M28" s="938">
        <f t="shared" si="11"/>
        <v>0</v>
      </c>
    </row>
    <row r="29" spans="1:13" ht="13" thickBot="1" x14ac:dyDescent="0.3">
      <c r="A29" s="277" t="s">
        <v>828</v>
      </c>
      <c r="B29" s="378">
        <f t="shared" ref="B29:C29" si="19">B28+B25</f>
        <v>0</v>
      </c>
      <c r="C29" s="378">
        <f t="shared" si="19"/>
        <v>0</v>
      </c>
      <c r="D29" s="939">
        <f t="shared" ref="D29:K29" si="20">D28+D25</f>
        <v>0</v>
      </c>
      <c r="E29" s="940">
        <f t="shared" si="20"/>
        <v>0</v>
      </c>
      <c r="F29" s="941">
        <f t="shared" si="20"/>
        <v>0</v>
      </c>
      <c r="G29" s="941">
        <f t="shared" si="20"/>
        <v>0</v>
      </c>
      <c r="H29" s="941">
        <f t="shared" si="20"/>
        <v>0</v>
      </c>
      <c r="I29" s="941">
        <f>I28+I25</f>
        <v>0</v>
      </c>
      <c r="J29" s="941">
        <f>J28+J25</f>
        <v>38400000</v>
      </c>
      <c r="K29" s="950">
        <f t="shared" si="20"/>
        <v>0</v>
      </c>
      <c r="L29" s="939"/>
      <c r="M29" s="951">
        <f t="shared" si="16"/>
        <v>0</v>
      </c>
    </row>
    <row r="30" spans="1:13" ht="13" thickBot="1" x14ac:dyDescent="0.3">
      <c r="A30" s="277" t="s">
        <v>703</v>
      </c>
      <c r="B30" s="378">
        <f t="shared" ref="B30:K30" si="21">B21-B29</f>
        <v>86899390</v>
      </c>
      <c r="C30" s="378">
        <f t="shared" si="21"/>
        <v>3935000</v>
      </c>
      <c r="D30" s="939">
        <f t="shared" si="21"/>
        <v>90834390</v>
      </c>
      <c r="E30" s="939">
        <f t="shared" si="21"/>
        <v>0</v>
      </c>
      <c r="F30" s="939">
        <f t="shared" si="21"/>
        <v>5359400</v>
      </c>
      <c r="G30" s="939">
        <f t="shared" si="21"/>
        <v>0</v>
      </c>
      <c r="H30" s="939">
        <f t="shared" si="21"/>
        <v>0</v>
      </c>
      <c r="I30" s="939">
        <f>I21-I29</f>
        <v>0</v>
      </c>
      <c r="J30" s="939">
        <f>J21-J29</f>
        <v>-737400</v>
      </c>
      <c r="K30" s="939">
        <f t="shared" si="21"/>
        <v>90134390</v>
      </c>
      <c r="L30" s="939"/>
      <c r="M30" s="939">
        <f t="shared" si="16"/>
        <v>96193790</v>
      </c>
    </row>
    <row r="31" spans="1:13" ht="13.5" thickBot="1" x14ac:dyDescent="0.35">
      <c r="A31" s="173" t="s">
        <v>703</v>
      </c>
      <c r="B31" s="1031">
        <v>86899390</v>
      </c>
      <c r="C31" s="997">
        <v>3935000</v>
      </c>
      <c r="D31" s="954">
        <f>+B31+C31</f>
        <v>90834390</v>
      </c>
      <c r="E31" s="955">
        <v>0</v>
      </c>
      <c r="F31" s="955">
        <v>5359400</v>
      </c>
      <c r="G31" s="955">
        <v>0</v>
      </c>
      <c r="H31" s="955">
        <v>0</v>
      </c>
      <c r="I31" s="955">
        <v>0</v>
      </c>
      <c r="J31" s="955">
        <v>-737400</v>
      </c>
      <c r="K31" s="955">
        <v>90134390</v>
      </c>
      <c r="L31" s="955">
        <v>0</v>
      </c>
      <c r="M31" s="939">
        <f t="shared" si="16"/>
        <v>96193790</v>
      </c>
    </row>
    <row r="32" spans="1:13" ht="13.5" thickBot="1" x14ac:dyDescent="0.35">
      <c r="A32" s="174" t="s">
        <v>713</v>
      </c>
      <c r="B32" s="1030">
        <v>39764237.883382954</v>
      </c>
      <c r="C32" s="998">
        <v>0</v>
      </c>
      <c r="D32" s="954">
        <f>+B32+C32</f>
        <v>39764237.883382954</v>
      </c>
      <c r="E32" s="954"/>
      <c r="F32" s="954"/>
      <c r="G32" s="954"/>
      <c r="H32" s="954"/>
      <c r="I32" s="954"/>
      <c r="J32" s="954">
        <v>0</v>
      </c>
      <c r="K32" s="954">
        <v>39764237.883382954</v>
      </c>
      <c r="L32" s="954"/>
      <c r="M32" s="939">
        <f t="shared" si="16"/>
        <v>39764237.883382954</v>
      </c>
    </row>
    <row r="33" spans="1:13" ht="13.5" thickBot="1" x14ac:dyDescent="0.35">
      <c r="A33" s="175" t="s">
        <v>714</v>
      </c>
      <c r="B33" s="1030">
        <f>+B31+B32</f>
        <v>126663627.88338295</v>
      </c>
      <c r="C33" s="998">
        <v>3935000</v>
      </c>
      <c r="D33" s="954">
        <f>+B33+C33</f>
        <v>130598627.88338295</v>
      </c>
      <c r="E33" s="959">
        <v>0</v>
      </c>
      <c r="F33" s="959">
        <v>5359400</v>
      </c>
      <c r="G33" s="959">
        <v>0</v>
      </c>
      <c r="H33" s="959">
        <v>0</v>
      </c>
      <c r="I33" s="959">
        <v>0</v>
      </c>
      <c r="J33" s="959">
        <v>-737400</v>
      </c>
      <c r="K33" s="959">
        <v>129898627.88338295</v>
      </c>
      <c r="L33" s="959">
        <v>0</v>
      </c>
      <c r="M33" s="939">
        <f t="shared" si="16"/>
        <v>135958027.88338295</v>
      </c>
    </row>
    <row r="34" spans="1:13" ht="13.5" thickBot="1" x14ac:dyDescent="0.35">
      <c r="A34" s="1091" t="s">
        <v>1872</v>
      </c>
      <c r="B34" s="1063">
        <v>8000000</v>
      </c>
      <c r="C34" s="998"/>
      <c r="D34" s="954"/>
      <c r="E34" s="959"/>
      <c r="F34" s="959"/>
      <c r="G34" s="959"/>
      <c r="H34" s="959"/>
      <c r="I34" s="959"/>
      <c r="J34" s="959"/>
      <c r="K34" s="959"/>
      <c r="L34" s="959"/>
      <c r="M34" s="939"/>
    </row>
    <row r="35" spans="1:13" ht="24.75" customHeight="1" thickBot="1" x14ac:dyDescent="0.35">
      <c r="A35" s="996" t="s">
        <v>1781</v>
      </c>
      <c r="B35" s="995">
        <v>14.5</v>
      </c>
      <c r="C35" s="994"/>
      <c r="D35" s="606">
        <v>14.5</v>
      </c>
      <c r="E35" s="606"/>
      <c r="F35" s="606"/>
      <c r="G35" s="606"/>
      <c r="H35" s="606"/>
      <c r="I35" s="606"/>
      <c r="J35" s="606">
        <v>13</v>
      </c>
      <c r="K35" s="606"/>
      <c r="L35" s="606"/>
      <c r="M35" s="378">
        <f>SUM(D35:J35)</f>
        <v>27.5</v>
      </c>
    </row>
    <row r="38" spans="1:13" ht="13.5" thickBot="1" x14ac:dyDescent="0.35">
      <c r="A38" s="160" t="s">
        <v>707</v>
      </c>
      <c r="B38" s="160"/>
      <c r="C38" s="160"/>
      <c r="D38" s="160"/>
      <c r="E38" s="161"/>
      <c r="G38" s="162"/>
      <c r="H38" s="162"/>
      <c r="I38" s="162"/>
      <c r="J38" s="162"/>
      <c r="K38" s="162"/>
      <c r="L38" s="162"/>
      <c r="M38" s="161" t="s">
        <v>1751</v>
      </c>
    </row>
    <row r="39" spans="1:13" ht="13.5" thickBot="1" x14ac:dyDescent="0.35">
      <c r="A39" s="163"/>
      <c r="B39" s="580"/>
      <c r="C39" s="580"/>
      <c r="D39" s="1166" t="s">
        <v>1818</v>
      </c>
      <c r="E39" s="1167"/>
      <c r="F39" s="1167"/>
      <c r="G39" s="1167"/>
      <c r="H39" s="1167"/>
      <c r="I39" s="1167"/>
      <c r="J39" s="1167"/>
      <c r="K39" s="1168"/>
      <c r="L39" s="588"/>
      <c r="M39" s="164"/>
    </row>
    <row r="40" spans="1:13" ht="13.5" thickTop="1" thickBot="1" x14ac:dyDescent="0.3">
      <c r="A40" s="165" t="s">
        <v>702</v>
      </c>
      <c r="B40" s="581"/>
      <c r="C40" s="581"/>
      <c r="D40" s="1169" t="s">
        <v>1746</v>
      </c>
      <c r="E40" s="1170"/>
      <c r="F40" s="1170"/>
      <c r="G40" s="1170"/>
      <c r="H40" s="1170"/>
      <c r="I40" s="1170"/>
      <c r="J40" s="1170"/>
      <c r="K40" s="1170"/>
      <c r="L40" s="575"/>
      <c r="M40" s="166" t="s">
        <v>607</v>
      </c>
    </row>
    <row r="41" spans="1:13" ht="13.5" thickTop="1" thickBot="1" x14ac:dyDescent="0.3">
      <c r="A41" s="165"/>
      <c r="B41" s="581"/>
      <c r="C41" s="581"/>
      <c r="D41" s="1171" t="s">
        <v>608</v>
      </c>
      <c r="E41" s="1172"/>
      <c r="F41" s="1172"/>
      <c r="G41" s="1172"/>
      <c r="H41" s="1172"/>
      <c r="I41" s="1172"/>
      <c r="J41" s="1172"/>
      <c r="K41" s="1172"/>
      <c r="L41" s="576"/>
      <c r="M41" s="167"/>
    </row>
    <row r="42" spans="1:13" ht="47.25" customHeight="1" thickTop="1" x14ac:dyDescent="0.25">
      <c r="A42" s="168" t="s">
        <v>709</v>
      </c>
      <c r="B42" s="168" t="s">
        <v>1687</v>
      </c>
      <c r="C42" s="168" t="s">
        <v>1688</v>
      </c>
      <c r="D42" s="168" t="s">
        <v>1689</v>
      </c>
      <c r="E42" s="169" t="s">
        <v>1690</v>
      </c>
      <c r="F42" s="169" t="s">
        <v>1691</v>
      </c>
      <c r="G42" s="169" t="s">
        <v>1692</v>
      </c>
      <c r="H42" s="170" t="s">
        <v>1693</v>
      </c>
      <c r="I42" s="171" t="s">
        <v>1694</v>
      </c>
      <c r="J42" s="450" t="s">
        <v>1695</v>
      </c>
      <c r="K42" s="171" t="s">
        <v>1696</v>
      </c>
      <c r="L42" s="589" t="s">
        <v>1697</v>
      </c>
      <c r="M42" s="172" t="s">
        <v>1698</v>
      </c>
    </row>
    <row r="43" spans="1:13" x14ac:dyDescent="0.25">
      <c r="A43" s="267" t="s">
        <v>805</v>
      </c>
      <c r="B43" s="267"/>
      <c r="C43" s="267"/>
      <c r="D43" s="382"/>
      <c r="E43" s="372"/>
      <c r="F43" s="372"/>
      <c r="G43" s="372"/>
      <c r="H43" s="372"/>
      <c r="I43" s="372"/>
      <c r="J43" s="372"/>
      <c r="K43" s="372"/>
      <c r="L43" s="591"/>
      <c r="M43" s="383"/>
    </row>
    <row r="44" spans="1:13" x14ac:dyDescent="0.25">
      <c r="A44" s="270" t="s">
        <v>806</v>
      </c>
      <c r="B44" s="370">
        <f t="shared" ref="B44:M44" si="22">B45+B46+B47</f>
        <v>65837975</v>
      </c>
      <c r="C44" s="370">
        <f t="shared" si="22"/>
        <v>4482732.9200000009</v>
      </c>
      <c r="D44" s="910">
        <f t="shared" si="22"/>
        <v>70320707.920000002</v>
      </c>
      <c r="E44" s="910">
        <f t="shared" si="22"/>
        <v>0</v>
      </c>
      <c r="F44" s="910">
        <f t="shared" si="22"/>
        <v>0</v>
      </c>
      <c r="G44" s="910">
        <f t="shared" si="22"/>
        <v>0</v>
      </c>
      <c r="H44" s="910">
        <f t="shared" si="22"/>
        <v>0</v>
      </c>
      <c r="I44" s="910">
        <f t="shared" si="22"/>
        <v>0</v>
      </c>
      <c r="J44" s="910">
        <f t="shared" si="22"/>
        <v>32634380</v>
      </c>
      <c r="K44" s="910">
        <f t="shared" si="22"/>
        <v>0</v>
      </c>
      <c r="L44" s="910">
        <f t="shared" si="22"/>
        <v>0</v>
      </c>
      <c r="M44" s="910">
        <f t="shared" si="22"/>
        <v>70320707.920000002</v>
      </c>
    </row>
    <row r="45" spans="1:13" x14ac:dyDescent="0.25">
      <c r="A45" s="271" t="s">
        <v>807</v>
      </c>
      <c r="B45" s="676">
        <f>'Felosztás eredménykim'!EY325*1000</f>
        <v>58358888</v>
      </c>
      <c r="C45" s="677">
        <f>('Felosztás eredménykim'!EY326+'Felosztás eredménykim'!EY354)*1000</f>
        <v>4241386.4200000009</v>
      </c>
      <c r="D45" s="595">
        <f>'Felosztás eredménykim'!EY325*1000+'Felosztás eredménykim'!EY326*1000+'Felosztás eredménykim'!EY354*1000</f>
        <v>62600274.420000002</v>
      </c>
      <c r="E45" s="911"/>
      <c r="F45" s="912"/>
      <c r="G45" s="912">
        <v>0</v>
      </c>
      <c r="H45" s="912"/>
      <c r="I45" s="912"/>
      <c r="J45" s="912">
        <f>'Felosztás eredménykim'!DL325*1000+'Felosztás eredménykim'!DL326*1000+'Felosztás eredménykim'!DL354*1000</f>
        <v>25073177</v>
      </c>
      <c r="K45" s="912"/>
      <c r="L45" s="913"/>
      <c r="M45" s="914">
        <f t="shared" ref="M45:M46" si="23">SUM(D45:I45)</f>
        <v>62600274.420000002</v>
      </c>
    </row>
    <row r="46" spans="1:13" ht="21" x14ac:dyDescent="0.25">
      <c r="A46" s="271" t="s">
        <v>809</v>
      </c>
      <c r="B46" s="271"/>
      <c r="C46" s="271"/>
      <c r="D46" s="595">
        <f>'Felosztás eredménykim'!EY327*1000</f>
        <v>0</v>
      </c>
      <c r="E46" s="911"/>
      <c r="F46" s="912"/>
      <c r="G46" s="912"/>
      <c r="H46" s="912"/>
      <c r="I46" s="912"/>
      <c r="J46" s="912">
        <f>'Felosztás eredménykim'!DL327*1000</f>
        <v>5006120</v>
      </c>
      <c r="K46" s="912"/>
      <c r="L46" s="913"/>
      <c r="M46" s="914">
        <f t="shared" si="23"/>
        <v>0</v>
      </c>
    </row>
    <row r="47" spans="1:13" ht="21" x14ac:dyDescent="0.25">
      <c r="A47" s="272" t="s">
        <v>810</v>
      </c>
      <c r="B47" s="676">
        <f>('Felosztás eredménykim'!EY328)*1000</f>
        <v>7479087</v>
      </c>
      <c r="C47" s="678">
        <f>'Felosztás eredménykim'!EY356*1000</f>
        <v>241346.5</v>
      </c>
      <c r="D47" s="595">
        <f>('Felosztás eredménykim'!EY328+'Felosztás eredménykim'!EY356)*1000</f>
        <v>7720433.5</v>
      </c>
      <c r="E47" s="915"/>
      <c r="F47" s="916"/>
      <c r="G47" s="916">
        <v>0</v>
      </c>
      <c r="H47" s="916"/>
      <c r="I47" s="916"/>
      <c r="J47" s="912">
        <f>('Felosztás eredménykim'!DL328+'Felosztás eredménykim'!DL356)*1000</f>
        <v>2555082.9999999995</v>
      </c>
      <c r="K47" s="916">
        <f>'Felosztás eredménykim'!DT356*1000</f>
        <v>0</v>
      </c>
      <c r="L47" s="917"/>
      <c r="M47" s="914">
        <f>SUM(D47)</f>
        <v>7720433.5</v>
      </c>
    </row>
    <row r="48" spans="1:13" x14ac:dyDescent="0.25">
      <c r="A48" s="270" t="s">
        <v>811</v>
      </c>
      <c r="B48" s="370">
        <f t="shared" ref="B48:K48" si="24">B51+B49+B52+B50</f>
        <v>6457145.25</v>
      </c>
      <c r="C48" s="370">
        <f t="shared" si="24"/>
        <v>508000</v>
      </c>
      <c r="D48" s="910">
        <f t="shared" si="24"/>
        <v>7549040.3399999999</v>
      </c>
      <c r="E48" s="918">
        <f t="shared" si="24"/>
        <v>0</v>
      </c>
      <c r="F48" s="910">
        <f t="shared" si="24"/>
        <v>508000</v>
      </c>
      <c r="G48" s="910">
        <f t="shared" si="24"/>
        <v>0</v>
      </c>
      <c r="H48" s="910">
        <f t="shared" si="24"/>
        <v>0</v>
      </c>
      <c r="I48" s="910">
        <f t="shared" si="24"/>
        <v>0</v>
      </c>
      <c r="J48" s="910">
        <f t="shared" si="24"/>
        <v>6635312.4399999995</v>
      </c>
      <c r="K48" s="910">
        <f t="shared" si="24"/>
        <v>0</v>
      </c>
      <c r="L48" s="919"/>
      <c r="M48" s="914">
        <f>M51+M49+M52+M50</f>
        <v>7549040.3399999999</v>
      </c>
    </row>
    <row r="49" spans="1:13" x14ac:dyDescent="0.25">
      <c r="A49" s="271" t="s">
        <v>1699</v>
      </c>
      <c r="B49" s="595">
        <f>D49</f>
        <v>3595242.73</v>
      </c>
      <c r="C49" s="271"/>
      <c r="D49" s="960">
        <f>'Felosztás eredménykim'!EY334*1000</f>
        <v>3595242.73</v>
      </c>
      <c r="E49" s="911">
        <v>0</v>
      </c>
      <c r="F49" s="912">
        <f>'Felosztás eredménykim'!DP334*1000</f>
        <v>0</v>
      </c>
      <c r="G49" s="912">
        <v>0</v>
      </c>
      <c r="H49" s="912">
        <v>0</v>
      </c>
      <c r="I49" s="912">
        <v>0</v>
      </c>
      <c r="J49" s="912">
        <f>'Felosztás eredménykim'!DL334*1000</f>
        <v>5181399</v>
      </c>
      <c r="K49" s="912">
        <v>0</v>
      </c>
      <c r="L49" s="913"/>
      <c r="M49" s="914">
        <f>SUM(D49)</f>
        <v>3595242.73</v>
      </c>
    </row>
    <row r="50" spans="1:13" x14ac:dyDescent="0.25">
      <c r="A50" s="274" t="s">
        <v>836</v>
      </c>
      <c r="B50" s="595">
        <f t="shared" ref="B50" si="25">D50</f>
        <v>1140028.2399999998</v>
      </c>
      <c r="C50" s="274"/>
      <c r="D50" s="961">
        <f>'Felosztás eredménykim'!EY331*1000</f>
        <v>1140028.2399999998</v>
      </c>
      <c r="E50" s="920">
        <v>0</v>
      </c>
      <c r="F50" s="921">
        <v>0</v>
      </c>
      <c r="G50" s="921">
        <v>0</v>
      </c>
      <c r="H50" s="921">
        <v>0</v>
      </c>
      <c r="I50" s="921">
        <v>0</v>
      </c>
      <c r="J50" s="921">
        <v>0</v>
      </c>
      <c r="K50" s="921">
        <v>0</v>
      </c>
      <c r="L50" s="922"/>
      <c r="M50" s="914">
        <f>SUM(D50)</f>
        <v>1140028.2399999998</v>
      </c>
    </row>
    <row r="51" spans="1:13" x14ac:dyDescent="0.25">
      <c r="A51" s="271" t="s">
        <v>813</v>
      </c>
      <c r="B51" s="595">
        <f>D51-C51</f>
        <v>1721874.2799999998</v>
      </c>
      <c r="C51" s="595">
        <f>H51+I51+F51</f>
        <v>508000</v>
      </c>
      <c r="D51" s="912">
        <f>('Felosztás eredménykim'!EY332+'Felosztás eredménykim'!EY333)*1000</f>
        <v>2229874.2799999998</v>
      </c>
      <c r="E51" s="911">
        <f>('Felosztás eredménykim'!DO331+'Felosztás eredménykim'!DO332+'Felosztás eredménykim'!DO333+'Felosztás eredménykim'!DO334)*1000</f>
        <v>0</v>
      </c>
      <c r="F51" s="912">
        <f>('Felosztás eredménykim'!DP332+'Felosztás eredménykim'!DP333)*1000</f>
        <v>508000</v>
      </c>
      <c r="G51" s="912">
        <f>'Felosztás eredménykim'!DQ332*1000</f>
        <v>0</v>
      </c>
      <c r="H51" s="912">
        <f>(+'Felosztás eredménykim'!EW333+'Felosztás eredménykim'!EX333)*1000</f>
        <v>0</v>
      </c>
      <c r="I51" s="912">
        <f>('Felosztás eredménykim'!EW332+'Felosztás eredménykim'!EX332)*1000</f>
        <v>0</v>
      </c>
      <c r="J51" s="912">
        <f>('Felosztás eredménykim'!DL332+'Felosztás eredménykim'!DL333)*1000</f>
        <v>1195365.44</v>
      </c>
      <c r="K51" s="912"/>
      <c r="L51" s="913"/>
      <c r="M51" s="914">
        <f>SUM(D51)</f>
        <v>2229874.2799999998</v>
      </c>
    </row>
    <row r="52" spans="1:13" ht="13" thickBot="1" x14ac:dyDescent="0.3">
      <c r="A52" s="273" t="s">
        <v>840</v>
      </c>
      <c r="B52" s="273"/>
      <c r="C52" s="273"/>
      <c r="D52" s="912">
        <f>'Felosztás eredménykim'!EY330*1000</f>
        <v>583895.09</v>
      </c>
      <c r="E52" s="911">
        <v>0</v>
      </c>
      <c r="F52" s="912">
        <v>0</v>
      </c>
      <c r="G52" s="912">
        <v>0</v>
      </c>
      <c r="H52" s="912">
        <v>0</v>
      </c>
      <c r="I52" s="912">
        <v>0</v>
      </c>
      <c r="J52" s="912">
        <f>'Felosztás eredménykim'!DL330*1000</f>
        <v>258548</v>
      </c>
      <c r="K52" s="912">
        <v>0</v>
      </c>
      <c r="L52" s="913"/>
      <c r="M52" s="914">
        <f>SUM(D52)</f>
        <v>583895.09</v>
      </c>
    </row>
    <row r="53" spans="1:13" ht="13" thickBot="1" x14ac:dyDescent="0.3">
      <c r="A53" s="275" t="s">
        <v>815</v>
      </c>
      <c r="B53" s="374">
        <f t="shared" ref="B53:C53" si="26">B44+B48</f>
        <v>72295120.25</v>
      </c>
      <c r="C53" s="374">
        <f t="shared" si="26"/>
        <v>4990732.9200000009</v>
      </c>
      <c r="D53" s="923">
        <f t="shared" ref="D53:K53" si="27">D44+D48</f>
        <v>77869748.260000005</v>
      </c>
      <c r="E53" s="924">
        <f t="shared" si="27"/>
        <v>0</v>
      </c>
      <c r="F53" s="923">
        <f t="shared" si="27"/>
        <v>508000</v>
      </c>
      <c r="G53" s="923">
        <f t="shared" si="27"/>
        <v>0</v>
      </c>
      <c r="H53" s="923">
        <f t="shared" si="27"/>
        <v>0</v>
      </c>
      <c r="I53" s="923">
        <f t="shared" si="27"/>
        <v>0</v>
      </c>
      <c r="J53" s="923">
        <f t="shared" si="27"/>
        <v>39269692.439999998</v>
      </c>
      <c r="K53" s="923">
        <f t="shared" si="27"/>
        <v>0</v>
      </c>
      <c r="L53" s="925"/>
      <c r="M53" s="926">
        <f>M44+M48</f>
        <v>77869748.260000005</v>
      </c>
    </row>
    <row r="54" spans="1:13" x14ac:dyDescent="0.25">
      <c r="A54" s="276" t="s">
        <v>816</v>
      </c>
      <c r="B54" s="276"/>
      <c r="C54" s="276"/>
      <c r="D54" s="927"/>
      <c r="E54" s="928"/>
      <c r="F54" s="929"/>
      <c r="G54" s="929"/>
      <c r="H54" s="929"/>
      <c r="I54" s="929"/>
      <c r="J54" s="929"/>
      <c r="K54" s="929"/>
      <c r="L54" s="930"/>
      <c r="M54" s="914"/>
    </row>
    <row r="55" spans="1:13" x14ac:dyDescent="0.25">
      <c r="A55" s="273" t="s">
        <v>817</v>
      </c>
      <c r="B55" s="595">
        <f>D55</f>
        <v>0</v>
      </c>
      <c r="C55" s="273"/>
      <c r="D55" s="595">
        <f>'Felosztás eredménykim'!EY337*1000</f>
        <v>0</v>
      </c>
      <c r="E55" s="931"/>
      <c r="F55" s="932"/>
      <c r="G55" s="932"/>
      <c r="H55" s="932"/>
      <c r="I55" s="932"/>
      <c r="J55" s="932"/>
      <c r="K55" s="932"/>
      <c r="L55" s="933"/>
      <c r="M55" s="914">
        <f>SUM(D55)</f>
        <v>0</v>
      </c>
    </row>
    <row r="56" spans="1:13" ht="13" thickBot="1" x14ac:dyDescent="0.3">
      <c r="A56" s="274" t="s">
        <v>818</v>
      </c>
      <c r="B56" s="274"/>
      <c r="C56" s="274"/>
      <c r="D56" s="962"/>
      <c r="E56" s="920"/>
      <c r="F56" s="921"/>
      <c r="G56" s="921"/>
      <c r="H56" s="921"/>
      <c r="I56" s="921"/>
      <c r="J56" s="921"/>
      <c r="K56" s="921"/>
      <c r="L56" s="922"/>
      <c r="M56" s="914">
        <f>SUM(D56)</f>
        <v>0</v>
      </c>
    </row>
    <row r="57" spans="1:13" ht="13" thickBot="1" x14ac:dyDescent="0.3">
      <c r="A57" s="277" t="s">
        <v>819</v>
      </c>
      <c r="B57" s="377">
        <f t="shared" ref="B57:C57" si="28">SUM(B54:B56)</f>
        <v>0</v>
      </c>
      <c r="C57" s="377">
        <f t="shared" si="28"/>
        <v>0</v>
      </c>
      <c r="D57" s="934">
        <f t="shared" ref="D57:K57" si="29">SUM(D54:D56)</f>
        <v>0</v>
      </c>
      <c r="E57" s="935">
        <f t="shared" si="29"/>
        <v>0</v>
      </c>
      <c r="F57" s="936">
        <f t="shared" si="29"/>
        <v>0</v>
      </c>
      <c r="G57" s="936">
        <f t="shared" si="29"/>
        <v>0</v>
      </c>
      <c r="H57" s="936">
        <f t="shared" si="29"/>
        <v>0</v>
      </c>
      <c r="I57" s="936">
        <f>SUM(I54:I56)</f>
        <v>0</v>
      </c>
      <c r="J57" s="936">
        <f>SUM(J54:J56)</f>
        <v>0</v>
      </c>
      <c r="K57" s="936">
        <f t="shared" si="29"/>
        <v>0</v>
      </c>
      <c r="L57" s="937"/>
      <c r="M57" s="938">
        <f>M55+M56</f>
        <v>0</v>
      </c>
    </row>
    <row r="58" spans="1:13" ht="13" thickBot="1" x14ac:dyDescent="0.3">
      <c r="A58" s="277" t="s">
        <v>820</v>
      </c>
      <c r="B58" s="378">
        <f t="shared" ref="B58:C58" si="30">B57+B53</f>
        <v>72295120.25</v>
      </c>
      <c r="C58" s="378">
        <f t="shared" si="30"/>
        <v>4990732.9200000009</v>
      </c>
      <c r="D58" s="939">
        <f t="shared" ref="D58:M58" si="31">D57+D53</f>
        <v>77869748.260000005</v>
      </c>
      <c r="E58" s="940">
        <f t="shared" si="31"/>
        <v>0</v>
      </c>
      <c r="F58" s="941">
        <f t="shared" si="31"/>
        <v>508000</v>
      </c>
      <c r="G58" s="941">
        <f t="shared" si="31"/>
        <v>0</v>
      </c>
      <c r="H58" s="941">
        <f t="shared" si="31"/>
        <v>0</v>
      </c>
      <c r="I58" s="941">
        <f>I57+I53</f>
        <v>0</v>
      </c>
      <c r="J58" s="941">
        <f>J57+J53</f>
        <v>39269692.439999998</v>
      </c>
      <c r="K58" s="941">
        <f t="shared" si="31"/>
        <v>0</v>
      </c>
      <c r="L58" s="942"/>
      <c r="M58" s="938">
        <f t="shared" si="31"/>
        <v>77869748.260000005</v>
      </c>
    </row>
    <row r="59" spans="1:13" x14ac:dyDescent="0.25">
      <c r="A59" s="278" t="s">
        <v>821</v>
      </c>
      <c r="B59" s="278"/>
      <c r="C59" s="278"/>
      <c r="D59" s="943"/>
      <c r="E59" s="928"/>
      <c r="F59" s="929"/>
      <c r="G59" s="929"/>
      <c r="H59" s="929"/>
      <c r="I59" s="929"/>
      <c r="J59" s="929"/>
      <c r="K59" s="929"/>
      <c r="L59" s="930"/>
      <c r="M59" s="914">
        <f>SUM(D59)</f>
        <v>0</v>
      </c>
    </row>
    <row r="60" spans="1:13" x14ac:dyDescent="0.25">
      <c r="A60" s="279" t="s">
        <v>822</v>
      </c>
      <c r="B60" s="279"/>
      <c r="C60" s="279"/>
      <c r="D60" s="912"/>
      <c r="E60" s="931"/>
      <c r="F60" s="932"/>
      <c r="G60" s="932"/>
      <c r="H60" s="932"/>
      <c r="I60" s="932"/>
      <c r="J60" s="932"/>
      <c r="K60" s="932"/>
      <c r="L60" s="933"/>
      <c r="M60" s="914">
        <f>SUM(D60)</f>
        <v>0</v>
      </c>
    </row>
    <row r="61" spans="1:13" x14ac:dyDescent="0.25">
      <c r="A61" s="280" t="s">
        <v>823</v>
      </c>
      <c r="B61" s="595">
        <f>D61</f>
        <v>157667.78000000003</v>
      </c>
      <c r="C61" s="280"/>
      <c r="D61" s="912">
        <f>-('Felosztás eredménykim'!EY344)*1000-I61</f>
        <v>157667.78000000003</v>
      </c>
      <c r="E61" s="931"/>
      <c r="F61" s="932">
        <f>-'Felosztás eredménykim'!DP344*1000</f>
        <v>0</v>
      </c>
      <c r="G61" s="932"/>
      <c r="H61" s="932"/>
      <c r="I61" s="932">
        <f>-'Felosztás eredménykim'!EW344*1000-'Felosztás eredménykim'!EX344*1000</f>
        <v>0</v>
      </c>
      <c r="J61" s="932">
        <f>-'Felosztás eredménykim'!DL344*1000</f>
        <v>39185197</v>
      </c>
      <c r="K61" s="932"/>
      <c r="L61" s="933"/>
      <c r="M61" s="914">
        <f>SUM(D61)</f>
        <v>157667.78000000003</v>
      </c>
    </row>
    <row r="62" spans="1:13" ht="13" thickBot="1" x14ac:dyDescent="0.3">
      <c r="A62" s="281" t="s">
        <v>824</v>
      </c>
      <c r="B62" s="380">
        <f t="shared" ref="B62:K62" si="32">SUM(B60:B61)</f>
        <v>157667.78000000003</v>
      </c>
      <c r="C62" s="380">
        <f t="shared" si="32"/>
        <v>0</v>
      </c>
      <c r="D62" s="944">
        <f t="shared" si="32"/>
        <v>157667.78000000003</v>
      </c>
      <c r="E62" s="945">
        <f t="shared" si="32"/>
        <v>0</v>
      </c>
      <c r="F62" s="946">
        <f t="shared" si="32"/>
        <v>0</v>
      </c>
      <c r="G62" s="946">
        <f t="shared" si="32"/>
        <v>0</v>
      </c>
      <c r="H62" s="946">
        <f t="shared" si="32"/>
        <v>0</v>
      </c>
      <c r="I62" s="946">
        <f>SUM(I60:I61)</f>
        <v>0</v>
      </c>
      <c r="J62" s="946">
        <f>SUM(J60:J61)</f>
        <v>39185197</v>
      </c>
      <c r="K62" s="946">
        <f t="shared" si="32"/>
        <v>0</v>
      </c>
      <c r="L62" s="963"/>
      <c r="M62" s="914">
        <f>SUM(D62)</f>
        <v>157667.78000000003</v>
      </c>
    </row>
    <row r="63" spans="1:13" x14ac:dyDescent="0.25">
      <c r="A63" s="278" t="s">
        <v>825</v>
      </c>
      <c r="B63" s="278"/>
      <c r="C63" s="278"/>
      <c r="D63" s="943"/>
      <c r="E63" s="928"/>
      <c r="F63" s="929"/>
      <c r="G63" s="929"/>
      <c r="H63" s="929"/>
      <c r="I63" s="929"/>
      <c r="J63" s="929"/>
      <c r="K63" s="929"/>
      <c r="L63" s="982"/>
      <c r="M63" s="949">
        <f t="shared" ref="M63" si="33">SUM(D63:K63)</f>
        <v>0</v>
      </c>
    </row>
    <row r="64" spans="1:13" ht="13" thickBot="1" x14ac:dyDescent="0.3">
      <c r="A64" s="282" t="s">
        <v>826</v>
      </c>
      <c r="B64" s="282"/>
      <c r="C64" s="282"/>
      <c r="D64" s="964"/>
      <c r="E64" s="920"/>
      <c r="F64" s="921"/>
      <c r="G64" s="921"/>
      <c r="H64" s="921"/>
      <c r="I64" s="921"/>
      <c r="J64" s="921"/>
      <c r="K64" s="921"/>
      <c r="L64" s="922"/>
      <c r="M64" s="914">
        <f t="shared" ref="M64:M70" si="34">SUM(D64)</f>
        <v>0</v>
      </c>
    </row>
    <row r="65" spans="1:14" ht="13" thickBot="1" x14ac:dyDescent="0.3">
      <c r="A65" s="277" t="s">
        <v>827</v>
      </c>
      <c r="B65" s="377">
        <f t="shared" ref="B65:C65" si="35">SUM(B63:B64)</f>
        <v>0</v>
      </c>
      <c r="C65" s="377">
        <f t="shared" si="35"/>
        <v>0</v>
      </c>
      <c r="D65" s="934">
        <f t="shared" ref="D65:K65" si="36">SUM(D63:D64)</f>
        <v>0</v>
      </c>
      <c r="E65" s="935">
        <f t="shared" si="36"/>
        <v>0</v>
      </c>
      <c r="F65" s="936">
        <f t="shared" si="36"/>
        <v>0</v>
      </c>
      <c r="G65" s="936">
        <f t="shared" si="36"/>
        <v>0</v>
      </c>
      <c r="H65" s="936">
        <f t="shared" si="36"/>
        <v>0</v>
      </c>
      <c r="I65" s="936">
        <f>SUM(I63:I64)</f>
        <v>0</v>
      </c>
      <c r="J65" s="936">
        <f>SUM(J63:J64)</f>
        <v>0</v>
      </c>
      <c r="K65" s="936">
        <f t="shared" si="36"/>
        <v>0</v>
      </c>
      <c r="L65" s="937"/>
      <c r="M65" s="938">
        <f t="shared" si="34"/>
        <v>0</v>
      </c>
    </row>
    <row r="66" spans="1:14" ht="13" thickBot="1" x14ac:dyDescent="0.3">
      <c r="A66" s="277" t="s">
        <v>828</v>
      </c>
      <c r="B66" s="378">
        <f t="shared" ref="B66:C66" si="37">B65+B62</f>
        <v>157667.78000000003</v>
      </c>
      <c r="C66" s="378">
        <f t="shared" si="37"/>
        <v>0</v>
      </c>
      <c r="D66" s="939">
        <f t="shared" ref="D66:K66" si="38">D65+D62</f>
        <v>157667.78000000003</v>
      </c>
      <c r="E66" s="940">
        <f t="shared" si="38"/>
        <v>0</v>
      </c>
      <c r="F66" s="941">
        <f t="shared" si="38"/>
        <v>0</v>
      </c>
      <c r="G66" s="941">
        <f t="shared" si="38"/>
        <v>0</v>
      </c>
      <c r="H66" s="941">
        <f t="shared" si="38"/>
        <v>0</v>
      </c>
      <c r="I66" s="941">
        <f>I65+I62</f>
        <v>0</v>
      </c>
      <c r="J66" s="941">
        <f>J65+J62</f>
        <v>39185197</v>
      </c>
      <c r="K66" s="950">
        <f t="shared" si="38"/>
        <v>0</v>
      </c>
      <c r="L66" s="939"/>
      <c r="M66" s="938">
        <f t="shared" si="34"/>
        <v>157667.78000000003</v>
      </c>
    </row>
    <row r="67" spans="1:14" ht="13" thickBot="1" x14ac:dyDescent="0.3">
      <c r="A67" s="277" t="s">
        <v>703</v>
      </c>
      <c r="B67" s="378">
        <f t="shared" ref="B67:C67" si="39">B58-B66</f>
        <v>72137452.469999999</v>
      </c>
      <c r="C67" s="378">
        <f t="shared" si="39"/>
        <v>4990732.9200000009</v>
      </c>
      <c r="D67" s="939">
        <f t="shared" ref="D67:K67" si="40">D58-D66</f>
        <v>77712080.480000004</v>
      </c>
      <c r="E67" s="940">
        <f t="shared" si="40"/>
        <v>0</v>
      </c>
      <c r="F67" s="952">
        <f t="shared" si="40"/>
        <v>508000</v>
      </c>
      <c r="G67" s="952">
        <f t="shared" si="40"/>
        <v>0</v>
      </c>
      <c r="H67" s="952">
        <f t="shared" si="40"/>
        <v>0</v>
      </c>
      <c r="I67" s="952">
        <f>I58-I66</f>
        <v>0</v>
      </c>
      <c r="J67" s="952">
        <f>J58-J66</f>
        <v>84495.439999997616</v>
      </c>
      <c r="K67" s="953">
        <f t="shared" si="40"/>
        <v>0</v>
      </c>
      <c r="L67" s="939"/>
      <c r="M67" s="938">
        <f t="shared" si="34"/>
        <v>77712080.480000004</v>
      </c>
      <c r="N67" s="604">
        <f>+M58-M62</f>
        <v>77712080.480000004</v>
      </c>
    </row>
    <row r="68" spans="1:14" ht="13.5" thickBot="1" x14ac:dyDescent="0.35">
      <c r="A68" s="173" t="s">
        <v>703</v>
      </c>
      <c r="B68" s="713">
        <f>D68-C68</f>
        <v>72721347.560000017</v>
      </c>
      <c r="C68" s="713">
        <f>C67</f>
        <v>4990732.9200000009</v>
      </c>
      <c r="D68" s="965">
        <f>Összesítés!H70</f>
        <v>77712080.480000019</v>
      </c>
      <c r="E68" s="966">
        <f>Összesítés!H64</f>
        <v>0</v>
      </c>
      <c r="F68" s="967">
        <f>Összesítés!H65</f>
        <v>0</v>
      </c>
      <c r="G68" s="967">
        <f>Összesítés!H66</f>
        <v>0</v>
      </c>
      <c r="H68" s="967">
        <f>H67</f>
        <v>0</v>
      </c>
      <c r="I68" s="967">
        <f>I67</f>
        <v>0</v>
      </c>
      <c r="J68" s="967">
        <f>J67</f>
        <v>84495.439999997616</v>
      </c>
      <c r="K68" s="979">
        <f>K67</f>
        <v>0</v>
      </c>
      <c r="L68" s="965"/>
      <c r="M68" s="938">
        <f t="shared" si="34"/>
        <v>77712080.480000019</v>
      </c>
    </row>
    <row r="69" spans="1:14" ht="13.5" thickBot="1" x14ac:dyDescent="0.35">
      <c r="A69" s="174" t="s">
        <v>713</v>
      </c>
      <c r="B69" s="582"/>
      <c r="C69" s="582"/>
      <c r="D69" s="968">
        <f>Összesítés!K63</f>
        <v>45303654.831190236</v>
      </c>
      <c r="E69" s="956"/>
      <c r="F69" s="957"/>
      <c r="G69" s="957"/>
      <c r="H69" s="957"/>
      <c r="I69" s="957"/>
      <c r="J69" s="957"/>
      <c r="K69" s="958"/>
      <c r="L69" s="954"/>
      <c r="M69" s="938">
        <f t="shared" si="34"/>
        <v>45303654.831190236</v>
      </c>
    </row>
    <row r="70" spans="1:14" ht="13.5" thickBot="1" x14ac:dyDescent="0.35">
      <c r="A70" s="175" t="s">
        <v>714</v>
      </c>
      <c r="B70" s="381">
        <f t="shared" ref="B70:C70" si="41">SUM(B68:B69)</f>
        <v>72721347.560000017</v>
      </c>
      <c r="C70" s="381">
        <f t="shared" si="41"/>
        <v>4990732.9200000009</v>
      </c>
      <c r="D70" s="954">
        <f>SUM(D68:D69)</f>
        <v>123015735.31119025</v>
      </c>
      <c r="E70" s="954">
        <f t="shared" ref="E70:K70" si="42">SUM(E68:E69)</f>
        <v>0</v>
      </c>
      <c r="F70" s="954">
        <f t="shared" si="42"/>
        <v>0</v>
      </c>
      <c r="G70" s="954">
        <f t="shared" si="42"/>
        <v>0</v>
      </c>
      <c r="H70" s="954">
        <f t="shared" si="42"/>
        <v>0</v>
      </c>
      <c r="I70" s="954">
        <f>SUM(I68:I69)</f>
        <v>0</v>
      </c>
      <c r="J70" s="954">
        <f>SUM(J68:J69)</f>
        <v>84495.439999997616</v>
      </c>
      <c r="K70" s="980">
        <f t="shared" si="42"/>
        <v>0</v>
      </c>
      <c r="L70" s="954"/>
      <c r="M70" s="938">
        <f t="shared" si="34"/>
        <v>123015735.31119025</v>
      </c>
    </row>
    <row r="71" spans="1:14" ht="13.5" thickBot="1" x14ac:dyDescent="0.35">
      <c r="A71" s="993" t="s">
        <v>1665</v>
      </c>
      <c r="B71" s="993"/>
      <c r="C71" s="993"/>
      <c r="D71" s="981">
        <f>Összesítés!S23</f>
        <v>0</v>
      </c>
      <c r="E71" s="981"/>
      <c r="F71" s="981"/>
      <c r="G71" s="981"/>
      <c r="H71" s="981"/>
      <c r="I71" s="981"/>
      <c r="J71" s="981"/>
      <c r="K71" s="981"/>
      <c r="L71" s="981"/>
      <c r="M71" s="969">
        <f>D71</f>
        <v>0</v>
      </c>
    </row>
    <row r="72" spans="1:14" ht="24.75" customHeight="1" thickBot="1" x14ac:dyDescent="0.35">
      <c r="A72" s="154" t="s">
        <v>1820</v>
      </c>
      <c r="B72" s="584"/>
      <c r="C72" s="584"/>
      <c r="D72" s="290">
        <f>'Felosztás eredménykim'!DC290-J72</f>
        <v>11.100000000000001</v>
      </c>
      <c r="E72" s="291"/>
      <c r="F72" s="292"/>
      <c r="G72" s="292"/>
      <c r="H72" s="292"/>
      <c r="I72" s="292"/>
      <c r="J72" s="292">
        <f>'Felosztás eredménykim'!DJ290</f>
        <v>12.96</v>
      </c>
      <c r="K72" s="605"/>
      <c r="L72" s="606"/>
      <c r="M72" s="293">
        <f>SUM(D72:K72)</f>
        <v>24.060000000000002</v>
      </c>
    </row>
    <row r="75" spans="1:14" ht="13.5" hidden="1" thickBot="1" x14ac:dyDescent="0.35">
      <c r="A75" s="160" t="s">
        <v>707</v>
      </c>
      <c r="B75" s="160"/>
      <c r="C75" s="160"/>
      <c r="D75" s="160"/>
      <c r="E75" s="161"/>
      <c r="G75" s="162"/>
      <c r="H75" s="162"/>
      <c r="I75" s="162"/>
      <c r="J75" s="162"/>
      <c r="K75" s="162"/>
      <c r="L75" s="162"/>
      <c r="M75" s="161" t="s">
        <v>701</v>
      </c>
    </row>
    <row r="76" spans="1:14" ht="13.5" hidden="1" thickBot="1" x14ac:dyDescent="0.35">
      <c r="A76" s="163"/>
      <c r="B76" s="580"/>
      <c r="C76" s="580"/>
      <c r="D76" s="1166" t="s">
        <v>1701</v>
      </c>
      <c r="E76" s="1167"/>
      <c r="F76" s="1167"/>
      <c r="G76" s="1167"/>
      <c r="H76" s="1167"/>
      <c r="I76" s="1167"/>
      <c r="J76" s="1167"/>
      <c r="K76" s="1168"/>
      <c r="L76" s="588"/>
      <c r="M76" s="164"/>
    </row>
    <row r="77" spans="1:14" ht="13.5" hidden="1" thickTop="1" thickBot="1" x14ac:dyDescent="0.3">
      <c r="A77" s="165" t="s">
        <v>702</v>
      </c>
      <c r="B77" s="581"/>
      <c r="C77" s="581"/>
      <c r="D77" s="1169" t="s">
        <v>606</v>
      </c>
      <c r="E77" s="1170"/>
      <c r="F77" s="1170"/>
      <c r="G77" s="1170"/>
      <c r="H77" s="1170"/>
      <c r="I77" s="1170"/>
      <c r="J77" s="1170"/>
      <c r="K77" s="1170"/>
      <c r="L77" s="575"/>
      <c r="M77" s="166" t="s">
        <v>607</v>
      </c>
    </row>
    <row r="78" spans="1:14" ht="13.5" hidden="1" thickTop="1" thickBot="1" x14ac:dyDescent="0.3">
      <c r="A78" s="165"/>
      <c r="B78" s="581"/>
      <c r="C78" s="581"/>
      <c r="D78" s="1171" t="s">
        <v>608</v>
      </c>
      <c r="E78" s="1172"/>
      <c r="F78" s="1172"/>
      <c r="G78" s="1172"/>
      <c r="H78" s="1172"/>
      <c r="I78" s="1172"/>
      <c r="J78" s="1172"/>
      <c r="K78" s="1172"/>
      <c r="L78" s="576"/>
      <c r="M78" s="167"/>
    </row>
    <row r="79" spans="1:14" ht="48.75" hidden="1" customHeight="1" thickTop="1" thickBot="1" x14ac:dyDescent="0.3">
      <c r="A79" s="168" t="s">
        <v>709</v>
      </c>
      <c r="B79" s="168" t="s">
        <v>1687</v>
      </c>
      <c r="C79" s="168" t="s">
        <v>1688</v>
      </c>
      <c r="D79" s="168" t="s">
        <v>1689</v>
      </c>
      <c r="E79" s="169" t="s">
        <v>1690</v>
      </c>
      <c r="F79" s="169" t="s">
        <v>1691</v>
      </c>
      <c r="G79" s="169" t="s">
        <v>1692</v>
      </c>
      <c r="H79" s="170" t="s">
        <v>1693</v>
      </c>
      <c r="I79" s="171" t="s">
        <v>1694</v>
      </c>
      <c r="J79" s="450" t="s">
        <v>1695</v>
      </c>
      <c r="K79" s="171" t="s">
        <v>1696</v>
      </c>
      <c r="L79" s="589" t="s">
        <v>1697</v>
      </c>
      <c r="M79" s="172" t="s">
        <v>1698</v>
      </c>
    </row>
    <row r="80" spans="1:14" ht="13.5" hidden="1" thickBot="1" x14ac:dyDescent="0.35">
      <c r="A80" s="173" t="s">
        <v>703</v>
      </c>
      <c r="B80" s="173"/>
      <c r="C80" s="173"/>
      <c r="D80" s="178">
        <f t="shared" ref="D80:K80" si="43">D68/D31</f>
        <v>0.85553588767426103</v>
      </c>
      <c r="E80" s="178" t="e">
        <f t="shared" si="43"/>
        <v>#DIV/0!</v>
      </c>
      <c r="F80" s="178">
        <f t="shared" si="43"/>
        <v>0</v>
      </c>
      <c r="G80" s="178" t="e">
        <f t="shared" si="43"/>
        <v>#DIV/0!</v>
      </c>
      <c r="H80" s="178" t="e">
        <f t="shared" si="43"/>
        <v>#DIV/0!</v>
      </c>
      <c r="I80" s="178" t="e">
        <f t="shared" si="43"/>
        <v>#DIV/0!</v>
      </c>
      <c r="J80" s="178">
        <f t="shared" si="43"/>
        <v>-0.11458562516951128</v>
      </c>
      <c r="K80" s="178">
        <f t="shared" si="43"/>
        <v>0</v>
      </c>
      <c r="L80" s="178"/>
      <c r="M80" s="178">
        <f>M68/M31</f>
        <v>0.80787003485360143</v>
      </c>
    </row>
    <row r="81" spans="1:13" ht="13.5" hidden="1" thickBot="1" x14ac:dyDescent="0.35">
      <c r="A81" s="174" t="s">
        <v>713</v>
      </c>
      <c r="B81" s="582"/>
      <c r="C81" s="582"/>
      <c r="D81" s="178">
        <f>D69/D32</f>
        <v>1.1393065035988568</v>
      </c>
      <c r="E81" s="178"/>
      <c r="F81" s="178"/>
      <c r="G81" s="178"/>
      <c r="H81" s="178"/>
      <c r="I81" s="178"/>
      <c r="J81" s="178"/>
      <c r="K81" s="178"/>
      <c r="L81" s="178"/>
      <c r="M81" s="178">
        <f>M69/M32</f>
        <v>1.1393065035988568</v>
      </c>
    </row>
    <row r="82" spans="1:13" ht="13.5" hidden="1" thickBot="1" x14ac:dyDescent="0.35">
      <c r="A82" s="175" t="s">
        <v>714</v>
      </c>
      <c r="B82" s="583"/>
      <c r="C82" s="583"/>
      <c r="D82" s="178">
        <f>D70/D33</f>
        <v>0.94193742541488423</v>
      </c>
      <c r="E82" s="178" t="e">
        <f t="shared" ref="E82:K82" si="44">E70/E33</f>
        <v>#DIV/0!</v>
      </c>
      <c r="F82" s="178">
        <f t="shared" si="44"/>
        <v>0</v>
      </c>
      <c r="G82" s="178" t="e">
        <f t="shared" si="44"/>
        <v>#DIV/0!</v>
      </c>
      <c r="H82" s="178" t="e">
        <f t="shared" si="44"/>
        <v>#DIV/0!</v>
      </c>
      <c r="I82" s="178" t="e">
        <f t="shared" si="44"/>
        <v>#DIV/0!</v>
      </c>
      <c r="J82" s="178">
        <f t="shared" si="44"/>
        <v>-0.11458562516951128</v>
      </c>
      <c r="K82" s="178">
        <f t="shared" si="44"/>
        <v>0</v>
      </c>
      <c r="L82" s="178"/>
      <c r="M82" s="178">
        <f>M70/M33</f>
        <v>0.90480670561584009</v>
      </c>
    </row>
    <row r="83" spans="1:13" ht="23.25" hidden="1" customHeight="1" thickBot="1" x14ac:dyDescent="0.35">
      <c r="A83" s="154" t="str">
        <f>A72</f>
        <v>létszám 2022.12.31.</v>
      </c>
      <c r="B83" s="586"/>
      <c r="C83" s="586"/>
      <c r="D83" s="178">
        <f>D72/D35</f>
        <v>0.76551724137931043</v>
      </c>
      <c r="E83" s="176"/>
      <c r="F83" s="177"/>
      <c r="G83" s="177"/>
      <c r="H83" s="177"/>
      <c r="I83" s="177"/>
      <c r="J83" s="177"/>
      <c r="K83" s="177"/>
      <c r="L83" s="593"/>
      <c r="M83" s="178">
        <f>M72/M35</f>
        <v>0.87490909090909097</v>
      </c>
    </row>
    <row r="84" spans="1:13" ht="13.5" hidden="1" thickBot="1" x14ac:dyDescent="0.35">
      <c r="A84" s="163"/>
      <c r="B84" s="580"/>
      <c r="C84" s="580"/>
      <c r="D84" s="1166" t="s">
        <v>1817</v>
      </c>
      <c r="E84" s="1167"/>
      <c r="F84" s="1167"/>
      <c r="G84" s="1167"/>
      <c r="H84" s="1167"/>
      <c r="I84" s="1167"/>
      <c r="J84" s="1167"/>
      <c r="K84" s="1168"/>
      <c r="L84" s="588"/>
      <c r="M84" s="164"/>
    </row>
    <row r="85" spans="1:13" hidden="1" x14ac:dyDescent="0.25">
      <c r="A85" s="165" t="s">
        <v>702</v>
      </c>
      <c r="B85" s="581"/>
      <c r="C85" s="581"/>
      <c r="D85" s="1169" t="s">
        <v>606</v>
      </c>
      <c r="E85" s="1170"/>
      <c r="F85" s="1170"/>
      <c r="G85" s="1170"/>
      <c r="H85" s="1170"/>
      <c r="I85" s="1170"/>
      <c r="J85" s="1170"/>
      <c r="K85" s="1170"/>
      <c r="L85" s="575"/>
      <c r="M85" s="166" t="s">
        <v>607</v>
      </c>
    </row>
    <row r="86" spans="1:13" ht="13.5" hidden="1" thickTop="1" thickBot="1" x14ac:dyDescent="0.3">
      <c r="A86" s="165"/>
      <c r="B86" s="581"/>
      <c r="C86" s="581"/>
      <c r="D86" s="1171" t="s">
        <v>608</v>
      </c>
      <c r="E86" s="1172"/>
      <c r="F86" s="1172"/>
      <c r="G86" s="1172"/>
      <c r="H86" s="1172"/>
      <c r="I86" s="1172"/>
      <c r="J86" s="1172"/>
      <c r="K86" s="1172"/>
      <c r="L86" s="576"/>
      <c r="M86" s="167"/>
    </row>
    <row r="87" spans="1:13" ht="47.25" hidden="1" customHeight="1" thickTop="1" x14ac:dyDescent="0.25">
      <c r="A87" s="168" t="s">
        <v>709</v>
      </c>
      <c r="B87" s="168"/>
      <c r="C87" s="168"/>
      <c r="D87" s="168" t="s">
        <v>609</v>
      </c>
      <c r="E87" s="169" t="s">
        <v>610</v>
      </c>
      <c r="F87" s="169" t="s">
        <v>611</v>
      </c>
      <c r="G87" s="169" t="s">
        <v>565</v>
      </c>
      <c r="H87" s="170" t="s">
        <v>612</v>
      </c>
      <c r="I87" s="171" t="s">
        <v>613</v>
      </c>
      <c r="J87" s="171" t="str">
        <f>J42</f>
        <v>hivatali takarítás piaci</v>
      </c>
      <c r="K87" s="171" t="str">
        <f>K42</f>
        <v>intézmény összesen, hivatali takarítás nélkül kötelező</v>
      </c>
      <c r="L87" s="589"/>
      <c r="M87" s="172" t="s">
        <v>1479</v>
      </c>
    </row>
    <row r="88" spans="1:13" hidden="1" x14ac:dyDescent="0.25">
      <c r="A88" s="267" t="s">
        <v>805</v>
      </c>
      <c r="B88" s="267"/>
      <c r="C88" s="267"/>
      <c r="D88" s="382"/>
      <c r="E88" s="372"/>
      <c r="F88" s="372"/>
      <c r="G88" s="372"/>
      <c r="H88" s="372"/>
      <c r="I88" s="372"/>
      <c r="J88" s="372"/>
      <c r="K88" s="372"/>
      <c r="L88" s="591"/>
      <c r="M88" s="383"/>
    </row>
    <row r="89" spans="1:13" hidden="1" x14ac:dyDescent="0.25">
      <c r="A89" s="270" t="s">
        <v>806</v>
      </c>
      <c r="B89" s="370">
        <f t="shared" ref="B89:D89" si="45">B90+B91+B92</f>
        <v>0</v>
      </c>
      <c r="C89" s="370">
        <f t="shared" si="45"/>
        <v>0</v>
      </c>
      <c r="D89" s="370">
        <f t="shared" si="45"/>
        <v>-31696447.920000002</v>
      </c>
      <c r="E89" s="370">
        <f t="shared" ref="E89:M89" si="46">E90+E91+E92</f>
        <v>0</v>
      </c>
      <c r="F89" s="370">
        <f t="shared" si="46"/>
        <v>0</v>
      </c>
      <c r="G89" s="370">
        <f t="shared" si="46"/>
        <v>0</v>
      </c>
      <c r="H89" s="370">
        <f t="shared" si="46"/>
        <v>0</v>
      </c>
      <c r="I89" s="370">
        <f t="shared" si="46"/>
        <v>0</v>
      </c>
      <c r="J89" s="370">
        <f t="shared" si="46"/>
        <v>-19137080</v>
      </c>
      <c r="K89" s="370">
        <f t="shared" si="46"/>
        <v>38624260</v>
      </c>
      <c r="L89" s="370">
        <f t="shared" si="46"/>
        <v>0</v>
      </c>
      <c r="M89" s="370">
        <f t="shared" si="46"/>
        <v>-31696447.920000002</v>
      </c>
    </row>
    <row r="90" spans="1:13" hidden="1" x14ac:dyDescent="0.25">
      <c r="A90" s="271" t="s">
        <v>807</v>
      </c>
      <c r="B90" s="271"/>
      <c r="C90" s="271"/>
      <c r="D90" s="371">
        <f t="shared" ref="D90:M90" si="47">D8/2-D45</f>
        <v>-28512243.920000002</v>
      </c>
      <c r="E90" s="371">
        <f t="shared" si="47"/>
        <v>0</v>
      </c>
      <c r="F90" s="371">
        <f t="shared" si="47"/>
        <v>0</v>
      </c>
      <c r="G90" s="371">
        <f t="shared" si="47"/>
        <v>0</v>
      </c>
      <c r="H90" s="371">
        <f t="shared" si="47"/>
        <v>0</v>
      </c>
      <c r="I90" s="371">
        <f t="shared" si="47"/>
        <v>0</v>
      </c>
      <c r="J90" s="371">
        <f t="shared" si="47"/>
        <v>-13189154</v>
      </c>
      <c r="K90" s="371">
        <f t="shared" si="47"/>
        <v>34088030.5</v>
      </c>
      <c r="L90" s="371">
        <f t="shared" si="47"/>
        <v>0</v>
      </c>
      <c r="M90" s="371">
        <f t="shared" si="47"/>
        <v>-28512243.920000002</v>
      </c>
    </row>
    <row r="91" spans="1:13" ht="21" hidden="1" x14ac:dyDescent="0.25">
      <c r="A91" s="271" t="s">
        <v>809</v>
      </c>
      <c r="B91" s="271"/>
      <c r="C91" s="271"/>
      <c r="D91" s="371">
        <f t="shared" ref="D91:M91" si="48">D9/2-D46</f>
        <v>0</v>
      </c>
      <c r="E91" s="371">
        <f t="shared" si="48"/>
        <v>0</v>
      </c>
      <c r="F91" s="371">
        <f t="shared" si="48"/>
        <v>0</v>
      </c>
      <c r="G91" s="371">
        <f t="shared" si="48"/>
        <v>0</v>
      </c>
      <c r="H91" s="371">
        <f t="shared" si="48"/>
        <v>0</v>
      </c>
      <c r="I91" s="371">
        <f t="shared" si="48"/>
        <v>0</v>
      </c>
      <c r="J91" s="371">
        <f t="shared" si="48"/>
        <v>-5006120</v>
      </c>
      <c r="K91" s="371">
        <f t="shared" si="48"/>
        <v>0</v>
      </c>
      <c r="L91" s="371">
        <f t="shared" si="48"/>
        <v>0</v>
      </c>
      <c r="M91" s="371">
        <f t="shared" si="48"/>
        <v>0</v>
      </c>
    </row>
    <row r="92" spans="1:13" ht="21" hidden="1" x14ac:dyDescent="0.25">
      <c r="A92" s="272" t="s">
        <v>810</v>
      </c>
      <c r="B92" s="272"/>
      <c r="C92" s="272"/>
      <c r="D92" s="371">
        <f t="shared" ref="D92:M92" si="49">D10/2-D47</f>
        <v>-3184204</v>
      </c>
      <c r="E92" s="371">
        <f t="shared" si="49"/>
        <v>0</v>
      </c>
      <c r="F92" s="371">
        <f t="shared" si="49"/>
        <v>0</v>
      </c>
      <c r="G92" s="371">
        <f t="shared" si="49"/>
        <v>0</v>
      </c>
      <c r="H92" s="371">
        <f t="shared" si="49"/>
        <v>0</v>
      </c>
      <c r="I92" s="371">
        <f t="shared" si="49"/>
        <v>0</v>
      </c>
      <c r="J92" s="371">
        <f t="shared" si="49"/>
        <v>-941805.99999999953</v>
      </c>
      <c r="K92" s="371">
        <f t="shared" si="49"/>
        <v>4536229.5</v>
      </c>
      <c r="L92" s="371">
        <f t="shared" si="49"/>
        <v>0</v>
      </c>
      <c r="M92" s="371">
        <f t="shared" si="49"/>
        <v>-3184204</v>
      </c>
    </row>
    <row r="93" spans="1:13" hidden="1" x14ac:dyDescent="0.25">
      <c r="A93" s="270" t="s">
        <v>811</v>
      </c>
      <c r="B93" s="270"/>
      <c r="C93" s="270"/>
      <c r="D93" s="370">
        <f t="shared" ref="D93" si="50">D96+D94+D97+D95</f>
        <v>-756105.3399999995</v>
      </c>
      <c r="E93" s="370">
        <f t="shared" ref="E93:M93" si="51">E96+E94+E97+E95</f>
        <v>0</v>
      </c>
      <c r="F93" s="370">
        <f t="shared" si="51"/>
        <v>2171700</v>
      </c>
      <c r="G93" s="370">
        <f t="shared" si="51"/>
        <v>0</v>
      </c>
      <c r="H93" s="370">
        <f t="shared" si="51"/>
        <v>0</v>
      </c>
      <c r="I93" s="370">
        <f t="shared" si="51"/>
        <v>0</v>
      </c>
      <c r="J93" s="370">
        <f t="shared" si="51"/>
        <v>-1301312.44</v>
      </c>
      <c r="K93" s="370">
        <f t="shared" si="51"/>
        <v>6442935</v>
      </c>
      <c r="L93" s="370">
        <f t="shared" si="51"/>
        <v>0</v>
      </c>
      <c r="M93" s="370">
        <f t="shared" si="51"/>
        <v>1923594.6600000006</v>
      </c>
    </row>
    <row r="94" spans="1:13" hidden="1" x14ac:dyDescent="0.25">
      <c r="A94" s="271" t="s">
        <v>1699</v>
      </c>
      <c r="B94" s="271"/>
      <c r="C94" s="271"/>
      <c r="D94" s="371">
        <f t="shared" ref="D94:M94" si="52">D12/2-D49</f>
        <v>-1095242.73</v>
      </c>
      <c r="E94" s="371">
        <f t="shared" si="52"/>
        <v>0</v>
      </c>
      <c r="F94" s="371">
        <f t="shared" si="52"/>
        <v>1905000</v>
      </c>
      <c r="G94" s="371">
        <f t="shared" si="52"/>
        <v>0</v>
      </c>
      <c r="H94" s="371">
        <f t="shared" si="52"/>
        <v>0</v>
      </c>
      <c r="I94" s="371">
        <f t="shared" si="52"/>
        <v>0</v>
      </c>
      <c r="J94" s="371">
        <f t="shared" si="52"/>
        <v>-2516399</v>
      </c>
      <c r="K94" s="371">
        <f t="shared" si="52"/>
        <v>2500000</v>
      </c>
      <c r="L94" s="371">
        <f t="shared" si="52"/>
        <v>0</v>
      </c>
      <c r="M94" s="371">
        <f t="shared" si="52"/>
        <v>809757.27</v>
      </c>
    </row>
    <row r="95" spans="1:13" hidden="1" x14ac:dyDescent="0.25">
      <c r="A95" s="274" t="s">
        <v>836</v>
      </c>
      <c r="B95" s="274"/>
      <c r="C95" s="274"/>
      <c r="D95" s="371">
        <f t="shared" ref="D95:M95" si="53">D13/2-D50</f>
        <v>5906.7600000002421</v>
      </c>
      <c r="E95" s="371">
        <f t="shared" si="53"/>
        <v>0</v>
      </c>
      <c r="F95" s="371">
        <f t="shared" si="53"/>
        <v>0</v>
      </c>
      <c r="G95" s="371">
        <f t="shared" si="53"/>
        <v>0</v>
      </c>
      <c r="H95" s="371">
        <f t="shared" si="53"/>
        <v>0</v>
      </c>
      <c r="I95" s="371">
        <f t="shared" si="53"/>
        <v>0</v>
      </c>
      <c r="J95" s="371">
        <f t="shared" si="53"/>
        <v>0</v>
      </c>
      <c r="K95" s="371">
        <f t="shared" si="53"/>
        <v>795935</v>
      </c>
      <c r="L95" s="371">
        <f t="shared" si="53"/>
        <v>0</v>
      </c>
      <c r="M95" s="371">
        <f t="shared" si="53"/>
        <v>5906.7600000002421</v>
      </c>
    </row>
    <row r="96" spans="1:13" hidden="1" x14ac:dyDescent="0.25">
      <c r="A96" s="271" t="s">
        <v>813</v>
      </c>
      <c r="B96" s="271"/>
      <c r="C96" s="271"/>
      <c r="D96" s="371">
        <f t="shared" ref="D96:M96" si="54">D14/2-D51</f>
        <v>234625.7200000002</v>
      </c>
      <c r="E96" s="371">
        <f t="shared" si="54"/>
        <v>0</v>
      </c>
      <c r="F96" s="371">
        <f t="shared" si="54"/>
        <v>266700</v>
      </c>
      <c r="G96" s="371">
        <f t="shared" si="54"/>
        <v>0</v>
      </c>
      <c r="H96" s="371">
        <f t="shared" si="54"/>
        <v>0</v>
      </c>
      <c r="I96" s="371">
        <f t="shared" si="54"/>
        <v>0</v>
      </c>
      <c r="J96" s="371">
        <f t="shared" si="54"/>
        <v>1423634.56</v>
      </c>
      <c r="K96" s="371">
        <f t="shared" si="54"/>
        <v>2464500</v>
      </c>
      <c r="L96" s="371">
        <f t="shared" si="54"/>
        <v>0</v>
      </c>
      <c r="M96" s="371">
        <f t="shared" si="54"/>
        <v>1009325.7200000002</v>
      </c>
    </row>
    <row r="97" spans="1:13" ht="13" hidden="1" thickBot="1" x14ac:dyDescent="0.3">
      <c r="A97" s="273" t="s">
        <v>840</v>
      </c>
      <c r="B97" s="273"/>
      <c r="C97" s="273"/>
      <c r="D97" s="371">
        <f t="shared" ref="D97:M97" si="55">D15/2-D52</f>
        <v>98604.910000000033</v>
      </c>
      <c r="E97" s="371">
        <f t="shared" si="55"/>
        <v>0</v>
      </c>
      <c r="F97" s="371">
        <f t="shared" si="55"/>
        <v>0</v>
      </c>
      <c r="G97" s="371">
        <f t="shared" si="55"/>
        <v>0</v>
      </c>
      <c r="H97" s="371">
        <f t="shared" si="55"/>
        <v>0</v>
      </c>
      <c r="I97" s="371">
        <f t="shared" si="55"/>
        <v>0</v>
      </c>
      <c r="J97" s="371">
        <f t="shared" si="55"/>
        <v>-208548</v>
      </c>
      <c r="K97" s="371">
        <f t="shared" si="55"/>
        <v>682500</v>
      </c>
      <c r="L97" s="371">
        <f t="shared" si="55"/>
        <v>0</v>
      </c>
      <c r="M97" s="371">
        <f t="shared" si="55"/>
        <v>98604.910000000033</v>
      </c>
    </row>
    <row r="98" spans="1:13" ht="13" hidden="1" thickBot="1" x14ac:dyDescent="0.3">
      <c r="A98" s="275" t="s">
        <v>815</v>
      </c>
      <c r="B98" s="275"/>
      <c r="C98" s="275"/>
      <c r="D98" s="374">
        <f t="shared" ref="D98" si="56">D89+D93</f>
        <v>-32452553.260000002</v>
      </c>
      <c r="E98" s="374">
        <f t="shared" ref="E98:M98" si="57">E89+E93</f>
        <v>0</v>
      </c>
      <c r="F98" s="374">
        <f t="shared" si="57"/>
        <v>2171700</v>
      </c>
      <c r="G98" s="374">
        <f t="shared" si="57"/>
        <v>0</v>
      </c>
      <c r="H98" s="374">
        <f t="shared" si="57"/>
        <v>0</v>
      </c>
      <c r="I98" s="374">
        <f t="shared" si="57"/>
        <v>0</v>
      </c>
      <c r="J98" s="374">
        <f t="shared" si="57"/>
        <v>-20438392.440000001</v>
      </c>
      <c r="K98" s="374">
        <f t="shared" si="57"/>
        <v>45067195</v>
      </c>
      <c r="L98" s="374">
        <f t="shared" si="57"/>
        <v>0</v>
      </c>
      <c r="M98" s="374">
        <f t="shared" si="57"/>
        <v>-29772853.260000002</v>
      </c>
    </row>
    <row r="99" spans="1:13" hidden="1" x14ac:dyDescent="0.25">
      <c r="A99" s="276" t="s">
        <v>816</v>
      </c>
      <c r="B99" s="276"/>
      <c r="C99" s="276"/>
      <c r="D99" s="375"/>
      <c r="E99" s="375"/>
      <c r="F99" s="375"/>
      <c r="G99" s="375"/>
      <c r="H99" s="375"/>
      <c r="I99" s="375"/>
      <c r="J99" s="375"/>
      <c r="K99" s="375"/>
      <c r="L99" s="375"/>
      <c r="M99" s="375"/>
    </row>
    <row r="100" spans="1:13" hidden="1" x14ac:dyDescent="0.25">
      <c r="A100" s="273" t="s">
        <v>817</v>
      </c>
      <c r="B100" s="273"/>
      <c r="C100" s="273"/>
      <c r="D100" s="371">
        <f t="shared" ref="D100:M100" si="58">D18/2-D55</f>
        <v>0</v>
      </c>
      <c r="E100" s="371">
        <f t="shared" si="58"/>
        <v>0</v>
      </c>
      <c r="F100" s="371">
        <f t="shared" si="58"/>
        <v>0</v>
      </c>
      <c r="G100" s="371">
        <f t="shared" si="58"/>
        <v>0</v>
      </c>
      <c r="H100" s="371">
        <f t="shared" si="58"/>
        <v>0</v>
      </c>
      <c r="I100" s="371">
        <f t="shared" si="58"/>
        <v>0</v>
      </c>
      <c r="J100" s="371">
        <f t="shared" si="58"/>
        <v>0</v>
      </c>
      <c r="K100" s="371">
        <f t="shared" si="58"/>
        <v>0</v>
      </c>
      <c r="L100" s="371">
        <f t="shared" si="58"/>
        <v>0</v>
      </c>
      <c r="M100" s="371">
        <f t="shared" si="58"/>
        <v>0</v>
      </c>
    </row>
    <row r="101" spans="1:13" ht="13" hidden="1" thickBot="1" x14ac:dyDescent="0.3">
      <c r="A101" s="274" t="s">
        <v>818</v>
      </c>
      <c r="B101" s="274"/>
      <c r="C101" s="274"/>
      <c r="D101" s="376"/>
      <c r="E101" s="376"/>
      <c r="F101" s="376"/>
      <c r="G101" s="376"/>
      <c r="H101" s="376"/>
      <c r="I101" s="376"/>
      <c r="J101" s="376"/>
      <c r="K101" s="376"/>
      <c r="L101" s="376"/>
      <c r="M101" s="376"/>
    </row>
    <row r="102" spans="1:13" ht="13" hidden="1" thickBot="1" x14ac:dyDescent="0.3">
      <c r="A102" s="277" t="s">
        <v>819</v>
      </c>
      <c r="B102" s="277"/>
      <c r="C102" s="277"/>
      <c r="D102" s="377">
        <f t="shared" ref="D102" si="59">SUM(D99:D101)</f>
        <v>0</v>
      </c>
      <c r="E102" s="377">
        <f t="shared" ref="E102:M102" si="60">SUM(E99:E101)</f>
        <v>0</v>
      </c>
      <c r="F102" s="377">
        <f t="shared" si="60"/>
        <v>0</v>
      </c>
      <c r="G102" s="377">
        <f t="shared" si="60"/>
        <v>0</v>
      </c>
      <c r="H102" s="377">
        <f t="shared" si="60"/>
        <v>0</v>
      </c>
      <c r="I102" s="377">
        <f t="shared" si="60"/>
        <v>0</v>
      </c>
      <c r="J102" s="377">
        <f t="shared" si="60"/>
        <v>0</v>
      </c>
      <c r="K102" s="377">
        <f t="shared" si="60"/>
        <v>0</v>
      </c>
      <c r="L102" s="377">
        <f t="shared" si="60"/>
        <v>0</v>
      </c>
      <c r="M102" s="377">
        <f t="shared" si="60"/>
        <v>0</v>
      </c>
    </row>
    <row r="103" spans="1:13" ht="13" hidden="1" thickBot="1" x14ac:dyDescent="0.3">
      <c r="A103" s="277" t="s">
        <v>820</v>
      </c>
      <c r="B103" s="277"/>
      <c r="C103" s="277"/>
      <c r="D103" s="378">
        <f t="shared" ref="D103" si="61">D102+D98</f>
        <v>-32452553.260000002</v>
      </c>
      <c r="E103" s="378">
        <f t="shared" ref="E103:M103" si="62">E102+E98</f>
        <v>0</v>
      </c>
      <c r="F103" s="378">
        <f t="shared" si="62"/>
        <v>2171700</v>
      </c>
      <c r="G103" s="378">
        <f t="shared" si="62"/>
        <v>0</v>
      </c>
      <c r="H103" s="378">
        <f t="shared" si="62"/>
        <v>0</v>
      </c>
      <c r="I103" s="378">
        <f t="shared" si="62"/>
        <v>0</v>
      </c>
      <c r="J103" s="378">
        <f t="shared" si="62"/>
        <v>-20438392.440000001</v>
      </c>
      <c r="K103" s="378">
        <f t="shared" si="62"/>
        <v>45067195</v>
      </c>
      <c r="L103" s="378">
        <f t="shared" si="62"/>
        <v>0</v>
      </c>
      <c r="M103" s="378">
        <f t="shared" si="62"/>
        <v>-29772853.260000002</v>
      </c>
    </row>
    <row r="104" spans="1:13" hidden="1" x14ac:dyDescent="0.25">
      <c r="A104" s="278" t="s">
        <v>821</v>
      </c>
      <c r="B104" s="278"/>
      <c r="C104" s="278"/>
      <c r="D104" s="379"/>
      <c r="E104" s="379"/>
      <c r="F104" s="379"/>
      <c r="G104" s="379"/>
      <c r="H104" s="379"/>
      <c r="I104" s="379"/>
      <c r="J104" s="379"/>
      <c r="K104" s="379"/>
      <c r="L104" s="379"/>
      <c r="M104" s="379"/>
    </row>
    <row r="105" spans="1:13" hidden="1" x14ac:dyDescent="0.25">
      <c r="A105" s="279" t="s">
        <v>822</v>
      </c>
      <c r="B105" s="279"/>
      <c r="C105" s="279"/>
      <c r="D105" s="372"/>
      <c r="E105" s="372"/>
      <c r="F105" s="372"/>
      <c r="G105" s="372"/>
      <c r="H105" s="372"/>
      <c r="I105" s="372"/>
      <c r="J105" s="372"/>
      <c r="K105" s="372"/>
      <c r="L105" s="372"/>
      <c r="M105" s="372"/>
    </row>
    <row r="106" spans="1:13" hidden="1" x14ac:dyDescent="0.25">
      <c r="A106" s="280" t="s">
        <v>823</v>
      </c>
      <c r="B106" s="280"/>
      <c r="C106" s="280"/>
      <c r="D106" s="371">
        <f t="shared" ref="D106:M106" si="63">D24/2-D61</f>
        <v>-157667.78000000003</v>
      </c>
      <c r="E106" s="371">
        <f t="shared" si="63"/>
        <v>0</v>
      </c>
      <c r="F106" s="371">
        <f t="shared" si="63"/>
        <v>0</v>
      </c>
      <c r="G106" s="371">
        <f t="shared" si="63"/>
        <v>0</v>
      </c>
      <c r="H106" s="371">
        <f t="shared" si="63"/>
        <v>0</v>
      </c>
      <c r="I106" s="371">
        <f t="shared" si="63"/>
        <v>0</v>
      </c>
      <c r="J106" s="371">
        <f t="shared" si="63"/>
        <v>-19985197</v>
      </c>
      <c r="K106" s="371">
        <f t="shared" si="63"/>
        <v>0</v>
      </c>
      <c r="L106" s="371">
        <f t="shared" si="63"/>
        <v>0</v>
      </c>
      <c r="M106" s="371">
        <f t="shared" si="63"/>
        <v>-157667.78000000003</v>
      </c>
    </row>
    <row r="107" spans="1:13" ht="13" hidden="1" thickBot="1" x14ac:dyDescent="0.3">
      <c r="A107" s="281" t="s">
        <v>824</v>
      </c>
      <c r="B107" s="281"/>
      <c r="C107" s="281"/>
      <c r="D107" s="380">
        <f t="shared" ref="D107" si="64">SUM(D105:D106)</f>
        <v>-157667.78000000003</v>
      </c>
      <c r="E107" s="380">
        <f t="shared" ref="E107:M107" si="65">SUM(E105:E106)</f>
        <v>0</v>
      </c>
      <c r="F107" s="380">
        <f t="shared" si="65"/>
        <v>0</v>
      </c>
      <c r="G107" s="380">
        <f t="shared" si="65"/>
        <v>0</v>
      </c>
      <c r="H107" s="380">
        <f t="shared" si="65"/>
        <v>0</v>
      </c>
      <c r="I107" s="380">
        <f t="shared" si="65"/>
        <v>0</v>
      </c>
      <c r="J107" s="380">
        <f t="shared" si="65"/>
        <v>-19985197</v>
      </c>
      <c r="K107" s="380">
        <f t="shared" si="65"/>
        <v>0</v>
      </c>
      <c r="L107" s="380">
        <f t="shared" si="65"/>
        <v>0</v>
      </c>
      <c r="M107" s="380">
        <f t="shared" si="65"/>
        <v>-157667.78000000003</v>
      </c>
    </row>
    <row r="108" spans="1:13" hidden="1" x14ac:dyDescent="0.25">
      <c r="A108" s="278" t="s">
        <v>825</v>
      </c>
      <c r="B108" s="278"/>
      <c r="C108" s="278"/>
      <c r="D108" s="379"/>
      <c r="E108" s="379"/>
      <c r="F108" s="379"/>
      <c r="G108" s="379"/>
      <c r="H108" s="379"/>
      <c r="I108" s="379"/>
      <c r="J108" s="379"/>
      <c r="K108" s="379"/>
      <c r="L108" s="379"/>
      <c r="M108" s="379"/>
    </row>
    <row r="109" spans="1:13" ht="13" hidden="1" thickBot="1" x14ac:dyDescent="0.3">
      <c r="A109" s="282" t="s">
        <v>826</v>
      </c>
      <c r="B109" s="282"/>
      <c r="C109" s="282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</row>
    <row r="110" spans="1:13" ht="13" hidden="1" thickBot="1" x14ac:dyDescent="0.3">
      <c r="A110" s="277" t="s">
        <v>827</v>
      </c>
      <c r="B110" s="277"/>
      <c r="C110" s="277"/>
      <c r="D110" s="377">
        <f t="shared" ref="D110" si="66">SUM(D108:D109)</f>
        <v>0</v>
      </c>
      <c r="E110" s="377">
        <f t="shared" ref="E110:M110" si="67">SUM(E108:E109)</f>
        <v>0</v>
      </c>
      <c r="F110" s="377">
        <f t="shared" si="67"/>
        <v>0</v>
      </c>
      <c r="G110" s="377">
        <f t="shared" si="67"/>
        <v>0</v>
      </c>
      <c r="H110" s="377">
        <f t="shared" si="67"/>
        <v>0</v>
      </c>
      <c r="I110" s="377">
        <f t="shared" si="67"/>
        <v>0</v>
      </c>
      <c r="J110" s="377">
        <f t="shared" si="67"/>
        <v>0</v>
      </c>
      <c r="K110" s="377">
        <f t="shared" si="67"/>
        <v>0</v>
      </c>
      <c r="L110" s="377">
        <f t="shared" si="67"/>
        <v>0</v>
      </c>
      <c r="M110" s="377">
        <f t="shared" si="67"/>
        <v>0</v>
      </c>
    </row>
    <row r="111" spans="1:13" ht="13" hidden="1" thickBot="1" x14ac:dyDescent="0.3">
      <c r="A111" s="277" t="s">
        <v>828</v>
      </c>
      <c r="B111" s="277"/>
      <c r="C111" s="277"/>
      <c r="D111" s="378">
        <f t="shared" ref="D111" si="68">D110+D107</f>
        <v>-157667.78000000003</v>
      </c>
      <c r="E111" s="378">
        <f t="shared" ref="E111:M111" si="69">E110+E107</f>
        <v>0</v>
      </c>
      <c r="F111" s="378">
        <f t="shared" si="69"/>
        <v>0</v>
      </c>
      <c r="G111" s="378">
        <f t="shared" si="69"/>
        <v>0</v>
      </c>
      <c r="H111" s="378">
        <f t="shared" si="69"/>
        <v>0</v>
      </c>
      <c r="I111" s="378">
        <f t="shared" si="69"/>
        <v>0</v>
      </c>
      <c r="J111" s="378">
        <f t="shared" si="69"/>
        <v>-19985197</v>
      </c>
      <c r="K111" s="378">
        <f t="shared" si="69"/>
        <v>0</v>
      </c>
      <c r="L111" s="378">
        <f t="shared" si="69"/>
        <v>0</v>
      </c>
      <c r="M111" s="378">
        <f t="shared" si="69"/>
        <v>-157667.78000000003</v>
      </c>
    </row>
    <row r="112" spans="1:13" ht="13" hidden="1" thickBot="1" x14ac:dyDescent="0.3">
      <c r="A112" s="277" t="s">
        <v>703</v>
      </c>
      <c r="B112" s="277"/>
      <c r="C112" s="277"/>
      <c r="D112" s="378">
        <f t="shared" ref="D112" si="70">D103-D111</f>
        <v>-32294885.48</v>
      </c>
      <c r="E112" s="378">
        <f t="shared" ref="E112:M112" si="71">E103-E111</f>
        <v>0</v>
      </c>
      <c r="F112" s="378">
        <f t="shared" si="71"/>
        <v>2171700</v>
      </c>
      <c r="G112" s="378">
        <f t="shared" si="71"/>
        <v>0</v>
      </c>
      <c r="H112" s="378">
        <f t="shared" si="71"/>
        <v>0</v>
      </c>
      <c r="I112" s="378">
        <f t="shared" si="71"/>
        <v>0</v>
      </c>
      <c r="J112" s="378">
        <f t="shared" si="71"/>
        <v>-453195.44000000134</v>
      </c>
      <c r="K112" s="378">
        <f t="shared" si="71"/>
        <v>45067195</v>
      </c>
      <c r="L112" s="378">
        <f t="shared" si="71"/>
        <v>0</v>
      </c>
      <c r="M112" s="378">
        <f t="shared" si="71"/>
        <v>-29615185.48</v>
      </c>
    </row>
    <row r="113" spans="1:13" ht="13" hidden="1" thickBot="1" x14ac:dyDescent="0.3">
      <c r="A113" s="173" t="s">
        <v>703</v>
      </c>
      <c r="B113" s="587"/>
      <c r="C113" s="587"/>
      <c r="D113" s="371">
        <f t="shared" ref="D113:E115" si="72">D31/2-D68</f>
        <v>-32294885.480000019</v>
      </c>
      <c r="E113" s="371">
        <f t="shared" si="72"/>
        <v>0</v>
      </c>
      <c r="F113" s="371">
        <f t="shared" ref="F113:M113" si="73">F31/2-F68</f>
        <v>2679700</v>
      </c>
      <c r="G113" s="371">
        <f t="shared" si="73"/>
        <v>0</v>
      </c>
      <c r="H113" s="371">
        <f t="shared" si="73"/>
        <v>0</v>
      </c>
      <c r="I113" s="371">
        <f t="shared" si="73"/>
        <v>0</v>
      </c>
      <c r="J113" s="371">
        <f t="shared" si="73"/>
        <v>-453195.43999999762</v>
      </c>
      <c r="K113" s="371">
        <f t="shared" si="73"/>
        <v>45067195</v>
      </c>
      <c r="L113" s="371">
        <f t="shared" si="73"/>
        <v>0</v>
      </c>
      <c r="M113" s="371">
        <f t="shared" si="73"/>
        <v>-29615185.480000019</v>
      </c>
    </row>
    <row r="114" spans="1:13" ht="13" hidden="1" thickBot="1" x14ac:dyDescent="0.3">
      <c r="A114" s="174" t="s">
        <v>713</v>
      </c>
      <c r="B114" s="582"/>
      <c r="C114" s="582"/>
      <c r="D114" s="371">
        <f t="shared" si="72"/>
        <v>-25421535.889498759</v>
      </c>
      <c r="E114" s="371">
        <f t="shared" si="72"/>
        <v>0</v>
      </c>
      <c r="F114" s="371">
        <f t="shared" ref="F114:M114" si="74">F32/2-F69</f>
        <v>0</v>
      </c>
      <c r="G114" s="371">
        <f t="shared" si="74"/>
        <v>0</v>
      </c>
      <c r="H114" s="371">
        <f t="shared" si="74"/>
        <v>0</v>
      </c>
      <c r="I114" s="371">
        <f t="shared" si="74"/>
        <v>0</v>
      </c>
      <c r="J114" s="371">
        <f t="shared" si="74"/>
        <v>0</v>
      </c>
      <c r="K114" s="371">
        <f t="shared" si="74"/>
        <v>19882118.941691477</v>
      </c>
      <c r="L114" s="371">
        <f t="shared" si="74"/>
        <v>0</v>
      </c>
      <c r="M114" s="371">
        <f t="shared" si="74"/>
        <v>-25421535.889498759</v>
      </c>
    </row>
    <row r="115" spans="1:13" ht="13" hidden="1" thickBot="1" x14ac:dyDescent="0.3">
      <c r="A115" s="175" t="s">
        <v>714</v>
      </c>
      <c r="B115" s="582"/>
      <c r="C115" s="582"/>
      <c r="D115" s="371">
        <f t="shared" si="72"/>
        <v>-57716421.369498774</v>
      </c>
      <c r="E115" s="371">
        <f t="shared" si="72"/>
        <v>0</v>
      </c>
      <c r="F115" s="371">
        <f t="shared" ref="F115:M115" si="75">F33/2-F70</f>
        <v>2679700</v>
      </c>
      <c r="G115" s="371">
        <f t="shared" si="75"/>
        <v>0</v>
      </c>
      <c r="H115" s="371">
        <f t="shared" si="75"/>
        <v>0</v>
      </c>
      <c r="I115" s="371">
        <f t="shared" si="75"/>
        <v>0</v>
      </c>
      <c r="J115" s="371">
        <f t="shared" si="75"/>
        <v>-453195.43999999762</v>
      </c>
      <c r="K115" s="371">
        <f t="shared" si="75"/>
        <v>64949313.941691473</v>
      </c>
      <c r="L115" s="371">
        <f t="shared" si="75"/>
        <v>0</v>
      </c>
      <c r="M115" s="371">
        <f t="shared" si="75"/>
        <v>-55036721.369498774</v>
      </c>
    </row>
    <row r="116" spans="1:13" ht="13" hidden="1" thickBot="1" x14ac:dyDescent="0.3">
      <c r="A116" s="577"/>
      <c r="B116" s="585"/>
      <c r="C116" s="585"/>
      <c r="D116" s="371"/>
      <c r="E116" s="578"/>
      <c r="F116" s="578"/>
      <c r="G116" s="578"/>
      <c r="H116" s="578"/>
      <c r="I116" s="578"/>
      <c r="J116" s="578"/>
      <c r="K116" s="578"/>
      <c r="L116" s="594"/>
      <c r="M116" s="579"/>
    </row>
    <row r="117" spans="1:13" ht="27" hidden="1" customHeight="1" thickBot="1" x14ac:dyDescent="0.35">
      <c r="A117" s="154" t="e">
        <f>#REF!</f>
        <v>#REF!</v>
      </c>
      <c r="B117" s="584"/>
      <c r="C117" s="584"/>
      <c r="D117" s="290">
        <f>'Felosztás eredménykim'!DC373</f>
        <v>0</v>
      </c>
      <c r="E117" s="291"/>
      <c r="F117" s="292"/>
      <c r="G117" s="292"/>
      <c r="H117" s="292"/>
      <c r="I117" s="292"/>
      <c r="J117" s="292">
        <f>'Felosztás eredménykim'!DJ373</f>
        <v>0</v>
      </c>
      <c r="K117" s="292"/>
      <c r="L117" s="592"/>
      <c r="M117" s="293">
        <f>SUM(D117:K117)</f>
        <v>0</v>
      </c>
    </row>
  </sheetData>
  <mergeCells count="12">
    <mergeCell ref="D2:K2"/>
    <mergeCell ref="D39:K39"/>
    <mergeCell ref="D40:K40"/>
    <mergeCell ref="D41:K41"/>
    <mergeCell ref="D76:K76"/>
    <mergeCell ref="D84:K84"/>
    <mergeCell ref="D85:K85"/>
    <mergeCell ref="D86:K86"/>
    <mergeCell ref="D78:K78"/>
    <mergeCell ref="D3:K3"/>
    <mergeCell ref="D4:K4"/>
    <mergeCell ref="D77:K77"/>
  </mergeCells>
  <pageMargins left="0.11811023622047245" right="0.11811023622047245" top="0.74803149606299213" bottom="0.74803149606299213" header="0.31496062992125984" footer="0.31496062992125984"/>
  <pageSetup paperSize="8" scale="97" fitToHeight="0" orientation="landscape" r:id="rId1"/>
  <rowBreaks count="2" manualBreakCount="2">
    <brk id="37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53</vt:i4>
      </vt:variant>
    </vt:vector>
  </HeadingPairs>
  <TitlesOfParts>
    <vt:vector size="70" baseType="lpstr">
      <vt:lpstr>Várható bér különbözet</vt:lpstr>
      <vt:lpstr>kompenzáció elsz</vt:lpstr>
      <vt:lpstr>számlázás</vt:lpstr>
      <vt:lpstr>Összesítés</vt:lpstr>
      <vt:lpstr>Terv_tény vagyongazd</vt:lpstr>
      <vt:lpstr>Terv_tény parkolás</vt:lpstr>
      <vt:lpstr>Terv_tény piac</vt:lpstr>
      <vt:lpstr>Terv_tény településüz</vt:lpstr>
      <vt:lpstr>Terv_tény intézmény</vt:lpstr>
      <vt:lpstr>támogatás elsz 478 fők</vt:lpstr>
      <vt:lpstr>Felosztás eredménykim</vt:lpstr>
      <vt:lpstr>Eredeti fejléccel</vt:lpstr>
      <vt:lpstr>Eredeti</vt:lpstr>
      <vt:lpstr>Létszám</vt:lpstr>
      <vt:lpstr>Létszám költségvetés</vt:lpstr>
      <vt:lpstr>Költséghely</vt:lpstr>
      <vt:lpstr>Paraméterek</vt:lpstr>
      <vt:lpstr>APPNAME</vt:lpstr>
      <vt:lpstr>APPPWD</vt:lpstr>
      <vt:lpstr>Cegfuggo</vt:lpstr>
      <vt:lpstr>DatumIg</vt:lpstr>
      <vt:lpstr>Datumtol</vt:lpstr>
      <vt:lpstr>DBS</vt:lpstr>
      <vt:lpstr>Deviza_ID</vt:lpstr>
      <vt:lpstr>FeladatlanBizonylat</vt:lpstr>
      <vt:lpstr>FeliratNyelv_ID</vt:lpstr>
      <vt:lpstr>FSzam</vt:lpstr>
      <vt:lpstr>FSzamCsop</vt:lpstr>
      <vt:lpstr>FSzamKeplet</vt:lpstr>
      <vt:lpstr>HasznKHely</vt:lpstr>
      <vt:lpstr>HasznPSzam</vt:lpstr>
      <vt:lpstr>HasznTema</vt:lpstr>
      <vt:lpstr>HasznTSzam</vt:lpstr>
      <vt:lpstr>KHely</vt:lpstr>
      <vt:lpstr>KHelyCsop</vt:lpstr>
      <vt:lpstr>KHelyKeplet</vt:lpstr>
      <vt:lpstr>Listasor</vt:lpstr>
      <vt:lpstr>Naplojelig</vt:lpstr>
      <vt:lpstr>Naplojeltol</vt:lpstr>
      <vt:lpstr>Nyelv_ID</vt:lpstr>
      <vt:lpstr>'Felosztás eredménykim'!Nyomtatási_cím</vt:lpstr>
      <vt:lpstr>Összesítés!Nyomtatási_cím</vt:lpstr>
      <vt:lpstr>'Felosztás eredménykim'!Nyomtatási_terület</vt:lpstr>
      <vt:lpstr>Összesítés!Nyomtatási_terület</vt:lpstr>
      <vt:lpstr>'Terv_tény településüz'!Nyomtatási_terület</vt:lpstr>
      <vt:lpstr>Oszlopok</vt:lpstr>
      <vt:lpstr>Parameterek</vt:lpstr>
      <vt:lpstr>ProjektTSzamBesorolasKapcsolat</vt:lpstr>
      <vt:lpstr>ProjektTSzamBesorolasXML</vt:lpstr>
      <vt:lpstr>PSzam</vt:lpstr>
      <vt:lpstr>PSzamKeplet</vt:lpstr>
      <vt:lpstr>PWD</vt:lpstr>
      <vt:lpstr>Rend1</vt:lpstr>
      <vt:lpstr>Rend2</vt:lpstr>
      <vt:lpstr>Rend3</vt:lpstr>
      <vt:lpstr>Rend4</vt:lpstr>
      <vt:lpstr>Rend5</vt:lpstr>
      <vt:lpstr>Reszletezes</vt:lpstr>
      <vt:lpstr>RFSzam</vt:lpstr>
      <vt:lpstr>RFSzamCsop</vt:lpstr>
      <vt:lpstr>RFSzamKeplet</vt:lpstr>
      <vt:lpstr>SERVER</vt:lpstr>
      <vt:lpstr>TeljDatumig</vt:lpstr>
      <vt:lpstr>TeljDatumtol</vt:lpstr>
      <vt:lpstr>TSzam</vt:lpstr>
      <vt:lpstr>TSzamCsop</vt:lpstr>
      <vt:lpstr>TSzamKeplet</vt:lpstr>
      <vt:lpstr>Ugyfel</vt:lpstr>
      <vt:lpstr>UgyfelKeplet</vt:lpstr>
      <vt:lpstr>UID</vt:lpstr>
    </vt:vector>
  </TitlesOfParts>
  <Company>ProgEn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Magonyné Szabó Melinda</dc:creator>
  <cp:lastModifiedBy>Munkahely</cp:lastModifiedBy>
  <cp:lastPrinted>2023-04-19T09:20:55Z</cp:lastPrinted>
  <dcterms:created xsi:type="dcterms:W3CDTF">1998-12-10T13:47:19Z</dcterms:created>
  <dcterms:modified xsi:type="dcterms:W3CDTF">2023-07-04T13:19:50Z</dcterms:modified>
</cp:coreProperties>
</file>